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rinterSettings/printerSettings5.bin" ContentType="application/vnd.openxmlformats-officedocument.spreadsheetml.printerSettings"/>
  <Override PartName="/xl/drawings/drawing5.xml" ContentType="application/vnd.openxmlformats-officedocument.drawing+xml"/>
  <Override PartName="/xl/printerSettings/printerSettings6.bin" ContentType="application/vnd.openxmlformats-officedocument.spreadsheetml.printerSettings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printerSettings/printerSettings7.bin" ContentType="application/vnd.openxmlformats-officedocument.spreadsheetml.printerSettings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comments4.xml" ContentType="application/vnd.openxmlformats-officedocument.spreadsheetml.comments+xml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comments5.xml" ContentType="application/vnd.openxmlformats-officedocument.spreadsheetml.comments+xml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comments6.xml" ContentType="application/vnd.openxmlformats-officedocument.spreadsheetml.comments+xml"/>
  <Override PartName="/xl/printerSettings/printerSettings18.bin" ContentType="application/vnd.openxmlformats-officedocument.spreadsheetml.printerSettings"/>
  <Override PartName="/xl/comments7.xml" ContentType="application/vnd.openxmlformats-officedocument.spreadsheetml.comments+xml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comments8.xml" ContentType="application/vnd.openxmlformats-officedocument.spreadsheetml.comments+xml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comments9.xml" ContentType="application/vnd.openxmlformats-officedocument.spreadsheetml.comments+xml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comments10.xml" ContentType="application/vnd.openxmlformats-officedocument.spreadsheetml.comments+xml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comments11.xml" ContentType="application/vnd.openxmlformats-officedocument.spreadsheetml.comments+xml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comments12.xml" ContentType="application/vnd.openxmlformats-officedocument.spreadsheetml.comments+xml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comments13.xml" ContentType="application/vnd.openxmlformats-officedocument.spreadsheetml.comments+xml"/>
  <Override PartName="/xl/printerSettings/printerSettings38.bin" ContentType="application/vnd.openxmlformats-officedocument.spreadsheetml.printerSettings"/>
  <Override PartName="/xl/comments14.xml" ContentType="application/vnd.openxmlformats-officedocument.spreadsheetml.comments+xml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comments15.xml" ContentType="application/vnd.openxmlformats-officedocument.spreadsheetml.comments+xml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comments16.xml" ContentType="application/vnd.openxmlformats-officedocument.spreadsheetml.comments+xml"/>
  <Override PartName="/xl/printerSettings/printerSettings45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fileSharing userName="Ибрагимова Алена Мухамедовна" algorithmName="SHA-512" hashValue="vmZji3Girh2JLvM4YJZFVwa5/nMk6N2x9UJXjckKISE+AlCZZIapeEFMbEz4POAjk8nbUvwaH3yTjbtQBCh+PA==" saltValue="NAUzLCdhfhq6LrDt2twr6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yus.com\Полюс.Диск\УК Полюс\Дирекция по производству\Балансировки ГТО\Тендеры_Расчеты\Сухой Лог-2027_Тендер_Самосвалы_220 т\"/>
    </mc:Choice>
  </mc:AlternateContent>
  <xr:revisionPtr revIDLastSave="0" documentId="13_ncr:10001_{C28126D9-70E0-4D5E-9505-99D98371B705}" xr6:coauthVersionLast="47" xr6:coauthVersionMax="47" xr10:uidLastSave="{00000000-0000-0000-0000-000000000000}"/>
  <bookViews>
    <workbookView xWindow="-109" yWindow="-109" windowWidth="34995" windowHeight="19196" tabRatio="856" firstSheet="1" activeTab="3" xr2:uid="{4028EC0D-BF88-41AC-84B0-97101D19B134}"/>
  </bookViews>
  <sheets>
    <sheet name="1" sheetId="25" state="hidden" r:id="rId1"/>
    <sheet name="Версии" sheetId="41" r:id="rId2"/>
    <sheet name="Статус" sheetId="26" r:id="rId3"/>
    <sheet name="Свод" sheetId="1" r:id="rId4"/>
    <sheet name="ТСО" sheetId="2" r:id="rId5"/>
    <sheet name="Производительность" sheetId="3" r:id="rId6"/>
    <sheet name="Загрузка" sheetId="30" r:id="rId7"/>
    <sheet name="Ресурс" sheetId="31" r:id="rId8"/>
    <sheet name="Факт NTE" sheetId="24" r:id="rId9"/>
    <sheet name="Простои" sheetId="4" r:id="rId10"/>
    <sheet name="ФОТ, МТР, макро" sheetId="5" r:id="rId11"/>
    <sheet name="БелАЗ" sheetId="27" r:id="rId12"/>
    <sheet name="БелАЗ ТО" sheetId="28" r:id="rId13"/>
    <sheet name="БелАЗ Рем" sheetId="29" r:id="rId14"/>
    <sheet name="TZCO" sheetId="35" r:id="rId15"/>
    <sheet name="TZCO ТО" sheetId="36" r:id="rId16"/>
    <sheet name="TZCO Рем" sheetId="37" r:id="rId17"/>
    <sheet name="SANY" sheetId="38" r:id="rId18"/>
    <sheet name="SANY ТО" sheetId="39" r:id="rId19"/>
    <sheet name="SANY Рем" sheetId="40" r:id="rId20"/>
    <sheet name="БелАЗ_Б" sheetId="51" r:id="rId21"/>
    <sheet name="БелАЗ_Б ТО" sheetId="52" r:id="rId22"/>
    <sheet name="БелАЗ_Б Рем" sheetId="53" r:id="rId23"/>
    <sheet name="ESDE240" sheetId="57" r:id="rId24"/>
    <sheet name="ESDE240 ТО" sheetId="58" r:id="rId25"/>
    <sheet name="ESDE240 Рем" sheetId="59" r:id="rId26"/>
    <sheet name="NHL NTE240" sheetId="63" r:id="rId27"/>
    <sheet name="NHL NTE240 ТО" sheetId="64" r:id="rId28"/>
    <sheet name="NHL NTE240 Рем" sheetId="65" r:id="rId29"/>
    <sheet name="Свод_1" sheetId="34" r:id="rId30"/>
    <sheet name="ТСО_1" sheetId="33" r:id="rId31"/>
    <sheet name="Производительность_1" sheetId="32" r:id="rId32"/>
    <sheet name="БелАЗ_1" sheetId="42" r:id="rId33"/>
    <sheet name="БелАЗ ТО_1" sheetId="43" r:id="rId34"/>
    <sheet name="БелАЗ Рем_1" sheetId="44" r:id="rId35"/>
    <sheet name="TZCO_1" sheetId="45" r:id="rId36"/>
    <sheet name="TZCO ТО_1" sheetId="46" r:id="rId37"/>
    <sheet name="TZCO Рем_1" sheetId="47" r:id="rId38"/>
    <sheet name="SANY_1" sheetId="48" r:id="rId39"/>
    <sheet name="SANY ТО_1" sheetId="49" r:id="rId40"/>
    <sheet name="SANY Рем_1" sheetId="50" r:id="rId41"/>
    <sheet name="БелАЗ_Б_1" sheetId="54" r:id="rId42"/>
    <sheet name="БелАЗ_Б ТО_1" sheetId="55" r:id="rId43"/>
    <sheet name="БелАЗ_Б Рем_1" sheetId="56" r:id="rId44"/>
    <sheet name="ESDE240_1" sheetId="60" r:id="rId45"/>
    <sheet name="ESDE240 ТО_1" sheetId="61" r:id="rId46"/>
    <sheet name="ESDE240 Рем_1" sheetId="62" r:id="rId47"/>
    <sheet name="NHL NTE240_1" sheetId="66" r:id="rId48"/>
    <sheet name="NHL NTE240 ТО_1" sheetId="67" r:id="rId49"/>
    <sheet name="NHL NTE240 Рем_1" sheetId="68" r:id="rId50"/>
  </sheets>
  <definedNames>
    <definedName name="_A" localSheetId="23" hidden="1">#REF!</definedName>
    <definedName name="_A" localSheetId="24" hidden="1">#REF!</definedName>
    <definedName name="_A" localSheetId="45" hidden="1">#REF!</definedName>
    <definedName name="_A" localSheetId="44" hidden="1">#REF!</definedName>
    <definedName name="_A" localSheetId="26" hidden="1">#REF!</definedName>
    <definedName name="_A" localSheetId="27" hidden="1">#REF!</definedName>
    <definedName name="_A" localSheetId="48" hidden="1">#REF!</definedName>
    <definedName name="_A" localSheetId="47" hidden="1">#REF!</definedName>
    <definedName name="_A" localSheetId="17" hidden="1">#REF!</definedName>
    <definedName name="_A" localSheetId="18" hidden="1">#REF!</definedName>
    <definedName name="_A" localSheetId="39" hidden="1">#REF!</definedName>
    <definedName name="_A" localSheetId="38" hidden="1">#REF!</definedName>
    <definedName name="_A" localSheetId="14" hidden="1">#REF!</definedName>
    <definedName name="_A" localSheetId="15" hidden="1">#REF!</definedName>
    <definedName name="_A" localSheetId="36" hidden="1">#REF!</definedName>
    <definedName name="_A" localSheetId="35" hidden="1">#REF!</definedName>
    <definedName name="_A" localSheetId="11" hidden="1">#REF!</definedName>
    <definedName name="_A" localSheetId="12" hidden="1">#REF!</definedName>
    <definedName name="_A" localSheetId="33" hidden="1">#REF!</definedName>
    <definedName name="_A" localSheetId="32" hidden="1">#REF!</definedName>
    <definedName name="_A" localSheetId="20" hidden="1">#REF!</definedName>
    <definedName name="_A" localSheetId="22" hidden="1">#REF!</definedName>
    <definedName name="_A" localSheetId="43" hidden="1">#REF!</definedName>
    <definedName name="_A" localSheetId="21" hidden="1">#REF!</definedName>
    <definedName name="_A" localSheetId="42" hidden="1">#REF!</definedName>
    <definedName name="_A" localSheetId="41" hidden="1">#REF!</definedName>
    <definedName name="_A" hidden="1">#REF!</definedName>
    <definedName name="_Fill" localSheetId="23" hidden="1">#REF!</definedName>
    <definedName name="_Fill" localSheetId="24" hidden="1">#REF!</definedName>
    <definedName name="_Fill" localSheetId="45" hidden="1">#REF!</definedName>
    <definedName name="_Fill" localSheetId="44" hidden="1">#REF!</definedName>
    <definedName name="_Fill" localSheetId="26" hidden="1">#REF!</definedName>
    <definedName name="_Fill" localSheetId="27" hidden="1">#REF!</definedName>
    <definedName name="_Fill" localSheetId="48" hidden="1">#REF!</definedName>
    <definedName name="_Fill" localSheetId="47" hidden="1">#REF!</definedName>
    <definedName name="_Fill" localSheetId="17" hidden="1">#REF!</definedName>
    <definedName name="_Fill" localSheetId="18" hidden="1">#REF!</definedName>
    <definedName name="_Fill" localSheetId="39" hidden="1">#REF!</definedName>
    <definedName name="_Fill" localSheetId="38" hidden="1">#REF!</definedName>
    <definedName name="_Fill" localSheetId="14" hidden="1">#REF!</definedName>
    <definedName name="_Fill" localSheetId="15" hidden="1">#REF!</definedName>
    <definedName name="_Fill" localSheetId="36" hidden="1">#REF!</definedName>
    <definedName name="_Fill" localSheetId="35" hidden="1">#REF!</definedName>
    <definedName name="_Fill" localSheetId="11" hidden="1">#REF!</definedName>
    <definedName name="_Fill" localSheetId="12" hidden="1">#REF!</definedName>
    <definedName name="_Fill" localSheetId="33" hidden="1">#REF!</definedName>
    <definedName name="_Fill" localSheetId="32" hidden="1">#REF!</definedName>
    <definedName name="_Fill" localSheetId="20" hidden="1">#REF!</definedName>
    <definedName name="_Fill" localSheetId="21" hidden="1">#REF!</definedName>
    <definedName name="_Fill" localSheetId="42" hidden="1">#REF!</definedName>
    <definedName name="_Fill" localSheetId="4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24" hidden="1">#REF!</definedName>
    <definedName name="_Sort" localSheetId="45" hidden="1">#REF!</definedName>
    <definedName name="_Sort" localSheetId="27" hidden="1">#REF!</definedName>
    <definedName name="_Sort" localSheetId="48" hidden="1">#REF!</definedName>
    <definedName name="_Sort" localSheetId="18" hidden="1">#REF!</definedName>
    <definedName name="_Sort" localSheetId="39" hidden="1">#REF!</definedName>
    <definedName name="_Sort" localSheetId="15" hidden="1">#REF!</definedName>
    <definedName name="_Sort" localSheetId="36" hidden="1">#REF!</definedName>
    <definedName name="_Sort" localSheetId="12" hidden="1">#REF!</definedName>
    <definedName name="_Sort" localSheetId="33" hidden="1">#REF!</definedName>
    <definedName name="_Sort" localSheetId="21" hidden="1">#REF!</definedName>
    <definedName name="_Sort" localSheetId="42" hidden="1">#REF!</definedName>
    <definedName name="_Sort" hidden="1">#REF!</definedName>
    <definedName name="_xlnm._FilterDatabase" localSheetId="16" hidden="1">'TZCO Рем'!$B$2:$M$84</definedName>
    <definedName name="_xlnm._FilterDatabase" localSheetId="37" hidden="1">'TZCO Рем_1'!$B$2:$M$84</definedName>
    <definedName name="_xlnm._FilterDatabase" localSheetId="1" hidden="1">Версии!$A$1:$AA$121</definedName>
    <definedName name="_xlnm._FilterDatabase" localSheetId="5" hidden="1">Производительность!$A$3:$AC$3</definedName>
    <definedName name="_xlnm._FilterDatabase" localSheetId="31" hidden="1">Производительность_1!$A$3:$AA$3</definedName>
    <definedName name="_xlnm._FilterDatabase" localSheetId="4" hidden="1">ТСО!$A$1:$AC$1</definedName>
    <definedName name="_xlnm._FilterDatabase" localSheetId="30" hidden="1">ТСО_1!$A$1:$AC$1</definedName>
    <definedName name="_xlnm._FilterDatabase" hidden="1">#REF!</definedName>
    <definedName name="AccessDatabase" hidden="1">"C:\Documents and Settings\mutygullin\Рабочий стол\Волокитин\Предприятия СУЭК.mdb"</definedName>
    <definedName name="apr" localSheetId="22" hidden="1">{"'РП (2)'!$A$5:$S$150"}</definedName>
    <definedName name="apr" localSheetId="43" hidden="1">{"'РП (2)'!$A$5:$S$150"}</definedName>
    <definedName name="apr" hidden="1">{"'РП (2)'!$A$5:$S$150"}</definedName>
    <definedName name="AS2DocOpenMode" hidden="1">"AS2DocumentBrowse"</definedName>
    <definedName name="asdfg" localSheetId="22" hidden="1">{"'РП (2)'!$A$5:$S$150"}</definedName>
    <definedName name="asdfg" localSheetId="43" hidden="1">{"'РП (2)'!$A$5:$S$150"}</definedName>
    <definedName name="asdfg" hidden="1">{"'РП (2)'!$A$5:$S$150"}</definedName>
    <definedName name="Control" localSheetId="22" hidden="1">{"'РП (2)'!$A$5:$S$150"}</definedName>
    <definedName name="Control" localSheetId="43" hidden="1">{"'РП (2)'!$A$5:$S$150"}</definedName>
    <definedName name="Control" hidden="1">{"'РП (2)'!$A$5:$S$150"}</definedName>
    <definedName name="e" localSheetId="22" hidden="1">{"'РП (2)'!$A$5:$S$150"}</definedName>
    <definedName name="e" localSheetId="43" hidden="1">{"'РП (2)'!$A$5:$S$150"}</definedName>
    <definedName name="e" hidden="1">{"'РП (2)'!$A$5:$S$150"}</definedName>
    <definedName name="HTML_CodePage" hidden="1">1251</definedName>
    <definedName name="HTML_Control" localSheetId="22" hidden="1">{"'РП (2)'!$A$5:$S$150"}</definedName>
    <definedName name="HTML_Control" localSheetId="43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localSheetId="22" hidden="1">{"'РП (2)'!$A$5:$S$150"}</definedName>
    <definedName name="kBNT" localSheetId="43" hidden="1">{"'РП (2)'!$A$5:$S$150"}</definedName>
    <definedName name="kBNT" hidden="1">{"'РП (2)'!$A$5:$S$150"}</definedName>
    <definedName name="ok" localSheetId="2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k" localSheetId="43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localSheetId="22" hidden="1">{"'РП (2)'!$A$5:$S$150"}</definedName>
    <definedName name="pln" localSheetId="43" hidden="1">{"'РП (2)'!$A$5:$S$150"}</definedName>
    <definedName name="pln" hidden="1">{"'РП (2)'!$A$5:$S$150"}</definedName>
    <definedName name="qwerty" localSheetId="22" hidden="1">{"'РП (2)'!$A$5:$S$150"}</definedName>
    <definedName name="qwerty" localSheetId="43" hidden="1">{"'РП (2)'!$A$5:$S$150"}</definedName>
    <definedName name="qwerty" hidden="1">{"'РП (2)'!$A$5:$S$150"}</definedName>
    <definedName name="rjgbz" localSheetId="22" hidden="1">{"'РП (2)'!$A$5:$S$150"}</definedName>
    <definedName name="rjgbz" localSheetId="43" hidden="1">{"'РП (2)'!$A$5:$S$150"}</definedName>
    <definedName name="rjgbz" hidden="1">{"'РП (2)'!$A$5:$S$150"}</definedName>
    <definedName name="sss" localSheetId="22" hidden="1">{"'РП (2)'!$A$5:$S$150"}</definedName>
    <definedName name="sss" localSheetId="43" hidden="1">{"'РП (2)'!$A$5:$S$150"}</definedName>
    <definedName name="sss" hidden="1">{"'РП (2)'!$A$5:$S$150"}</definedName>
    <definedName name="TextRefCopyRangeCount" hidden="1">45</definedName>
    <definedName name="wrn.Coded._.IAS._.FS." localSheetId="22" hidden="1">{"IASTrail",#N/A,FALSE,"IAS"}</definedName>
    <definedName name="wrn.Coded._.IAS._.FS." localSheetId="43" hidden="1">{"IASTrail",#N/A,FALSE,"IAS"}</definedName>
    <definedName name="wrn.Coded._.IAS._.FS." hidden="1">{"IASTrail",#N/A,FALSE,"IAS"}</definedName>
    <definedName name="wrn.Fixed._.Assets._.Note._.and._.Depreciation." localSheetId="22" hidden="1">{#N/A,#N/A,FALSE,"FA_1";#N/A,#N/A,FALSE,"Dep'n SE";#N/A,#N/A,FALSE,"Dep'n FC"}</definedName>
    <definedName name="wrn.Fixed._.Assets._.Note._.and._.Depreciation." localSheetId="43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2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localSheetId="43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22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localSheetId="43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22" hidden="1">{#N/A,#N/A,TRUE,"MAP";#N/A,#N/A,TRUE,"STEPS";#N/A,#N/A,TRUE,"RULES"}</definedName>
    <definedName name="wrn.Help." localSheetId="43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22" hidden="1">{"IASBS",#N/A,TRUE,"IAS";"IASPL",#N/A,TRUE,"IAS";"IASNotes",#N/A,TRUE,"IAS";"CFDir - expanded",#N/A,TRUE,"CF DIR"}</definedName>
    <definedName name="wrn.IAS._.BS._.PL._.CF._.and._.Notes." localSheetId="43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2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localSheetId="43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22" hidden="1">{"IAS Mapping",#N/A,TRUE,"RSA_FS"}</definedName>
    <definedName name="wrn.IAS._.Mapping." localSheetId="43" hidden="1">{"IAS Mapping",#N/A,TRUE,"RSA_FS"}</definedName>
    <definedName name="wrn.IAS._.Mapping." hidden="1">{"IAS Mapping",#N/A,TRUE,"RSA_FS"}</definedName>
    <definedName name="wrn.Inflation._.factors._.used." localSheetId="22" hidden="1">{#N/A,#N/A,FALSE,"Infl_fact"}</definedName>
    <definedName name="wrn.Inflation._.factors._.used." localSheetId="43" hidden="1">{#N/A,#N/A,FALSE,"Infl_fact"}</definedName>
    <definedName name="wrn.Inflation._.factors._.used." hidden="1">{#N/A,#N/A,FALSE,"Infl_fact"}</definedName>
    <definedName name="wrn.PL._.Analysis." localSheetId="22" hidden="1">{"AnalRSA",#N/A,TRUE,"PL-Anal";"AnalIAS",#N/A,TRUE,"PL-Anal"}</definedName>
    <definedName name="wrn.PL._.Analysis." localSheetId="43" hidden="1">{"AnalRSA",#N/A,TRUE,"PL-Anal";"AnalIAS",#N/A,TRUE,"PL-Anal"}</definedName>
    <definedName name="wrn.PL._.Analysis." hidden="1">{"AnalRSA",#N/A,TRUE,"PL-Anal";"AnalIAS",#N/A,TRUE,"PL-Anal"}</definedName>
    <definedName name="wrn.RSA._.BS._.and._.PL." localSheetId="22" hidden="1">{"BS1",#N/A,TRUE,"RSA_FS";"BS2",#N/A,TRUE,"RSA_FS";"BS3",#N/A,TRUE,"RSA_FS"}</definedName>
    <definedName name="wrn.RSA._.BS._.and._.PL." localSheetId="43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ку." localSheetId="22" hidden="1">{#N/A,#N/A,TRUE,"Лист2"}</definedName>
    <definedName name="wrn.ку." localSheetId="43" hidden="1">{#N/A,#N/A,TRUE,"Лист2"}</definedName>
    <definedName name="wrn.ку." hidden="1">{#N/A,#N/A,TRUE,"Лист2"}</definedName>
    <definedName name="wrn.ОК._.00002." localSheetId="23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44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26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47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17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38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14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35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1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3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2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2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43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4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24" hidden="1">#REF!,#REF!,#REF!,#REF!,#REF!</definedName>
    <definedName name="Z_0DD4EB58_0647_11D5_A6F7_00508B654A95_.wvu.Cols" localSheetId="45" hidden="1">#REF!,#REF!,#REF!,#REF!,#REF!</definedName>
    <definedName name="Z_0DD4EB58_0647_11D5_A6F7_00508B654A95_.wvu.Cols" localSheetId="27" hidden="1">#REF!,#REF!,#REF!,#REF!,#REF!</definedName>
    <definedName name="Z_0DD4EB58_0647_11D5_A6F7_00508B654A95_.wvu.Cols" localSheetId="48" hidden="1">#REF!,#REF!,#REF!,#REF!,#REF!</definedName>
    <definedName name="Z_0DD4EB58_0647_11D5_A6F7_00508B654A95_.wvu.Cols" localSheetId="18" hidden="1">#REF!,#REF!,#REF!,#REF!,#REF!</definedName>
    <definedName name="Z_0DD4EB58_0647_11D5_A6F7_00508B654A95_.wvu.Cols" localSheetId="39" hidden="1">#REF!,#REF!,#REF!,#REF!,#REF!</definedName>
    <definedName name="Z_0DD4EB58_0647_11D5_A6F7_00508B654A95_.wvu.Cols" localSheetId="15" hidden="1">#REF!,#REF!,#REF!,#REF!,#REF!</definedName>
    <definedName name="Z_0DD4EB58_0647_11D5_A6F7_00508B654A95_.wvu.Cols" localSheetId="36" hidden="1">#REF!,#REF!,#REF!,#REF!,#REF!</definedName>
    <definedName name="Z_0DD4EB58_0647_11D5_A6F7_00508B654A95_.wvu.Cols" localSheetId="12" hidden="1">#REF!,#REF!,#REF!,#REF!,#REF!</definedName>
    <definedName name="Z_0DD4EB58_0647_11D5_A6F7_00508B654A95_.wvu.Cols" localSheetId="33" hidden="1">#REF!,#REF!,#REF!,#REF!,#REF!</definedName>
    <definedName name="Z_0DD4EB58_0647_11D5_A6F7_00508B654A95_.wvu.Cols" localSheetId="21" hidden="1">#REF!,#REF!,#REF!,#REF!,#REF!</definedName>
    <definedName name="Z_0DD4EB58_0647_11D5_A6F7_00508B654A95_.wvu.Cols" localSheetId="42" hidden="1">#REF!,#REF!,#REF!,#REF!,#REF!</definedName>
    <definedName name="Z_0DD4EB58_0647_11D5_A6F7_00508B654A95_.wvu.Cols" hidden="1">#REF!,#REF!,#REF!,#REF!,#REF!</definedName>
    <definedName name="Z_10435A81_C305_11D5_A6F8_009027BEE0E0_.wvu.Cols" localSheetId="24" hidden="1">#REF!,#REF!,#REF!</definedName>
    <definedName name="Z_10435A81_C305_11D5_A6F8_009027BEE0E0_.wvu.Cols" localSheetId="45" hidden="1">#REF!,#REF!,#REF!</definedName>
    <definedName name="Z_10435A81_C305_11D5_A6F8_009027BEE0E0_.wvu.Cols" localSheetId="27" hidden="1">#REF!,#REF!,#REF!</definedName>
    <definedName name="Z_10435A81_C305_11D5_A6F8_009027BEE0E0_.wvu.Cols" localSheetId="48" hidden="1">#REF!,#REF!,#REF!</definedName>
    <definedName name="Z_10435A81_C305_11D5_A6F8_009027BEE0E0_.wvu.Cols" localSheetId="18" hidden="1">#REF!,#REF!,#REF!</definedName>
    <definedName name="Z_10435A81_C305_11D5_A6F8_009027BEE0E0_.wvu.Cols" localSheetId="39" hidden="1">#REF!,#REF!,#REF!</definedName>
    <definedName name="Z_10435A81_C305_11D5_A6F8_009027BEE0E0_.wvu.Cols" localSheetId="15" hidden="1">#REF!,#REF!,#REF!</definedName>
    <definedName name="Z_10435A81_C305_11D5_A6F8_009027BEE0E0_.wvu.Cols" localSheetId="36" hidden="1">#REF!,#REF!,#REF!</definedName>
    <definedName name="Z_10435A81_C305_11D5_A6F8_009027BEE0E0_.wvu.Cols" localSheetId="12" hidden="1">#REF!,#REF!,#REF!</definedName>
    <definedName name="Z_10435A81_C305_11D5_A6F8_009027BEE0E0_.wvu.Cols" localSheetId="33" hidden="1">#REF!,#REF!,#REF!</definedName>
    <definedName name="Z_10435A81_C305_11D5_A6F8_009027BEE0E0_.wvu.Cols" localSheetId="21" hidden="1">#REF!,#REF!,#REF!</definedName>
    <definedName name="Z_10435A81_C305_11D5_A6F8_009027BEE0E0_.wvu.Cols" localSheetId="42" hidden="1">#REF!,#REF!,#REF!</definedName>
    <definedName name="Z_10435A81_C305_11D5_A6F8_009027BEE0E0_.wvu.Cols" hidden="1">#REF!,#REF!,#REF!</definedName>
    <definedName name="Z_10435A81_C305_11D5_A6F8_009027BEE0E0_.wvu.FilterData" localSheetId="24" hidden="1">#REF!</definedName>
    <definedName name="Z_10435A81_C305_11D5_A6F8_009027BEE0E0_.wvu.FilterData" localSheetId="45" hidden="1">#REF!</definedName>
    <definedName name="Z_10435A81_C305_11D5_A6F8_009027BEE0E0_.wvu.FilterData" localSheetId="27" hidden="1">#REF!</definedName>
    <definedName name="Z_10435A81_C305_11D5_A6F8_009027BEE0E0_.wvu.FilterData" localSheetId="48" hidden="1">#REF!</definedName>
    <definedName name="Z_10435A81_C305_11D5_A6F8_009027BEE0E0_.wvu.FilterData" localSheetId="18" hidden="1">#REF!</definedName>
    <definedName name="Z_10435A81_C305_11D5_A6F8_009027BEE0E0_.wvu.FilterData" localSheetId="39" hidden="1">#REF!</definedName>
    <definedName name="Z_10435A81_C305_11D5_A6F8_009027BEE0E0_.wvu.FilterData" localSheetId="15" hidden="1">#REF!</definedName>
    <definedName name="Z_10435A81_C305_11D5_A6F8_009027BEE0E0_.wvu.FilterData" localSheetId="36" hidden="1">#REF!</definedName>
    <definedName name="Z_10435A81_C305_11D5_A6F8_009027BEE0E0_.wvu.FilterData" localSheetId="12" hidden="1">#REF!</definedName>
    <definedName name="Z_10435A81_C305_11D5_A6F8_009027BEE0E0_.wvu.FilterData" localSheetId="33" hidden="1">#REF!</definedName>
    <definedName name="Z_10435A81_C305_11D5_A6F8_009027BEE0E0_.wvu.FilterData" localSheetId="21" hidden="1">#REF!</definedName>
    <definedName name="Z_10435A81_C305_11D5_A6F8_009027BEE0E0_.wvu.FilterData" localSheetId="42" hidden="1">#REF!</definedName>
    <definedName name="Z_10435A81_C305_11D5_A6F8_009027BEE0E0_.wvu.FilterData" hidden="1">#REF!</definedName>
    <definedName name="Z_10435A81_C305_11D5_A6F8_009027BEE0E0_.wvu.PrintArea" localSheetId="24" hidden="1">#REF!</definedName>
    <definedName name="Z_10435A81_C305_11D5_A6F8_009027BEE0E0_.wvu.PrintArea" localSheetId="45" hidden="1">#REF!</definedName>
    <definedName name="Z_10435A81_C305_11D5_A6F8_009027BEE0E0_.wvu.PrintArea" localSheetId="27" hidden="1">#REF!</definedName>
    <definedName name="Z_10435A81_C305_11D5_A6F8_009027BEE0E0_.wvu.PrintArea" localSheetId="48" hidden="1">#REF!</definedName>
    <definedName name="Z_10435A81_C305_11D5_A6F8_009027BEE0E0_.wvu.PrintArea" localSheetId="18" hidden="1">#REF!</definedName>
    <definedName name="Z_10435A81_C305_11D5_A6F8_009027BEE0E0_.wvu.PrintArea" localSheetId="39" hidden="1">#REF!</definedName>
    <definedName name="Z_10435A81_C305_11D5_A6F8_009027BEE0E0_.wvu.PrintArea" localSheetId="15" hidden="1">#REF!</definedName>
    <definedName name="Z_10435A81_C305_11D5_A6F8_009027BEE0E0_.wvu.PrintArea" localSheetId="36" hidden="1">#REF!</definedName>
    <definedName name="Z_10435A81_C305_11D5_A6F8_009027BEE0E0_.wvu.PrintArea" localSheetId="12" hidden="1">#REF!</definedName>
    <definedName name="Z_10435A81_C305_11D5_A6F8_009027BEE0E0_.wvu.PrintArea" localSheetId="33" hidden="1">#REF!</definedName>
    <definedName name="Z_10435A81_C305_11D5_A6F8_009027BEE0E0_.wvu.PrintArea" localSheetId="21" hidden="1">#REF!</definedName>
    <definedName name="Z_10435A81_C305_11D5_A6F8_009027BEE0E0_.wvu.PrintArea" localSheetId="42" hidden="1">#REF!</definedName>
    <definedName name="Z_10435A81_C305_11D5_A6F8_009027BEE0E0_.wvu.PrintArea" hidden="1">#REF!</definedName>
    <definedName name="Z_10435A81_C305_11D5_A6F8_009027BEE0E0_.wvu.PrintTitles" localSheetId="24" hidden="1">#REF!</definedName>
    <definedName name="Z_10435A81_C305_11D5_A6F8_009027BEE0E0_.wvu.PrintTitles" localSheetId="45" hidden="1">#REF!</definedName>
    <definedName name="Z_10435A81_C305_11D5_A6F8_009027BEE0E0_.wvu.PrintTitles" localSheetId="27" hidden="1">#REF!</definedName>
    <definedName name="Z_10435A81_C305_11D5_A6F8_009027BEE0E0_.wvu.PrintTitles" localSheetId="48" hidden="1">#REF!</definedName>
    <definedName name="Z_10435A81_C305_11D5_A6F8_009027BEE0E0_.wvu.PrintTitles" localSheetId="18" hidden="1">#REF!</definedName>
    <definedName name="Z_10435A81_C305_11D5_A6F8_009027BEE0E0_.wvu.PrintTitles" localSheetId="39" hidden="1">#REF!</definedName>
    <definedName name="Z_10435A81_C305_11D5_A6F8_009027BEE0E0_.wvu.PrintTitles" localSheetId="15" hidden="1">#REF!</definedName>
    <definedName name="Z_10435A81_C305_11D5_A6F8_009027BEE0E0_.wvu.PrintTitles" localSheetId="36" hidden="1">#REF!</definedName>
    <definedName name="Z_10435A81_C305_11D5_A6F8_009027BEE0E0_.wvu.PrintTitles" localSheetId="12" hidden="1">#REF!</definedName>
    <definedName name="Z_10435A81_C305_11D5_A6F8_009027BEE0E0_.wvu.PrintTitles" localSheetId="33" hidden="1">#REF!</definedName>
    <definedName name="Z_10435A81_C305_11D5_A6F8_009027BEE0E0_.wvu.PrintTitles" localSheetId="21" hidden="1">#REF!</definedName>
    <definedName name="Z_10435A81_C305_11D5_A6F8_009027BEE0E0_.wvu.PrintTitles" localSheetId="42" hidden="1">#REF!</definedName>
    <definedName name="Z_10435A81_C305_11D5_A6F8_009027BEE0E0_.wvu.PrintTitles" hidden="1">#REF!</definedName>
    <definedName name="Z_10435A81_C305_11D5_A6F8_009027BEE0E0_.wvu.Rows" localSheetId="24" hidden="1">#REF!,#REF!</definedName>
    <definedName name="Z_10435A81_C305_11D5_A6F8_009027BEE0E0_.wvu.Rows" localSheetId="45" hidden="1">#REF!,#REF!</definedName>
    <definedName name="Z_10435A81_C305_11D5_A6F8_009027BEE0E0_.wvu.Rows" localSheetId="27" hidden="1">#REF!,#REF!</definedName>
    <definedName name="Z_10435A81_C305_11D5_A6F8_009027BEE0E0_.wvu.Rows" localSheetId="48" hidden="1">#REF!,#REF!</definedName>
    <definedName name="Z_10435A81_C305_11D5_A6F8_009027BEE0E0_.wvu.Rows" localSheetId="18" hidden="1">#REF!,#REF!</definedName>
    <definedName name="Z_10435A81_C305_11D5_A6F8_009027BEE0E0_.wvu.Rows" localSheetId="39" hidden="1">#REF!,#REF!</definedName>
    <definedName name="Z_10435A81_C305_11D5_A6F8_009027BEE0E0_.wvu.Rows" localSheetId="15" hidden="1">#REF!,#REF!</definedName>
    <definedName name="Z_10435A81_C305_11D5_A6F8_009027BEE0E0_.wvu.Rows" localSheetId="36" hidden="1">#REF!,#REF!</definedName>
    <definedName name="Z_10435A81_C305_11D5_A6F8_009027BEE0E0_.wvu.Rows" localSheetId="12" hidden="1">#REF!,#REF!</definedName>
    <definedName name="Z_10435A81_C305_11D5_A6F8_009027BEE0E0_.wvu.Rows" localSheetId="33" hidden="1">#REF!,#REF!</definedName>
    <definedName name="Z_10435A81_C305_11D5_A6F8_009027BEE0E0_.wvu.Rows" localSheetId="21" hidden="1">#REF!,#REF!</definedName>
    <definedName name="Z_10435A81_C305_11D5_A6F8_009027BEE0E0_.wvu.Rows" localSheetId="42" hidden="1">#REF!,#REF!</definedName>
    <definedName name="Z_10435A81_C305_11D5_A6F8_009027BEE0E0_.wvu.Rows" hidden="1">#REF!,#REF!</definedName>
    <definedName name="Z_2804E4BB_ED21_11D4_A6F8_00508B654B8B_.wvu.Cols" localSheetId="24" hidden="1">#REF!,#REF!,#REF!</definedName>
    <definedName name="Z_2804E4BB_ED21_11D4_A6F8_00508B654B8B_.wvu.Cols" localSheetId="45" hidden="1">#REF!,#REF!,#REF!</definedName>
    <definedName name="Z_2804E4BB_ED21_11D4_A6F8_00508B654B8B_.wvu.Cols" localSheetId="27" hidden="1">#REF!,#REF!,#REF!</definedName>
    <definedName name="Z_2804E4BB_ED21_11D4_A6F8_00508B654B8B_.wvu.Cols" localSheetId="48" hidden="1">#REF!,#REF!,#REF!</definedName>
    <definedName name="Z_2804E4BB_ED21_11D4_A6F8_00508B654B8B_.wvu.Cols" localSheetId="18" hidden="1">#REF!,#REF!,#REF!</definedName>
    <definedName name="Z_2804E4BB_ED21_11D4_A6F8_00508B654B8B_.wvu.Cols" localSheetId="39" hidden="1">#REF!,#REF!,#REF!</definedName>
    <definedName name="Z_2804E4BB_ED21_11D4_A6F8_00508B654B8B_.wvu.Cols" localSheetId="15" hidden="1">#REF!,#REF!,#REF!</definedName>
    <definedName name="Z_2804E4BB_ED21_11D4_A6F8_00508B654B8B_.wvu.Cols" localSheetId="36" hidden="1">#REF!,#REF!,#REF!</definedName>
    <definedName name="Z_2804E4BB_ED21_11D4_A6F8_00508B654B8B_.wvu.Cols" localSheetId="12" hidden="1">#REF!,#REF!,#REF!</definedName>
    <definedName name="Z_2804E4BB_ED21_11D4_A6F8_00508B654B8B_.wvu.Cols" localSheetId="33" hidden="1">#REF!,#REF!,#REF!</definedName>
    <definedName name="Z_2804E4BB_ED21_11D4_A6F8_00508B654B8B_.wvu.Cols" localSheetId="21" hidden="1">#REF!,#REF!,#REF!</definedName>
    <definedName name="Z_2804E4BB_ED21_11D4_A6F8_00508B654B8B_.wvu.Cols" localSheetId="42" hidden="1">#REF!,#REF!,#REF!</definedName>
    <definedName name="Z_2804E4BB_ED21_11D4_A6F8_00508B654B8B_.wvu.Cols" hidden="1">#REF!,#REF!,#REF!</definedName>
    <definedName name="Z_2804E4BB_ED21_11D4_A6F8_00508B654B8B_.wvu.FilterData" localSheetId="24" hidden="1">#REF!</definedName>
    <definedName name="Z_2804E4BB_ED21_11D4_A6F8_00508B654B8B_.wvu.FilterData" localSheetId="45" hidden="1">#REF!</definedName>
    <definedName name="Z_2804E4BB_ED21_11D4_A6F8_00508B654B8B_.wvu.FilterData" localSheetId="27" hidden="1">#REF!</definedName>
    <definedName name="Z_2804E4BB_ED21_11D4_A6F8_00508B654B8B_.wvu.FilterData" localSheetId="48" hidden="1">#REF!</definedName>
    <definedName name="Z_2804E4BB_ED21_11D4_A6F8_00508B654B8B_.wvu.FilterData" localSheetId="18" hidden="1">#REF!</definedName>
    <definedName name="Z_2804E4BB_ED21_11D4_A6F8_00508B654B8B_.wvu.FilterData" localSheetId="39" hidden="1">#REF!</definedName>
    <definedName name="Z_2804E4BB_ED21_11D4_A6F8_00508B654B8B_.wvu.FilterData" localSheetId="15" hidden="1">#REF!</definedName>
    <definedName name="Z_2804E4BB_ED21_11D4_A6F8_00508B654B8B_.wvu.FilterData" localSheetId="36" hidden="1">#REF!</definedName>
    <definedName name="Z_2804E4BB_ED21_11D4_A6F8_00508B654B8B_.wvu.FilterData" localSheetId="12" hidden="1">#REF!</definedName>
    <definedName name="Z_2804E4BB_ED21_11D4_A6F8_00508B654B8B_.wvu.FilterData" localSheetId="33" hidden="1">#REF!</definedName>
    <definedName name="Z_2804E4BB_ED21_11D4_A6F8_00508B654B8B_.wvu.FilterData" localSheetId="21" hidden="1">#REF!</definedName>
    <definedName name="Z_2804E4BB_ED21_11D4_A6F8_00508B654B8B_.wvu.FilterData" localSheetId="42" hidden="1">#REF!</definedName>
    <definedName name="Z_2804E4BB_ED21_11D4_A6F8_00508B654B8B_.wvu.FilterData" hidden="1">#REF!</definedName>
    <definedName name="Z_2804E4BB_ED21_11D4_A6F8_00508B654B8B_.wvu.PrintArea" localSheetId="24" hidden="1">#REF!</definedName>
    <definedName name="Z_2804E4BB_ED21_11D4_A6F8_00508B654B8B_.wvu.PrintArea" localSheetId="45" hidden="1">#REF!</definedName>
    <definedName name="Z_2804E4BB_ED21_11D4_A6F8_00508B654B8B_.wvu.PrintArea" localSheetId="27" hidden="1">#REF!</definedName>
    <definedName name="Z_2804E4BB_ED21_11D4_A6F8_00508B654B8B_.wvu.PrintArea" localSheetId="48" hidden="1">#REF!</definedName>
    <definedName name="Z_2804E4BB_ED21_11D4_A6F8_00508B654B8B_.wvu.PrintArea" localSheetId="18" hidden="1">#REF!</definedName>
    <definedName name="Z_2804E4BB_ED21_11D4_A6F8_00508B654B8B_.wvu.PrintArea" localSheetId="39" hidden="1">#REF!</definedName>
    <definedName name="Z_2804E4BB_ED21_11D4_A6F8_00508B654B8B_.wvu.PrintArea" localSheetId="15" hidden="1">#REF!</definedName>
    <definedName name="Z_2804E4BB_ED21_11D4_A6F8_00508B654B8B_.wvu.PrintArea" localSheetId="36" hidden="1">#REF!</definedName>
    <definedName name="Z_2804E4BB_ED21_11D4_A6F8_00508B654B8B_.wvu.PrintArea" localSheetId="12" hidden="1">#REF!</definedName>
    <definedName name="Z_2804E4BB_ED21_11D4_A6F8_00508B654B8B_.wvu.PrintArea" localSheetId="33" hidden="1">#REF!</definedName>
    <definedName name="Z_2804E4BB_ED21_11D4_A6F8_00508B654B8B_.wvu.PrintArea" localSheetId="21" hidden="1">#REF!</definedName>
    <definedName name="Z_2804E4BB_ED21_11D4_A6F8_00508B654B8B_.wvu.PrintArea" localSheetId="42" hidden="1">#REF!</definedName>
    <definedName name="Z_2804E4BB_ED21_11D4_A6F8_00508B654B8B_.wvu.PrintArea" hidden="1">#REF!</definedName>
    <definedName name="Z_2804E4BB_ED21_11D4_A6F8_00508B654B8B_.wvu.Rows" localSheetId="24" hidden="1">#REF!,#REF!</definedName>
    <definedName name="Z_2804E4BB_ED21_11D4_A6F8_00508B654B8B_.wvu.Rows" localSheetId="45" hidden="1">#REF!,#REF!</definedName>
    <definedName name="Z_2804E4BB_ED21_11D4_A6F8_00508B654B8B_.wvu.Rows" localSheetId="27" hidden="1">#REF!,#REF!</definedName>
    <definedName name="Z_2804E4BB_ED21_11D4_A6F8_00508B654B8B_.wvu.Rows" localSheetId="48" hidden="1">#REF!,#REF!</definedName>
    <definedName name="Z_2804E4BB_ED21_11D4_A6F8_00508B654B8B_.wvu.Rows" localSheetId="18" hidden="1">#REF!,#REF!</definedName>
    <definedName name="Z_2804E4BB_ED21_11D4_A6F8_00508B654B8B_.wvu.Rows" localSheetId="39" hidden="1">#REF!,#REF!</definedName>
    <definedName name="Z_2804E4BB_ED21_11D4_A6F8_00508B654B8B_.wvu.Rows" localSheetId="15" hidden="1">#REF!,#REF!</definedName>
    <definedName name="Z_2804E4BB_ED21_11D4_A6F8_00508B654B8B_.wvu.Rows" localSheetId="36" hidden="1">#REF!,#REF!</definedName>
    <definedName name="Z_2804E4BB_ED21_11D4_A6F8_00508B654B8B_.wvu.Rows" localSheetId="12" hidden="1">#REF!,#REF!</definedName>
    <definedName name="Z_2804E4BB_ED21_11D4_A6F8_00508B654B8B_.wvu.Rows" localSheetId="33" hidden="1">#REF!,#REF!</definedName>
    <definedName name="Z_2804E4BB_ED21_11D4_A6F8_00508B654B8B_.wvu.Rows" localSheetId="21" hidden="1">#REF!,#REF!</definedName>
    <definedName name="Z_2804E4BB_ED21_11D4_A6F8_00508B654B8B_.wvu.Rows" localSheetId="42" hidden="1">#REF!,#REF!</definedName>
    <definedName name="Z_2804E4BB_ED21_11D4_A6F8_00508B654B8B_.wvu.Rows" hidden="1">#REF!,#REF!</definedName>
    <definedName name="Z_5A868EA0_ED63_11D4_A6F8_009027BEE0E0_.wvu.Cols" localSheetId="24" hidden="1">#REF!,#REF!,#REF!</definedName>
    <definedName name="Z_5A868EA0_ED63_11D4_A6F8_009027BEE0E0_.wvu.Cols" localSheetId="45" hidden="1">#REF!,#REF!,#REF!</definedName>
    <definedName name="Z_5A868EA0_ED63_11D4_A6F8_009027BEE0E0_.wvu.Cols" localSheetId="27" hidden="1">#REF!,#REF!,#REF!</definedName>
    <definedName name="Z_5A868EA0_ED63_11D4_A6F8_009027BEE0E0_.wvu.Cols" localSheetId="48" hidden="1">#REF!,#REF!,#REF!</definedName>
    <definedName name="Z_5A868EA0_ED63_11D4_A6F8_009027BEE0E0_.wvu.Cols" localSheetId="18" hidden="1">#REF!,#REF!,#REF!</definedName>
    <definedName name="Z_5A868EA0_ED63_11D4_A6F8_009027BEE0E0_.wvu.Cols" localSheetId="39" hidden="1">#REF!,#REF!,#REF!</definedName>
    <definedName name="Z_5A868EA0_ED63_11D4_A6F8_009027BEE0E0_.wvu.Cols" localSheetId="15" hidden="1">#REF!,#REF!,#REF!</definedName>
    <definedName name="Z_5A868EA0_ED63_11D4_A6F8_009027BEE0E0_.wvu.Cols" localSheetId="36" hidden="1">#REF!,#REF!,#REF!</definedName>
    <definedName name="Z_5A868EA0_ED63_11D4_A6F8_009027BEE0E0_.wvu.Cols" localSheetId="12" hidden="1">#REF!,#REF!,#REF!</definedName>
    <definedName name="Z_5A868EA0_ED63_11D4_A6F8_009027BEE0E0_.wvu.Cols" localSheetId="33" hidden="1">#REF!,#REF!,#REF!</definedName>
    <definedName name="Z_5A868EA0_ED63_11D4_A6F8_009027BEE0E0_.wvu.Cols" localSheetId="21" hidden="1">#REF!,#REF!,#REF!</definedName>
    <definedName name="Z_5A868EA0_ED63_11D4_A6F8_009027BEE0E0_.wvu.Cols" localSheetId="42" hidden="1">#REF!,#REF!,#REF!</definedName>
    <definedName name="Z_5A868EA0_ED63_11D4_A6F8_009027BEE0E0_.wvu.Cols" hidden="1">#REF!,#REF!,#REF!</definedName>
    <definedName name="Z_5A868EA0_ED63_11D4_A6F8_009027BEE0E0_.wvu.FilterData" localSheetId="24" hidden="1">#REF!</definedName>
    <definedName name="Z_5A868EA0_ED63_11D4_A6F8_009027BEE0E0_.wvu.FilterData" localSheetId="45" hidden="1">#REF!</definedName>
    <definedName name="Z_5A868EA0_ED63_11D4_A6F8_009027BEE0E0_.wvu.FilterData" localSheetId="27" hidden="1">#REF!</definedName>
    <definedName name="Z_5A868EA0_ED63_11D4_A6F8_009027BEE0E0_.wvu.FilterData" localSheetId="48" hidden="1">#REF!</definedName>
    <definedName name="Z_5A868EA0_ED63_11D4_A6F8_009027BEE0E0_.wvu.FilterData" localSheetId="18" hidden="1">#REF!</definedName>
    <definedName name="Z_5A868EA0_ED63_11D4_A6F8_009027BEE0E0_.wvu.FilterData" localSheetId="39" hidden="1">#REF!</definedName>
    <definedName name="Z_5A868EA0_ED63_11D4_A6F8_009027BEE0E0_.wvu.FilterData" localSheetId="15" hidden="1">#REF!</definedName>
    <definedName name="Z_5A868EA0_ED63_11D4_A6F8_009027BEE0E0_.wvu.FilterData" localSheetId="36" hidden="1">#REF!</definedName>
    <definedName name="Z_5A868EA0_ED63_11D4_A6F8_009027BEE0E0_.wvu.FilterData" localSheetId="12" hidden="1">#REF!</definedName>
    <definedName name="Z_5A868EA0_ED63_11D4_A6F8_009027BEE0E0_.wvu.FilterData" localSheetId="33" hidden="1">#REF!</definedName>
    <definedName name="Z_5A868EA0_ED63_11D4_A6F8_009027BEE0E0_.wvu.FilterData" localSheetId="21" hidden="1">#REF!</definedName>
    <definedName name="Z_5A868EA0_ED63_11D4_A6F8_009027BEE0E0_.wvu.FilterData" localSheetId="42" hidden="1">#REF!</definedName>
    <definedName name="Z_5A868EA0_ED63_11D4_A6F8_009027BEE0E0_.wvu.FilterData" hidden="1">#REF!</definedName>
    <definedName name="Z_5A868EA0_ED63_11D4_A6F8_009027BEE0E0_.wvu.PrintArea" localSheetId="24" hidden="1">#REF!</definedName>
    <definedName name="Z_5A868EA0_ED63_11D4_A6F8_009027BEE0E0_.wvu.PrintArea" localSheetId="45" hidden="1">#REF!</definedName>
    <definedName name="Z_5A868EA0_ED63_11D4_A6F8_009027BEE0E0_.wvu.PrintArea" localSheetId="27" hidden="1">#REF!</definedName>
    <definedName name="Z_5A868EA0_ED63_11D4_A6F8_009027BEE0E0_.wvu.PrintArea" localSheetId="48" hidden="1">#REF!</definedName>
    <definedName name="Z_5A868EA0_ED63_11D4_A6F8_009027BEE0E0_.wvu.PrintArea" localSheetId="18" hidden="1">#REF!</definedName>
    <definedName name="Z_5A868EA0_ED63_11D4_A6F8_009027BEE0E0_.wvu.PrintArea" localSheetId="39" hidden="1">#REF!</definedName>
    <definedName name="Z_5A868EA0_ED63_11D4_A6F8_009027BEE0E0_.wvu.PrintArea" localSheetId="15" hidden="1">#REF!</definedName>
    <definedName name="Z_5A868EA0_ED63_11D4_A6F8_009027BEE0E0_.wvu.PrintArea" localSheetId="36" hidden="1">#REF!</definedName>
    <definedName name="Z_5A868EA0_ED63_11D4_A6F8_009027BEE0E0_.wvu.PrintArea" localSheetId="12" hidden="1">#REF!</definedName>
    <definedName name="Z_5A868EA0_ED63_11D4_A6F8_009027BEE0E0_.wvu.PrintArea" localSheetId="33" hidden="1">#REF!</definedName>
    <definedName name="Z_5A868EA0_ED63_11D4_A6F8_009027BEE0E0_.wvu.PrintArea" localSheetId="21" hidden="1">#REF!</definedName>
    <definedName name="Z_5A868EA0_ED63_11D4_A6F8_009027BEE0E0_.wvu.PrintArea" localSheetId="42" hidden="1">#REF!</definedName>
    <definedName name="Z_5A868EA0_ED63_11D4_A6F8_009027BEE0E0_.wvu.PrintArea" hidden="1">#REF!</definedName>
    <definedName name="Z_5A868EA0_ED63_11D4_A6F8_009027BEE0E0_.wvu.Rows" localSheetId="24" hidden="1">#REF!,#REF!</definedName>
    <definedName name="Z_5A868EA0_ED63_11D4_A6F8_009027BEE0E0_.wvu.Rows" localSheetId="45" hidden="1">#REF!,#REF!</definedName>
    <definedName name="Z_5A868EA0_ED63_11D4_A6F8_009027BEE0E0_.wvu.Rows" localSheetId="27" hidden="1">#REF!,#REF!</definedName>
    <definedName name="Z_5A868EA0_ED63_11D4_A6F8_009027BEE0E0_.wvu.Rows" localSheetId="48" hidden="1">#REF!,#REF!</definedName>
    <definedName name="Z_5A868EA0_ED63_11D4_A6F8_009027BEE0E0_.wvu.Rows" localSheetId="18" hidden="1">#REF!,#REF!</definedName>
    <definedName name="Z_5A868EA0_ED63_11D4_A6F8_009027BEE0E0_.wvu.Rows" localSheetId="39" hidden="1">#REF!,#REF!</definedName>
    <definedName name="Z_5A868EA0_ED63_11D4_A6F8_009027BEE0E0_.wvu.Rows" localSheetId="15" hidden="1">#REF!,#REF!</definedName>
    <definedName name="Z_5A868EA0_ED63_11D4_A6F8_009027BEE0E0_.wvu.Rows" localSheetId="36" hidden="1">#REF!,#REF!</definedName>
    <definedName name="Z_5A868EA0_ED63_11D4_A6F8_009027BEE0E0_.wvu.Rows" localSheetId="12" hidden="1">#REF!,#REF!</definedName>
    <definedName name="Z_5A868EA0_ED63_11D4_A6F8_009027BEE0E0_.wvu.Rows" localSheetId="33" hidden="1">#REF!,#REF!</definedName>
    <definedName name="Z_5A868EA0_ED63_11D4_A6F8_009027BEE0E0_.wvu.Rows" localSheetId="21" hidden="1">#REF!,#REF!</definedName>
    <definedName name="Z_5A868EA0_ED63_11D4_A6F8_009027BEE0E0_.wvu.Rows" localSheetId="42" hidden="1">#REF!,#REF!</definedName>
    <definedName name="Z_5A868EA0_ED63_11D4_A6F8_009027BEE0E0_.wvu.Rows" hidden="1">#REF!,#REF!</definedName>
    <definedName name="Z_6E40955B_C2F5_11D5_A6F7_009027BEE7F1_.wvu.Cols" localSheetId="24" hidden="1">#REF!,#REF!,#REF!</definedName>
    <definedName name="Z_6E40955B_C2F5_11D5_A6F7_009027BEE7F1_.wvu.Cols" localSheetId="45" hidden="1">#REF!,#REF!,#REF!</definedName>
    <definedName name="Z_6E40955B_C2F5_11D5_A6F7_009027BEE7F1_.wvu.Cols" localSheetId="27" hidden="1">#REF!,#REF!,#REF!</definedName>
    <definedName name="Z_6E40955B_C2F5_11D5_A6F7_009027BEE7F1_.wvu.Cols" localSheetId="48" hidden="1">#REF!,#REF!,#REF!</definedName>
    <definedName name="Z_6E40955B_C2F5_11D5_A6F7_009027BEE7F1_.wvu.Cols" localSheetId="18" hidden="1">#REF!,#REF!,#REF!</definedName>
    <definedName name="Z_6E40955B_C2F5_11D5_A6F7_009027BEE7F1_.wvu.Cols" localSheetId="39" hidden="1">#REF!,#REF!,#REF!</definedName>
    <definedName name="Z_6E40955B_C2F5_11D5_A6F7_009027BEE7F1_.wvu.Cols" localSheetId="15" hidden="1">#REF!,#REF!,#REF!</definedName>
    <definedName name="Z_6E40955B_C2F5_11D5_A6F7_009027BEE7F1_.wvu.Cols" localSheetId="36" hidden="1">#REF!,#REF!,#REF!</definedName>
    <definedName name="Z_6E40955B_C2F5_11D5_A6F7_009027BEE7F1_.wvu.Cols" localSheetId="12" hidden="1">#REF!,#REF!,#REF!</definedName>
    <definedName name="Z_6E40955B_C2F5_11D5_A6F7_009027BEE7F1_.wvu.Cols" localSheetId="33" hidden="1">#REF!,#REF!,#REF!</definedName>
    <definedName name="Z_6E40955B_C2F5_11D5_A6F7_009027BEE7F1_.wvu.Cols" localSheetId="21" hidden="1">#REF!,#REF!,#REF!</definedName>
    <definedName name="Z_6E40955B_C2F5_11D5_A6F7_009027BEE7F1_.wvu.Cols" localSheetId="42" hidden="1">#REF!,#REF!,#REF!</definedName>
    <definedName name="Z_6E40955B_C2F5_11D5_A6F7_009027BEE7F1_.wvu.Cols" hidden="1">#REF!,#REF!,#REF!</definedName>
    <definedName name="Z_6E40955B_C2F5_11D5_A6F7_009027BEE7F1_.wvu.FilterData" localSheetId="24" hidden="1">#REF!</definedName>
    <definedName name="Z_6E40955B_C2F5_11D5_A6F7_009027BEE7F1_.wvu.FilterData" localSheetId="45" hidden="1">#REF!</definedName>
    <definedName name="Z_6E40955B_C2F5_11D5_A6F7_009027BEE7F1_.wvu.FilterData" localSheetId="27" hidden="1">#REF!</definedName>
    <definedName name="Z_6E40955B_C2F5_11D5_A6F7_009027BEE7F1_.wvu.FilterData" localSheetId="48" hidden="1">#REF!</definedName>
    <definedName name="Z_6E40955B_C2F5_11D5_A6F7_009027BEE7F1_.wvu.FilterData" localSheetId="18" hidden="1">#REF!</definedName>
    <definedName name="Z_6E40955B_C2F5_11D5_A6F7_009027BEE7F1_.wvu.FilterData" localSheetId="39" hidden="1">#REF!</definedName>
    <definedName name="Z_6E40955B_C2F5_11D5_A6F7_009027BEE7F1_.wvu.FilterData" localSheetId="15" hidden="1">#REF!</definedName>
    <definedName name="Z_6E40955B_C2F5_11D5_A6F7_009027BEE7F1_.wvu.FilterData" localSheetId="36" hidden="1">#REF!</definedName>
    <definedName name="Z_6E40955B_C2F5_11D5_A6F7_009027BEE7F1_.wvu.FilterData" localSheetId="12" hidden="1">#REF!</definedName>
    <definedName name="Z_6E40955B_C2F5_11D5_A6F7_009027BEE7F1_.wvu.FilterData" localSheetId="33" hidden="1">#REF!</definedName>
    <definedName name="Z_6E40955B_C2F5_11D5_A6F7_009027BEE7F1_.wvu.FilterData" localSheetId="21" hidden="1">#REF!</definedName>
    <definedName name="Z_6E40955B_C2F5_11D5_A6F7_009027BEE7F1_.wvu.FilterData" localSheetId="42" hidden="1">#REF!</definedName>
    <definedName name="Z_6E40955B_C2F5_11D5_A6F7_009027BEE7F1_.wvu.FilterData" hidden="1">#REF!</definedName>
    <definedName name="Z_6E40955B_C2F5_11D5_A6F7_009027BEE7F1_.wvu.PrintArea" localSheetId="24" hidden="1">#REF!</definedName>
    <definedName name="Z_6E40955B_C2F5_11D5_A6F7_009027BEE7F1_.wvu.PrintArea" localSheetId="45" hidden="1">#REF!</definedName>
    <definedName name="Z_6E40955B_C2F5_11D5_A6F7_009027BEE7F1_.wvu.PrintArea" localSheetId="27" hidden="1">#REF!</definedName>
    <definedName name="Z_6E40955B_C2F5_11D5_A6F7_009027BEE7F1_.wvu.PrintArea" localSheetId="48" hidden="1">#REF!</definedName>
    <definedName name="Z_6E40955B_C2F5_11D5_A6F7_009027BEE7F1_.wvu.PrintArea" localSheetId="18" hidden="1">#REF!</definedName>
    <definedName name="Z_6E40955B_C2F5_11D5_A6F7_009027BEE7F1_.wvu.PrintArea" localSheetId="39" hidden="1">#REF!</definedName>
    <definedName name="Z_6E40955B_C2F5_11D5_A6F7_009027BEE7F1_.wvu.PrintArea" localSheetId="15" hidden="1">#REF!</definedName>
    <definedName name="Z_6E40955B_C2F5_11D5_A6F7_009027BEE7F1_.wvu.PrintArea" localSheetId="36" hidden="1">#REF!</definedName>
    <definedName name="Z_6E40955B_C2F5_11D5_A6F7_009027BEE7F1_.wvu.PrintArea" localSheetId="12" hidden="1">#REF!</definedName>
    <definedName name="Z_6E40955B_C2F5_11D5_A6F7_009027BEE7F1_.wvu.PrintArea" localSheetId="33" hidden="1">#REF!</definedName>
    <definedName name="Z_6E40955B_C2F5_11D5_A6F7_009027BEE7F1_.wvu.PrintArea" localSheetId="21" hidden="1">#REF!</definedName>
    <definedName name="Z_6E40955B_C2F5_11D5_A6F7_009027BEE7F1_.wvu.PrintArea" localSheetId="42" hidden="1">#REF!</definedName>
    <definedName name="Z_6E40955B_C2F5_11D5_A6F7_009027BEE7F1_.wvu.PrintArea" hidden="1">#REF!</definedName>
    <definedName name="Z_6E40955B_C2F5_11D5_A6F7_009027BEE7F1_.wvu.PrintTitles" localSheetId="24" hidden="1">#REF!</definedName>
    <definedName name="Z_6E40955B_C2F5_11D5_A6F7_009027BEE7F1_.wvu.PrintTitles" localSheetId="45" hidden="1">#REF!</definedName>
    <definedName name="Z_6E40955B_C2F5_11D5_A6F7_009027BEE7F1_.wvu.PrintTitles" localSheetId="27" hidden="1">#REF!</definedName>
    <definedName name="Z_6E40955B_C2F5_11D5_A6F7_009027BEE7F1_.wvu.PrintTitles" localSheetId="48" hidden="1">#REF!</definedName>
    <definedName name="Z_6E40955B_C2F5_11D5_A6F7_009027BEE7F1_.wvu.PrintTitles" localSheetId="18" hidden="1">#REF!</definedName>
    <definedName name="Z_6E40955B_C2F5_11D5_A6F7_009027BEE7F1_.wvu.PrintTitles" localSheetId="39" hidden="1">#REF!</definedName>
    <definedName name="Z_6E40955B_C2F5_11D5_A6F7_009027BEE7F1_.wvu.PrintTitles" localSheetId="15" hidden="1">#REF!</definedName>
    <definedName name="Z_6E40955B_C2F5_11D5_A6F7_009027BEE7F1_.wvu.PrintTitles" localSheetId="36" hidden="1">#REF!</definedName>
    <definedName name="Z_6E40955B_C2F5_11D5_A6F7_009027BEE7F1_.wvu.PrintTitles" localSheetId="12" hidden="1">#REF!</definedName>
    <definedName name="Z_6E40955B_C2F5_11D5_A6F7_009027BEE7F1_.wvu.PrintTitles" localSheetId="33" hidden="1">#REF!</definedName>
    <definedName name="Z_6E40955B_C2F5_11D5_A6F7_009027BEE7F1_.wvu.PrintTitles" localSheetId="21" hidden="1">#REF!</definedName>
    <definedName name="Z_6E40955B_C2F5_11D5_A6F7_009027BEE7F1_.wvu.PrintTitles" localSheetId="42" hidden="1">#REF!</definedName>
    <definedName name="Z_6E40955B_C2F5_11D5_A6F7_009027BEE7F1_.wvu.PrintTitles" hidden="1">#REF!</definedName>
    <definedName name="Z_6E40955B_C2F5_11D5_A6F7_009027BEE7F1_.wvu.Rows" localSheetId="24" hidden="1">#REF!,#REF!</definedName>
    <definedName name="Z_6E40955B_C2F5_11D5_A6F7_009027BEE7F1_.wvu.Rows" localSheetId="45" hidden="1">#REF!,#REF!</definedName>
    <definedName name="Z_6E40955B_C2F5_11D5_A6F7_009027BEE7F1_.wvu.Rows" localSheetId="27" hidden="1">#REF!,#REF!</definedName>
    <definedName name="Z_6E40955B_C2F5_11D5_A6F7_009027BEE7F1_.wvu.Rows" localSheetId="48" hidden="1">#REF!,#REF!</definedName>
    <definedName name="Z_6E40955B_C2F5_11D5_A6F7_009027BEE7F1_.wvu.Rows" localSheetId="18" hidden="1">#REF!,#REF!</definedName>
    <definedName name="Z_6E40955B_C2F5_11D5_A6F7_009027BEE7F1_.wvu.Rows" localSheetId="39" hidden="1">#REF!,#REF!</definedName>
    <definedName name="Z_6E40955B_C2F5_11D5_A6F7_009027BEE7F1_.wvu.Rows" localSheetId="15" hidden="1">#REF!,#REF!</definedName>
    <definedName name="Z_6E40955B_C2F5_11D5_A6F7_009027BEE7F1_.wvu.Rows" localSheetId="36" hidden="1">#REF!,#REF!</definedName>
    <definedName name="Z_6E40955B_C2F5_11D5_A6F7_009027BEE7F1_.wvu.Rows" localSheetId="12" hidden="1">#REF!,#REF!</definedName>
    <definedName name="Z_6E40955B_C2F5_11D5_A6F7_009027BEE7F1_.wvu.Rows" localSheetId="33" hidden="1">#REF!,#REF!</definedName>
    <definedName name="Z_6E40955B_C2F5_11D5_A6F7_009027BEE7F1_.wvu.Rows" localSheetId="21" hidden="1">#REF!,#REF!</definedName>
    <definedName name="Z_6E40955B_C2F5_11D5_A6F7_009027BEE7F1_.wvu.Rows" localSheetId="42" hidden="1">#REF!,#REF!</definedName>
    <definedName name="Z_6E40955B_C2F5_11D5_A6F7_009027BEE7F1_.wvu.Rows" hidden="1">#REF!,#REF!</definedName>
    <definedName name="Z_901DD601_3312_11D5_8F89_00010215A1CA_.wvu.Rows" localSheetId="24" hidden="1">#REF!,#REF!</definedName>
    <definedName name="Z_901DD601_3312_11D5_8F89_00010215A1CA_.wvu.Rows" localSheetId="45" hidden="1">#REF!,#REF!</definedName>
    <definedName name="Z_901DD601_3312_11D5_8F89_00010215A1CA_.wvu.Rows" localSheetId="27" hidden="1">#REF!,#REF!</definedName>
    <definedName name="Z_901DD601_3312_11D5_8F89_00010215A1CA_.wvu.Rows" localSheetId="48" hidden="1">#REF!,#REF!</definedName>
    <definedName name="Z_901DD601_3312_11D5_8F89_00010215A1CA_.wvu.Rows" localSheetId="18" hidden="1">#REF!,#REF!</definedName>
    <definedName name="Z_901DD601_3312_11D5_8F89_00010215A1CA_.wvu.Rows" localSheetId="39" hidden="1">#REF!,#REF!</definedName>
    <definedName name="Z_901DD601_3312_11D5_8F89_00010215A1CA_.wvu.Rows" localSheetId="15" hidden="1">#REF!,#REF!</definedName>
    <definedName name="Z_901DD601_3312_11D5_8F89_00010215A1CA_.wvu.Rows" localSheetId="36" hidden="1">#REF!,#REF!</definedName>
    <definedName name="Z_901DD601_3312_11D5_8F89_00010215A1CA_.wvu.Rows" localSheetId="12" hidden="1">#REF!,#REF!</definedName>
    <definedName name="Z_901DD601_3312_11D5_8F89_00010215A1CA_.wvu.Rows" localSheetId="33" hidden="1">#REF!,#REF!</definedName>
    <definedName name="Z_901DD601_3312_11D5_8F89_00010215A1CA_.wvu.Rows" localSheetId="21" hidden="1">#REF!,#REF!</definedName>
    <definedName name="Z_901DD601_3312_11D5_8F89_00010215A1CA_.wvu.Rows" localSheetId="42" hidden="1">#REF!,#REF!</definedName>
    <definedName name="Z_901DD601_3312_11D5_8F89_00010215A1CA_.wvu.Rows" hidden="1">#REF!,#REF!</definedName>
    <definedName name="Z_A158D6E1_ED44_11D4_A6F7_00508B654028_.wvu.Cols" localSheetId="24" hidden="1">#REF!,#REF!,#REF!</definedName>
    <definedName name="Z_A158D6E1_ED44_11D4_A6F7_00508B654028_.wvu.Cols" localSheetId="45" hidden="1">#REF!,#REF!,#REF!</definedName>
    <definedName name="Z_A158D6E1_ED44_11D4_A6F7_00508B654028_.wvu.Cols" localSheetId="27" hidden="1">#REF!,#REF!,#REF!</definedName>
    <definedName name="Z_A158D6E1_ED44_11D4_A6F7_00508B654028_.wvu.Cols" localSheetId="48" hidden="1">#REF!,#REF!,#REF!</definedName>
    <definedName name="Z_A158D6E1_ED44_11D4_A6F7_00508B654028_.wvu.Cols" localSheetId="18" hidden="1">#REF!,#REF!,#REF!</definedName>
    <definedName name="Z_A158D6E1_ED44_11D4_A6F7_00508B654028_.wvu.Cols" localSheetId="39" hidden="1">#REF!,#REF!,#REF!</definedName>
    <definedName name="Z_A158D6E1_ED44_11D4_A6F7_00508B654028_.wvu.Cols" localSheetId="15" hidden="1">#REF!,#REF!,#REF!</definedName>
    <definedName name="Z_A158D6E1_ED44_11D4_A6F7_00508B654028_.wvu.Cols" localSheetId="36" hidden="1">#REF!,#REF!,#REF!</definedName>
    <definedName name="Z_A158D6E1_ED44_11D4_A6F7_00508B654028_.wvu.Cols" localSheetId="12" hidden="1">#REF!,#REF!,#REF!</definedName>
    <definedName name="Z_A158D6E1_ED44_11D4_A6F7_00508B654028_.wvu.Cols" localSheetId="33" hidden="1">#REF!,#REF!,#REF!</definedName>
    <definedName name="Z_A158D6E1_ED44_11D4_A6F7_00508B654028_.wvu.Cols" localSheetId="21" hidden="1">#REF!,#REF!,#REF!</definedName>
    <definedName name="Z_A158D6E1_ED44_11D4_A6F7_00508B654028_.wvu.Cols" localSheetId="42" hidden="1">#REF!,#REF!,#REF!</definedName>
    <definedName name="Z_A158D6E1_ED44_11D4_A6F7_00508B654028_.wvu.Cols" hidden="1">#REF!,#REF!,#REF!</definedName>
    <definedName name="Z_A158D6E1_ED44_11D4_A6F7_00508B654028_.wvu.FilterData" localSheetId="24" hidden="1">#REF!</definedName>
    <definedName name="Z_A158D6E1_ED44_11D4_A6F7_00508B654028_.wvu.FilterData" localSheetId="45" hidden="1">#REF!</definedName>
    <definedName name="Z_A158D6E1_ED44_11D4_A6F7_00508B654028_.wvu.FilterData" localSheetId="27" hidden="1">#REF!</definedName>
    <definedName name="Z_A158D6E1_ED44_11D4_A6F7_00508B654028_.wvu.FilterData" localSheetId="48" hidden="1">#REF!</definedName>
    <definedName name="Z_A158D6E1_ED44_11D4_A6F7_00508B654028_.wvu.FilterData" localSheetId="18" hidden="1">#REF!</definedName>
    <definedName name="Z_A158D6E1_ED44_11D4_A6F7_00508B654028_.wvu.FilterData" localSheetId="39" hidden="1">#REF!</definedName>
    <definedName name="Z_A158D6E1_ED44_11D4_A6F7_00508B654028_.wvu.FilterData" localSheetId="15" hidden="1">#REF!</definedName>
    <definedName name="Z_A158D6E1_ED44_11D4_A6F7_00508B654028_.wvu.FilterData" localSheetId="36" hidden="1">#REF!</definedName>
    <definedName name="Z_A158D6E1_ED44_11D4_A6F7_00508B654028_.wvu.FilterData" localSheetId="12" hidden="1">#REF!</definedName>
    <definedName name="Z_A158D6E1_ED44_11D4_A6F7_00508B654028_.wvu.FilterData" localSheetId="33" hidden="1">#REF!</definedName>
    <definedName name="Z_A158D6E1_ED44_11D4_A6F7_00508B654028_.wvu.FilterData" localSheetId="21" hidden="1">#REF!</definedName>
    <definedName name="Z_A158D6E1_ED44_11D4_A6F7_00508B654028_.wvu.FilterData" localSheetId="42" hidden="1">#REF!</definedName>
    <definedName name="Z_A158D6E1_ED44_11D4_A6F7_00508B654028_.wvu.FilterData" hidden="1">#REF!</definedName>
    <definedName name="Z_A158D6E1_ED44_11D4_A6F7_00508B654028_.wvu.PrintArea" localSheetId="24" hidden="1">#REF!</definedName>
    <definedName name="Z_A158D6E1_ED44_11D4_A6F7_00508B654028_.wvu.PrintArea" localSheetId="45" hidden="1">#REF!</definedName>
    <definedName name="Z_A158D6E1_ED44_11D4_A6F7_00508B654028_.wvu.PrintArea" localSheetId="27" hidden="1">#REF!</definedName>
    <definedName name="Z_A158D6E1_ED44_11D4_A6F7_00508B654028_.wvu.PrintArea" localSheetId="48" hidden="1">#REF!</definedName>
    <definedName name="Z_A158D6E1_ED44_11D4_A6F7_00508B654028_.wvu.PrintArea" localSheetId="18" hidden="1">#REF!</definedName>
    <definedName name="Z_A158D6E1_ED44_11D4_A6F7_00508B654028_.wvu.PrintArea" localSheetId="39" hidden="1">#REF!</definedName>
    <definedName name="Z_A158D6E1_ED44_11D4_A6F7_00508B654028_.wvu.PrintArea" localSheetId="15" hidden="1">#REF!</definedName>
    <definedName name="Z_A158D6E1_ED44_11D4_A6F7_00508B654028_.wvu.PrintArea" localSheetId="36" hidden="1">#REF!</definedName>
    <definedName name="Z_A158D6E1_ED44_11D4_A6F7_00508B654028_.wvu.PrintArea" localSheetId="12" hidden="1">#REF!</definedName>
    <definedName name="Z_A158D6E1_ED44_11D4_A6F7_00508B654028_.wvu.PrintArea" localSheetId="33" hidden="1">#REF!</definedName>
    <definedName name="Z_A158D6E1_ED44_11D4_A6F7_00508B654028_.wvu.PrintArea" localSheetId="21" hidden="1">#REF!</definedName>
    <definedName name="Z_A158D6E1_ED44_11D4_A6F7_00508B654028_.wvu.PrintArea" localSheetId="42" hidden="1">#REF!</definedName>
    <definedName name="Z_A158D6E1_ED44_11D4_A6F7_00508B654028_.wvu.PrintArea" hidden="1">#REF!</definedName>
    <definedName name="Z_A158D6E1_ED44_11D4_A6F7_00508B654028_.wvu.Rows" localSheetId="24" hidden="1">#REF!,#REF!</definedName>
    <definedName name="Z_A158D6E1_ED44_11D4_A6F7_00508B654028_.wvu.Rows" localSheetId="45" hidden="1">#REF!,#REF!</definedName>
    <definedName name="Z_A158D6E1_ED44_11D4_A6F7_00508B654028_.wvu.Rows" localSheetId="27" hidden="1">#REF!,#REF!</definedName>
    <definedName name="Z_A158D6E1_ED44_11D4_A6F7_00508B654028_.wvu.Rows" localSheetId="48" hidden="1">#REF!,#REF!</definedName>
    <definedName name="Z_A158D6E1_ED44_11D4_A6F7_00508B654028_.wvu.Rows" localSheetId="18" hidden="1">#REF!,#REF!</definedName>
    <definedName name="Z_A158D6E1_ED44_11D4_A6F7_00508B654028_.wvu.Rows" localSheetId="39" hidden="1">#REF!,#REF!</definedName>
    <definedName name="Z_A158D6E1_ED44_11D4_A6F7_00508B654028_.wvu.Rows" localSheetId="15" hidden="1">#REF!,#REF!</definedName>
    <definedName name="Z_A158D6E1_ED44_11D4_A6F7_00508B654028_.wvu.Rows" localSheetId="36" hidden="1">#REF!,#REF!</definedName>
    <definedName name="Z_A158D6E1_ED44_11D4_A6F7_00508B654028_.wvu.Rows" localSheetId="12" hidden="1">#REF!,#REF!</definedName>
    <definedName name="Z_A158D6E1_ED44_11D4_A6F7_00508B654028_.wvu.Rows" localSheetId="33" hidden="1">#REF!,#REF!</definedName>
    <definedName name="Z_A158D6E1_ED44_11D4_A6F7_00508B654028_.wvu.Rows" localSheetId="21" hidden="1">#REF!,#REF!</definedName>
    <definedName name="Z_A158D6E1_ED44_11D4_A6F7_00508B654028_.wvu.Rows" localSheetId="42" hidden="1">#REF!,#REF!</definedName>
    <definedName name="Z_A158D6E1_ED44_11D4_A6F7_00508B654028_.wvu.Rows" hidden="1">#REF!,#REF!</definedName>
    <definedName name="Z_ADA92181_C3E4_11D5_A6F7_00508B6A7686_.wvu.Cols" localSheetId="24" hidden="1">#REF!,#REF!,#REF!</definedName>
    <definedName name="Z_ADA92181_C3E4_11D5_A6F7_00508B6A7686_.wvu.Cols" localSheetId="45" hidden="1">#REF!,#REF!,#REF!</definedName>
    <definedName name="Z_ADA92181_C3E4_11D5_A6F7_00508B6A7686_.wvu.Cols" localSheetId="27" hidden="1">#REF!,#REF!,#REF!</definedName>
    <definedName name="Z_ADA92181_C3E4_11D5_A6F7_00508B6A7686_.wvu.Cols" localSheetId="48" hidden="1">#REF!,#REF!,#REF!</definedName>
    <definedName name="Z_ADA92181_C3E4_11D5_A6F7_00508B6A7686_.wvu.Cols" localSheetId="18" hidden="1">#REF!,#REF!,#REF!</definedName>
    <definedName name="Z_ADA92181_C3E4_11D5_A6F7_00508B6A7686_.wvu.Cols" localSheetId="39" hidden="1">#REF!,#REF!,#REF!</definedName>
    <definedName name="Z_ADA92181_C3E4_11D5_A6F7_00508B6A7686_.wvu.Cols" localSheetId="15" hidden="1">#REF!,#REF!,#REF!</definedName>
    <definedName name="Z_ADA92181_C3E4_11D5_A6F7_00508B6A7686_.wvu.Cols" localSheetId="36" hidden="1">#REF!,#REF!,#REF!</definedName>
    <definedName name="Z_ADA92181_C3E4_11D5_A6F7_00508B6A7686_.wvu.Cols" localSheetId="12" hidden="1">#REF!,#REF!,#REF!</definedName>
    <definedName name="Z_ADA92181_C3E4_11D5_A6F7_00508B6A7686_.wvu.Cols" localSheetId="33" hidden="1">#REF!,#REF!,#REF!</definedName>
    <definedName name="Z_ADA92181_C3E4_11D5_A6F7_00508B6A7686_.wvu.Cols" localSheetId="21" hidden="1">#REF!,#REF!,#REF!</definedName>
    <definedName name="Z_ADA92181_C3E4_11D5_A6F7_00508B6A7686_.wvu.Cols" localSheetId="42" hidden="1">#REF!,#REF!,#REF!</definedName>
    <definedName name="Z_ADA92181_C3E4_11D5_A6F7_00508B6A7686_.wvu.Cols" hidden="1">#REF!,#REF!,#REF!</definedName>
    <definedName name="Z_ADA92181_C3E4_11D5_A6F7_00508B6A7686_.wvu.FilterData" localSheetId="24" hidden="1">#REF!</definedName>
    <definedName name="Z_ADA92181_C3E4_11D5_A6F7_00508B6A7686_.wvu.FilterData" localSheetId="45" hidden="1">#REF!</definedName>
    <definedName name="Z_ADA92181_C3E4_11D5_A6F7_00508B6A7686_.wvu.FilterData" localSheetId="27" hidden="1">#REF!</definedName>
    <definedName name="Z_ADA92181_C3E4_11D5_A6F7_00508B6A7686_.wvu.FilterData" localSheetId="48" hidden="1">#REF!</definedName>
    <definedName name="Z_ADA92181_C3E4_11D5_A6F7_00508B6A7686_.wvu.FilterData" localSheetId="18" hidden="1">#REF!</definedName>
    <definedName name="Z_ADA92181_C3E4_11D5_A6F7_00508B6A7686_.wvu.FilterData" localSheetId="39" hidden="1">#REF!</definedName>
    <definedName name="Z_ADA92181_C3E4_11D5_A6F7_00508B6A7686_.wvu.FilterData" localSheetId="15" hidden="1">#REF!</definedName>
    <definedName name="Z_ADA92181_C3E4_11D5_A6F7_00508B6A7686_.wvu.FilterData" localSheetId="36" hidden="1">#REF!</definedName>
    <definedName name="Z_ADA92181_C3E4_11D5_A6F7_00508B6A7686_.wvu.FilterData" localSheetId="12" hidden="1">#REF!</definedName>
    <definedName name="Z_ADA92181_C3E4_11D5_A6F7_00508B6A7686_.wvu.FilterData" localSheetId="33" hidden="1">#REF!</definedName>
    <definedName name="Z_ADA92181_C3E4_11D5_A6F7_00508B6A7686_.wvu.FilterData" localSheetId="21" hidden="1">#REF!</definedName>
    <definedName name="Z_ADA92181_C3E4_11D5_A6F7_00508B6A7686_.wvu.FilterData" localSheetId="42" hidden="1">#REF!</definedName>
    <definedName name="Z_ADA92181_C3E4_11D5_A6F7_00508B6A7686_.wvu.FilterData" hidden="1">#REF!</definedName>
    <definedName name="Z_ADA92181_C3E4_11D5_A6F7_00508B6A7686_.wvu.PrintArea" localSheetId="24" hidden="1">#REF!</definedName>
    <definedName name="Z_ADA92181_C3E4_11D5_A6F7_00508B6A7686_.wvu.PrintArea" localSheetId="45" hidden="1">#REF!</definedName>
    <definedName name="Z_ADA92181_C3E4_11D5_A6F7_00508B6A7686_.wvu.PrintArea" localSheetId="27" hidden="1">#REF!</definedName>
    <definedName name="Z_ADA92181_C3E4_11D5_A6F7_00508B6A7686_.wvu.PrintArea" localSheetId="48" hidden="1">#REF!</definedName>
    <definedName name="Z_ADA92181_C3E4_11D5_A6F7_00508B6A7686_.wvu.PrintArea" localSheetId="18" hidden="1">#REF!</definedName>
    <definedName name="Z_ADA92181_C3E4_11D5_A6F7_00508B6A7686_.wvu.PrintArea" localSheetId="39" hidden="1">#REF!</definedName>
    <definedName name="Z_ADA92181_C3E4_11D5_A6F7_00508B6A7686_.wvu.PrintArea" localSheetId="15" hidden="1">#REF!</definedName>
    <definedName name="Z_ADA92181_C3E4_11D5_A6F7_00508B6A7686_.wvu.PrintArea" localSheetId="36" hidden="1">#REF!</definedName>
    <definedName name="Z_ADA92181_C3E4_11D5_A6F7_00508B6A7686_.wvu.PrintArea" localSheetId="12" hidden="1">#REF!</definedName>
    <definedName name="Z_ADA92181_C3E4_11D5_A6F7_00508B6A7686_.wvu.PrintArea" localSheetId="33" hidden="1">#REF!</definedName>
    <definedName name="Z_ADA92181_C3E4_11D5_A6F7_00508B6A7686_.wvu.PrintArea" localSheetId="21" hidden="1">#REF!</definedName>
    <definedName name="Z_ADA92181_C3E4_11D5_A6F7_00508B6A7686_.wvu.PrintArea" localSheetId="42" hidden="1">#REF!</definedName>
    <definedName name="Z_ADA92181_C3E4_11D5_A6F7_00508B6A7686_.wvu.PrintArea" hidden="1">#REF!</definedName>
    <definedName name="Z_ADA92181_C3E4_11D5_A6F7_00508B6A7686_.wvu.PrintTitles" localSheetId="24" hidden="1">#REF!</definedName>
    <definedName name="Z_ADA92181_C3E4_11D5_A6F7_00508B6A7686_.wvu.PrintTitles" localSheetId="45" hidden="1">#REF!</definedName>
    <definedName name="Z_ADA92181_C3E4_11D5_A6F7_00508B6A7686_.wvu.PrintTitles" localSheetId="27" hidden="1">#REF!</definedName>
    <definedName name="Z_ADA92181_C3E4_11D5_A6F7_00508B6A7686_.wvu.PrintTitles" localSheetId="48" hidden="1">#REF!</definedName>
    <definedName name="Z_ADA92181_C3E4_11D5_A6F7_00508B6A7686_.wvu.PrintTitles" localSheetId="18" hidden="1">#REF!</definedName>
    <definedName name="Z_ADA92181_C3E4_11D5_A6F7_00508B6A7686_.wvu.PrintTitles" localSheetId="39" hidden="1">#REF!</definedName>
    <definedName name="Z_ADA92181_C3E4_11D5_A6F7_00508B6A7686_.wvu.PrintTitles" localSheetId="15" hidden="1">#REF!</definedName>
    <definedName name="Z_ADA92181_C3E4_11D5_A6F7_00508B6A7686_.wvu.PrintTitles" localSheetId="36" hidden="1">#REF!</definedName>
    <definedName name="Z_ADA92181_C3E4_11D5_A6F7_00508B6A7686_.wvu.PrintTitles" localSheetId="12" hidden="1">#REF!</definedName>
    <definedName name="Z_ADA92181_C3E4_11D5_A6F7_00508B6A7686_.wvu.PrintTitles" localSheetId="33" hidden="1">#REF!</definedName>
    <definedName name="Z_ADA92181_C3E4_11D5_A6F7_00508B6A7686_.wvu.PrintTitles" localSheetId="21" hidden="1">#REF!</definedName>
    <definedName name="Z_ADA92181_C3E4_11D5_A6F7_00508B6A7686_.wvu.PrintTitles" localSheetId="42" hidden="1">#REF!</definedName>
    <definedName name="Z_ADA92181_C3E4_11D5_A6F7_00508B6A7686_.wvu.PrintTitles" hidden="1">#REF!</definedName>
    <definedName name="Z_ADA92181_C3E4_11D5_A6F7_00508B6A7686_.wvu.Rows" localSheetId="24" hidden="1">#REF!,#REF!</definedName>
    <definedName name="Z_ADA92181_C3E4_11D5_A6F7_00508B6A7686_.wvu.Rows" localSheetId="45" hidden="1">#REF!,#REF!</definedName>
    <definedName name="Z_ADA92181_C3E4_11D5_A6F7_00508B6A7686_.wvu.Rows" localSheetId="27" hidden="1">#REF!,#REF!</definedName>
    <definedName name="Z_ADA92181_C3E4_11D5_A6F7_00508B6A7686_.wvu.Rows" localSheetId="48" hidden="1">#REF!,#REF!</definedName>
    <definedName name="Z_ADA92181_C3E4_11D5_A6F7_00508B6A7686_.wvu.Rows" localSheetId="18" hidden="1">#REF!,#REF!</definedName>
    <definedName name="Z_ADA92181_C3E4_11D5_A6F7_00508B6A7686_.wvu.Rows" localSheetId="39" hidden="1">#REF!,#REF!</definedName>
    <definedName name="Z_ADA92181_C3E4_11D5_A6F7_00508B6A7686_.wvu.Rows" localSheetId="15" hidden="1">#REF!,#REF!</definedName>
    <definedName name="Z_ADA92181_C3E4_11D5_A6F7_00508B6A7686_.wvu.Rows" localSheetId="36" hidden="1">#REF!,#REF!</definedName>
    <definedName name="Z_ADA92181_C3E4_11D5_A6F7_00508B6A7686_.wvu.Rows" localSheetId="12" hidden="1">#REF!,#REF!</definedName>
    <definedName name="Z_ADA92181_C3E4_11D5_A6F7_00508B6A7686_.wvu.Rows" localSheetId="33" hidden="1">#REF!,#REF!</definedName>
    <definedName name="Z_ADA92181_C3E4_11D5_A6F7_00508B6A7686_.wvu.Rows" localSheetId="21" hidden="1">#REF!,#REF!</definedName>
    <definedName name="Z_ADA92181_C3E4_11D5_A6F7_00508B6A7686_.wvu.Rows" localSheetId="42" hidden="1">#REF!,#REF!</definedName>
    <definedName name="Z_ADA92181_C3E4_11D5_A6F7_00508B6A7686_.wvu.Rows" hidden="1">#REF!,#REF!</definedName>
    <definedName name="Z_D4FBBAF2_ED2F_11D4_A6F7_00508B6540C5_.wvu.FilterData" localSheetId="24" hidden="1">#REF!</definedName>
    <definedName name="Z_D4FBBAF2_ED2F_11D4_A6F7_00508B6540C5_.wvu.FilterData" localSheetId="45" hidden="1">#REF!</definedName>
    <definedName name="Z_D4FBBAF2_ED2F_11D4_A6F7_00508B6540C5_.wvu.FilterData" localSheetId="27" hidden="1">#REF!</definedName>
    <definedName name="Z_D4FBBAF2_ED2F_11D4_A6F7_00508B6540C5_.wvu.FilterData" localSheetId="48" hidden="1">#REF!</definedName>
    <definedName name="Z_D4FBBAF2_ED2F_11D4_A6F7_00508B6540C5_.wvu.FilterData" localSheetId="18" hidden="1">#REF!</definedName>
    <definedName name="Z_D4FBBAF2_ED2F_11D4_A6F7_00508B6540C5_.wvu.FilterData" localSheetId="39" hidden="1">#REF!</definedName>
    <definedName name="Z_D4FBBAF2_ED2F_11D4_A6F7_00508B6540C5_.wvu.FilterData" localSheetId="15" hidden="1">#REF!</definedName>
    <definedName name="Z_D4FBBAF2_ED2F_11D4_A6F7_00508B6540C5_.wvu.FilterData" localSheetId="36" hidden="1">#REF!</definedName>
    <definedName name="Z_D4FBBAF2_ED2F_11D4_A6F7_00508B6540C5_.wvu.FilterData" localSheetId="12" hidden="1">#REF!</definedName>
    <definedName name="Z_D4FBBAF2_ED2F_11D4_A6F7_00508B6540C5_.wvu.FilterData" localSheetId="33" hidden="1">#REF!</definedName>
    <definedName name="Z_D4FBBAF2_ED2F_11D4_A6F7_00508B6540C5_.wvu.FilterData" localSheetId="21" hidden="1">#REF!</definedName>
    <definedName name="Z_D4FBBAF2_ED2F_11D4_A6F7_00508B6540C5_.wvu.FilterData" localSheetId="42" hidden="1">#REF!</definedName>
    <definedName name="Z_D4FBBAF2_ED2F_11D4_A6F7_00508B6540C5_.wvu.FilterData" hidden="1">#REF!</definedName>
    <definedName name="Z_D9E68341_C2F0_11D5_A6F7_00508B6540C5_.wvu.Cols" localSheetId="24" hidden="1">#REF!,#REF!,#REF!</definedName>
    <definedName name="Z_D9E68341_C2F0_11D5_A6F7_00508B6540C5_.wvu.Cols" localSheetId="45" hidden="1">#REF!,#REF!,#REF!</definedName>
    <definedName name="Z_D9E68341_C2F0_11D5_A6F7_00508B6540C5_.wvu.Cols" localSheetId="27" hidden="1">#REF!,#REF!,#REF!</definedName>
    <definedName name="Z_D9E68341_C2F0_11D5_A6F7_00508B6540C5_.wvu.Cols" localSheetId="48" hidden="1">#REF!,#REF!,#REF!</definedName>
    <definedName name="Z_D9E68341_C2F0_11D5_A6F7_00508B6540C5_.wvu.Cols" localSheetId="18" hidden="1">#REF!,#REF!,#REF!</definedName>
    <definedName name="Z_D9E68341_C2F0_11D5_A6F7_00508B6540C5_.wvu.Cols" localSheetId="39" hidden="1">#REF!,#REF!,#REF!</definedName>
    <definedName name="Z_D9E68341_C2F0_11D5_A6F7_00508B6540C5_.wvu.Cols" localSheetId="15" hidden="1">#REF!,#REF!,#REF!</definedName>
    <definedName name="Z_D9E68341_C2F0_11D5_A6F7_00508B6540C5_.wvu.Cols" localSheetId="36" hidden="1">#REF!,#REF!,#REF!</definedName>
    <definedName name="Z_D9E68341_C2F0_11D5_A6F7_00508B6540C5_.wvu.Cols" localSheetId="12" hidden="1">#REF!,#REF!,#REF!</definedName>
    <definedName name="Z_D9E68341_C2F0_11D5_A6F7_00508B6540C5_.wvu.Cols" localSheetId="33" hidden="1">#REF!,#REF!,#REF!</definedName>
    <definedName name="Z_D9E68341_C2F0_11D5_A6F7_00508B6540C5_.wvu.Cols" localSheetId="21" hidden="1">#REF!,#REF!,#REF!</definedName>
    <definedName name="Z_D9E68341_C2F0_11D5_A6F7_00508B6540C5_.wvu.Cols" localSheetId="42" hidden="1">#REF!,#REF!,#REF!</definedName>
    <definedName name="Z_D9E68341_C2F0_11D5_A6F7_00508B6540C5_.wvu.Cols" hidden="1">#REF!,#REF!,#REF!</definedName>
    <definedName name="Z_D9E68341_C2F0_11D5_A6F7_00508B6540C5_.wvu.FilterData" localSheetId="24" hidden="1">#REF!</definedName>
    <definedName name="Z_D9E68341_C2F0_11D5_A6F7_00508B6540C5_.wvu.FilterData" localSheetId="45" hidden="1">#REF!</definedName>
    <definedName name="Z_D9E68341_C2F0_11D5_A6F7_00508B6540C5_.wvu.FilterData" localSheetId="27" hidden="1">#REF!</definedName>
    <definedName name="Z_D9E68341_C2F0_11D5_A6F7_00508B6540C5_.wvu.FilterData" localSheetId="48" hidden="1">#REF!</definedName>
    <definedName name="Z_D9E68341_C2F0_11D5_A6F7_00508B6540C5_.wvu.FilterData" localSheetId="18" hidden="1">#REF!</definedName>
    <definedName name="Z_D9E68341_C2F0_11D5_A6F7_00508B6540C5_.wvu.FilterData" localSheetId="39" hidden="1">#REF!</definedName>
    <definedName name="Z_D9E68341_C2F0_11D5_A6F7_00508B6540C5_.wvu.FilterData" localSheetId="15" hidden="1">#REF!</definedName>
    <definedName name="Z_D9E68341_C2F0_11D5_A6F7_00508B6540C5_.wvu.FilterData" localSheetId="36" hidden="1">#REF!</definedName>
    <definedName name="Z_D9E68341_C2F0_11D5_A6F7_00508B6540C5_.wvu.FilterData" localSheetId="12" hidden="1">#REF!</definedName>
    <definedName name="Z_D9E68341_C2F0_11D5_A6F7_00508B6540C5_.wvu.FilterData" localSheetId="33" hidden="1">#REF!</definedName>
    <definedName name="Z_D9E68341_C2F0_11D5_A6F7_00508B6540C5_.wvu.FilterData" localSheetId="21" hidden="1">#REF!</definedName>
    <definedName name="Z_D9E68341_C2F0_11D5_A6F7_00508B6540C5_.wvu.FilterData" localSheetId="42" hidden="1">#REF!</definedName>
    <definedName name="Z_D9E68341_C2F0_11D5_A6F7_00508B6540C5_.wvu.FilterData" hidden="1">#REF!</definedName>
    <definedName name="Z_D9E68341_C2F0_11D5_A6F7_00508B6540C5_.wvu.PrintArea" localSheetId="24" hidden="1">#REF!</definedName>
    <definedName name="Z_D9E68341_C2F0_11D5_A6F7_00508B6540C5_.wvu.PrintArea" localSheetId="45" hidden="1">#REF!</definedName>
    <definedName name="Z_D9E68341_C2F0_11D5_A6F7_00508B6540C5_.wvu.PrintArea" localSheetId="27" hidden="1">#REF!</definedName>
    <definedName name="Z_D9E68341_C2F0_11D5_A6F7_00508B6540C5_.wvu.PrintArea" localSheetId="48" hidden="1">#REF!</definedName>
    <definedName name="Z_D9E68341_C2F0_11D5_A6F7_00508B6540C5_.wvu.PrintArea" localSheetId="18" hidden="1">#REF!</definedName>
    <definedName name="Z_D9E68341_C2F0_11D5_A6F7_00508B6540C5_.wvu.PrintArea" localSheetId="39" hidden="1">#REF!</definedName>
    <definedName name="Z_D9E68341_C2F0_11D5_A6F7_00508B6540C5_.wvu.PrintArea" localSheetId="15" hidden="1">#REF!</definedName>
    <definedName name="Z_D9E68341_C2F0_11D5_A6F7_00508B6540C5_.wvu.PrintArea" localSheetId="36" hidden="1">#REF!</definedName>
    <definedName name="Z_D9E68341_C2F0_11D5_A6F7_00508B6540C5_.wvu.PrintArea" localSheetId="12" hidden="1">#REF!</definedName>
    <definedName name="Z_D9E68341_C2F0_11D5_A6F7_00508B6540C5_.wvu.PrintArea" localSheetId="33" hidden="1">#REF!</definedName>
    <definedName name="Z_D9E68341_C2F0_11D5_A6F7_00508B6540C5_.wvu.PrintArea" localSheetId="21" hidden="1">#REF!</definedName>
    <definedName name="Z_D9E68341_C2F0_11D5_A6F7_00508B6540C5_.wvu.PrintArea" localSheetId="42" hidden="1">#REF!</definedName>
    <definedName name="Z_D9E68341_C2F0_11D5_A6F7_00508B6540C5_.wvu.PrintArea" hidden="1">#REF!</definedName>
    <definedName name="Z_D9E68341_C2F0_11D5_A6F7_00508B6540C5_.wvu.PrintTitles" localSheetId="24" hidden="1">#REF!</definedName>
    <definedName name="Z_D9E68341_C2F0_11D5_A6F7_00508B6540C5_.wvu.PrintTitles" localSheetId="45" hidden="1">#REF!</definedName>
    <definedName name="Z_D9E68341_C2F0_11D5_A6F7_00508B6540C5_.wvu.PrintTitles" localSheetId="27" hidden="1">#REF!</definedName>
    <definedName name="Z_D9E68341_C2F0_11D5_A6F7_00508B6540C5_.wvu.PrintTitles" localSheetId="48" hidden="1">#REF!</definedName>
    <definedName name="Z_D9E68341_C2F0_11D5_A6F7_00508B6540C5_.wvu.PrintTitles" localSheetId="18" hidden="1">#REF!</definedName>
    <definedName name="Z_D9E68341_C2F0_11D5_A6F7_00508B6540C5_.wvu.PrintTitles" localSheetId="39" hidden="1">#REF!</definedName>
    <definedName name="Z_D9E68341_C2F0_11D5_A6F7_00508B6540C5_.wvu.PrintTitles" localSheetId="15" hidden="1">#REF!</definedName>
    <definedName name="Z_D9E68341_C2F0_11D5_A6F7_00508B6540C5_.wvu.PrintTitles" localSheetId="36" hidden="1">#REF!</definedName>
    <definedName name="Z_D9E68341_C2F0_11D5_A6F7_00508B6540C5_.wvu.PrintTitles" localSheetId="12" hidden="1">#REF!</definedName>
    <definedName name="Z_D9E68341_C2F0_11D5_A6F7_00508B6540C5_.wvu.PrintTitles" localSheetId="33" hidden="1">#REF!</definedName>
    <definedName name="Z_D9E68341_C2F0_11D5_A6F7_00508B6540C5_.wvu.PrintTitles" localSheetId="21" hidden="1">#REF!</definedName>
    <definedName name="Z_D9E68341_C2F0_11D5_A6F7_00508B6540C5_.wvu.PrintTitles" localSheetId="42" hidden="1">#REF!</definedName>
    <definedName name="Z_D9E68341_C2F0_11D5_A6F7_00508B6540C5_.wvu.PrintTitles" hidden="1">#REF!</definedName>
    <definedName name="Z_D9E68341_C2F0_11D5_A6F7_00508B6540C5_.wvu.Rows" localSheetId="24" hidden="1">#REF!</definedName>
    <definedName name="Z_D9E68341_C2F0_11D5_A6F7_00508B6540C5_.wvu.Rows" localSheetId="45" hidden="1">#REF!</definedName>
    <definedName name="Z_D9E68341_C2F0_11D5_A6F7_00508B6540C5_.wvu.Rows" localSheetId="27" hidden="1">#REF!</definedName>
    <definedName name="Z_D9E68341_C2F0_11D5_A6F7_00508B6540C5_.wvu.Rows" localSheetId="48" hidden="1">#REF!</definedName>
    <definedName name="Z_D9E68341_C2F0_11D5_A6F7_00508B6540C5_.wvu.Rows" localSheetId="18" hidden="1">#REF!</definedName>
    <definedName name="Z_D9E68341_C2F0_11D5_A6F7_00508B6540C5_.wvu.Rows" localSheetId="39" hidden="1">#REF!</definedName>
    <definedName name="Z_D9E68341_C2F0_11D5_A6F7_00508B6540C5_.wvu.Rows" localSheetId="15" hidden="1">#REF!</definedName>
    <definedName name="Z_D9E68341_C2F0_11D5_A6F7_00508B6540C5_.wvu.Rows" localSheetId="36" hidden="1">#REF!</definedName>
    <definedName name="Z_D9E68341_C2F0_11D5_A6F7_00508B6540C5_.wvu.Rows" localSheetId="12" hidden="1">#REF!</definedName>
    <definedName name="Z_D9E68341_C2F0_11D5_A6F7_00508B6540C5_.wvu.Rows" localSheetId="33" hidden="1">#REF!</definedName>
    <definedName name="Z_D9E68341_C2F0_11D5_A6F7_00508B6540C5_.wvu.Rows" localSheetId="21" hidden="1">#REF!</definedName>
    <definedName name="Z_D9E68341_C2F0_11D5_A6F7_00508B6540C5_.wvu.Rows" localSheetId="42" hidden="1">#REF!</definedName>
    <definedName name="Z_D9E68341_C2F0_11D5_A6F7_00508B6540C5_.wvu.Rows" hidden="1">#REF!</definedName>
    <definedName name="zzz" localSheetId="22" hidden="1">{"'РП (2)'!$A$5:$S$150"}</definedName>
    <definedName name="zzz" localSheetId="43" hidden="1">{"'РП (2)'!$A$5:$S$150"}</definedName>
    <definedName name="zzz" hidden="1">{"'РП (2)'!$A$5:$S$150"}</definedName>
    <definedName name="ааааа" localSheetId="22" hidden="1">{"'РП (2)'!$A$5:$S$150"}</definedName>
    <definedName name="ааааа" localSheetId="43" hidden="1">{"'РП (2)'!$A$5:$S$150"}</definedName>
    <definedName name="ааааа" hidden="1">{"'РП (2)'!$A$5:$S$150"}</definedName>
    <definedName name="аааааааааааааааааааааа" localSheetId="22" hidden="1">{"'РП (2)'!$A$5:$S$150"}</definedName>
    <definedName name="аааааааааааааааааааааа" localSheetId="43" hidden="1">{"'РП (2)'!$A$5:$S$150"}</definedName>
    <definedName name="аааааааааааааааааааааа" hidden="1">{"'РП (2)'!$A$5:$S$150"}</definedName>
    <definedName name="аааааааааааааааввввввввввввв" localSheetId="22" hidden="1">{"'РП (2)'!$A$5:$S$150"}</definedName>
    <definedName name="аааааааааааааааввввввввввввв" localSheetId="43" hidden="1">{"'РП (2)'!$A$5:$S$150"}</definedName>
    <definedName name="аааааааааааааааввввввввввввв" hidden="1">{"'РП (2)'!$A$5:$S$150"}</definedName>
    <definedName name="абакан" localSheetId="22" hidden="1">{"'РП (2)'!$A$5:$S$150"}</definedName>
    <definedName name="абакан" localSheetId="43" hidden="1">{"'РП (2)'!$A$5:$S$150"}</definedName>
    <definedName name="абакан" hidden="1">{"'РП (2)'!$A$5:$S$150"}</definedName>
    <definedName name="ав" localSheetId="22" hidden="1">{"'РП (2)'!$A$5:$S$150"}</definedName>
    <definedName name="ав" localSheetId="43" hidden="1">{"'РП (2)'!$A$5:$S$150"}</definedName>
    <definedName name="ав" hidden="1">{"'РП (2)'!$A$5:$S$150"}</definedName>
    <definedName name="аж" localSheetId="22" hidden="1">{"'РП (2)'!$A$5:$S$150"}</definedName>
    <definedName name="аж" localSheetId="43" hidden="1">{"'РП (2)'!$A$5:$S$150"}</definedName>
    <definedName name="аж" hidden="1">{"'РП (2)'!$A$5:$S$150"}</definedName>
    <definedName name="алормж" localSheetId="22" hidden="1">{"'РП (2)'!$A$5:$S$150"}</definedName>
    <definedName name="алормж" localSheetId="43" hidden="1">{"'РП (2)'!$A$5:$S$150"}</definedName>
    <definedName name="алормж" hidden="1">{"'РП (2)'!$A$5:$S$150"}</definedName>
    <definedName name="ан" localSheetId="22" hidden="1">{"'РП (2)'!$A$5:$S$150"}</definedName>
    <definedName name="ан" localSheetId="43" hidden="1">{"'РП (2)'!$A$5:$S$150"}</definedName>
    <definedName name="ан" hidden="1">{"'РП (2)'!$A$5:$S$150"}</definedName>
    <definedName name="ап" localSheetId="22" hidden="1">{"'РП (2)'!$A$5:$S$150"}</definedName>
    <definedName name="ап" localSheetId="43" hidden="1">{"'РП (2)'!$A$5:$S$150"}</definedName>
    <definedName name="ап" hidden="1">{"'РП (2)'!$A$5:$S$150"}</definedName>
    <definedName name="апрель_" localSheetId="22" hidden="1">{"'РП (2)'!$A$5:$S$150"}</definedName>
    <definedName name="апрель_" localSheetId="43" hidden="1">{"'РП (2)'!$A$5:$S$150"}</definedName>
    <definedName name="апрель_" hidden="1">{"'РП (2)'!$A$5:$S$150"}</definedName>
    <definedName name="ар" localSheetId="22" hidden="1">{"'РП (2)'!$A$5:$S$150"}</definedName>
    <definedName name="ар" localSheetId="43" hidden="1">{"'РП (2)'!$A$5:$S$150"}</definedName>
    <definedName name="ар" hidden="1">{"'РП (2)'!$A$5:$S$150"}</definedName>
    <definedName name="арарарарра" localSheetId="22" hidden="1">{"'РП (2)'!$A$5:$S$150"}</definedName>
    <definedName name="арарарарра" localSheetId="43" hidden="1">{"'РП (2)'!$A$5:$S$150"}</definedName>
    <definedName name="арарарарра" hidden="1">{"'РП (2)'!$A$5:$S$150"}</definedName>
    <definedName name="арложлд" localSheetId="22" hidden="1">{"'РП (2)'!$A$5:$S$150"}</definedName>
    <definedName name="арложлд" localSheetId="43" hidden="1">{"'РП (2)'!$A$5:$S$150"}</definedName>
    <definedName name="арложлд" hidden="1">{"'РП (2)'!$A$5:$S$150"}</definedName>
    <definedName name="арыщдр" localSheetId="22" hidden="1">{"'РП (2)'!$A$5:$S$150"}</definedName>
    <definedName name="арыщдр" localSheetId="43" hidden="1">{"'РП (2)'!$A$5:$S$150"}</definedName>
    <definedName name="арыщдр" hidden="1">{"'РП (2)'!$A$5:$S$150"}</definedName>
    <definedName name="б" localSheetId="22" hidden="1">{"'РП (2)'!$A$5:$S$150"}</definedName>
    <definedName name="б" localSheetId="43" hidden="1">{"'РП (2)'!$A$5:$S$150"}</definedName>
    <definedName name="б" hidden="1">{"'РП (2)'!$A$5:$S$150"}</definedName>
    <definedName name="бб" localSheetId="22" hidden="1">{"'РП (2)'!$A$5:$S$150"}</definedName>
    <definedName name="бб" localSheetId="43" hidden="1">{"'РП (2)'!$A$5:$S$150"}</definedName>
    <definedName name="бб" hidden="1">{"'РП (2)'!$A$5:$S$150"}</definedName>
    <definedName name="бббб" localSheetId="22" hidden="1">{"'РП (2)'!$A$5:$S$150"}</definedName>
    <definedName name="бббб" localSheetId="43" hidden="1">{"'РП (2)'!$A$5:$S$150"}</definedName>
    <definedName name="бббб" hidden="1">{"'РП (2)'!$A$5:$S$150"}</definedName>
    <definedName name="ббббб" localSheetId="22" hidden="1">{"'РП (2)'!$A$5:$S$150"}</definedName>
    <definedName name="ббббб" localSheetId="43" hidden="1">{"'РП (2)'!$A$5:$S$150"}</definedName>
    <definedName name="ббббб" hidden="1">{"'РП (2)'!$A$5:$S$150"}</definedName>
    <definedName name="бббббб" localSheetId="22" hidden="1">{"'РП (2)'!$A$5:$S$150"}</definedName>
    <definedName name="бббббб" localSheetId="43" hidden="1">{"'РП (2)'!$A$5:$S$150"}</definedName>
    <definedName name="бббббб" hidden="1">{"'РП (2)'!$A$5:$S$150"}</definedName>
    <definedName name="бббббббб" localSheetId="22" hidden="1">{"'РП (2)'!$A$5:$S$150"}</definedName>
    <definedName name="бббббббб" localSheetId="43" hidden="1">{"'РП (2)'!$A$5:$S$150"}</definedName>
    <definedName name="бббббббб" hidden="1">{"'РП (2)'!$A$5:$S$150"}</definedName>
    <definedName name="ббббббббббббб" localSheetId="22" hidden="1">{"'РП (2)'!$A$5:$S$150"}</definedName>
    <definedName name="ббббббббббббб" localSheetId="43" hidden="1">{"'РП (2)'!$A$5:$S$150"}</definedName>
    <definedName name="ббббббббббббб" hidden="1">{"'РП (2)'!$A$5:$S$150"}</definedName>
    <definedName name="ббббббббббббббб" localSheetId="22" hidden="1">{"'РП (2)'!$A$5:$S$150"}</definedName>
    <definedName name="ббббббббббббббб" localSheetId="43" hidden="1">{"'РП (2)'!$A$5:$S$150"}</definedName>
    <definedName name="ббббббббббббббб" hidden="1">{"'РП (2)'!$A$5:$S$150"}</definedName>
    <definedName name="ббббббббббббббббббб" localSheetId="22" hidden="1">{"'РП (2)'!$A$5:$S$150"}</definedName>
    <definedName name="ббббббббббббббббббб" localSheetId="43" hidden="1">{"'РП (2)'!$A$5:$S$150"}</definedName>
    <definedName name="ббббббббббббббббббб" hidden="1">{"'РП (2)'!$A$5:$S$150"}</definedName>
    <definedName name="бббббббююю" localSheetId="22" hidden="1">{"'РП (2)'!$A$5:$S$150"}</definedName>
    <definedName name="бббббббююю" localSheetId="43" hidden="1">{"'РП (2)'!$A$5:$S$150"}</definedName>
    <definedName name="бббббббююю" hidden="1">{"'РП (2)'!$A$5:$S$150"}</definedName>
    <definedName name="БДДС" localSheetId="24" hidden="1">#REF!,#REF!,#REF!</definedName>
    <definedName name="БДДС" localSheetId="45" hidden="1">#REF!,#REF!,#REF!</definedName>
    <definedName name="БДДС" localSheetId="27" hidden="1">#REF!,#REF!,#REF!</definedName>
    <definedName name="БДДС" localSheetId="48" hidden="1">#REF!,#REF!,#REF!</definedName>
    <definedName name="БДДС" localSheetId="18" hidden="1">#REF!,#REF!,#REF!</definedName>
    <definedName name="БДДС" localSheetId="39" hidden="1">#REF!,#REF!,#REF!</definedName>
    <definedName name="БДДС" localSheetId="15" hidden="1">#REF!,#REF!,#REF!</definedName>
    <definedName name="БДДС" localSheetId="36" hidden="1">#REF!,#REF!,#REF!</definedName>
    <definedName name="БДДС" localSheetId="12" hidden="1">#REF!,#REF!,#REF!</definedName>
    <definedName name="БДДС" localSheetId="33" hidden="1">#REF!,#REF!,#REF!</definedName>
    <definedName name="БДДС" localSheetId="21" hidden="1">#REF!,#REF!,#REF!</definedName>
    <definedName name="БДДС" localSheetId="42" hidden="1">#REF!,#REF!,#REF!</definedName>
    <definedName name="БДДС" hidden="1">#REF!,#REF!,#REF!</definedName>
    <definedName name="бер" localSheetId="22" hidden="1">{"'РП (2)'!$A$5:$S$150"}</definedName>
    <definedName name="бер" localSheetId="43" hidden="1">{"'РП (2)'!$A$5:$S$150"}</definedName>
    <definedName name="бер" hidden="1">{"'РП (2)'!$A$5:$S$150"}</definedName>
    <definedName name="береза" localSheetId="22" hidden="1">{"'РП (2)'!$A$5:$S$150"}</definedName>
    <definedName name="береза" localSheetId="43" hidden="1">{"'РП (2)'!$A$5:$S$150"}</definedName>
    <definedName name="береза" hidden="1">{"'РП (2)'!$A$5:$S$150"}</definedName>
    <definedName name="Бор" localSheetId="22" hidden="1">{"'РП (2)'!$A$5:$S$150"}</definedName>
    <definedName name="Бор" localSheetId="43" hidden="1">{"'РП (2)'!$A$5:$S$150"}</definedName>
    <definedName name="Бор" hidden="1">{"'РП (2)'!$A$5:$S$150"}</definedName>
    <definedName name="Бородино" localSheetId="22" hidden="1">{"'РП (2)'!$A$5:$S$150"}</definedName>
    <definedName name="Бородино" localSheetId="43" hidden="1">{"'РП (2)'!$A$5:$S$150"}</definedName>
    <definedName name="Бородино" hidden="1">{"'РП (2)'!$A$5:$S$150"}</definedName>
    <definedName name="БТ" localSheetId="22" hidden="1">{"'РП (2)'!$A$5:$S$150"}</definedName>
    <definedName name="БТ" localSheetId="43" hidden="1">{"'РП (2)'!$A$5:$S$150"}</definedName>
    <definedName name="БТ" hidden="1">{"'РП (2)'!$A$5:$S$150"}</definedName>
    <definedName name="бю." localSheetId="22" hidden="1">{"'РП (2)'!$A$5:$S$150"}</definedName>
    <definedName name="бю." localSheetId="43" hidden="1">{"'РП (2)'!$A$5:$S$150"}</definedName>
    <definedName name="бю." hidden="1">{"'РП (2)'!$A$5:$S$150"}</definedName>
    <definedName name="бюджет" localSheetId="22" hidden="1">{"'РП (2)'!$A$5:$S$150"}</definedName>
    <definedName name="бюджет" localSheetId="43" hidden="1">{"'РП (2)'!$A$5:$S$150"}</definedName>
    <definedName name="бюджет" hidden="1">{"'РП (2)'!$A$5:$S$150"}</definedName>
    <definedName name="Бюджет1" localSheetId="22" hidden="1">{"'РП (2)'!$A$5:$S$150"}</definedName>
    <definedName name="Бюджет1" localSheetId="43" hidden="1">{"'РП (2)'!$A$5:$S$150"}</definedName>
    <definedName name="Бюджет1" hidden="1">{"'РП (2)'!$A$5:$S$150"}</definedName>
    <definedName name="Бюджет2" localSheetId="22" hidden="1">{"'РП (2)'!$A$5:$S$150"}</definedName>
    <definedName name="Бюджет2" localSheetId="43" hidden="1">{"'РП (2)'!$A$5:$S$150"}</definedName>
    <definedName name="Бюджет2" hidden="1">{"'РП (2)'!$A$5:$S$150"}</definedName>
    <definedName name="бюджетик" localSheetId="22" hidden="1">{"'РП (2)'!$A$5:$S$150"}</definedName>
    <definedName name="бюджетик" localSheetId="43" hidden="1">{"'РП (2)'!$A$5:$S$150"}</definedName>
    <definedName name="бюджетик" hidden="1">{"'РП (2)'!$A$5:$S$150"}</definedName>
    <definedName name="вадло" localSheetId="22" hidden="1">{"'РП (2)'!$A$5:$S$150"}</definedName>
    <definedName name="вадло" localSheetId="43" hidden="1">{"'РП (2)'!$A$5:$S$150"}</definedName>
    <definedName name="вадло" hidden="1">{"'РП (2)'!$A$5:$S$150"}</definedName>
    <definedName name="Вариант3" localSheetId="22" hidden="1">{"'РП (2)'!$A$5:$S$150"}</definedName>
    <definedName name="Вариант3" localSheetId="43" hidden="1">{"'РП (2)'!$A$5:$S$150"}</definedName>
    <definedName name="Вариант3" hidden="1">{"'РП (2)'!$A$5:$S$150"}</definedName>
    <definedName name="ваф" localSheetId="22" hidden="1">{"'РП (2)'!$A$5:$S$150"}</definedName>
    <definedName name="ваф" localSheetId="43" hidden="1">{"'РП (2)'!$A$5:$S$150"}</definedName>
    <definedName name="ваф" hidden="1">{"'РП (2)'!$A$5:$S$150"}</definedName>
    <definedName name="вв" localSheetId="22" hidden="1">{"'РП (2)'!$A$5:$S$150"}</definedName>
    <definedName name="вв" localSheetId="43" hidden="1">{"'РП (2)'!$A$5:$S$150"}</definedName>
    <definedName name="вв" hidden="1">{"'РП (2)'!$A$5:$S$150"}</definedName>
    <definedName name="ввв" localSheetId="22" hidden="1">{"'РП (2)'!$A$5:$S$150"}</definedName>
    <definedName name="ввв" localSheetId="43" hidden="1">{"'РП (2)'!$A$5:$S$150"}</definedName>
    <definedName name="ввв" hidden="1">{"'РП (2)'!$A$5:$S$150"}</definedName>
    <definedName name="вввв" localSheetId="22" hidden="1">{"'РП (2)'!$A$5:$S$150"}</definedName>
    <definedName name="вввв" localSheetId="43" hidden="1">{"'РП (2)'!$A$5:$S$150"}</definedName>
    <definedName name="вввв" hidden="1">{"'РП (2)'!$A$5:$S$150"}</definedName>
    <definedName name="вввввввввввввввввввв" localSheetId="22" hidden="1">{"'РП (2)'!$A$5:$S$150"}</definedName>
    <definedName name="вввввввввввввввввввв" localSheetId="43" hidden="1">{"'РП (2)'!$A$5:$S$150"}</definedName>
    <definedName name="вввввввввввввввввввв" hidden="1">{"'РП (2)'!$A$5:$S$150"}</definedName>
    <definedName name="вера" localSheetId="22" hidden="1">{"'РП (2)'!$A$5:$S$150"}</definedName>
    <definedName name="вера" localSheetId="43" hidden="1">{"'РП (2)'!$A$5:$S$150"}</definedName>
    <definedName name="вера" hidden="1">{"'РП (2)'!$A$5:$S$150"}</definedName>
    <definedName name="г" localSheetId="22" hidden="1">{"'РП (2)'!$A$5:$S$150"}</definedName>
    <definedName name="г" localSheetId="43" hidden="1">{"'РП (2)'!$A$5:$S$150"}</definedName>
    <definedName name="г" hidden="1">{"'РП (2)'!$A$5:$S$150"}</definedName>
    <definedName name="гггг" localSheetId="22" hidden="1">{"'РП (2)'!$A$5:$S$150"}</definedName>
    <definedName name="гггг" localSheetId="43" hidden="1">{"'РП (2)'!$A$5:$S$150"}</definedName>
    <definedName name="гггг" hidden="1">{"'РП (2)'!$A$5:$S$150"}</definedName>
    <definedName name="гггггггггггггггг" localSheetId="22" hidden="1">{"'РП (2)'!$A$5:$S$150"}</definedName>
    <definedName name="гггггггггггггггг" localSheetId="43" hidden="1">{"'РП (2)'!$A$5:$S$150"}</definedName>
    <definedName name="гггггггггггггггг" hidden="1">{"'РП (2)'!$A$5:$S$150"}</definedName>
    <definedName name="ГМНУ" localSheetId="22" hidden="1">{"'РП (2)'!$A$5:$S$150"}</definedName>
    <definedName name="ГМНУ" localSheetId="43" hidden="1">{"'РП (2)'!$A$5:$S$150"}</definedName>
    <definedName name="ГМНУ" hidden="1">{"'РП (2)'!$A$5:$S$150"}</definedName>
    <definedName name="го" localSheetId="22" hidden="1">{"'РП (2)'!$A$5:$S$150"}</definedName>
    <definedName name="го" localSheetId="43" hidden="1">{"'РП (2)'!$A$5:$S$150"}</definedName>
    <definedName name="го" hidden="1">{"'РП (2)'!$A$5:$S$150"}</definedName>
    <definedName name="д" localSheetId="22" hidden="1">{"'РП (2)'!$A$5:$S$150"}</definedName>
    <definedName name="д" localSheetId="43" hidden="1">{"'РП (2)'!$A$5:$S$150"}</definedName>
    <definedName name="д" hidden="1">{"'РП (2)'!$A$5:$S$150"}</definedName>
    <definedName name="дд" localSheetId="22" hidden="1">{"'РП (2)'!$A$5:$S$150"}</definedName>
    <definedName name="дд" localSheetId="43" hidden="1">{"'РП (2)'!$A$5:$S$150"}</definedName>
    <definedName name="дд" hidden="1">{"'РП (2)'!$A$5:$S$150"}</definedName>
    <definedName name="дддд" localSheetId="22" hidden="1">{#N/A,#N/A,TRUE,"Лист2"}</definedName>
    <definedName name="дддд" localSheetId="43" hidden="1">{#N/A,#N/A,TRUE,"Лист2"}</definedName>
    <definedName name="дддд" hidden="1">{#N/A,#N/A,TRUE,"Лист2"}</definedName>
    <definedName name="ддддд" localSheetId="22" hidden="1">{"'РП (2)'!$A$5:$S$150"}</definedName>
    <definedName name="ддддд" localSheetId="43" hidden="1">{"'РП (2)'!$A$5:$S$150"}</definedName>
    <definedName name="ддддд" hidden="1">{"'РП (2)'!$A$5:$S$150"}</definedName>
    <definedName name="дддддд" localSheetId="22" hidden="1">{"'РП (2)'!$A$5:$S$150"}</definedName>
    <definedName name="дддддд" localSheetId="43" hidden="1">{"'РП (2)'!$A$5:$S$150"}</definedName>
    <definedName name="дддддд" hidden="1">{"'РП (2)'!$A$5:$S$150"}</definedName>
    <definedName name="дддддддддд" localSheetId="22" hidden="1">{"'РП (2)'!$A$5:$S$150"}</definedName>
    <definedName name="дддддддддд" localSheetId="43" hidden="1">{"'РП (2)'!$A$5:$S$150"}</definedName>
    <definedName name="дддддддддд" hidden="1">{"'РП (2)'!$A$5:$S$150"}</definedName>
    <definedName name="дл" localSheetId="22" hidden="1">{"'РП (2)'!$A$5:$S$150"}</definedName>
    <definedName name="дл" localSheetId="43" hidden="1">{"'РП (2)'!$A$5:$S$150"}</definedName>
    <definedName name="дл" hidden="1">{"'РП (2)'!$A$5:$S$150"}</definedName>
    <definedName name="дло" localSheetId="22" hidden="1">{"'РП (2)'!$A$5:$S$150"}</definedName>
    <definedName name="дло" localSheetId="43" hidden="1">{"'РП (2)'!$A$5:$S$150"}</definedName>
    <definedName name="дло" hidden="1">{"'РП (2)'!$A$5:$S$150"}</definedName>
    <definedName name="длошсмидш" localSheetId="22" hidden="1">{"'РП (2)'!$A$5:$S$150"}</definedName>
    <definedName name="длошсмидш" localSheetId="43" hidden="1">{"'РП (2)'!$A$5:$S$150"}</definedName>
    <definedName name="длошсмидш" hidden="1">{"'РП (2)'!$A$5:$S$150"}</definedName>
    <definedName name="длэз" localSheetId="22" hidden="1">{"'РП (2)'!$A$5:$S$150"}</definedName>
    <definedName name="длэз" localSheetId="43" hidden="1">{"'РП (2)'!$A$5:$S$150"}</definedName>
    <definedName name="длэз" hidden="1">{"'РП (2)'!$A$5:$S$150"}</definedName>
    <definedName name="Дподр09" localSheetId="23" hidden="1">#REF!</definedName>
    <definedName name="Дподр09" localSheetId="24" hidden="1">#REF!</definedName>
    <definedName name="Дподр09" localSheetId="45" hidden="1">#REF!</definedName>
    <definedName name="Дподр09" localSheetId="44" hidden="1">#REF!</definedName>
    <definedName name="Дподр09" localSheetId="26" hidden="1">#REF!</definedName>
    <definedName name="Дподр09" localSheetId="27" hidden="1">#REF!</definedName>
    <definedName name="Дподр09" localSheetId="48" hidden="1">#REF!</definedName>
    <definedName name="Дподр09" localSheetId="47" hidden="1">#REF!</definedName>
    <definedName name="Дподр09" localSheetId="17" hidden="1">#REF!</definedName>
    <definedName name="Дподр09" localSheetId="18" hidden="1">#REF!</definedName>
    <definedName name="Дподр09" localSheetId="39" hidden="1">#REF!</definedName>
    <definedName name="Дподр09" localSheetId="38" hidden="1">#REF!</definedName>
    <definedName name="Дподр09" localSheetId="14" hidden="1">#REF!</definedName>
    <definedName name="Дподр09" localSheetId="15" hidden="1">#REF!</definedName>
    <definedName name="Дподр09" localSheetId="36" hidden="1">#REF!</definedName>
    <definedName name="Дподр09" localSheetId="35" hidden="1">#REF!</definedName>
    <definedName name="Дподр09" localSheetId="11" hidden="1">#REF!</definedName>
    <definedName name="Дподр09" localSheetId="12" hidden="1">#REF!</definedName>
    <definedName name="Дподр09" localSheetId="33" hidden="1">#REF!</definedName>
    <definedName name="Дподр09" localSheetId="32" hidden="1">#REF!</definedName>
    <definedName name="Дподр09" localSheetId="20" hidden="1">#REF!</definedName>
    <definedName name="Дподр09" localSheetId="21" hidden="1">#REF!</definedName>
    <definedName name="Дподр09" localSheetId="42" hidden="1">#REF!</definedName>
    <definedName name="Дподр09" localSheetId="41" hidden="1">#REF!</definedName>
    <definedName name="Дподр09" hidden="1">#REF!</definedName>
    <definedName name="дрлж" localSheetId="22" hidden="1">{"'РП (2)'!$A$5:$S$150"}</definedName>
    <definedName name="дрлж" localSheetId="43" hidden="1">{"'РП (2)'!$A$5:$S$150"}</definedName>
    <definedName name="дрлж" hidden="1">{"'РП (2)'!$A$5:$S$150"}</definedName>
    <definedName name="ее" localSheetId="22" hidden="1">{"'РП (2)'!$A$5:$S$150"}</definedName>
    <definedName name="ее" localSheetId="43" hidden="1">{"'РП (2)'!$A$5:$S$150"}</definedName>
    <definedName name="ее" hidden="1">{"'РП (2)'!$A$5:$S$150"}</definedName>
    <definedName name="еееееееее" localSheetId="22" hidden="1">{#N/A,#N/A,TRUE,"Лист2"}</definedName>
    <definedName name="еееееееее" localSheetId="43" hidden="1">{#N/A,#N/A,TRUE,"Лист2"}</definedName>
    <definedName name="еееееееее" hidden="1">{#N/A,#N/A,TRUE,"Лист2"}</definedName>
    <definedName name="ееееееееееееееее" localSheetId="22" hidden="1">{"'РП (2)'!$A$5:$S$150"}</definedName>
    <definedName name="ееееееееееееееее" localSheetId="43" hidden="1">{"'РП (2)'!$A$5:$S$150"}</definedName>
    <definedName name="ееееееееееееееее" hidden="1">{"'РП (2)'!$A$5:$S$150"}</definedName>
    <definedName name="ек" localSheetId="22" hidden="1">{"'РП (2)'!$A$5:$S$150"}</definedName>
    <definedName name="ек" localSheetId="43" hidden="1">{"'РП (2)'!$A$5:$S$150"}</definedName>
    <definedName name="ек" hidden="1">{"'РП (2)'!$A$5:$S$150"}</definedName>
    <definedName name="екн" localSheetId="22" hidden="1">{"'РП (2)'!$A$5:$S$150"}</definedName>
    <definedName name="екн" localSheetId="43" hidden="1">{"'РП (2)'!$A$5:$S$150"}</definedName>
    <definedName name="екн" hidden="1">{"'РП (2)'!$A$5:$S$150"}</definedName>
    <definedName name="ж" localSheetId="22" hidden="1">{"'РП (2)'!$A$5:$S$150"}</definedName>
    <definedName name="ж" localSheetId="43" hidden="1">{"'РП (2)'!$A$5:$S$150"}</definedName>
    <definedName name="ж" hidden="1">{"'РП (2)'!$A$5:$S$150"}</definedName>
    <definedName name="жд" localSheetId="22" hidden="1">{"'РП (2)'!$A$5:$S$150"}</definedName>
    <definedName name="жд" localSheetId="43" hidden="1">{"'РП (2)'!$A$5:$S$150"}</definedName>
    <definedName name="жд" hidden="1">{"'РП (2)'!$A$5:$S$150"}</definedName>
    <definedName name="жж" localSheetId="22" hidden="1">{"'РП (2)'!$A$5:$S$150"}</definedName>
    <definedName name="жж" localSheetId="43" hidden="1">{"'РП (2)'!$A$5:$S$150"}</definedName>
    <definedName name="жж" hidden="1">{"'РП (2)'!$A$5:$S$150"}</definedName>
    <definedName name="жжж" localSheetId="22" hidden="1">{"'РП (2)'!$A$5:$S$150"}</definedName>
    <definedName name="жжж" localSheetId="43" hidden="1">{"'РП (2)'!$A$5:$S$150"}</definedName>
    <definedName name="жжж" hidden="1">{"'РП (2)'!$A$5:$S$150"}</definedName>
    <definedName name="жжжжж" localSheetId="22" hidden="1">{"'РП (2)'!$A$5:$S$150"}</definedName>
    <definedName name="жжжжж" localSheetId="43" hidden="1">{"'РП (2)'!$A$5:$S$150"}</definedName>
    <definedName name="жжжжж" hidden="1">{"'РП (2)'!$A$5:$S$150"}</definedName>
    <definedName name="жжжжжжж" localSheetId="22" hidden="1">{#N/A,#N/A,TRUE,"Лист2"}</definedName>
    <definedName name="жжжжжжж" localSheetId="43" hidden="1">{#N/A,#N/A,TRUE,"Лист2"}</definedName>
    <definedName name="жжжжжжж" hidden="1">{#N/A,#N/A,TRUE,"Лист2"}</definedName>
    <definedName name="жжжжз" localSheetId="22" hidden="1">{"'РП (2)'!$A$5:$S$150"}</definedName>
    <definedName name="жжжжз" localSheetId="43" hidden="1">{"'РП (2)'!$A$5:$S$150"}</definedName>
    <definedName name="жжжжз" hidden="1">{"'РП (2)'!$A$5:$S$150"}</definedName>
    <definedName name="жэзщшгн" localSheetId="22" hidden="1">{"'РП (2)'!$A$5:$S$150"}</definedName>
    <definedName name="жэзщшгн" localSheetId="43" hidden="1">{"'РП (2)'!$A$5:$S$150"}</definedName>
    <definedName name="жэзщшгн" hidden="1">{"'РП (2)'!$A$5:$S$150"}</definedName>
    <definedName name="здздздзд" localSheetId="22" hidden="1">{"'РП (2)'!$A$5:$S$150"}</definedName>
    <definedName name="здздздзд" localSheetId="43" hidden="1">{"'РП (2)'!$A$5:$S$150"}</definedName>
    <definedName name="здздздзд" hidden="1">{"'РП (2)'!$A$5:$S$150"}</definedName>
    <definedName name="зззз" localSheetId="22" hidden="1">{"'РП (2)'!$A$5:$S$150"}</definedName>
    <definedName name="зззз" localSheetId="43" hidden="1">{"'РП (2)'!$A$5:$S$150"}</definedName>
    <definedName name="зззз" hidden="1">{"'РП (2)'!$A$5:$S$150"}</definedName>
    <definedName name="ззззззззззззз" localSheetId="22" hidden="1">{"'РП (2)'!$A$5:$S$150"}</definedName>
    <definedName name="ззззззззззззз" localSheetId="43" hidden="1">{"'РП (2)'!$A$5:$S$150"}</definedName>
    <definedName name="ззззззззззззз" hidden="1">{"'РП (2)'!$A$5:$S$150"}</definedName>
    <definedName name="ззззш" localSheetId="22" hidden="1">{"'РП (2)'!$A$5:$S$150"}</definedName>
    <definedName name="ззззш" localSheetId="43" hidden="1">{"'РП (2)'!$A$5:$S$150"}</definedName>
    <definedName name="ззззш" hidden="1">{"'РП (2)'!$A$5:$S$150"}</definedName>
    <definedName name="ззщзззщзщ" localSheetId="22" hidden="1">{"'РП (2)'!$A$5:$S$150"}</definedName>
    <definedName name="ззщзззщзщ" localSheetId="43" hidden="1">{"'РП (2)'!$A$5:$S$150"}</definedName>
    <definedName name="ззщзззщзщ" hidden="1">{"'РП (2)'!$A$5:$S$150"}</definedName>
    <definedName name="зш" localSheetId="22" hidden="1">{"'РП (2)'!$A$5:$S$150"}</definedName>
    <definedName name="зш" localSheetId="43" hidden="1">{"'РП (2)'!$A$5:$S$150"}</definedName>
    <definedName name="зш" hidden="1">{"'РП (2)'!$A$5:$S$150"}</definedName>
    <definedName name="зщш" localSheetId="22" hidden="1">{"'РП (2)'!$A$5:$S$150"}</definedName>
    <definedName name="зщш" localSheetId="43" hidden="1">{"'РП (2)'!$A$5:$S$150"}</definedName>
    <definedName name="зщш" hidden="1">{"'РП (2)'!$A$5:$S$150"}</definedName>
    <definedName name="зщщщ" localSheetId="22" hidden="1">{"'РП (2)'!$A$5:$S$150"}</definedName>
    <definedName name="зщщщ" localSheetId="43" hidden="1">{"'РП (2)'!$A$5:$S$150"}</definedName>
    <definedName name="зщщщ" hidden="1">{"'РП (2)'!$A$5:$S$150"}</definedName>
    <definedName name="ии" localSheetId="22" hidden="1">{"'РП (2)'!$A$5:$S$150"}</definedName>
    <definedName name="ии" localSheetId="43" hidden="1">{"'РП (2)'!$A$5:$S$150"}</definedName>
    <definedName name="ии" hidden="1">{"'РП (2)'!$A$5:$S$150"}</definedName>
    <definedName name="ииии" localSheetId="22" hidden="1">{"'РП (2)'!$A$5:$S$150"}</definedName>
    <definedName name="ииии" localSheetId="43" hidden="1">{"'РП (2)'!$A$5:$S$150"}</definedName>
    <definedName name="ииии" hidden="1">{"'РП (2)'!$A$5:$S$150"}</definedName>
    <definedName name="иииииииииииииииииииии" localSheetId="22" hidden="1">{"'РП (2)'!$A$5:$S$150"}</definedName>
    <definedName name="иииииииииииииииииииии" localSheetId="43" hidden="1">{"'РП (2)'!$A$5:$S$150"}</definedName>
    <definedName name="иииииииииииииииииииии" hidden="1">{"'РП (2)'!$A$5:$S$150"}</definedName>
    <definedName name="иииииииииимммммммммм" localSheetId="22" hidden="1">{"'РП (2)'!$A$5:$S$150"}</definedName>
    <definedName name="иииииииииимммммммммм" localSheetId="43" hidden="1">{"'РП (2)'!$A$5:$S$150"}</definedName>
    <definedName name="иииииииииимммммммммм" hidden="1">{"'РП (2)'!$A$5:$S$150"}</definedName>
    <definedName name="иииитт" localSheetId="22" hidden="1">{"'РП (2)'!$A$5:$S$150"}</definedName>
    <definedName name="иииитт" localSheetId="43" hidden="1">{"'РП (2)'!$A$5:$S$150"}</definedName>
    <definedName name="иииитт" hidden="1">{"'РП (2)'!$A$5:$S$150"}</definedName>
    <definedName name="ииимм" localSheetId="22" hidden="1">{"'РП (2)'!$A$5:$S$150"}</definedName>
    <definedName name="ииимм" localSheetId="43" hidden="1">{"'РП (2)'!$A$5:$S$150"}</definedName>
    <definedName name="ииимм" hidden="1">{"'РП (2)'!$A$5:$S$150"}</definedName>
    <definedName name="Исполнение" localSheetId="22" hidden="1">{"'РП (2)'!$A$5:$S$150"}</definedName>
    <definedName name="Исполнение" localSheetId="43" hidden="1">{"'РП (2)'!$A$5:$S$150"}</definedName>
    <definedName name="Исполнение" hidden="1">{"'РП (2)'!$A$5:$S$150"}</definedName>
    <definedName name="ить" localSheetId="22" hidden="1">{"'РП (2)'!$A$5:$S$150"}</definedName>
    <definedName name="ить" localSheetId="43" hidden="1">{"'РП (2)'!$A$5:$S$150"}</definedName>
    <definedName name="ить" hidden="1">{"'РП (2)'!$A$5:$S$150"}</definedName>
    <definedName name="июль3" localSheetId="22" hidden="1">{"'РП (2)'!$A$5:$S$150"}</definedName>
    <definedName name="июль3" localSheetId="43" hidden="1">{"'РП (2)'!$A$5:$S$150"}</definedName>
    <definedName name="июль3" hidden="1">{"'РП (2)'!$A$5:$S$150"}</definedName>
    <definedName name="й" localSheetId="22" hidden="1">{"'РП (2)'!$A$5:$S$150"}</definedName>
    <definedName name="й" localSheetId="43" hidden="1">{"'РП (2)'!$A$5:$S$150"}</definedName>
    <definedName name="й" hidden="1">{"'РП (2)'!$A$5:$S$150"}</definedName>
    <definedName name="йй" localSheetId="22" hidden="1">{"'РП (2)'!$A$5:$S$150"}</definedName>
    <definedName name="йй" localSheetId="43" hidden="1">{"'РП (2)'!$A$5:$S$150"}</definedName>
    <definedName name="йй" hidden="1">{"'РП (2)'!$A$5:$S$150"}</definedName>
    <definedName name="ййй" localSheetId="22" hidden="1">{"'РП (2)'!$A$5:$S$150"}</definedName>
    <definedName name="ййй" localSheetId="43" hidden="1">{"'РП (2)'!$A$5:$S$150"}</definedName>
    <definedName name="ййй" hidden="1">{"'РП (2)'!$A$5:$S$150"}</definedName>
    <definedName name="ййййй" localSheetId="22" hidden="1">{"'РП (2)'!$A$5:$S$150"}</definedName>
    <definedName name="ййййй" localSheetId="43" hidden="1">{"'РП (2)'!$A$5:$S$150"}</definedName>
    <definedName name="ййййй" hidden="1">{"'РП (2)'!$A$5:$S$150"}</definedName>
    <definedName name="ййййййй" localSheetId="22" hidden="1">{"'РП (2)'!$A$5:$S$150"}</definedName>
    <definedName name="ййййййй" localSheetId="43" hidden="1">{"'РП (2)'!$A$5:$S$150"}</definedName>
    <definedName name="ййййййй" hidden="1">{"'РП (2)'!$A$5:$S$150"}</definedName>
    <definedName name="ййййййййййййй" localSheetId="22" hidden="1">{"'РП (2)'!$A$5:$S$150"}</definedName>
    <definedName name="ййййййййййййй" localSheetId="43" hidden="1">{"'РП (2)'!$A$5:$S$150"}</definedName>
    <definedName name="ййййййййййййй" hidden="1">{"'РП (2)'!$A$5:$S$150"}</definedName>
    <definedName name="ке" localSheetId="22" hidden="1">{"'РП (2)'!$A$5:$S$150"}</definedName>
    <definedName name="ке" localSheetId="43" hidden="1">{"'РП (2)'!$A$5:$S$150"}</definedName>
    <definedName name="ке" hidden="1">{"'РП (2)'!$A$5:$S$150"}</definedName>
    <definedName name="кк" localSheetId="22" hidden="1">{"'РП (2)'!$A$5:$S$150"}</definedName>
    <definedName name="кк" localSheetId="43" hidden="1">{"'РП (2)'!$A$5:$S$150"}</definedName>
    <definedName name="кк" hidden="1">{"'РП (2)'!$A$5:$S$150"}</definedName>
    <definedName name="ккк" localSheetId="22" hidden="1">{#N/A,#N/A,TRUE,"Лист2"}</definedName>
    <definedName name="ккк" localSheetId="43" hidden="1">{#N/A,#N/A,TRUE,"Лист2"}</definedName>
    <definedName name="ккк" hidden="1">{#N/A,#N/A,TRUE,"Лист2"}</definedName>
    <definedName name="ккккк" localSheetId="22" hidden="1">{"'РП (2)'!$A$5:$S$150"}</definedName>
    <definedName name="ккккк" localSheetId="43" hidden="1">{"'РП (2)'!$A$5:$S$150"}</definedName>
    <definedName name="ккккк" hidden="1">{"'РП (2)'!$A$5:$S$150"}</definedName>
    <definedName name="кккккккккккк" localSheetId="22" hidden="1">{"'РП (2)'!$A$5:$S$150"}</definedName>
    <definedName name="кккккккккккк" localSheetId="43" hidden="1">{"'РП (2)'!$A$5:$S$150"}</definedName>
    <definedName name="кккккккккккк" hidden="1">{"'РП (2)'!$A$5:$S$150"}</definedName>
    <definedName name="кл" localSheetId="22" hidden="1">{"'РП (2)'!$A$5:$S$150"}</definedName>
    <definedName name="кл" localSheetId="43" hidden="1">{"'РП (2)'!$A$5:$S$150"}</definedName>
    <definedName name="кл" hidden="1">{"'РП (2)'!$A$5:$S$150"}</definedName>
    <definedName name="км" localSheetId="22" hidden="1">{"'РП (2)'!$A$5:$S$150"}</definedName>
    <definedName name="км" localSheetId="43" hidden="1">{"'РП (2)'!$A$5:$S$150"}</definedName>
    <definedName name="км" hidden="1">{"'РП (2)'!$A$5:$S$150"}</definedName>
    <definedName name="ко" localSheetId="22" hidden="1">{"'РП (2)'!$A$5:$S$150"}</definedName>
    <definedName name="ко" localSheetId="43" hidden="1">{"'РП (2)'!$A$5:$S$150"}</definedName>
    <definedName name="ко" hidden="1">{"'РП (2)'!$A$5:$S$150"}</definedName>
    <definedName name="козёл" localSheetId="22" hidden="1">{"'РП (2)'!$A$5:$S$150"}</definedName>
    <definedName name="козёл" localSheetId="43" hidden="1">{"'РП (2)'!$A$5:$S$150"}</definedName>
    <definedName name="козёл" hidden="1">{"'РП (2)'!$A$5:$S$150"}</definedName>
    <definedName name="конф" localSheetId="22" hidden="1">{"'РП (2)'!$A$5:$S$150"}</definedName>
    <definedName name="конф" localSheetId="43" hidden="1">{"'РП (2)'!$A$5:$S$150"}</definedName>
    <definedName name="конф" hidden="1">{"'РП (2)'!$A$5:$S$150"}</definedName>
    <definedName name="копия" localSheetId="22" hidden="1">{"'РП (2)'!$A$5:$S$150"}</definedName>
    <definedName name="копия" localSheetId="43" hidden="1">{"'РП (2)'!$A$5:$S$150"}</definedName>
    <definedName name="копия" hidden="1">{"'РП (2)'!$A$5:$S$150"}</definedName>
    <definedName name="КРАСНОЯРСК" localSheetId="22" hidden="1">{"'РП (2)'!$A$5:$S$150"}</definedName>
    <definedName name="КРАСНОЯРСК" localSheetId="43" hidden="1">{"'РП (2)'!$A$5:$S$150"}</definedName>
    <definedName name="КРАСНОЯРСК" hidden="1">{"'РП (2)'!$A$5:$S$150"}</definedName>
    <definedName name="лб" localSheetId="22" hidden="1">{"'РП (2)'!$A$5:$S$150"}</definedName>
    <definedName name="лб" localSheetId="43" hidden="1">{"'РП (2)'!$A$5:$S$150"}</definedName>
    <definedName name="лб" hidden="1">{"'РП (2)'!$A$5:$S$150"}</definedName>
    <definedName name="лена" localSheetId="22" hidden="1">{"'РП (2)'!$A$5:$S$150"}</definedName>
    <definedName name="лена" localSheetId="43" hidden="1">{"'РП (2)'!$A$5:$S$150"}</definedName>
    <definedName name="лена" hidden="1">{"'РП (2)'!$A$5:$S$150"}</definedName>
    <definedName name="ленинград" localSheetId="22" hidden="1">{"'РП (2)'!$A$5:$S$150"}</definedName>
    <definedName name="ленинград" localSheetId="43" hidden="1">{"'РП (2)'!$A$5:$S$150"}</definedName>
    <definedName name="ленинград" hidden="1">{"'РП (2)'!$A$5:$S$150"}</definedName>
    <definedName name="ленинск" localSheetId="22" hidden="1">{"'РП (2)'!$A$5:$S$150"}</definedName>
    <definedName name="ленинск" localSheetId="43" hidden="1">{"'РП (2)'!$A$5:$S$150"}</definedName>
    <definedName name="ленинск" hidden="1">{"'РП (2)'!$A$5:$S$150"}</definedName>
    <definedName name="ллл" localSheetId="22" hidden="1">{"'РП (2)'!$A$5:$S$150"}</definedName>
    <definedName name="ллл" localSheetId="43" hidden="1">{"'РП (2)'!$A$5:$S$150"}</definedName>
    <definedName name="ллл" hidden="1">{"'РП (2)'!$A$5:$S$150"}</definedName>
    <definedName name="ллллллллллллллллллллллл" localSheetId="22" hidden="1">{"'РП (2)'!$A$5:$S$150"}</definedName>
    <definedName name="ллллллллллллллллллллллл" localSheetId="43" hidden="1">{"'РП (2)'!$A$5:$S$150"}</definedName>
    <definedName name="ллллллллллллллллллллллл" hidden="1">{"'РП (2)'!$A$5:$S$150"}</definedName>
    <definedName name="ллллт" localSheetId="22" hidden="1">{"'РП (2)'!$A$5:$S$150"}</definedName>
    <definedName name="ллллт" localSheetId="43" hidden="1">{"'РП (2)'!$A$5:$S$150"}</definedName>
    <definedName name="ллллт" hidden="1">{"'РП (2)'!$A$5:$S$150"}</definedName>
    <definedName name="лн" localSheetId="22" hidden="1">{"'РП (2)'!$A$5:$S$150"}</definedName>
    <definedName name="лн" localSheetId="43" hidden="1">{"'РП (2)'!$A$5:$S$150"}</definedName>
    <definedName name="лн" hidden="1">{"'РП (2)'!$A$5:$S$150"}</definedName>
    <definedName name="ло" localSheetId="22" hidden="1">{"'РП (2)'!$A$5:$S$150"}</definedName>
    <definedName name="ло" localSheetId="43" hidden="1">{"'РП (2)'!$A$5:$S$150"}</definedName>
    <definedName name="ло" hidden="1">{"'РП (2)'!$A$5:$S$150"}</definedName>
    <definedName name="лол" localSheetId="22" hidden="1">{"'РП (2)'!$A$5:$S$150"}</definedName>
    <definedName name="лол" localSheetId="43" hidden="1">{"'РП (2)'!$A$5:$S$150"}</definedName>
    <definedName name="лол" hidden="1">{"'РП (2)'!$A$5:$S$150"}</definedName>
    <definedName name="лор" localSheetId="22" hidden="1">{"'РП (2)'!$A$5:$S$150"}</definedName>
    <definedName name="лор" localSheetId="43" hidden="1">{"'РП (2)'!$A$5:$S$150"}</definedName>
    <definedName name="лор" hidden="1">{"'РП (2)'!$A$5:$S$150"}</definedName>
    <definedName name="лр" localSheetId="22" hidden="1">{"'РП (2)'!$A$5:$S$150"}</definedName>
    <definedName name="лр" localSheetId="43" hidden="1">{"'РП (2)'!$A$5:$S$150"}</definedName>
    <definedName name="лр" hidden="1">{"'РП (2)'!$A$5:$S$150"}</definedName>
    <definedName name="лс" localSheetId="22" hidden="1">{#N/A,#N/A,TRUE,"Лист2"}</definedName>
    <definedName name="лс" localSheetId="43" hidden="1">{#N/A,#N/A,TRUE,"Лист2"}</definedName>
    <definedName name="лс" hidden="1">{#N/A,#N/A,TRUE,"Лист2"}</definedName>
    <definedName name="мм" localSheetId="22" hidden="1">{"'РП (2)'!$A$5:$S$150"}</definedName>
    <definedName name="мм" localSheetId="43" hidden="1">{"'РП (2)'!$A$5:$S$150"}</definedName>
    <definedName name="мм" hidden="1">{"'РП (2)'!$A$5:$S$150"}</definedName>
    <definedName name="ммм" localSheetId="22" hidden="1">{"'РП (2)'!$A$5:$S$150"}</definedName>
    <definedName name="ммм" localSheetId="43" hidden="1">{"'РП (2)'!$A$5:$S$150"}</definedName>
    <definedName name="ммм" hidden="1">{"'РП (2)'!$A$5:$S$150"}</definedName>
    <definedName name="мммм" localSheetId="22" hidden="1">{"'РП (2)'!$A$5:$S$150"}</definedName>
    <definedName name="мммм" localSheetId="43" hidden="1">{"'РП (2)'!$A$5:$S$150"}</definedName>
    <definedName name="мммм" hidden="1">{"'РП (2)'!$A$5:$S$150"}</definedName>
    <definedName name="мммммммммммммммммммм" localSheetId="22" hidden="1">{"'РП (2)'!$A$5:$S$150"}</definedName>
    <definedName name="мммммммммммммммммммм" localSheetId="43" hidden="1">{"'РП (2)'!$A$5:$S$150"}</definedName>
    <definedName name="мммммммммммммммммммм" hidden="1">{"'РП (2)'!$A$5:$S$150"}</definedName>
    <definedName name="ммммммммммммммммммммммммм" localSheetId="22" hidden="1">{"'РП (2)'!$A$5:$S$150"}</definedName>
    <definedName name="ммммммммммммммммммммммммм" localSheetId="43" hidden="1">{"'РП (2)'!$A$5:$S$150"}</definedName>
    <definedName name="ммммммммммммммммммммммммм" hidden="1">{"'РП (2)'!$A$5:$S$150"}</definedName>
    <definedName name="москва" localSheetId="22" hidden="1">{"'РП (2)'!$A$5:$S$150"}</definedName>
    <definedName name="москва" localSheetId="43" hidden="1">{"'РП (2)'!$A$5:$S$150"}</definedName>
    <definedName name="москва" hidden="1">{"'РП (2)'!$A$5:$S$150"}</definedName>
    <definedName name="мы" localSheetId="22" hidden="1">{"'РП (2)'!$A$5:$S$150"}</definedName>
    <definedName name="мы" localSheetId="43" hidden="1">{"'РП (2)'!$A$5:$S$150"}</definedName>
    <definedName name="мы" hidden="1">{"'РП (2)'!$A$5:$S$150"}</definedName>
    <definedName name="н" localSheetId="22" hidden="1">{"'РП (2)'!$A$5:$S$150"}</definedName>
    <definedName name="н" localSheetId="43" hidden="1">{"'РП (2)'!$A$5:$S$150"}</definedName>
    <definedName name="н" hidden="1">{"'РП (2)'!$A$5:$S$150"}</definedName>
    <definedName name="Назарово" localSheetId="22" hidden="1">{"'РП (2)'!$A$5:$S$150"}</definedName>
    <definedName name="Назарово" localSheetId="43" hidden="1">{"'РП (2)'!$A$5:$S$150"}</definedName>
    <definedName name="Назарово" hidden="1">{"'РП (2)'!$A$5:$S$150"}</definedName>
    <definedName name="Назарово_1151" localSheetId="22" hidden="1">{"'РП (2)'!$A$5:$S$150"}</definedName>
    <definedName name="Назарово_1151" localSheetId="43" hidden="1">{"'РП (2)'!$A$5:$S$150"}</definedName>
    <definedName name="Назарово_1151" hidden="1">{"'РП (2)'!$A$5:$S$150"}</definedName>
    <definedName name="назаровский" localSheetId="22" hidden="1">{"'РП (2)'!$A$5:$S$150"}</definedName>
    <definedName name="назаровский" localSheetId="43" hidden="1">{"'РП (2)'!$A$5:$S$150"}</definedName>
    <definedName name="назаровский" hidden="1">{"'РП (2)'!$A$5:$S$150"}</definedName>
    <definedName name="нарастание" localSheetId="22" hidden="1">{"'РП (2)'!$A$5:$S$150"}</definedName>
    <definedName name="нарастание" localSheetId="43" hidden="1">{"'РП (2)'!$A$5:$S$150"}</definedName>
    <definedName name="нарастание" hidden="1">{"'РП (2)'!$A$5:$S$150"}</definedName>
    <definedName name="нет" localSheetId="22" hidden="1">{"'РП (2)'!$A$5:$S$150"}</definedName>
    <definedName name="нет" localSheetId="43" hidden="1">{"'РП (2)'!$A$5:$S$150"}</definedName>
    <definedName name="нет" hidden="1">{"'РП (2)'!$A$5:$S$150"}</definedName>
    <definedName name="нк" localSheetId="22" hidden="1">{"'РП (2)'!$A$5:$S$150"}</definedName>
    <definedName name="нк" localSheetId="43" hidden="1">{"'РП (2)'!$A$5:$S$150"}</definedName>
    <definedName name="нк" hidden="1">{"'РП (2)'!$A$5:$S$150"}</definedName>
    <definedName name="нннннннннннн" localSheetId="22" hidden="1">{"'РП (2)'!$A$5:$S$150"}</definedName>
    <definedName name="нннннннннннн" localSheetId="43" hidden="1">{"'РП (2)'!$A$5:$S$150"}</definedName>
    <definedName name="нннннннннннн" hidden="1">{"'РП (2)'!$A$5:$S$150"}</definedName>
    <definedName name="_xlnm.Print_Area" localSheetId="23">ESDE240!$A$3:$O$32</definedName>
    <definedName name="_xlnm.Print_Area" localSheetId="44">ESDE240_1!$A$3:$O$32</definedName>
    <definedName name="_xlnm.Print_Area" localSheetId="26">'NHL NTE240'!$A$1:$Y$31</definedName>
    <definedName name="_xlnm.Print_Area" localSheetId="47">'NHL NTE240_1'!$A$1:$Y$31</definedName>
    <definedName name="_xlnm.Print_Area" localSheetId="17">SANY!$A$3:$Q$32</definedName>
    <definedName name="_xlnm.Print_Area" localSheetId="38">SANY_1!$A$3:$Q$32</definedName>
    <definedName name="_xlnm.Print_Area" localSheetId="14">TZCO!$A$3:$M$32</definedName>
    <definedName name="_xlnm.Print_Area" localSheetId="35">TZCO_1!$A$3:$M$32</definedName>
    <definedName name="_xlnm.Print_Area" localSheetId="11">БелАЗ!$A$3:$O$31</definedName>
    <definedName name="_xlnm.Print_Area" localSheetId="32">БелАЗ_1!$A$3:$O$31</definedName>
    <definedName name="_xlnm.Print_Area" localSheetId="20">БелАЗ_Б!$A$3:$O$32</definedName>
    <definedName name="_xlnm.Print_Area" localSheetId="41">БелАЗ_Б_1!$A$3:$O$32</definedName>
    <definedName name="Общеж." localSheetId="22" hidden="1">{"'РП (2)'!$A$5:$S$150"}</definedName>
    <definedName name="Общеж." localSheetId="43" hidden="1">{"'РП (2)'!$A$5:$S$150"}</definedName>
    <definedName name="Общеж." hidden="1">{"'РП (2)'!$A$5:$S$150"}</definedName>
    <definedName name="оля" localSheetId="24" hidden="1">#REF!</definedName>
    <definedName name="оля" localSheetId="45" hidden="1">#REF!</definedName>
    <definedName name="оля" localSheetId="27" hidden="1">#REF!</definedName>
    <definedName name="оля" localSheetId="48" hidden="1">#REF!</definedName>
    <definedName name="оля" localSheetId="18" hidden="1">#REF!</definedName>
    <definedName name="оля" localSheetId="39" hidden="1">#REF!</definedName>
    <definedName name="оля" localSheetId="15" hidden="1">#REF!</definedName>
    <definedName name="оля" localSheetId="36" hidden="1">#REF!</definedName>
    <definedName name="оля" localSheetId="12" hidden="1">#REF!</definedName>
    <definedName name="оля" localSheetId="33" hidden="1">#REF!</definedName>
    <definedName name="оля" localSheetId="21" hidden="1">#REF!</definedName>
    <definedName name="оля" localSheetId="42" hidden="1">#REF!</definedName>
    <definedName name="оля" hidden="1">#REF!</definedName>
    <definedName name="оо" localSheetId="22" hidden="1">{"'РП (2)'!$A$5:$S$150"}</definedName>
    <definedName name="оо" localSheetId="43" hidden="1">{"'РП (2)'!$A$5:$S$150"}</definedName>
    <definedName name="оо" hidden="1">{"'РП (2)'!$A$5:$S$150"}</definedName>
    <definedName name="оолдж" localSheetId="22" hidden="1">{"'РП (2)'!$A$5:$S$150"}</definedName>
    <definedName name="оолдж" localSheetId="43" hidden="1">{"'РП (2)'!$A$5:$S$150"}</definedName>
    <definedName name="оолдж" hidden="1">{"'РП (2)'!$A$5:$S$150"}</definedName>
    <definedName name="ооод" localSheetId="22" hidden="1">{"'РП (2)'!$A$5:$S$150"}</definedName>
    <definedName name="ооод" localSheetId="43" hidden="1">{"'РП (2)'!$A$5:$S$150"}</definedName>
    <definedName name="ооод" hidden="1">{"'РП (2)'!$A$5:$S$150"}</definedName>
    <definedName name="ооож" localSheetId="22" hidden="1">{"'РП (2)'!$A$5:$S$150"}</definedName>
    <definedName name="ооож" localSheetId="43" hidden="1">{"'РП (2)'!$A$5:$S$150"}</definedName>
    <definedName name="ооож" hidden="1">{"'РП (2)'!$A$5:$S$150"}</definedName>
    <definedName name="оооо" localSheetId="22" hidden="1">{#N/A,#N/A,TRUE,"Лист2"}</definedName>
    <definedName name="оооо" localSheetId="43" hidden="1">{#N/A,#N/A,TRUE,"Лист2"}</definedName>
    <definedName name="оооо" hidden="1">{#N/A,#N/A,TRUE,"Лист2"}</definedName>
    <definedName name="ооооооооо" localSheetId="22" hidden="1">{"'РП (2)'!$A$5:$S$150"}</definedName>
    <definedName name="ооооооооо" localSheetId="43" hidden="1">{"'РП (2)'!$A$5:$S$150"}</definedName>
    <definedName name="ооооооооо" hidden="1">{"'РП (2)'!$A$5:$S$150"}</definedName>
    <definedName name="оооооооооооооооооо" localSheetId="22" hidden="1">{"'РП (2)'!$A$5:$S$150"}</definedName>
    <definedName name="оооооооооооооооооо" localSheetId="43" hidden="1">{"'РП (2)'!$A$5:$S$150"}</definedName>
    <definedName name="оооооооооооооооооо" hidden="1">{"'РП (2)'!$A$5:$S$150"}</definedName>
    <definedName name="оооэхз" localSheetId="22" hidden="1">{"'РП (2)'!$A$5:$S$150"}</definedName>
    <definedName name="оооэхз" localSheetId="43" hidden="1">{"'РП (2)'!$A$5:$S$150"}</definedName>
    <definedName name="оооэхз" hidden="1">{"'РП (2)'!$A$5:$S$150"}</definedName>
    <definedName name="оштлош" localSheetId="22" hidden="1">{"'РП (2)'!$A$5:$S$150"}</definedName>
    <definedName name="оштлош" localSheetId="43" hidden="1">{"'РП (2)'!$A$5:$S$150"}</definedName>
    <definedName name="оштлош" hidden="1">{"'РП (2)'!$A$5:$S$150"}</definedName>
    <definedName name="ощлщл" localSheetId="22" hidden="1">{"'РП (2)'!$A$5:$S$150"}</definedName>
    <definedName name="ощлщл" localSheetId="43" hidden="1">{"'РП (2)'!$A$5:$S$150"}</definedName>
    <definedName name="ощлщл" hidden="1">{"'РП (2)'!$A$5:$S$150"}</definedName>
    <definedName name="па" localSheetId="22" hidden="1">{"'РП (2)'!$A$5:$S$150"}</definedName>
    <definedName name="па" localSheetId="43" hidden="1">{"'РП (2)'!$A$5:$S$150"}</definedName>
    <definedName name="па" hidden="1">{"'РП (2)'!$A$5:$S$150"}</definedName>
    <definedName name="палрмапоапол" localSheetId="24" hidden="1">#REF!,#REF!</definedName>
    <definedName name="палрмапоапол" localSheetId="45" hidden="1">#REF!,#REF!</definedName>
    <definedName name="палрмапоапол" localSheetId="27" hidden="1">#REF!,#REF!</definedName>
    <definedName name="палрмапоапол" localSheetId="48" hidden="1">#REF!,#REF!</definedName>
    <definedName name="палрмапоапол" localSheetId="18" hidden="1">#REF!,#REF!</definedName>
    <definedName name="палрмапоапол" localSheetId="39" hidden="1">#REF!,#REF!</definedName>
    <definedName name="палрмапоапол" localSheetId="15" hidden="1">#REF!,#REF!</definedName>
    <definedName name="палрмапоапол" localSheetId="36" hidden="1">#REF!,#REF!</definedName>
    <definedName name="палрмапоапол" localSheetId="12" hidden="1">#REF!,#REF!</definedName>
    <definedName name="палрмапоапол" localSheetId="33" hidden="1">#REF!,#REF!</definedName>
    <definedName name="палрмапоапол" localSheetId="21" hidden="1">#REF!,#REF!</definedName>
    <definedName name="палрмапоапол" localSheetId="42" hidden="1">#REF!,#REF!</definedName>
    <definedName name="палрмапоапол" hidden="1">#REF!,#REF!</definedName>
    <definedName name="пе" localSheetId="22" hidden="1">{"'РП (2)'!$A$5:$S$150"}</definedName>
    <definedName name="пе" localSheetId="43" hidden="1">{"'РП (2)'!$A$5:$S$150"}</definedName>
    <definedName name="пе" hidden="1">{"'РП (2)'!$A$5:$S$150"}</definedName>
    <definedName name="План" localSheetId="22" hidden="1">{"'РП (2)'!$A$5:$S$150"}</definedName>
    <definedName name="План" localSheetId="43" hidden="1">{"'РП (2)'!$A$5:$S$150"}</definedName>
    <definedName name="План" hidden="1">{"'РП (2)'!$A$5:$S$150"}</definedName>
    <definedName name="пп" localSheetId="22" hidden="1">{"'РП (2)'!$A$5:$S$150"}</definedName>
    <definedName name="пп" localSheetId="43" hidden="1">{"'РП (2)'!$A$5:$S$150"}</definedName>
    <definedName name="пп" hidden="1">{"'РП (2)'!$A$5:$S$150"}</definedName>
    <definedName name="пппп" localSheetId="22" hidden="1">{#N/A,#N/A,TRUE,"Лист2"}</definedName>
    <definedName name="пппп" localSheetId="43" hidden="1">{#N/A,#N/A,TRUE,"Лист2"}</definedName>
    <definedName name="пппп" hidden="1">{#N/A,#N/A,TRUE,"Лист2"}</definedName>
    <definedName name="ппппппп" localSheetId="22" hidden="1">{"'РП (2)'!$A$5:$S$150"}</definedName>
    <definedName name="ппппппп" localSheetId="43" hidden="1">{"'РП (2)'!$A$5:$S$150"}</definedName>
    <definedName name="ппппппп" hidden="1">{"'РП (2)'!$A$5:$S$150"}</definedName>
    <definedName name="пппппппппппппппппппппппп" localSheetId="22" hidden="1">{"'РП (2)'!$A$5:$S$150"}</definedName>
    <definedName name="пппппппппппппппппппппппп" localSheetId="43" hidden="1">{"'РП (2)'!$A$5:$S$150"}</definedName>
    <definedName name="пппппппппппппппппппппппп" hidden="1">{"'РП (2)'!$A$5:$S$150"}</definedName>
    <definedName name="прибыль" localSheetId="22" hidden="1">{"'РП (2)'!$A$5:$S$150"}</definedName>
    <definedName name="прибыль" localSheetId="43" hidden="1">{"'РП (2)'!$A$5:$S$150"}</definedName>
    <definedName name="прибыль" hidden="1">{"'РП (2)'!$A$5:$S$150"}</definedName>
    <definedName name="пром" localSheetId="22" hidden="1">{"'РП (2)'!$A$5:$S$150"}</definedName>
    <definedName name="пром" localSheetId="43" hidden="1">{"'РП (2)'!$A$5:$S$150"}</definedName>
    <definedName name="пром" hidden="1">{"'РП (2)'!$A$5:$S$150"}</definedName>
    <definedName name="прпрп" localSheetId="24" hidden="1">#REF!,#REF!</definedName>
    <definedName name="прпрп" localSheetId="45" hidden="1">#REF!,#REF!</definedName>
    <definedName name="прпрп" localSheetId="27" hidden="1">#REF!,#REF!</definedName>
    <definedName name="прпрп" localSheetId="48" hidden="1">#REF!,#REF!</definedName>
    <definedName name="прпрп" localSheetId="18" hidden="1">#REF!,#REF!</definedName>
    <definedName name="прпрп" localSheetId="39" hidden="1">#REF!,#REF!</definedName>
    <definedName name="прпрп" localSheetId="15" hidden="1">#REF!,#REF!</definedName>
    <definedName name="прпрп" localSheetId="36" hidden="1">#REF!,#REF!</definedName>
    <definedName name="прпрп" localSheetId="12" hidden="1">#REF!,#REF!</definedName>
    <definedName name="прпрп" localSheetId="33" hidden="1">#REF!,#REF!</definedName>
    <definedName name="прпрп" localSheetId="21" hidden="1">#REF!,#REF!</definedName>
    <definedName name="прпрп" localSheetId="42" hidden="1">#REF!,#REF!</definedName>
    <definedName name="прпрп" hidden="1">#REF!,#REF!</definedName>
    <definedName name="пту1" localSheetId="22" hidden="1">{"'РП (2)'!$A$5:$S$150"}</definedName>
    <definedName name="пту1" localSheetId="43" hidden="1">{"'РП (2)'!$A$5:$S$150"}</definedName>
    <definedName name="пту1" hidden="1">{"'РП (2)'!$A$5:$S$150"}</definedName>
    <definedName name="пыпыппывапа" localSheetId="24" hidden="1">#REF!,#REF!,#REF!</definedName>
    <definedName name="пыпыппывапа" localSheetId="45" hidden="1">#REF!,#REF!,#REF!</definedName>
    <definedName name="пыпыппывапа" localSheetId="27" hidden="1">#REF!,#REF!,#REF!</definedName>
    <definedName name="пыпыппывапа" localSheetId="48" hidden="1">#REF!,#REF!,#REF!</definedName>
    <definedName name="пыпыппывапа" localSheetId="18" hidden="1">#REF!,#REF!,#REF!</definedName>
    <definedName name="пыпыппывапа" localSheetId="39" hidden="1">#REF!,#REF!,#REF!</definedName>
    <definedName name="пыпыппывапа" localSheetId="15" hidden="1">#REF!,#REF!,#REF!</definedName>
    <definedName name="пыпыппывапа" localSheetId="36" hidden="1">#REF!,#REF!,#REF!</definedName>
    <definedName name="пыпыппывапа" localSheetId="12" hidden="1">#REF!,#REF!,#REF!</definedName>
    <definedName name="пыпыппывапа" localSheetId="33" hidden="1">#REF!,#REF!,#REF!</definedName>
    <definedName name="пыпыппывапа" localSheetId="21" hidden="1">#REF!,#REF!,#REF!</definedName>
    <definedName name="пыпыппывапа" localSheetId="42" hidden="1">#REF!,#REF!,#REF!</definedName>
    <definedName name="пыпыппывапа" hidden="1">#REF!,#REF!,#REF!</definedName>
    <definedName name="ПЭБ" localSheetId="22" hidden="1">{"'РП (2)'!$A$5:$S$150"}</definedName>
    <definedName name="ПЭБ" localSheetId="43" hidden="1">{"'РП (2)'!$A$5:$S$150"}</definedName>
    <definedName name="ПЭБ" hidden="1">{"'РП (2)'!$A$5:$S$150"}</definedName>
    <definedName name="Рабочие" localSheetId="22" hidden="1">{"'РП (2)'!$A$5:$S$150"}</definedName>
    <definedName name="Рабочие" localSheetId="43" hidden="1">{"'РП (2)'!$A$5:$S$150"}</definedName>
    <definedName name="Рабочие" hidden="1">{"'РП (2)'!$A$5:$S$150"}</definedName>
    <definedName name="расчет" localSheetId="22" hidden="1">{"'РП (2)'!$A$5:$S$150"}</definedName>
    <definedName name="расчет" localSheetId="43" hidden="1">{"'РП (2)'!$A$5:$S$150"}</definedName>
    <definedName name="расчет" hidden="1">{"'РП (2)'!$A$5:$S$150"}</definedName>
    <definedName name="рл" localSheetId="22" hidden="1">{"'РП (2)'!$A$5:$S$150"}</definedName>
    <definedName name="рл" localSheetId="43" hidden="1">{"'РП (2)'!$A$5:$S$150"}</definedName>
    <definedName name="рл" hidden="1">{"'РП (2)'!$A$5:$S$150"}</definedName>
    <definedName name="ролдж" localSheetId="22" hidden="1">{"'РП (2)'!$A$5:$S$150"}</definedName>
    <definedName name="ролдж" localSheetId="43" hidden="1">{"'РП (2)'!$A$5:$S$150"}</definedName>
    <definedName name="ролдж" hidden="1">{"'РП (2)'!$A$5:$S$150"}</definedName>
    <definedName name="рпо" localSheetId="22" hidden="1">{"'РП (2)'!$A$5:$S$150"}</definedName>
    <definedName name="рпо" localSheetId="43" hidden="1">{"'РП (2)'!$A$5:$S$150"}</definedName>
    <definedName name="рпо" hidden="1">{"'РП (2)'!$A$5:$S$150"}</definedName>
    <definedName name="рр" localSheetId="22" hidden="1">{"'РП (2)'!$A$5:$S$150"}</definedName>
    <definedName name="рр" localSheetId="43" hidden="1">{"'РП (2)'!$A$5:$S$150"}</definedName>
    <definedName name="рр" hidden="1">{"'РП (2)'!$A$5:$S$150"}</definedName>
    <definedName name="рролдж" localSheetId="22" hidden="1">{"'РП (2)'!$A$5:$S$150"}</definedName>
    <definedName name="рролдж" localSheetId="43" hidden="1">{"'РП (2)'!$A$5:$S$150"}</definedName>
    <definedName name="рролдж" hidden="1">{"'РП (2)'!$A$5:$S$150"}</definedName>
    <definedName name="рроророророр" localSheetId="22" hidden="1">{"'РП (2)'!$A$5:$S$150"}</definedName>
    <definedName name="рроророророр" localSheetId="43" hidden="1">{"'РП (2)'!$A$5:$S$150"}</definedName>
    <definedName name="рроророророр" hidden="1">{"'РП (2)'!$A$5:$S$150"}</definedName>
    <definedName name="ррр" localSheetId="22" hidden="1">{"'РП (2)'!$A$5:$S$150"}</definedName>
    <definedName name="ррр" localSheetId="43" hidden="1">{"'РП (2)'!$A$5:$S$150"}</definedName>
    <definedName name="ррр" hidden="1">{"'РП (2)'!$A$5:$S$150"}</definedName>
    <definedName name="рррр" localSheetId="22" hidden="1">{#N/A,#N/A,TRUE,"Лист2"}</definedName>
    <definedName name="рррр" localSheetId="43" hidden="1">{#N/A,#N/A,TRUE,"Лист2"}</definedName>
    <definedName name="рррр" hidden="1">{#N/A,#N/A,TRUE,"Лист2"}</definedName>
    <definedName name="ррррр" localSheetId="22" hidden="1">{"'РП (2)'!$A$5:$S$150"}</definedName>
    <definedName name="ррррр" localSheetId="43" hidden="1">{"'РП (2)'!$A$5:$S$150"}</definedName>
    <definedName name="ррррр" hidden="1">{"'РП (2)'!$A$5:$S$150"}</definedName>
    <definedName name="ррррррр" localSheetId="22" hidden="1">{"'РП (2)'!$A$5:$S$150"}</definedName>
    <definedName name="ррррррр" localSheetId="43" hidden="1">{"'РП (2)'!$A$5:$S$150"}</definedName>
    <definedName name="ррррррр" hidden="1">{"'РП (2)'!$A$5:$S$150"}</definedName>
    <definedName name="рррррррр" localSheetId="22" hidden="1">{"'РП (2)'!$A$5:$S$150"}</definedName>
    <definedName name="рррррррр" localSheetId="43" hidden="1">{"'РП (2)'!$A$5:$S$150"}</definedName>
    <definedName name="рррррррр" hidden="1">{"'РП (2)'!$A$5:$S$150"}</definedName>
    <definedName name="ррррррррррррррр" localSheetId="22" hidden="1">{"'РП (2)'!$A$5:$S$150"}</definedName>
    <definedName name="ррррррррррррррр" localSheetId="43" hidden="1">{"'РП (2)'!$A$5:$S$150"}</definedName>
    <definedName name="ррррррррррррррр" hidden="1">{"'РП (2)'!$A$5:$S$150"}</definedName>
    <definedName name="руков" localSheetId="22" hidden="1">{"'РП (2)'!$A$5:$S$150"}</definedName>
    <definedName name="руков" localSheetId="43" hidden="1">{"'РП (2)'!$A$5:$S$150"}</definedName>
    <definedName name="руков" hidden="1">{"'РП (2)'!$A$5:$S$150"}</definedName>
    <definedName name="с" localSheetId="22" hidden="1">{#N/A,#N/A,TRUE,"Лист2"}</definedName>
    <definedName name="с" localSheetId="43" hidden="1">{#N/A,#N/A,TRUE,"Лист2"}</definedName>
    <definedName name="с" hidden="1">{#N/A,#N/A,TRUE,"Лист2"}</definedName>
    <definedName name="совм" localSheetId="22" hidden="1">{"'РП (2)'!$A$5:$S$150"}</definedName>
    <definedName name="совм" localSheetId="43" hidden="1">{"'РП (2)'!$A$5:$S$150"}</definedName>
    <definedName name="совм" hidden="1">{"'РП (2)'!$A$5:$S$150"}</definedName>
    <definedName name="справочник" localSheetId="22" hidden="1">{#N/A,#N/A,TRUE,"Лист2"}</definedName>
    <definedName name="справочник" localSheetId="43" hidden="1">{#N/A,#N/A,TRUE,"Лист2"}</definedName>
    <definedName name="справочник" hidden="1">{#N/A,#N/A,TRUE,"Лист2"}</definedName>
    <definedName name="сс" localSheetId="22" hidden="1">{"'РП (2)'!$A$5:$S$150"}</definedName>
    <definedName name="сс" localSheetId="43" hidden="1">{"'РП (2)'!$A$5:$S$150"}</definedName>
    <definedName name="сс" hidden="1">{"'РП (2)'!$A$5:$S$150"}</definedName>
    <definedName name="сссс" localSheetId="22" hidden="1">{"'РП (2)'!$A$5:$S$150"}</definedName>
    <definedName name="сссс" localSheetId="43" hidden="1">{"'РП (2)'!$A$5:$S$150"}</definedName>
    <definedName name="сссс" hidden="1">{"'РП (2)'!$A$5:$S$150"}</definedName>
    <definedName name="сссссс" localSheetId="22" hidden="1">{"'РП (2)'!$A$5:$S$150"}</definedName>
    <definedName name="сссссс" localSheetId="43" hidden="1">{"'РП (2)'!$A$5:$S$150"}</definedName>
    <definedName name="сссссс" hidden="1">{"'РП (2)'!$A$5:$S$150"}</definedName>
    <definedName name="сссссссссссммммммммммм" localSheetId="22" hidden="1">{"'РП (2)'!$A$5:$S$150"}</definedName>
    <definedName name="сссссссссссммммммммммм" localSheetId="43" hidden="1">{"'РП (2)'!$A$5:$S$150"}</definedName>
    <definedName name="сссссссссссммммммммммм" hidden="1">{"'РП (2)'!$A$5:$S$150"}</definedName>
    <definedName name="сссссссссссссс" localSheetId="22" hidden="1">{"'РП (2)'!$A$5:$S$150"}</definedName>
    <definedName name="сссссссссссссс" localSheetId="43" hidden="1">{"'РП (2)'!$A$5:$S$150"}</definedName>
    <definedName name="сссссссссссссс" hidden="1">{"'РП (2)'!$A$5:$S$150"}</definedName>
    <definedName name="сссссссссссссссссссссс" localSheetId="22" hidden="1">{"'РП (2)'!$A$5:$S$150"}</definedName>
    <definedName name="сссссссссссссссссссссс" localSheetId="43" hidden="1">{"'РП (2)'!$A$5:$S$150"}</definedName>
    <definedName name="сссссссссссссссссссссс" hidden="1">{"'РП (2)'!$A$5:$S$150"}</definedName>
    <definedName name="т" localSheetId="22" hidden="1">{"'РП (2)'!$A$5:$S$150"}</definedName>
    <definedName name="т" localSheetId="43" hidden="1">{"'РП (2)'!$A$5:$S$150"}</definedName>
    <definedName name="т" hidden="1">{"'РП (2)'!$A$5:$S$150"}</definedName>
    <definedName name="тмт" localSheetId="22" hidden="1">{"'РП (2)'!$A$5:$S$150"}</definedName>
    <definedName name="тмт" localSheetId="43" hidden="1">{"'РП (2)'!$A$5:$S$150"}</definedName>
    <definedName name="тмт" hidden="1">{"'РП (2)'!$A$5:$S$150"}</definedName>
    <definedName name="томск" localSheetId="22" hidden="1">{"'РП (2)'!$A$5:$S$150"}</definedName>
    <definedName name="томск" localSheetId="43" hidden="1">{"'РП (2)'!$A$5:$S$150"}</definedName>
    <definedName name="томск" hidden="1">{"'РП (2)'!$A$5:$S$150"}</definedName>
    <definedName name="тттт" localSheetId="22" hidden="1">{"'РП (2)'!$A$5:$S$150"}</definedName>
    <definedName name="тттт" localSheetId="43" hidden="1">{"'РП (2)'!$A$5:$S$150"}</definedName>
    <definedName name="тттт" hidden="1">{"'РП (2)'!$A$5:$S$150"}</definedName>
    <definedName name="тттттт" localSheetId="22" hidden="1">{"'РП (2)'!$A$5:$S$150"}</definedName>
    <definedName name="тттттт" localSheetId="43" hidden="1">{"'РП (2)'!$A$5:$S$150"}</definedName>
    <definedName name="тттттт" hidden="1">{"'РП (2)'!$A$5:$S$150"}</definedName>
    <definedName name="ттттттттттттт" localSheetId="22" hidden="1">{"'РП (2)'!$A$5:$S$150"}</definedName>
    <definedName name="ттттттттттттт" localSheetId="43" hidden="1">{"'РП (2)'!$A$5:$S$150"}</definedName>
    <definedName name="ттттттттттттт" hidden="1">{"'РП (2)'!$A$5:$S$150"}</definedName>
    <definedName name="тттттттттттттттттттттт" localSheetId="22" hidden="1">{"'РП (2)'!$A$5:$S$150"}</definedName>
    <definedName name="тттттттттттттттттттттт" localSheetId="43" hidden="1">{"'РП (2)'!$A$5:$S$150"}</definedName>
    <definedName name="тттттттттттттттттттттт" hidden="1">{"'РП (2)'!$A$5:$S$150"}</definedName>
    <definedName name="тьб" localSheetId="22" hidden="1">{"'РП (2)'!$A$5:$S$150"}</definedName>
    <definedName name="тьб" localSheetId="43" hidden="1">{"'РП (2)'!$A$5:$S$150"}</definedName>
    <definedName name="тьб" hidden="1">{"'РП (2)'!$A$5:$S$150"}</definedName>
    <definedName name="тьтьтьтьт" localSheetId="22" hidden="1">{"'РП (2)'!$A$5:$S$150"}</definedName>
    <definedName name="тьтьтьтьт" localSheetId="43" hidden="1">{"'РП (2)'!$A$5:$S$150"}</definedName>
    <definedName name="тьтьтьтьт" hidden="1">{"'РП (2)'!$A$5:$S$150"}</definedName>
    <definedName name="тьтьтььтм" localSheetId="22" hidden="1">{"'РП (2)'!$A$5:$S$150"}</definedName>
    <definedName name="тьтьтььтм" localSheetId="43" hidden="1">{"'РП (2)'!$A$5:$S$150"}</definedName>
    <definedName name="тьтьтььтм" hidden="1">{"'РП (2)'!$A$5:$S$150"}</definedName>
    <definedName name="тэп" localSheetId="22" hidden="1">{"'РП (2)'!$A$5:$S$150"}</definedName>
    <definedName name="тэп" localSheetId="43" hidden="1">{"'РП (2)'!$A$5:$S$150"}</definedName>
    <definedName name="тэп" hidden="1">{"'РП (2)'!$A$5:$S$150"}</definedName>
    <definedName name="у" localSheetId="22" hidden="1">{"'РП (2)'!$A$5:$S$150"}</definedName>
    <definedName name="у" localSheetId="43" hidden="1">{"'РП (2)'!$A$5:$S$150"}</definedName>
    <definedName name="у" hidden="1">{"'РП (2)'!$A$5:$S$150"}</definedName>
    <definedName name="уу" localSheetId="22" hidden="1">{"'РП (2)'!$A$5:$S$150"}</definedName>
    <definedName name="уу" localSheetId="43" hidden="1">{"'РП (2)'!$A$5:$S$150"}</definedName>
    <definedName name="уу" hidden="1">{"'РП (2)'!$A$5:$S$150"}</definedName>
    <definedName name="уууууу" localSheetId="22" hidden="1">{"'РП (2)'!$A$5:$S$150"}</definedName>
    <definedName name="уууууу" localSheetId="43" hidden="1">{"'РП (2)'!$A$5:$S$150"}</definedName>
    <definedName name="уууууу" hidden="1">{"'РП (2)'!$A$5:$S$150"}</definedName>
    <definedName name="ууууууууууууу" localSheetId="22" hidden="1">{"'РП (2)'!$A$5:$S$150"}</definedName>
    <definedName name="ууууууууууууу" localSheetId="43" hidden="1">{"'РП (2)'!$A$5:$S$150"}</definedName>
    <definedName name="ууууууууууууу" hidden="1">{"'РП (2)'!$A$5:$S$150"}</definedName>
    <definedName name="ф" localSheetId="22" hidden="1">{"'РП (2)'!$A$5:$S$150"}</definedName>
    <definedName name="ф" localSheetId="43" hidden="1">{"'РП (2)'!$A$5:$S$150"}</definedName>
    <definedName name="ф" hidden="1">{"'РП (2)'!$A$5:$S$150"}</definedName>
    <definedName name="факт" localSheetId="22" hidden="1">{"'РП (2)'!$A$5:$S$150"}</definedName>
    <definedName name="факт" localSheetId="43" hidden="1">{"'РП (2)'!$A$5:$S$150"}</definedName>
    <definedName name="факт" hidden="1">{"'РП (2)'!$A$5:$S$150"}</definedName>
    <definedName name="фв" localSheetId="22" hidden="1">{"'РП (2)'!$A$5:$S$150"}</definedName>
    <definedName name="фв" localSheetId="43" hidden="1">{"'РП (2)'!$A$5:$S$150"}</definedName>
    <definedName name="фв" hidden="1">{"'РП (2)'!$A$5:$S$150"}</definedName>
    <definedName name="фф" localSheetId="22" hidden="1">{"'РП (2)'!$A$5:$S$150"}</definedName>
    <definedName name="фф" localSheetId="43" hidden="1">{"'РП (2)'!$A$5:$S$150"}</definedName>
    <definedName name="фф" hidden="1">{"'РП (2)'!$A$5:$S$150"}</definedName>
    <definedName name="ффф" localSheetId="22" hidden="1">{"'РП (2)'!$A$5:$S$150"}</definedName>
    <definedName name="ффф" localSheetId="43" hidden="1">{"'РП (2)'!$A$5:$S$150"}</definedName>
    <definedName name="ффф" hidden="1">{"'РП (2)'!$A$5:$S$150"}</definedName>
    <definedName name="фффф" localSheetId="22" hidden="1">{"'РП (2)'!$A$5:$S$150"}</definedName>
    <definedName name="фффф" localSheetId="43" hidden="1">{"'РП (2)'!$A$5:$S$150"}</definedName>
    <definedName name="фффф" hidden="1">{"'РП (2)'!$A$5:$S$150"}</definedName>
    <definedName name="ффффффффффффф" localSheetId="22" hidden="1">{"'РП (2)'!$A$5:$S$150"}</definedName>
    <definedName name="ффффффффффффф" localSheetId="43" hidden="1">{"'РП (2)'!$A$5:$S$150"}</definedName>
    <definedName name="ффффффффффффф" hidden="1">{"'РП (2)'!$A$5:$S$150"}</definedName>
    <definedName name="фц" localSheetId="22" hidden="1">{"'РП (2)'!$A$5:$S$150"}</definedName>
    <definedName name="фц" localSheetId="43" hidden="1">{"'РП (2)'!$A$5:$S$150"}</definedName>
    <definedName name="фц" hidden="1">{"'РП (2)'!$A$5:$S$150"}</definedName>
    <definedName name="ххх" localSheetId="22" hidden="1">{"'РП (2)'!$A$5:$S$150"}</definedName>
    <definedName name="ххх" localSheetId="43" hidden="1">{"'РП (2)'!$A$5:$S$150"}</definedName>
    <definedName name="ххх" hidden="1">{"'РП (2)'!$A$5:$S$150"}</definedName>
    <definedName name="ххх_" localSheetId="22" hidden="1">{"'РП (2)'!$A$5:$S$150"}</definedName>
    <definedName name="ххх_" localSheetId="43" hidden="1">{"'РП (2)'!$A$5:$S$150"}</definedName>
    <definedName name="ххх_" hidden="1">{"'РП (2)'!$A$5:$S$150"}</definedName>
    <definedName name="ххххх" localSheetId="22" hidden="1">{"'РП (2)'!$A$5:$S$150"}</definedName>
    <definedName name="ххххх" localSheetId="43" hidden="1">{"'РП (2)'!$A$5:$S$150"}</definedName>
    <definedName name="ххххх" hidden="1">{"'РП (2)'!$A$5:$S$150"}</definedName>
    <definedName name="ххххххх" localSheetId="22" hidden="1">{"'РП (2)'!$A$5:$S$150"}</definedName>
    <definedName name="ххххххх" localSheetId="43" hidden="1">{"'РП (2)'!$A$5:$S$150"}</definedName>
    <definedName name="ххххххх" hidden="1">{"'РП (2)'!$A$5:$S$150"}</definedName>
    <definedName name="хххххххххххххххххххх" localSheetId="22" hidden="1">{"'РП (2)'!$A$5:$S$150"}</definedName>
    <definedName name="хххххххххххххххххххх" localSheetId="43" hidden="1">{"'РП (2)'!$A$5:$S$150"}</definedName>
    <definedName name="хххххххххххххххххххх" hidden="1">{"'РП (2)'!$A$5:$S$150"}</definedName>
    <definedName name="це" localSheetId="22" hidden="1">{"'РП (2)'!$A$5:$S$150"}</definedName>
    <definedName name="це" localSheetId="43" hidden="1">{"'РП (2)'!$A$5:$S$150"}</definedName>
    <definedName name="це" hidden="1">{"'РП (2)'!$A$5:$S$150"}</definedName>
    <definedName name="цк" localSheetId="22" hidden="1">{"'РП (2)'!$A$5:$S$150"}</definedName>
    <definedName name="цк" localSheetId="43" hidden="1">{"'РП (2)'!$A$5:$S$150"}</definedName>
    <definedName name="цк" hidden="1">{"'РП (2)'!$A$5:$S$150"}</definedName>
    <definedName name="цф" localSheetId="22" hidden="1">{"'РП (2)'!$A$5:$S$150"}</definedName>
    <definedName name="цф" localSheetId="43" hidden="1">{"'РП (2)'!$A$5:$S$150"}</definedName>
    <definedName name="цф" hidden="1">{"'РП (2)'!$A$5:$S$150"}</definedName>
    <definedName name="цц" localSheetId="22" hidden="1">{"'РП (2)'!$A$5:$S$150"}</definedName>
    <definedName name="цц" localSheetId="43" hidden="1">{"'РП (2)'!$A$5:$S$150"}</definedName>
    <definedName name="цц" hidden="1">{"'РП (2)'!$A$5:$S$150"}</definedName>
    <definedName name="ццц" localSheetId="22" hidden="1">{#N/A,#N/A,TRUE,"Лист2"}</definedName>
    <definedName name="ццц" localSheetId="43" hidden="1">{#N/A,#N/A,TRUE,"Лист2"}</definedName>
    <definedName name="ццц" hidden="1">{#N/A,#N/A,TRUE,"Лист2"}</definedName>
    <definedName name="ццццц" localSheetId="22" hidden="1">{"'РП (2)'!$A$5:$S$150"}</definedName>
    <definedName name="ццццц" localSheetId="43" hidden="1">{"'РП (2)'!$A$5:$S$150"}</definedName>
    <definedName name="ццццц" hidden="1">{"'РП (2)'!$A$5:$S$150"}</definedName>
    <definedName name="цццццц" localSheetId="22" hidden="1">{"'РП (2)'!$A$5:$S$150"}</definedName>
    <definedName name="цццццц" localSheetId="43" hidden="1">{"'РП (2)'!$A$5:$S$150"}</definedName>
    <definedName name="цццццц" hidden="1">{"'РП (2)'!$A$5:$S$150"}</definedName>
    <definedName name="ццццццццццццццццц" localSheetId="22" hidden="1">{"'РП (2)'!$A$5:$S$150"}</definedName>
    <definedName name="ццццццццццццццццц" localSheetId="43" hidden="1">{"'РП (2)'!$A$5:$S$150"}</definedName>
    <definedName name="ццццццццццццццццц" hidden="1">{"'РП (2)'!$A$5:$S$150"}</definedName>
    <definedName name="ч" localSheetId="22" hidden="1">{"'РП (2)'!$A$5:$S$150"}</definedName>
    <definedName name="ч" localSheetId="43" hidden="1">{"'РП (2)'!$A$5:$S$150"}</definedName>
    <definedName name="ч" hidden="1">{"'РП (2)'!$A$5:$S$150"}</definedName>
    <definedName name="Численность" localSheetId="22" hidden="1">{"'РП (2)'!$A$5:$S$150"}</definedName>
    <definedName name="Численность" localSheetId="43" hidden="1">{"'РП (2)'!$A$5:$S$150"}</definedName>
    <definedName name="Численность" hidden="1">{"'РП (2)'!$A$5:$S$150"}</definedName>
    <definedName name="чт" localSheetId="22" hidden="1">{"'РП (2)'!$A$5:$S$150"}</definedName>
    <definedName name="чт" localSheetId="43" hidden="1">{"'РП (2)'!$A$5:$S$150"}</definedName>
    <definedName name="чт" hidden="1">{"'РП (2)'!$A$5:$S$150"}</definedName>
    <definedName name="чч" localSheetId="22" hidden="1">{"'РП (2)'!$A$5:$S$150"}</definedName>
    <definedName name="чч" localSheetId="43" hidden="1">{"'РП (2)'!$A$5:$S$150"}</definedName>
    <definedName name="чч" hidden="1">{"'РП (2)'!$A$5:$S$150"}</definedName>
    <definedName name="ччч" localSheetId="22" hidden="1">{"'РП (2)'!$A$5:$S$150"}</definedName>
    <definedName name="ччч" localSheetId="43" hidden="1">{"'РП (2)'!$A$5:$S$150"}</definedName>
    <definedName name="ччч" hidden="1">{"'РП (2)'!$A$5:$S$150"}</definedName>
    <definedName name="чччч" localSheetId="22" hidden="1">{"'РП (2)'!$A$5:$S$150"}</definedName>
    <definedName name="чччч" localSheetId="43" hidden="1">{"'РП (2)'!$A$5:$S$150"}</definedName>
    <definedName name="чччч" hidden="1">{"'РП (2)'!$A$5:$S$150"}</definedName>
    <definedName name="ччччччч" localSheetId="22" hidden="1">{"'РП (2)'!$A$5:$S$150"}</definedName>
    <definedName name="ччччччч" localSheetId="43" hidden="1">{"'РП (2)'!$A$5:$S$150"}</definedName>
    <definedName name="ччччччч" hidden="1">{"'РП (2)'!$A$5:$S$150"}</definedName>
    <definedName name="ччччччччччччччч" localSheetId="22" hidden="1">{"'РП (2)'!$A$5:$S$150"}</definedName>
    <definedName name="ччччччччччччччч" localSheetId="43" hidden="1">{"'РП (2)'!$A$5:$S$150"}</definedName>
    <definedName name="ччччччччччччччч" hidden="1">{"'РП (2)'!$A$5:$S$150"}</definedName>
    <definedName name="чччччччччччччччччч" localSheetId="22" hidden="1">{"'РП (2)'!$A$5:$S$150"}</definedName>
    <definedName name="чччччччччччччччччч" localSheetId="43" hidden="1">{"'РП (2)'!$A$5:$S$150"}</definedName>
    <definedName name="чччччччччччччччччч" hidden="1">{"'РП (2)'!$A$5:$S$150"}</definedName>
    <definedName name="шгзлхз" localSheetId="22" hidden="1">{"'РП (2)'!$A$5:$S$150"}</definedName>
    <definedName name="шгзлхз" localSheetId="43" hidden="1">{"'РП (2)'!$A$5:$S$150"}</definedName>
    <definedName name="шгзлхз" hidden="1">{"'РП (2)'!$A$5:$S$150"}</definedName>
    <definedName name="шгзщш" localSheetId="22" hidden="1">{"'РП (2)'!$A$5:$S$150"}</definedName>
    <definedName name="шгзщш" localSheetId="43" hidden="1">{"'РП (2)'!$A$5:$S$150"}</definedName>
    <definedName name="шгзщш" hidden="1">{"'РП (2)'!$A$5:$S$150"}</definedName>
    <definedName name="шгн" localSheetId="22" hidden="1">{"'РП (2)'!$A$5:$S$150"}</definedName>
    <definedName name="шгн" localSheetId="43" hidden="1">{"'РП (2)'!$A$5:$S$150"}</definedName>
    <definedName name="шгн" hidden="1">{"'РП (2)'!$A$5:$S$150"}</definedName>
    <definedName name="шгшгшг" localSheetId="22" hidden="1">{"'РП (2)'!$A$5:$S$150"}</definedName>
    <definedName name="шгшгшг" localSheetId="43" hidden="1">{"'РП (2)'!$A$5:$S$150"}</definedName>
    <definedName name="шгшгшг" hidden="1">{"'РП (2)'!$A$5:$S$150"}</definedName>
    <definedName name="шн" localSheetId="22" hidden="1">{"'РП (2)'!$A$5:$S$150"}</definedName>
    <definedName name="шн" localSheetId="43" hidden="1">{"'РП (2)'!$A$5:$S$150"}</definedName>
    <definedName name="шн" hidden="1">{"'РП (2)'!$A$5:$S$150"}</definedName>
    <definedName name="шшрш" localSheetId="22" hidden="1">{"'РП (2)'!$A$5:$S$150"}</definedName>
    <definedName name="шшрш" localSheetId="43" hidden="1">{"'РП (2)'!$A$5:$S$150"}</definedName>
    <definedName name="шшрш" hidden="1">{"'РП (2)'!$A$5:$S$150"}</definedName>
    <definedName name="шшшшш" localSheetId="22" hidden="1">{"'РП (2)'!$A$5:$S$150"}</definedName>
    <definedName name="шшшшш" localSheetId="43" hidden="1">{"'РП (2)'!$A$5:$S$150"}</definedName>
    <definedName name="шшшшш" hidden="1">{"'РП (2)'!$A$5:$S$150"}</definedName>
    <definedName name="шшшшшшшшшшшшшш" localSheetId="22" hidden="1">{"'РП (2)'!$A$5:$S$150"}</definedName>
    <definedName name="шшшшшшшшшшшшшш" localSheetId="43" hidden="1">{"'РП (2)'!$A$5:$S$150"}</definedName>
    <definedName name="шшшшшшшшшшшшшш" hidden="1">{"'РП (2)'!$A$5:$S$150"}</definedName>
    <definedName name="щ" localSheetId="22" hidden="1">{"'РП (2)'!$A$5:$S$150"}</definedName>
    <definedName name="щ" localSheetId="43" hidden="1">{"'РП (2)'!$A$5:$S$150"}</definedName>
    <definedName name="щ" hidden="1">{"'РП (2)'!$A$5:$S$150"}</definedName>
    <definedName name="щр" localSheetId="22" hidden="1">{"'РП (2)'!$A$5:$S$150"}</definedName>
    <definedName name="щр" localSheetId="43" hidden="1">{"'РП (2)'!$A$5:$S$150"}</definedName>
    <definedName name="щр" hidden="1">{"'РП (2)'!$A$5:$S$150"}</definedName>
    <definedName name="щшоджл" localSheetId="22" hidden="1">{"'РП (2)'!$A$5:$S$150"}</definedName>
    <definedName name="щшоджл" localSheetId="43" hidden="1">{"'РП (2)'!$A$5:$S$150"}</definedName>
    <definedName name="щшоджл" hidden="1">{"'РП (2)'!$A$5:$S$150"}</definedName>
    <definedName name="щщ" localSheetId="22" hidden="1">{"'РП (2)'!$A$5:$S$150"}</definedName>
    <definedName name="щщ" localSheetId="43" hidden="1">{"'РП (2)'!$A$5:$S$150"}</definedName>
    <definedName name="щщ" hidden="1">{"'РП (2)'!$A$5:$S$150"}</definedName>
    <definedName name="щщощщ" localSheetId="22" hidden="1">{"'РП (2)'!$A$5:$S$150"}</definedName>
    <definedName name="щщощщ" localSheetId="43" hidden="1">{"'РП (2)'!$A$5:$S$150"}</definedName>
    <definedName name="щщощщ" hidden="1">{"'РП (2)'!$A$5:$S$150"}</definedName>
    <definedName name="щщщщщ" localSheetId="22" hidden="1">{"'РП (2)'!$A$5:$S$150"}</definedName>
    <definedName name="щщщщщ" localSheetId="43" hidden="1">{"'РП (2)'!$A$5:$S$150"}</definedName>
    <definedName name="щщщщщ" hidden="1">{"'РП (2)'!$A$5:$S$150"}</definedName>
    <definedName name="щщщщщщщщщщщщ" localSheetId="22" hidden="1">{"'РП (2)'!$A$5:$S$150"}</definedName>
    <definedName name="щщщщщщщщщщщщ" localSheetId="43" hidden="1">{"'РП (2)'!$A$5:$S$150"}</definedName>
    <definedName name="щщщщщщщщщщщщ" hidden="1">{"'РП (2)'!$A$5:$S$150"}</definedName>
    <definedName name="ъ" localSheetId="22" hidden="1">{"'РП (2)'!$A$5:$S$150"}</definedName>
    <definedName name="ъ" localSheetId="43" hidden="1">{"'РП (2)'!$A$5:$S$150"}</definedName>
    <definedName name="ъ" hidden="1">{"'РП (2)'!$A$5:$S$150"}</definedName>
    <definedName name="ъжъждоп" localSheetId="22" hidden="1">{"'РП (2)'!$A$5:$S$150"}</definedName>
    <definedName name="ъжъждоп" localSheetId="43" hidden="1">{"'РП (2)'!$A$5:$S$150"}</definedName>
    <definedName name="ъжъждоп" hidden="1">{"'РП (2)'!$A$5:$S$150"}</definedName>
    <definedName name="ъхз" localSheetId="22" hidden="1">{"'РП (2)'!$A$5:$S$150"}</definedName>
    <definedName name="ъхз" localSheetId="43" hidden="1">{"'РП (2)'!$A$5:$S$150"}</definedName>
    <definedName name="ъхз" hidden="1">{"'РП (2)'!$A$5:$S$150"}</definedName>
    <definedName name="ъъъъъ" localSheetId="22" hidden="1">{"'РП (2)'!$A$5:$S$150"}</definedName>
    <definedName name="ъъъъъ" localSheetId="43" hidden="1">{"'РП (2)'!$A$5:$S$150"}</definedName>
    <definedName name="ъъъъъ" hidden="1">{"'РП (2)'!$A$5:$S$150"}</definedName>
    <definedName name="ъъъъъъ" localSheetId="22" hidden="1">{"'РП (2)'!$A$5:$S$150"}</definedName>
    <definedName name="ъъъъъъ" localSheetId="43" hidden="1">{"'РП (2)'!$A$5:$S$150"}</definedName>
    <definedName name="ъъъъъъ" hidden="1">{"'РП (2)'!$A$5:$S$150"}</definedName>
    <definedName name="ъъъъъъъъъъъъъъъъъ" localSheetId="22" hidden="1">{"'РП (2)'!$A$5:$S$150"}</definedName>
    <definedName name="ъъъъъъъъъъъъъъъъъ" localSheetId="43" hidden="1">{"'РП (2)'!$A$5:$S$150"}</definedName>
    <definedName name="ъъъъъъъъъъъъъъъъъ" hidden="1">{"'РП (2)'!$A$5:$S$150"}</definedName>
    <definedName name="ы" localSheetId="22" hidden="1">{"'РП (2)'!$A$5:$S$150"}</definedName>
    <definedName name="ы" localSheetId="43" hidden="1">{"'РП (2)'!$A$5:$S$150"}</definedName>
    <definedName name="ы" hidden="1">{"'РП (2)'!$A$5:$S$150"}</definedName>
    <definedName name="ыы" localSheetId="22" hidden="1">{"'РП (2)'!$A$5:$S$150"}</definedName>
    <definedName name="ыы" localSheetId="43" hidden="1">{"'РП (2)'!$A$5:$S$150"}</definedName>
    <definedName name="ыы" hidden="1">{"'РП (2)'!$A$5:$S$150"}</definedName>
    <definedName name="ыывв" localSheetId="22" hidden="1">{"'РП (2)'!$A$5:$S$150"}</definedName>
    <definedName name="ыывв" localSheetId="43" hidden="1">{"'РП (2)'!$A$5:$S$150"}</definedName>
    <definedName name="ыывв" hidden="1">{"'РП (2)'!$A$5:$S$150"}</definedName>
    <definedName name="ыыы" localSheetId="22" hidden="1">{"'РП (2)'!$A$5:$S$150"}</definedName>
    <definedName name="ыыы" localSheetId="43" hidden="1">{"'РП (2)'!$A$5:$S$150"}</definedName>
    <definedName name="ыыы" hidden="1">{"'РП (2)'!$A$5:$S$150"}</definedName>
    <definedName name="ыыыыыыыыыы" localSheetId="22" hidden="1">{"'РП (2)'!$A$5:$S$150"}</definedName>
    <definedName name="ыыыыыыыыыы" localSheetId="43" hidden="1">{"'РП (2)'!$A$5:$S$150"}</definedName>
    <definedName name="ыыыыыыыыыы" hidden="1">{"'РП (2)'!$A$5:$S$150"}</definedName>
    <definedName name="ыыыыыыыыыыввввввввввввв" localSheetId="22" hidden="1">{"'РП (2)'!$A$5:$S$150"}</definedName>
    <definedName name="ыыыыыыыыыыввввввввввввв" localSheetId="43" hidden="1">{"'РП (2)'!$A$5:$S$150"}</definedName>
    <definedName name="ыыыыыыыыыыввввввввввввв" hidden="1">{"'РП (2)'!$A$5:$S$150"}</definedName>
    <definedName name="ьь" localSheetId="22" hidden="1">{"'РП (2)'!$A$5:$S$150"}</definedName>
    <definedName name="ьь" localSheetId="43" hidden="1">{"'РП (2)'!$A$5:$S$150"}</definedName>
    <definedName name="ьь" hidden="1">{"'РП (2)'!$A$5:$S$150"}</definedName>
    <definedName name="ьььььььььььбб" localSheetId="22" hidden="1">{"'РП (2)'!$A$5:$S$150"}</definedName>
    <definedName name="ьььььььььььбб" localSheetId="43" hidden="1">{"'РП (2)'!$A$5:$S$150"}</definedName>
    <definedName name="ьььььььььььбб" hidden="1">{"'РП (2)'!$A$5:$S$150"}</definedName>
    <definedName name="ььььььььььььььь" localSheetId="22" hidden="1">{"'РП (2)'!$A$5:$S$150"}</definedName>
    <definedName name="ььььььььььььььь" localSheetId="43" hidden="1">{"'РП (2)'!$A$5:$S$150"}</definedName>
    <definedName name="ььььььььььььььь" hidden="1">{"'РП (2)'!$A$5:$S$150"}</definedName>
    <definedName name="ььььььььььььььььььььь" localSheetId="22" hidden="1">{"'РП (2)'!$A$5:$S$150"}</definedName>
    <definedName name="ььььььььььььььььььььь" localSheetId="43" hidden="1">{"'РП (2)'!$A$5:$S$150"}</definedName>
    <definedName name="ььььььььььььььььььььь" hidden="1">{"'РП (2)'!$A$5:$S$150"}</definedName>
    <definedName name="э" localSheetId="22" hidden="1">{"'РП (2)'!$A$5:$S$150"}</definedName>
    <definedName name="э" localSheetId="43" hidden="1">{"'РП (2)'!$A$5:$S$150"}</definedName>
    <definedName name="э" hidden="1">{"'РП (2)'!$A$5:$S$150"}</definedName>
    <definedName name="эж" localSheetId="22" hidden="1">{"'РП (2)'!$A$5:$S$150"}</definedName>
    <definedName name="эж" localSheetId="43" hidden="1">{"'РП (2)'!$A$5:$S$150"}</definedName>
    <definedName name="эж" hidden="1">{"'РП (2)'!$A$5:$S$150"}</definedName>
    <definedName name="эжд" localSheetId="22" hidden="1">{"'РП (2)'!$A$5:$S$150"}</definedName>
    <definedName name="эжд" localSheetId="43" hidden="1">{"'РП (2)'!$A$5:$S$150"}</definedName>
    <definedName name="эжд" hidden="1">{"'РП (2)'!$A$5:$S$150"}</definedName>
    <definedName name="эзп" localSheetId="22" hidden="1">{"'РП (2)'!$A$5:$S$150"}</definedName>
    <definedName name="эзп" localSheetId="43" hidden="1">{"'РП (2)'!$A$5:$S$150"}</definedName>
    <definedName name="эзп" hidden="1">{"'РП (2)'!$A$5:$S$150"}</definedName>
    <definedName name="ээ" localSheetId="22" hidden="1">{"'РП (2)'!$A$5:$S$150"}</definedName>
    <definedName name="ээ" localSheetId="43" hidden="1">{"'РП (2)'!$A$5:$S$150"}</definedName>
    <definedName name="ээ" hidden="1">{"'РП (2)'!$A$5:$S$150"}</definedName>
    <definedName name="эээээ" localSheetId="22" hidden="1">{"'РП (2)'!$A$5:$S$150"}</definedName>
    <definedName name="эээээ" localSheetId="43" hidden="1">{"'РП (2)'!$A$5:$S$150"}</definedName>
    <definedName name="эээээ" hidden="1">{"'РП (2)'!$A$5:$S$150"}</definedName>
    <definedName name="ээээээ" localSheetId="22" hidden="1">{"'РП (2)'!$A$5:$S$150"}</definedName>
    <definedName name="ээээээ" localSheetId="43" hidden="1">{"'РП (2)'!$A$5:$S$150"}</definedName>
    <definedName name="ээээээ" hidden="1">{"'РП (2)'!$A$5:$S$150"}</definedName>
    <definedName name="ээээээээ" localSheetId="22" hidden="1">{"'РП (2)'!$A$5:$S$150"}</definedName>
    <definedName name="ээээээээ" localSheetId="43" hidden="1">{"'РП (2)'!$A$5:$S$150"}</definedName>
    <definedName name="ээээээээ" hidden="1">{"'РП (2)'!$A$5:$S$150"}</definedName>
    <definedName name="ээээээээээ" localSheetId="22" hidden="1">{"'РП (2)'!$A$5:$S$150"}</definedName>
    <definedName name="ээээээээээ" localSheetId="43" hidden="1">{"'РП (2)'!$A$5:$S$150"}</definedName>
    <definedName name="ээээээээээ" hidden="1">{"'РП (2)'!$A$5:$S$150"}</definedName>
    <definedName name="юю" localSheetId="22" hidden="1">{"'РП (2)'!$A$5:$S$150"}</definedName>
    <definedName name="юю" localSheetId="43" hidden="1">{"'РП (2)'!$A$5:$S$150"}</definedName>
    <definedName name="юю" hidden="1">{"'РП (2)'!$A$5:$S$150"}</definedName>
    <definedName name="юююю" localSheetId="22" hidden="1">{"'РП (2)'!$A$5:$S$150"}</definedName>
    <definedName name="юююю" localSheetId="43" hidden="1">{"'РП (2)'!$A$5:$S$150"}</definedName>
    <definedName name="юююю" hidden="1">{"'РП (2)'!$A$5:$S$150"}</definedName>
    <definedName name="ююююю" localSheetId="22" hidden="1">{"'РП (2)'!$A$5:$S$150"}</definedName>
    <definedName name="ююююю" localSheetId="43" hidden="1">{"'РП (2)'!$A$5:$S$150"}</definedName>
    <definedName name="ююююю" hidden="1">{"'РП (2)'!$A$5:$S$150"}</definedName>
    <definedName name="юююююю" localSheetId="22" hidden="1">{"'РП (2)'!$A$5:$S$150"}</definedName>
    <definedName name="юююююю" localSheetId="43" hidden="1">{"'РП (2)'!$A$5:$S$150"}</definedName>
    <definedName name="юююююю" hidden="1">{"'РП (2)'!$A$5:$S$150"}</definedName>
    <definedName name="ююююююююююююю" localSheetId="22" hidden="1">{"'РП (2)'!$A$5:$S$150"}</definedName>
    <definedName name="ююююююююююююю" localSheetId="43" hidden="1">{"'РП (2)'!$A$5:$S$150"}</definedName>
    <definedName name="ююююююююююююю" hidden="1">{"'РП (2)'!$A$5:$S$150"}</definedName>
    <definedName name="я" localSheetId="22" hidden="1">{"'РП (2)'!$A$5:$S$150"}</definedName>
    <definedName name="я" localSheetId="43" hidden="1">{"'РП (2)'!$A$5:$S$150"}</definedName>
    <definedName name="я" hidden="1">{"'РП (2)'!$A$5:$S$150"}</definedName>
    <definedName name="яя" localSheetId="22" hidden="1">{"'РП (2)'!$A$5:$S$150"}</definedName>
    <definedName name="яя" localSheetId="43" hidden="1">{"'РП (2)'!$A$5:$S$150"}</definedName>
    <definedName name="яя" hidden="1">{"'РП (2)'!$A$5:$S$150"}</definedName>
    <definedName name="яяя" localSheetId="22" hidden="1">{"'РП (2)'!$A$5:$S$150"}</definedName>
    <definedName name="яяя" localSheetId="43" hidden="1">{"'РП (2)'!$A$5:$S$150"}</definedName>
    <definedName name="яяя" hidden="1">{"'РП (2)'!$A$5:$S$150"}</definedName>
    <definedName name="яяяя" localSheetId="22" hidden="1">{"'РП (2)'!$A$5:$S$150"}</definedName>
    <definedName name="яяяя" localSheetId="43" hidden="1">{"'РП (2)'!$A$5:$S$150"}</definedName>
    <definedName name="яяяя" hidden="1">{"'РП (2)'!$A$5:$S$150"}</definedName>
    <definedName name="яяяяя" localSheetId="22" hidden="1">{"'РП (2)'!$A$5:$S$150"}</definedName>
    <definedName name="яяяяя" localSheetId="43" hidden="1">{"'РП (2)'!$A$5:$S$150"}</definedName>
    <definedName name="яяяяя" hidden="1">{"'РП (2)'!$A$5:$S$150"}</definedName>
    <definedName name="яяяяяяяяяяяяяяя" localSheetId="22" hidden="1">{"'РП (2)'!$A$5:$S$150"}</definedName>
    <definedName name="яяяяяяяяяяяяяяя" localSheetId="43" hidden="1">{"'РП (2)'!$A$5:$S$150"}</definedName>
    <definedName name="яяяяяяяяяяяяяяя" hidden="1">{"'РП (2)'!$A$5:$S$150"}</definedName>
    <definedName name="яяяяяяяяяяяяяяяяяя" localSheetId="22" hidden="1">{"'РП (2)'!$A$5:$S$150"}</definedName>
    <definedName name="яяяяяяяяяяяяяяяяяя" localSheetId="43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8" i="66" l="1"/>
  <c r="S18" i="60"/>
  <c r="S18" i="54"/>
  <c r="U18" i="48"/>
  <c r="Q18" i="45"/>
  <c r="S18" i="42"/>
  <c r="AF18" i="63"/>
  <c r="S18" i="57"/>
  <c r="S18" i="51"/>
  <c r="U18" i="38"/>
  <c r="Q18" i="35"/>
  <c r="S18" i="27"/>
  <c r="F89" i="41"/>
  <c r="G89" i="41"/>
  <c r="H89" i="41"/>
  <c r="I89" i="41"/>
  <c r="J89" i="41"/>
  <c r="K89" i="41"/>
  <c r="L89" i="41"/>
  <c r="M89" i="41"/>
  <c r="N89" i="41"/>
  <c r="O89" i="41"/>
  <c r="P89" i="41"/>
  <c r="Q89" i="41"/>
  <c r="R89" i="41"/>
  <c r="S89" i="41"/>
  <c r="T89" i="41"/>
  <c r="U89" i="41"/>
  <c r="V89" i="41"/>
  <c r="W89" i="41"/>
  <c r="X89" i="41"/>
  <c r="F90" i="41"/>
  <c r="G90" i="41"/>
  <c r="H90" i="41"/>
  <c r="I90" i="41"/>
  <c r="J90" i="41"/>
  <c r="K90" i="41"/>
  <c r="L90" i="41"/>
  <c r="M90" i="41"/>
  <c r="N90" i="41"/>
  <c r="O90" i="41"/>
  <c r="P90" i="41"/>
  <c r="Q90" i="41"/>
  <c r="R90" i="41"/>
  <c r="S90" i="41"/>
  <c r="T90" i="41"/>
  <c r="U90" i="41"/>
  <c r="V90" i="41"/>
  <c r="W90" i="41"/>
  <c r="X90" i="41"/>
  <c r="F91" i="41"/>
  <c r="G91" i="41"/>
  <c r="H91" i="41"/>
  <c r="I91" i="41"/>
  <c r="J91" i="41"/>
  <c r="K91" i="41"/>
  <c r="L91" i="41"/>
  <c r="M91" i="41"/>
  <c r="N91" i="41"/>
  <c r="O91" i="41"/>
  <c r="P91" i="41"/>
  <c r="Q91" i="41"/>
  <c r="R91" i="41"/>
  <c r="S91" i="41"/>
  <c r="T91" i="41"/>
  <c r="U91" i="41"/>
  <c r="V91" i="41"/>
  <c r="W91" i="41"/>
  <c r="X91" i="41"/>
  <c r="F92" i="41"/>
  <c r="G92" i="41"/>
  <c r="H92" i="41"/>
  <c r="I92" i="41"/>
  <c r="J92" i="41"/>
  <c r="K92" i="41"/>
  <c r="L92" i="41"/>
  <c r="M92" i="41"/>
  <c r="N92" i="41"/>
  <c r="O92" i="41"/>
  <c r="P92" i="41"/>
  <c r="Q92" i="41"/>
  <c r="R92" i="41"/>
  <c r="S92" i="41"/>
  <c r="T92" i="41"/>
  <c r="U92" i="41"/>
  <c r="V92" i="41"/>
  <c r="W92" i="41"/>
  <c r="X92" i="41"/>
  <c r="F93" i="41"/>
  <c r="G93" i="41"/>
  <c r="H93" i="41"/>
  <c r="I93" i="41"/>
  <c r="J93" i="41"/>
  <c r="K93" i="41"/>
  <c r="L93" i="41"/>
  <c r="M93" i="41"/>
  <c r="N93" i="41"/>
  <c r="O93" i="41"/>
  <c r="P93" i="41"/>
  <c r="Q93" i="41"/>
  <c r="R93" i="41"/>
  <c r="S93" i="41"/>
  <c r="T93" i="41"/>
  <c r="U93" i="41"/>
  <c r="V93" i="41"/>
  <c r="W93" i="41"/>
  <c r="X93" i="41"/>
  <c r="F94" i="41"/>
  <c r="G94" i="41"/>
  <c r="H94" i="41"/>
  <c r="I94" i="41"/>
  <c r="J94" i="41"/>
  <c r="K94" i="41"/>
  <c r="L94" i="41"/>
  <c r="M94" i="41"/>
  <c r="N94" i="41"/>
  <c r="O94" i="41"/>
  <c r="P94" i="41"/>
  <c r="Q94" i="41"/>
  <c r="R94" i="41"/>
  <c r="S94" i="41"/>
  <c r="T94" i="41"/>
  <c r="U94" i="41"/>
  <c r="V94" i="41"/>
  <c r="W94" i="41"/>
  <c r="X94" i="41"/>
  <c r="F95" i="41"/>
  <c r="G95" i="41"/>
  <c r="H95" i="41"/>
  <c r="I95" i="41"/>
  <c r="J95" i="41"/>
  <c r="K95" i="41"/>
  <c r="L95" i="41"/>
  <c r="M95" i="41"/>
  <c r="N95" i="41"/>
  <c r="O95" i="41"/>
  <c r="P95" i="41"/>
  <c r="Q95" i="41"/>
  <c r="R95" i="41"/>
  <c r="S95" i="41"/>
  <c r="T95" i="41"/>
  <c r="U95" i="41"/>
  <c r="V95" i="41"/>
  <c r="W95" i="41"/>
  <c r="X95" i="41"/>
  <c r="F96" i="41"/>
  <c r="G96" i="41"/>
  <c r="H96" i="41"/>
  <c r="I96" i="41"/>
  <c r="J96" i="41"/>
  <c r="K96" i="41"/>
  <c r="L96" i="41"/>
  <c r="M96" i="41"/>
  <c r="N96" i="41"/>
  <c r="O96" i="41"/>
  <c r="P96" i="41"/>
  <c r="Q96" i="41"/>
  <c r="R96" i="41"/>
  <c r="S96" i="41"/>
  <c r="T96" i="41"/>
  <c r="U96" i="41"/>
  <c r="V96" i="41"/>
  <c r="W96" i="41"/>
  <c r="X96" i="41"/>
  <c r="F97" i="41"/>
  <c r="G97" i="41"/>
  <c r="H97" i="41"/>
  <c r="I97" i="41"/>
  <c r="J97" i="41"/>
  <c r="K97" i="41"/>
  <c r="L97" i="41"/>
  <c r="M97" i="41"/>
  <c r="N97" i="41"/>
  <c r="O97" i="41"/>
  <c r="P97" i="41"/>
  <c r="Q97" i="41"/>
  <c r="R97" i="41"/>
  <c r="S97" i="41"/>
  <c r="T97" i="41"/>
  <c r="U97" i="41"/>
  <c r="V97" i="41"/>
  <c r="W97" i="41"/>
  <c r="X97" i="41"/>
  <c r="F98" i="41"/>
  <c r="G98" i="41"/>
  <c r="H98" i="41"/>
  <c r="I98" i="41"/>
  <c r="J98" i="41"/>
  <c r="K98" i="41"/>
  <c r="L98" i="41"/>
  <c r="M98" i="41"/>
  <c r="N98" i="41"/>
  <c r="O98" i="41"/>
  <c r="P98" i="41"/>
  <c r="Q98" i="41"/>
  <c r="R98" i="41"/>
  <c r="S98" i="41"/>
  <c r="T98" i="41"/>
  <c r="U98" i="41"/>
  <c r="V98" i="41"/>
  <c r="W98" i="41"/>
  <c r="X98" i="41"/>
  <c r="F99" i="41"/>
  <c r="G99" i="41"/>
  <c r="H99" i="41"/>
  <c r="I99" i="41"/>
  <c r="J99" i="41"/>
  <c r="K99" i="41"/>
  <c r="L99" i="41"/>
  <c r="M99" i="41"/>
  <c r="N99" i="41"/>
  <c r="O99" i="41"/>
  <c r="P99" i="41"/>
  <c r="Q99" i="41"/>
  <c r="R99" i="41"/>
  <c r="S99" i="41"/>
  <c r="T99" i="41"/>
  <c r="U99" i="41"/>
  <c r="V99" i="41"/>
  <c r="W99" i="41"/>
  <c r="X99" i="41"/>
  <c r="F100" i="41"/>
  <c r="G100" i="41"/>
  <c r="H100" i="41"/>
  <c r="I100" i="41"/>
  <c r="J100" i="41"/>
  <c r="K100" i="41"/>
  <c r="L100" i="41"/>
  <c r="M100" i="41"/>
  <c r="N100" i="41"/>
  <c r="O100" i="41"/>
  <c r="P100" i="41"/>
  <c r="Q100" i="41"/>
  <c r="R100" i="41"/>
  <c r="S100" i="41"/>
  <c r="T100" i="41"/>
  <c r="U100" i="41"/>
  <c r="V100" i="41"/>
  <c r="W100" i="41"/>
  <c r="X100" i="41"/>
  <c r="F101" i="41"/>
  <c r="G101" i="41"/>
  <c r="H101" i="41"/>
  <c r="I101" i="41"/>
  <c r="J101" i="41"/>
  <c r="K101" i="41"/>
  <c r="L101" i="41"/>
  <c r="M101" i="41"/>
  <c r="N101" i="41"/>
  <c r="O101" i="41"/>
  <c r="P101" i="41"/>
  <c r="Q101" i="41"/>
  <c r="R101" i="41"/>
  <c r="S101" i="41"/>
  <c r="T101" i="41"/>
  <c r="U101" i="41"/>
  <c r="V101" i="41"/>
  <c r="W101" i="41"/>
  <c r="X101" i="41"/>
  <c r="F102" i="41"/>
  <c r="G102" i="41"/>
  <c r="H102" i="41"/>
  <c r="I102" i="41"/>
  <c r="J102" i="41"/>
  <c r="K102" i="41"/>
  <c r="L102" i="41"/>
  <c r="M102" i="41"/>
  <c r="N102" i="41"/>
  <c r="O102" i="41"/>
  <c r="P102" i="41"/>
  <c r="Q102" i="41"/>
  <c r="R102" i="41"/>
  <c r="S102" i="41"/>
  <c r="T102" i="41"/>
  <c r="U102" i="41"/>
  <c r="V102" i="41"/>
  <c r="W102" i="41"/>
  <c r="X102" i="41"/>
  <c r="F103" i="41"/>
  <c r="G103" i="41"/>
  <c r="H103" i="41"/>
  <c r="I103" i="41"/>
  <c r="J103" i="41"/>
  <c r="K103" i="41"/>
  <c r="L103" i="41"/>
  <c r="M103" i="41"/>
  <c r="N103" i="41"/>
  <c r="O103" i="41"/>
  <c r="P103" i="41"/>
  <c r="Q103" i="41"/>
  <c r="R103" i="41"/>
  <c r="S103" i="41"/>
  <c r="T103" i="41"/>
  <c r="U103" i="41"/>
  <c r="V103" i="41"/>
  <c r="W103" i="41"/>
  <c r="X103" i="41"/>
  <c r="F71" i="41"/>
  <c r="G71" i="41"/>
  <c r="H71" i="41"/>
  <c r="I71" i="41"/>
  <c r="J71" i="41"/>
  <c r="K71" i="41"/>
  <c r="L71" i="41"/>
  <c r="M71" i="41"/>
  <c r="N71" i="41"/>
  <c r="O71" i="41"/>
  <c r="P71" i="41"/>
  <c r="Q71" i="41"/>
  <c r="R71" i="41"/>
  <c r="S71" i="41"/>
  <c r="T71" i="41"/>
  <c r="U71" i="41"/>
  <c r="V71" i="41"/>
  <c r="W71" i="41"/>
  <c r="X71" i="41"/>
  <c r="F72" i="41"/>
  <c r="G72" i="41"/>
  <c r="H72" i="41"/>
  <c r="I72" i="41"/>
  <c r="J72" i="41"/>
  <c r="K72" i="41"/>
  <c r="L72" i="41"/>
  <c r="M72" i="41"/>
  <c r="N72" i="41"/>
  <c r="O72" i="41"/>
  <c r="P72" i="41"/>
  <c r="Q72" i="41"/>
  <c r="R72" i="41"/>
  <c r="S72" i="41"/>
  <c r="T72" i="41"/>
  <c r="U72" i="41"/>
  <c r="V72" i="41"/>
  <c r="W72" i="41"/>
  <c r="X72" i="41"/>
  <c r="F73" i="41"/>
  <c r="G73" i="41"/>
  <c r="H73" i="41"/>
  <c r="I73" i="41"/>
  <c r="J73" i="41"/>
  <c r="K73" i="41"/>
  <c r="L73" i="41"/>
  <c r="M73" i="41"/>
  <c r="N73" i="41"/>
  <c r="O73" i="41"/>
  <c r="P73" i="41"/>
  <c r="Q73" i="41"/>
  <c r="R73" i="41"/>
  <c r="S73" i="41"/>
  <c r="T73" i="41"/>
  <c r="U73" i="41"/>
  <c r="V73" i="41"/>
  <c r="W73" i="41"/>
  <c r="X73" i="41"/>
  <c r="F74" i="41"/>
  <c r="G74" i="41"/>
  <c r="H74" i="41"/>
  <c r="I74" i="41"/>
  <c r="J74" i="41"/>
  <c r="K74" i="41"/>
  <c r="L74" i="41"/>
  <c r="M74" i="41"/>
  <c r="N74" i="41"/>
  <c r="O74" i="41"/>
  <c r="P74" i="41"/>
  <c r="Q74" i="41"/>
  <c r="R74" i="41"/>
  <c r="S74" i="41"/>
  <c r="T74" i="41"/>
  <c r="U74" i="41"/>
  <c r="V74" i="41"/>
  <c r="W74" i="41"/>
  <c r="X74" i="41"/>
  <c r="F75" i="41"/>
  <c r="G75" i="41"/>
  <c r="H75" i="41"/>
  <c r="I75" i="41"/>
  <c r="J75" i="41"/>
  <c r="K75" i="41"/>
  <c r="L75" i="41"/>
  <c r="M75" i="41"/>
  <c r="N75" i="41"/>
  <c r="O75" i="41"/>
  <c r="P75" i="41"/>
  <c r="Q75" i="41"/>
  <c r="R75" i="41"/>
  <c r="S75" i="41"/>
  <c r="T75" i="41"/>
  <c r="U75" i="41"/>
  <c r="V75" i="41"/>
  <c r="W75" i="41"/>
  <c r="X75" i="41"/>
  <c r="F76" i="41"/>
  <c r="G76" i="41"/>
  <c r="H76" i="41"/>
  <c r="I76" i="41"/>
  <c r="J76" i="41"/>
  <c r="K76" i="41"/>
  <c r="L76" i="41"/>
  <c r="M76" i="41"/>
  <c r="N76" i="41"/>
  <c r="O76" i="41"/>
  <c r="P76" i="41"/>
  <c r="Q76" i="41"/>
  <c r="R76" i="41"/>
  <c r="S76" i="41"/>
  <c r="T76" i="41"/>
  <c r="U76" i="41"/>
  <c r="V76" i="41"/>
  <c r="W76" i="41"/>
  <c r="X76" i="41"/>
  <c r="F77" i="41"/>
  <c r="G77" i="41"/>
  <c r="H77" i="41"/>
  <c r="I77" i="41"/>
  <c r="J77" i="41"/>
  <c r="K77" i="41"/>
  <c r="L77" i="41"/>
  <c r="M77" i="41"/>
  <c r="N77" i="41"/>
  <c r="O77" i="41"/>
  <c r="P77" i="41"/>
  <c r="Q77" i="41"/>
  <c r="R77" i="41"/>
  <c r="S77" i="41"/>
  <c r="T77" i="41"/>
  <c r="U77" i="41"/>
  <c r="V77" i="41"/>
  <c r="W77" i="41"/>
  <c r="X77" i="41"/>
  <c r="F78" i="41"/>
  <c r="G78" i="41"/>
  <c r="H78" i="41"/>
  <c r="I78" i="41"/>
  <c r="J78" i="41"/>
  <c r="K78" i="41"/>
  <c r="L78" i="41"/>
  <c r="M78" i="41"/>
  <c r="N78" i="41"/>
  <c r="O78" i="41"/>
  <c r="P78" i="41"/>
  <c r="Q78" i="41"/>
  <c r="R78" i="41"/>
  <c r="S78" i="41"/>
  <c r="T78" i="41"/>
  <c r="U78" i="41"/>
  <c r="V78" i="41"/>
  <c r="W78" i="41"/>
  <c r="X78" i="41"/>
  <c r="F79" i="41"/>
  <c r="G79" i="41"/>
  <c r="H79" i="41"/>
  <c r="I79" i="41"/>
  <c r="J79" i="41"/>
  <c r="K79" i="41"/>
  <c r="L79" i="41"/>
  <c r="M79" i="41"/>
  <c r="N79" i="41"/>
  <c r="O79" i="41"/>
  <c r="P79" i="41"/>
  <c r="Q79" i="41"/>
  <c r="R79" i="41"/>
  <c r="S79" i="41"/>
  <c r="T79" i="41"/>
  <c r="U79" i="41"/>
  <c r="V79" i="41"/>
  <c r="W79" i="41"/>
  <c r="X79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T80" i="41"/>
  <c r="U80" i="41"/>
  <c r="V80" i="41"/>
  <c r="W80" i="41"/>
  <c r="X80" i="41"/>
  <c r="F81" i="41"/>
  <c r="G81" i="41"/>
  <c r="H81" i="41"/>
  <c r="I81" i="41"/>
  <c r="J81" i="41"/>
  <c r="K81" i="41"/>
  <c r="L81" i="41"/>
  <c r="M81" i="41"/>
  <c r="N81" i="41"/>
  <c r="O81" i="41"/>
  <c r="P81" i="41"/>
  <c r="Q81" i="41"/>
  <c r="R81" i="41"/>
  <c r="S81" i="41"/>
  <c r="T81" i="41"/>
  <c r="U81" i="41"/>
  <c r="V81" i="41"/>
  <c r="W81" i="41"/>
  <c r="X81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T82" i="41"/>
  <c r="U82" i="41"/>
  <c r="V82" i="41"/>
  <c r="W82" i="41"/>
  <c r="X82" i="41"/>
  <c r="F83" i="41"/>
  <c r="G83" i="41"/>
  <c r="H83" i="41"/>
  <c r="I83" i="41"/>
  <c r="J83" i="41"/>
  <c r="K83" i="41"/>
  <c r="L83" i="41"/>
  <c r="M83" i="41"/>
  <c r="N83" i="41"/>
  <c r="O83" i="41"/>
  <c r="P83" i="41"/>
  <c r="Q83" i="41"/>
  <c r="R83" i="41"/>
  <c r="S83" i="41"/>
  <c r="T83" i="41"/>
  <c r="U83" i="41"/>
  <c r="V83" i="41"/>
  <c r="W83" i="41"/>
  <c r="X83" i="41"/>
  <c r="F84" i="41"/>
  <c r="G84" i="41"/>
  <c r="H84" i="41"/>
  <c r="I84" i="41"/>
  <c r="J84" i="41"/>
  <c r="K84" i="41"/>
  <c r="L84" i="41"/>
  <c r="M84" i="41"/>
  <c r="N84" i="41"/>
  <c r="O84" i="41"/>
  <c r="P84" i="41"/>
  <c r="Q84" i="41"/>
  <c r="R84" i="41"/>
  <c r="S84" i="41"/>
  <c r="T84" i="41"/>
  <c r="U84" i="41"/>
  <c r="V84" i="41"/>
  <c r="W84" i="41"/>
  <c r="X84" i="41"/>
  <c r="F85" i="41"/>
  <c r="G85" i="41"/>
  <c r="H85" i="41"/>
  <c r="I85" i="41"/>
  <c r="J85" i="41"/>
  <c r="K85" i="41"/>
  <c r="L85" i="41"/>
  <c r="M85" i="41"/>
  <c r="N85" i="41"/>
  <c r="O85" i="41"/>
  <c r="P85" i="41"/>
  <c r="Q85" i="41"/>
  <c r="R85" i="41"/>
  <c r="S85" i="41"/>
  <c r="T85" i="41"/>
  <c r="U85" i="41"/>
  <c r="V85" i="41"/>
  <c r="W85" i="41"/>
  <c r="X85" i="41"/>
  <c r="F44" i="41"/>
  <c r="G44" i="41"/>
  <c r="H44" i="41"/>
  <c r="I44" i="41"/>
  <c r="J44" i="41"/>
  <c r="K44" i="41"/>
  <c r="L44" i="41"/>
  <c r="M44" i="41"/>
  <c r="N44" i="41"/>
  <c r="O44" i="41"/>
  <c r="P44" i="41"/>
  <c r="Q44" i="41"/>
  <c r="R44" i="41"/>
  <c r="S44" i="41"/>
  <c r="T44" i="41"/>
  <c r="U44" i="41"/>
  <c r="V44" i="41"/>
  <c r="W44" i="41"/>
  <c r="X44" i="41"/>
  <c r="F45" i="41"/>
  <c r="G45" i="41"/>
  <c r="H45" i="41"/>
  <c r="I45" i="41"/>
  <c r="J45" i="41"/>
  <c r="K45" i="41"/>
  <c r="L45" i="41"/>
  <c r="M45" i="41"/>
  <c r="N45" i="41"/>
  <c r="O45" i="41"/>
  <c r="P45" i="41"/>
  <c r="Q45" i="41"/>
  <c r="R45" i="41"/>
  <c r="S45" i="41"/>
  <c r="T45" i="41"/>
  <c r="U45" i="41"/>
  <c r="V45" i="41"/>
  <c r="W45" i="41"/>
  <c r="X45" i="41"/>
  <c r="F46" i="41"/>
  <c r="G46" i="41"/>
  <c r="H46" i="41"/>
  <c r="I46" i="41"/>
  <c r="J46" i="41"/>
  <c r="K46" i="41"/>
  <c r="L46" i="41"/>
  <c r="M46" i="41"/>
  <c r="N46" i="41"/>
  <c r="O46" i="41"/>
  <c r="P46" i="41"/>
  <c r="Q46" i="41"/>
  <c r="R46" i="41"/>
  <c r="S46" i="41"/>
  <c r="T46" i="41"/>
  <c r="U46" i="41"/>
  <c r="V46" i="41"/>
  <c r="W46" i="41"/>
  <c r="X46" i="41"/>
  <c r="F47" i="41"/>
  <c r="G47" i="41"/>
  <c r="H47" i="41"/>
  <c r="I47" i="41"/>
  <c r="J47" i="41"/>
  <c r="K47" i="41"/>
  <c r="L47" i="41"/>
  <c r="M47" i="41"/>
  <c r="N47" i="41"/>
  <c r="O47" i="41"/>
  <c r="P47" i="41"/>
  <c r="Q47" i="41"/>
  <c r="R47" i="41"/>
  <c r="S47" i="41"/>
  <c r="T47" i="41"/>
  <c r="U47" i="41"/>
  <c r="V47" i="41"/>
  <c r="W47" i="41"/>
  <c r="X47" i="41"/>
  <c r="F48" i="41"/>
  <c r="G48" i="41"/>
  <c r="H48" i="41"/>
  <c r="I48" i="41"/>
  <c r="J48" i="41"/>
  <c r="K48" i="41"/>
  <c r="L48" i="41"/>
  <c r="M48" i="41"/>
  <c r="N48" i="41"/>
  <c r="O48" i="41"/>
  <c r="P48" i="41"/>
  <c r="Q48" i="41"/>
  <c r="R48" i="41"/>
  <c r="S48" i="41"/>
  <c r="T48" i="41"/>
  <c r="U48" i="41"/>
  <c r="V48" i="41"/>
  <c r="W48" i="41"/>
  <c r="X48" i="41"/>
  <c r="F49" i="41"/>
  <c r="G49" i="41"/>
  <c r="H49" i="41"/>
  <c r="I49" i="41"/>
  <c r="J49" i="41"/>
  <c r="K49" i="41"/>
  <c r="L49" i="41"/>
  <c r="M49" i="41"/>
  <c r="N49" i="41"/>
  <c r="O49" i="41"/>
  <c r="P49" i="41"/>
  <c r="Q49" i="41"/>
  <c r="R49" i="41"/>
  <c r="S49" i="41"/>
  <c r="T49" i="41"/>
  <c r="U49" i="41"/>
  <c r="V49" i="41"/>
  <c r="W49" i="41"/>
  <c r="X49" i="41"/>
  <c r="F50" i="41"/>
  <c r="G50" i="41"/>
  <c r="H50" i="41"/>
  <c r="I50" i="41"/>
  <c r="J50" i="41"/>
  <c r="K50" i="41"/>
  <c r="L50" i="41"/>
  <c r="M50" i="41"/>
  <c r="N50" i="41"/>
  <c r="O50" i="41"/>
  <c r="P50" i="41"/>
  <c r="Q50" i="41"/>
  <c r="R50" i="41"/>
  <c r="S50" i="41"/>
  <c r="T50" i="41"/>
  <c r="U50" i="41"/>
  <c r="V50" i="41"/>
  <c r="W50" i="41"/>
  <c r="X50" i="41"/>
  <c r="F51" i="41"/>
  <c r="G51" i="41"/>
  <c r="H51" i="41"/>
  <c r="I51" i="41"/>
  <c r="J51" i="41"/>
  <c r="K51" i="41"/>
  <c r="L51" i="41"/>
  <c r="M51" i="41"/>
  <c r="N51" i="41"/>
  <c r="O51" i="41"/>
  <c r="P51" i="41"/>
  <c r="Q51" i="41"/>
  <c r="R51" i="41"/>
  <c r="S51" i="41"/>
  <c r="T51" i="41"/>
  <c r="U51" i="41"/>
  <c r="V51" i="41"/>
  <c r="W51" i="41"/>
  <c r="X51" i="41"/>
  <c r="F52" i="41"/>
  <c r="G52" i="41"/>
  <c r="H52" i="41"/>
  <c r="I52" i="41"/>
  <c r="J52" i="41"/>
  <c r="K52" i="41"/>
  <c r="L52" i="41"/>
  <c r="M52" i="41"/>
  <c r="N52" i="41"/>
  <c r="O52" i="41"/>
  <c r="P52" i="41"/>
  <c r="Q52" i="41"/>
  <c r="R52" i="41"/>
  <c r="S52" i="41"/>
  <c r="T52" i="41"/>
  <c r="U52" i="41"/>
  <c r="V52" i="41"/>
  <c r="W52" i="41"/>
  <c r="X52" i="41"/>
  <c r="F53" i="41"/>
  <c r="G53" i="41"/>
  <c r="H53" i="41"/>
  <c r="I53" i="41"/>
  <c r="J53" i="41"/>
  <c r="K53" i="41"/>
  <c r="L53" i="41"/>
  <c r="M53" i="41"/>
  <c r="N53" i="41"/>
  <c r="O53" i="41"/>
  <c r="P53" i="41"/>
  <c r="Q53" i="41"/>
  <c r="R53" i="41"/>
  <c r="S53" i="41"/>
  <c r="T53" i="41"/>
  <c r="U53" i="41"/>
  <c r="V53" i="41"/>
  <c r="W53" i="41"/>
  <c r="X53" i="41"/>
  <c r="F54" i="41"/>
  <c r="G54" i="41"/>
  <c r="H54" i="41"/>
  <c r="I54" i="41"/>
  <c r="J54" i="41"/>
  <c r="K54" i="41"/>
  <c r="L54" i="41"/>
  <c r="M54" i="41"/>
  <c r="N54" i="41"/>
  <c r="O54" i="41"/>
  <c r="P54" i="41"/>
  <c r="Q54" i="41"/>
  <c r="R54" i="41"/>
  <c r="S54" i="41"/>
  <c r="T54" i="41"/>
  <c r="U54" i="41"/>
  <c r="V54" i="41"/>
  <c r="W54" i="41"/>
  <c r="X54" i="41"/>
  <c r="F55" i="41"/>
  <c r="G55" i="41"/>
  <c r="H55" i="41"/>
  <c r="I55" i="41"/>
  <c r="J55" i="41"/>
  <c r="K55" i="41"/>
  <c r="L55" i="41"/>
  <c r="M55" i="41"/>
  <c r="N55" i="41"/>
  <c r="O55" i="41"/>
  <c r="P55" i="41"/>
  <c r="Q55" i="41"/>
  <c r="R55" i="41"/>
  <c r="S55" i="41"/>
  <c r="T55" i="41"/>
  <c r="U55" i="41"/>
  <c r="V55" i="41"/>
  <c r="W55" i="41"/>
  <c r="X55" i="41"/>
  <c r="F56" i="41"/>
  <c r="G56" i="41"/>
  <c r="H56" i="41"/>
  <c r="I56" i="41"/>
  <c r="J56" i="41"/>
  <c r="K56" i="41"/>
  <c r="L56" i="41"/>
  <c r="M56" i="41"/>
  <c r="N56" i="41"/>
  <c r="O56" i="41"/>
  <c r="P56" i="41"/>
  <c r="Q56" i="41"/>
  <c r="R56" i="41"/>
  <c r="S56" i="41"/>
  <c r="T56" i="41"/>
  <c r="U56" i="41"/>
  <c r="V56" i="41"/>
  <c r="W56" i="41"/>
  <c r="X56" i="41"/>
  <c r="F57" i="41"/>
  <c r="G57" i="41"/>
  <c r="H57" i="41"/>
  <c r="I57" i="41"/>
  <c r="J57" i="41"/>
  <c r="K57" i="41"/>
  <c r="L57" i="41"/>
  <c r="M57" i="41"/>
  <c r="N57" i="41"/>
  <c r="O57" i="41"/>
  <c r="P57" i="41"/>
  <c r="Q57" i="41"/>
  <c r="R57" i="41"/>
  <c r="S57" i="41"/>
  <c r="T57" i="41"/>
  <c r="U57" i="41"/>
  <c r="V57" i="41"/>
  <c r="W57" i="41"/>
  <c r="X57" i="41"/>
  <c r="F58" i="41"/>
  <c r="G58" i="41"/>
  <c r="H58" i="41"/>
  <c r="I58" i="41"/>
  <c r="J58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/>
  <c r="X58" i="41"/>
  <c r="F26" i="41"/>
  <c r="G26" i="41"/>
  <c r="H26" i="41"/>
  <c r="I26" i="41"/>
  <c r="J26" i="41"/>
  <c r="K26" i="41"/>
  <c r="L26" i="41"/>
  <c r="M26" i="41"/>
  <c r="N26" i="41"/>
  <c r="O26" i="41"/>
  <c r="P26" i="41"/>
  <c r="Q26" i="41"/>
  <c r="R26" i="41"/>
  <c r="S26" i="41"/>
  <c r="T26" i="41"/>
  <c r="U26" i="41"/>
  <c r="V26" i="41"/>
  <c r="W26" i="41"/>
  <c r="X26" i="41"/>
  <c r="F27" i="41"/>
  <c r="G27" i="41"/>
  <c r="H27" i="41"/>
  <c r="I27" i="41"/>
  <c r="J27" i="41"/>
  <c r="K27" i="41"/>
  <c r="L27" i="41"/>
  <c r="M27" i="41"/>
  <c r="N27" i="41"/>
  <c r="O27" i="41"/>
  <c r="P27" i="41"/>
  <c r="Q27" i="41"/>
  <c r="R27" i="41"/>
  <c r="S27" i="41"/>
  <c r="T27" i="41"/>
  <c r="U27" i="41"/>
  <c r="V27" i="41"/>
  <c r="W27" i="41"/>
  <c r="X27" i="41"/>
  <c r="F28" i="41"/>
  <c r="G28" i="41"/>
  <c r="H28" i="41"/>
  <c r="I28" i="41"/>
  <c r="J28" i="41"/>
  <c r="K28" i="41"/>
  <c r="L28" i="41"/>
  <c r="M28" i="41"/>
  <c r="N28" i="41"/>
  <c r="O28" i="41"/>
  <c r="P28" i="41"/>
  <c r="Q28" i="41"/>
  <c r="R28" i="41"/>
  <c r="S28" i="41"/>
  <c r="T28" i="41"/>
  <c r="U28" i="41"/>
  <c r="V28" i="41"/>
  <c r="W28" i="41"/>
  <c r="X28" i="41"/>
  <c r="F29" i="41"/>
  <c r="G29" i="41"/>
  <c r="H29" i="41"/>
  <c r="I29" i="41"/>
  <c r="J29" i="41"/>
  <c r="K29" i="41"/>
  <c r="L29" i="41"/>
  <c r="M29" i="41"/>
  <c r="N29" i="41"/>
  <c r="O29" i="41"/>
  <c r="P29" i="41"/>
  <c r="Q29" i="41"/>
  <c r="R29" i="41"/>
  <c r="S29" i="41"/>
  <c r="T29" i="41"/>
  <c r="U29" i="41"/>
  <c r="V29" i="41"/>
  <c r="W29" i="41"/>
  <c r="X29" i="41"/>
  <c r="F30" i="41"/>
  <c r="G30" i="41"/>
  <c r="H30" i="41"/>
  <c r="I30" i="41"/>
  <c r="J30" i="41"/>
  <c r="K30" i="41"/>
  <c r="L30" i="41"/>
  <c r="M30" i="41"/>
  <c r="N30" i="41"/>
  <c r="O30" i="41"/>
  <c r="P30" i="41"/>
  <c r="Q30" i="41"/>
  <c r="R30" i="41"/>
  <c r="S30" i="41"/>
  <c r="T30" i="41"/>
  <c r="U30" i="41"/>
  <c r="V30" i="41"/>
  <c r="W30" i="41"/>
  <c r="X30" i="41"/>
  <c r="F31" i="41"/>
  <c r="G31" i="41"/>
  <c r="H31" i="41"/>
  <c r="I31" i="41"/>
  <c r="J31" i="41"/>
  <c r="K31" i="41"/>
  <c r="L31" i="41"/>
  <c r="M31" i="41"/>
  <c r="N31" i="41"/>
  <c r="O31" i="41"/>
  <c r="P31" i="41"/>
  <c r="Q31" i="41"/>
  <c r="R31" i="41"/>
  <c r="S31" i="41"/>
  <c r="T31" i="41"/>
  <c r="U31" i="41"/>
  <c r="V31" i="41"/>
  <c r="W31" i="41"/>
  <c r="X31" i="41"/>
  <c r="F32" i="41"/>
  <c r="G32" i="41"/>
  <c r="H32" i="41"/>
  <c r="I32" i="41"/>
  <c r="J32" i="41"/>
  <c r="K32" i="41"/>
  <c r="L32" i="41"/>
  <c r="M32" i="41"/>
  <c r="N32" i="41"/>
  <c r="O32" i="41"/>
  <c r="P32" i="41"/>
  <c r="Q32" i="41"/>
  <c r="R32" i="41"/>
  <c r="S32" i="41"/>
  <c r="T32" i="41"/>
  <c r="U32" i="41"/>
  <c r="V32" i="41"/>
  <c r="W32" i="41"/>
  <c r="X32" i="41"/>
  <c r="F33" i="41"/>
  <c r="G33" i="41"/>
  <c r="H33" i="41"/>
  <c r="I33" i="41"/>
  <c r="J33" i="41"/>
  <c r="K33" i="41"/>
  <c r="L33" i="41"/>
  <c r="M33" i="41"/>
  <c r="N33" i="41"/>
  <c r="O33" i="41"/>
  <c r="P33" i="41"/>
  <c r="Q33" i="41"/>
  <c r="R33" i="41"/>
  <c r="S33" i="41"/>
  <c r="T33" i="41"/>
  <c r="U33" i="41"/>
  <c r="V33" i="41"/>
  <c r="W33" i="41"/>
  <c r="X33" i="41"/>
  <c r="F34" i="41"/>
  <c r="G34" i="41"/>
  <c r="H34" i="41"/>
  <c r="I34" i="41"/>
  <c r="J34" i="41"/>
  <c r="K34" i="41"/>
  <c r="L34" i="41"/>
  <c r="M34" i="41"/>
  <c r="N34" i="41"/>
  <c r="O34" i="41"/>
  <c r="P34" i="41"/>
  <c r="Q34" i="41"/>
  <c r="R34" i="41"/>
  <c r="S34" i="41"/>
  <c r="T34" i="41"/>
  <c r="U34" i="41"/>
  <c r="V34" i="41"/>
  <c r="W34" i="41"/>
  <c r="X34" i="41"/>
  <c r="F35" i="41"/>
  <c r="G35" i="41"/>
  <c r="H35" i="41"/>
  <c r="I35" i="41"/>
  <c r="J35" i="41"/>
  <c r="K35" i="41"/>
  <c r="L35" i="41"/>
  <c r="M35" i="41"/>
  <c r="N35" i="41"/>
  <c r="O35" i="41"/>
  <c r="P35" i="41"/>
  <c r="Q35" i="41"/>
  <c r="R35" i="41"/>
  <c r="S35" i="41"/>
  <c r="T35" i="41"/>
  <c r="U35" i="41"/>
  <c r="V35" i="41"/>
  <c r="W35" i="41"/>
  <c r="X35" i="41"/>
  <c r="F36" i="41"/>
  <c r="G36" i="41"/>
  <c r="H36" i="41"/>
  <c r="I36" i="41"/>
  <c r="J36" i="41"/>
  <c r="K36" i="41"/>
  <c r="L36" i="41"/>
  <c r="M36" i="41"/>
  <c r="N36" i="41"/>
  <c r="O36" i="41"/>
  <c r="P36" i="41"/>
  <c r="Q36" i="41"/>
  <c r="R36" i="41"/>
  <c r="S36" i="41"/>
  <c r="T36" i="41"/>
  <c r="U36" i="41"/>
  <c r="V36" i="41"/>
  <c r="W36" i="41"/>
  <c r="X36" i="41"/>
  <c r="F37" i="41"/>
  <c r="G37" i="41"/>
  <c r="H37" i="41"/>
  <c r="I37" i="41"/>
  <c r="J37" i="41"/>
  <c r="K37" i="41"/>
  <c r="L37" i="41"/>
  <c r="M37" i="41"/>
  <c r="N37" i="41"/>
  <c r="O37" i="41"/>
  <c r="P37" i="41"/>
  <c r="Q37" i="41"/>
  <c r="R37" i="41"/>
  <c r="S37" i="41"/>
  <c r="T37" i="41"/>
  <c r="U37" i="41"/>
  <c r="V37" i="41"/>
  <c r="W37" i="41"/>
  <c r="X37" i="41"/>
  <c r="F38" i="41"/>
  <c r="G38" i="41"/>
  <c r="H38" i="41"/>
  <c r="I38" i="41"/>
  <c r="J38" i="41"/>
  <c r="K38" i="41"/>
  <c r="L38" i="41"/>
  <c r="M38" i="41"/>
  <c r="N38" i="41"/>
  <c r="O38" i="41"/>
  <c r="P38" i="41"/>
  <c r="Q38" i="41"/>
  <c r="R38" i="41"/>
  <c r="S38" i="41"/>
  <c r="T38" i="41"/>
  <c r="U38" i="41"/>
  <c r="V38" i="41"/>
  <c r="W38" i="41"/>
  <c r="X38" i="41"/>
  <c r="F39" i="41"/>
  <c r="G39" i="41"/>
  <c r="H39" i="41"/>
  <c r="I39" i="41"/>
  <c r="J39" i="41"/>
  <c r="K39" i="41"/>
  <c r="L39" i="41"/>
  <c r="M39" i="41"/>
  <c r="N39" i="41"/>
  <c r="O39" i="41"/>
  <c r="P39" i="41"/>
  <c r="Q39" i="41"/>
  <c r="R39" i="41"/>
  <c r="S39" i="41"/>
  <c r="T39" i="41"/>
  <c r="U39" i="41"/>
  <c r="V39" i="41"/>
  <c r="W39" i="41"/>
  <c r="X39" i="41"/>
  <c r="F40" i="41"/>
  <c r="G40" i="41"/>
  <c r="H40" i="41"/>
  <c r="I40" i="41"/>
  <c r="J40" i="41"/>
  <c r="K40" i="41"/>
  <c r="L40" i="41"/>
  <c r="M40" i="41"/>
  <c r="N40" i="41"/>
  <c r="O40" i="41"/>
  <c r="P40" i="41"/>
  <c r="Q40" i="41"/>
  <c r="R40" i="41"/>
  <c r="S40" i="41"/>
  <c r="T40" i="41"/>
  <c r="U40" i="41"/>
  <c r="V40" i="41"/>
  <c r="W40" i="41"/>
  <c r="X40" i="41"/>
  <c r="H16" i="33" l="1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G16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G19" i="33"/>
  <c r="G18" i="33"/>
  <c r="G17" i="33"/>
  <c r="F56" i="32"/>
  <c r="G56" i="32"/>
  <c r="H56" i="32"/>
  <c r="I56" i="32"/>
  <c r="J56" i="32"/>
  <c r="K56" i="32"/>
  <c r="L56" i="32"/>
  <c r="M56" i="32"/>
  <c r="N56" i="32"/>
  <c r="O56" i="32"/>
  <c r="P56" i="32"/>
  <c r="Q56" i="32"/>
  <c r="R56" i="32"/>
  <c r="S56" i="32"/>
  <c r="T56" i="32"/>
  <c r="U56" i="32"/>
  <c r="V56" i="32"/>
  <c r="W56" i="32"/>
  <c r="X56" i="32"/>
  <c r="E56" i="32"/>
  <c r="U70" i="68"/>
  <c r="O70" i="68"/>
  <c r="O61" i="68" s="1"/>
  <c r="O10" i="68" s="1"/>
  <c r="I70" i="68"/>
  <c r="Q68" i="68"/>
  <c r="U63" i="68"/>
  <c r="U61" i="68" s="1"/>
  <c r="U10" i="68" s="1"/>
  <c r="R63" i="68"/>
  <c r="L63" i="68"/>
  <c r="I63" i="68"/>
  <c r="Z61" i="68"/>
  <c r="Y61" i="68"/>
  <c r="X61" i="68"/>
  <c r="W61" i="68"/>
  <c r="V61" i="68"/>
  <c r="T61" i="68"/>
  <c r="S61" i="68"/>
  <c r="R61" i="68"/>
  <c r="Q61" i="68"/>
  <c r="P61" i="68"/>
  <c r="N61" i="68"/>
  <c r="M61" i="68"/>
  <c r="L61" i="68"/>
  <c r="K61" i="68"/>
  <c r="J61" i="68"/>
  <c r="I61" i="68"/>
  <c r="H61" i="68"/>
  <c r="G61" i="68"/>
  <c r="Z58" i="68"/>
  <c r="Y58" i="68"/>
  <c r="X58" i="68"/>
  <c r="W58" i="68"/>
  <c r="V58" i="68"/>
  <c r="U58" i="68"/>
  <c r="T58" i="68"/>
  <c r="S58" i="68"/>
  <c r="R58" i="68"/>
  <c r="R38" i="68" s="1"/>
  <c r="R11" i="68" s="1"/>
  <c r="R9" i="68" s="1"/>
  <c r="Q58" i="68"/>
  <c r="P58" i="68"/>
  <c r="O58" i="68"/>
  <c r="N58" i="68"/>
  <c r="M58" i="68"/>
  <c r="L58" i="68"/>
  <c r="K58" i="68"/>
  <c r="J58" i="68"/>
  <c r="J38" i="68" s="1"/>
  <c r="J11" i="68" s="1"/>
  <c r="J9" i="68" s="1"/>
  <c r="I58" i="68"/>
  <c r="H58" i="68"/>
  <c r="G58" i="68"/>
  <c r="X46" i="68"/>
  <c r="Z46" i="68" s="1"/>
  <c r="Z38" i="68" s="1"/>
  <c r="Z11" i="68" s="1"/>
  <c r="Z9" i="68" s="1"/>
  <c r="M46" i="68"/>
  <c r="O46" i="68" s="1"/>
  <c r="L46" i="68"/>
  <c r="K46" i="68"/>
  <c r="B46" i="68"/>
  <c r="Q45" i="68"/>
  <c r="U45" i="68" s="1"/>
  <c r="X45" i="68" s="1"/>
  <c r="N45" i="68"/>
  <c r="N44" i="68"/>
  <c r="N38" i="68" s="1"/>
  <c r="N11" i="68" s="1"/>
  <c r="Q43" i="68"/>
  <c r="U43" i="68" s="1"/>
  <c r="N43" i="68"/>
  <c r="E39" i="68"/>
  <c r="Y38" i="68"/>
  <c r="Y11" i="68" s="1"/>
  <c r="W38" i="68"/>
  <c r="V38" i="68"/>
  <c r="T38" i="68"/>
  <c r="P38" i="68"/>
  <c r="P11" i="68" s="1"/>
  <c r="P9" i="68" s="1"/>
  <c r="M38" i="68"/>
  <c r="L38" i="68"/>
  <c r="K38" i="68"/>
  <c r="I38" i="68"/>
  <c r="I11" i="68" s="1"/>
  <c r="H38" i="68"/>
  <c r="H11" i="68" s="1"/>
  <c r="H9" i="68" s="1"/>
  <c r="G38" i="68"/>
  <c r="G37" i="68"/>
  <c r="E36" i="68"/>
  <c r="N21" i="68"/>
  <c r="Q21" i="68" s="1"/>
  <c r="U21" i="68" s="1"/>
  <c r="X21" i="68" s="1"/>
  <c r="Q20" i="68"/>
  <c r="U20" i="68" s="1"/>
  <c r="X20" i="68" s="1"/>
  <c r="N20" i="68"/>
  <c r="N19" i="68"/>
  <c r="Q19" i="68" s="1"/>
  <c r="Z14" i="68"/>
  <c r="Z8" i="68" s="1"/>
  <c r="Y14" i="68"/>
  <c r="W14" i="68"/>
  <c r="V14" i="68"/>
  <c r="T14" i="68"/>
  <c r="S14" i="68"/>
  <c r="S8" i="68" s="1"/>
  <c r="R14" i="68"/>
  <c r="R8" i="68" s="1"/>
  <c r="P14" i="68"/>
  <c r="P8" i="68" s="1"/>
  <c r="O14" i="68"/>
  <c r="N14" i="68"/>
  <c r="M14" i="68"/>
  <c r="M8" i="68" s="1"/>
  <c r="L14" i="68"/>
  <c r="K14" i="68"/>
  <c r="K8" i="68" s="1"/>
  <c r="J14" i="68"/>
  <c r="J8" i="68" s="1"/>
  <c r="I14" i="68"/>
  <c r="H14" i="68"/>
  <c r="H8" i="68" s="1"/>
  <c r="G14" i="68"/>
  <c r="G13" i="68"/>
  <c r="W11" i="68"/>
  <c r="V11" i="68"/>
  <c r="T11" i="68"/>
  <c r="M11" i="68"/>
  <c r="L11" i="68"/>
  <c r="K11" i="68"/>
  <c r="G11" i="68"/>
  <c r="Z10" i="68"/>
  <c r="Y10" i="68"/>
  <c r="X10" i="68"/>
  <c r="W10" i="68"/>
  <c r="W9" i="68" s="1"/>
  <c r="V10" i="68"/>
  <c r="V9" i="68" s="1"/>
  <c r="T10" i="68"/>
  <c r="T9" i="68" s="1"/>
  <c r="S10" i="68"/>
  <c r="R10" i="68"/>
  <c r="Q10" i="68"/>
  <c r="P10" i="68"/>
  <c r="N10" i="68"/>
  <c r="N9" i="68" s="1"/>
  <c r="M10" i="68"/>
  <c r="L10" i="68"/>
  <c r="L9" i="68" s="1"/>
  <c r="K10" i="68"/>
  <c r="J10" i="68"/>
  <c r="I10" i="68"/>
  <c r="I9" i="68" s="1"/>
  <c r="H10" i="68"/>
  <c r="G10" i="68"/>
  <c r="G9" i="68" s="1"/>
  <c r="M9" i="68"/>
  <c r="K9" i="68"/>
  <c r="Y8" i="68"/>
  <c r="W8" i="68"/>
  <c r="V8" i="68"/>
  <c r="T8" i="68"/>
  <c r="O8" i="68"/>
  <c r="N8" i="68"/>
  <c r="L8" i="68"/>
  <c r="I8" i="68"/>
  <c r="G8" i="68"/>
  <c r="F6" i="68"/>
  <c r="G6" i="68" s="1"/>
  <c r="H4" i="68"/>
  <c r="H13" i="68" s="1"/>
  <c r="H37" i="68" s="1"/>
  <c r="Z3" i="68"/>
  <c r="Y3" i="68"/>
  <c r="X3" i="68"/>
  <c r="W3" i="68"/>
  <c r="V3" i="68"/>
  <c r="U3" i="68"/>
  <c r="T3" i="68"/>
  <c r="S3" i="68"/>
  <c r="R3" i="68"/>
  <c r="Q3" i="68"/>
  <c r="P3" i="68"/>
  <c r="O3" i="68"/>
  <c r="N3" i="68"/>
  <c r="M3" i="68"/>
  <c r="L3" i="68"/>
  <c r="K3" i="68"/>
  <c r="J3" i="68"/>
  <c r="I3" i="68"/>
  <c r="H3" i="68"/>
  <c r="G3" i="68"/>
  <c r="Y53" i="67"/>
  <c r="V53" i="67"/>
  <c r="S53" i="67"/>
  <c r="P53" i="67"/>
  <c r="N53" i="67"/>
  <c r="K53" i="67"/>
  <c r="I53" i="67"/>
  <c r="G53" i="67"/>
  <c r="E52" i="67"/>
  <c r="S49" i="67"/>
  <c r="G48" i="67"/>
  <c r="F45" i="67"/>
  <c r="E45" i="67"/>
  <c r="U44" i="67"/>
  <c r="M44" i="67"/>
  <c r="F43" i="67"/>
  <c r="E43" i="67"/>
  <c r="F35" i="67"/>
  <c r="E35" i="67"/>
  <c r="U34" i="67"/>
  <c r="U33" i="67"/>
  <c r="U32" i="67"/>
  <c r="U31" i="67"/>
  <c r="F30" i="67"/>
  <c r="E30" i="67"/>
  <c r="W29" i="67"/>
  <c r="U29" i="67"/>
  <c r="O29" i="67"/>
  <c r="M29" i="67"/>
  <c r="O28" i="67"/>
  <c r="U27" i="67"/>
  <c r="S27" i="67"/>
  <c r="M27" i="67"/>
  <c r="K27" i="67"/>
  <c r="G27" i="67"/>
  <c r="W26" i="67"/>
  <c r="O26" i="67"/>
  <c r="K26" i="67"/>
  <c r="G26" i="67"/>
  <c r="U25" i="67"/>
  <c r="O25" i="67"/>
  <c r="K25" i="67"/>
  <c r="Z24" i="67"/>
  <c r="W24" i="67"/>
  <c r="S24" i="67"/>
  <c r="O24" i="67"/>
  <c r="G24" i="67"/>
  <c r="F23" i="67"/>
  <c r="E23" i="67"/>
  <c r="I21" i="67"/>
  <c r="J21" i="67" s="1"/>
  <c r="K21" i="67" s="1"/>
  <c r="L21" i="67" s="1"/>
  <c r="M21" i="67" s="1"/>
  <c r="N21" i="67" s="1"/>
  <c r="O21" i="67" s="1"/>
  <c r="P21" i="67" s="1"/>
  <c r="Q21" i="67" s="1"/>
  <c r="R21" i="67" s="1"/>
  <c r="S21" i="67" s="1"/>
  <c r="T21" i="67" s="1"/>
  <c r="U21" i="67" s="1"/>
  <c r="V21" i="67" s="1"/>
  <c r="W21" i="67" s="1"/>
  <c r="X21" i="67" s="1"/>
  <c r="Y21" i="67" s="1"/>
  <c r="Z21" i="67" s="1"/>
  <c r="H21" i="67"/>
  <c r="D19" i="67"/>
  <c r="V18" i="67"/>
  <c r="S18" i="67"/>
  <c r="N18" i="67"/>
  <c r="H18" i="67"/>
  <c r="G18" i="67"/>
  <c r="D18" i="67"/>
  <c r="T18" i="67" s="1"/>
  <c r="Y17" i="67"/>
  <c r="Y44" i="67" s="1"/>
  <c r="X17" i="67"/>
  <c r="X44" i="67" s="1"/>
  <c r="U17" i="67"/>
  <c r="T17" i="67"/>
  <c r="T44" i="67" s="1"/>
  <c r="S17" i="67"/>
  <c r="S44" i="67" s="1"/>
  <c r="Q17" i="67"/>
  <c r="Q44" i="67" s="1"/>
  <c r="P17" i="67"/>
  <c r="P44" i="67" s="1"/>
  <c r="M17" i="67"/>
  <c r="L17" i="67"/>
  <c r="L44" i="67" s="1"/>
  <c r="K17" i="67"/>
  <c r="K44" i="67" s="1"/>
  <c r="I17" i="67"/>
  <c r="I44" i="67" s="1"/>
  <c r="H17" i="67"/>
  <c r="H44" i="67" s="1"/>
  <c r="D17" i="67"/>
  <c r="W17" i="67" s="1"/>
  <c r="W44" i="67" s="1"/>
  <c r="Z16" i="67"/>
  <c r="N16" i="67"/>
  <c r="D16" i="67"/>
  <c r="Y16" i="67" s="1"/>
  <c r="V15" i="67"/>
  <c r="U15" i="67"/>
  <c r="N15" i="67"/>
  <c r="J15" i="67"/>
  <c r="D15" i="67"/>
  <c r="Z14" i="67"/>
  <c r="X14" i="67"/>
  <c r="W14" i="67"/>
  <c r="W27" i="67" s="1"/>
  <c r="U14" i="67"/>
  <c r="U28" i="67" s="1"/>
  <c r="T14" i="67"/>
  <c r="S14" i="67"/>
  <c r="R14" i="67"/>
  <c r="P14" i="67"/>
  <c r="O14" i="67"/>
  <c r="O27" i="67" s="1"/>
  <c r="M14" i="67"/>
  <c r="L14" i="67"/>
  <c r="K14" i="67"/>
  <c r="J14" i="67"/>
  <c r="H14" i="67"/>
  <c r="G14" i="67"/>
  <c r="D14" i="67"/>
  <c r="V14" i="67" s="1"/>
  <c r="J6" i="67"/>
  <c r="K6" i="67" s="1"/>
  <c r="H6" i="67"/>
  <c r="I6" i="67" s="1"/>
  <c r="J5" i="67" s="1"/>
  <c r="G6" i="67"/>
  <c r="Z5" i="67"/>
  <c r="Y5" i="67"/>
  <c r="X5" i="67"/>
  <c r="W5" i="67"/>
  <c r="V5" i="67"/>
  <c r="U5" i="67"/>
  <c r="T5" i="67"/>
  <c r="I5" i="67"/>
  <c r="H5" i="67"/>
  <c r="G4" i="67"/>
  <c r="H4" i="67" s="1"/>
  <c r="I4" i="67" s="1"/>
  <c r="J4" i="67" s="1"/>
  <c r="K4" i="67" s="1"/>
  <c r="L4" i="67" s="1"/>
  <c r="M4" i="67" s="1"/>
  <c r="N4" i="67" s="1"/>
  <c r="O4" i="67" s="1"/>
  <c r="P4" i="67" s="1"/>
  <c r="Q4" i="67" s="1"/>
  <c r="R4" i="67" s="1"/>
  <c r="Z3" i="67"/>
  <c r="Y3" i="67"/>
  <c r="X3" i="67"/>
  <c r="W3" i="67"/>
  <c r="V3" i="67"/>
  <c r="U3" i="67"/>
  <c r="T3" i="67"/>
  <c r="S3" i="67"/>
  <c r="R3" i="67"/>
  <c r="Q3" i="67"/>
  <c r="P3" i="67"/>
  <c r="O3" i="67"/>
  <c r="N3" i="67"/>
  <c r="M3" i="67"/>
  <c r="L3" i="67"/>
  <c r="K3" i="67"/>
  <c r="J3" i="67"/>
  <c r="I3" i="67"/>
  <c r="H3" i="67"/>
  <c r="G3" i="67"/>
  <c r="E30" i="66"/>
  <c r="F30" i="66" s="1"/>
  <c r="G30" i="66" s="1"/>
  <c r="H30" i="66" s="1"/>
  <c r="I30" i="66" s="1"/>
  <c r="J30" i="66" s="1"/>
  <c r="K30" i="66" s="1"/>
  <c r="L30" i="66" s="1"/>
  <c r="M30" i="66" s="1"/>
  <c r="N30" i="66" s="1"/>
  <c r="O30" i="66" s="1"/>
  <c r="P30" i="66" s="1"/>
  <c r="Q30" i="66" s="1"/>
  <c r="R30" i="66" s="1"/>
  <c r="S30" i="66" s="1"/>
  <c r="T30" i="66" s="1"/>
  <c r="U30" i="66" s="1"/>
  <c r="V30" i="66" s="1"/>
  <c r="W30" i="66" s="1"/>
  <c r="X30" i="66" s="1"/>
  <c r="F29" i="66"/>
  <c r="G29" i="66" s="1"/>
  <c r="H29" i="66" s="1"/>
  <c r="I29" i="66" s="1"/>
  <c r="J29" i="66" s="1"/>
  <c r="K29" i="66" s="1"/>
  <c r="L29" i="66" s="1"/>
  <c r="M29" i="66" s="1"/>
  <c r="N29" i="66" s="1"/>
  <c r="O29" i="66" s="1"/>
  <c r="P29" i="66" s="1"/>
  <c r="Q29" i="66" s="1"/>
  <c r="R29" i="66" s="1"/>
  <c r="S29" i="66" s="1"/>
  <c r="T29" i="66" s="1"/>
  <c r="U29" i="66" s="1"/>
  <c r="V29" i="66" s="1"/>
  <c r="W29" i="66" s="1"/>
  <c r="X29" i="66" s="1"/>
  <c r="E29" i="66"/>
  <c r="E28" i="66"/>
  <c r="F28" i="66" s="1"/>
  <c r="G28" i="66" s="1"/>
  <c r="H28" i="66" s="1"/>
  <c r="I28" i="66" s="1"/>
  <c r="J28" i="66" s="1"/>
  <c r="K28" i="66" s="1"/>
  <c r="L28" i="66" s="1"/>
  <c r="M28" i="66" s="1"/>
  <c r="N28" i="66" s="1"/>
  <c r="O28" i="66" s="1"/>
  <c r="P28" i="66" s="1"/>
  <c r="Q28" i="66" s="1"/>
  <c r="R28" i="66" s="1"/>
  <c r="S28" i="66" s="1"/>
  <c r="T28" i="66" s="1"/>
  <c r="U28" i="66" s="1"/>
  <c r="V28" i="66" s="1"/>
  <c r="W28" i="66" s="1"/>
  <c r="X28" i="66" s="1"/>
  <c r="H27" i="66"/>
  <c r="I27" i="66" s="1"/>
  <c r="J27" i="66" s="1"/>
  <c r="K27" i="66" s="1"/>
  <c r="L27" i="66" s="1"/>
  <c r="M27" i="66" s="1"/>
  <c r="N27" i="66" s="1"/>
  <c r="O27" i="66" s="1"/>
  <c r="P27" i="66" s="1"/>
  <c r="Q27" i="66" s="1"/>
  <c r="R27" i="66" s="1"/>
  <c r="S27" i="66" s="1"/>
  <c r="T27" i="66" s="1"/>
  <c r="U27" i="66" s="1"/>
  <c r="V27" i="66" s="1"/>
  <c r="W27" i="66" s="1"/>
  <c r="X27" i="66" s="1"/>
  <c r="G27" i="66"/>
  <c r="F27" i="66"/>
  <c r="E27" i="66"/>
  <c r="F25" i="66"/>
  <c r="G25" i="66" s="1"/>
  <c r="H25" i="66" s="1"/>
  <c r="I25" i="66" s="1"/>
  <c r="J25" i="66" s="1"/>
  <c r="K25" i="66" s="1"/>
  <c r="L25" i="66" s="1"/>
  <c r="M25" i="66" s="1"/>
  <c r="N25" i="66" s="1"/>
  <c r="O25" i="66" s="1"/>
  <c r="P25" i="66" s="1"/>
  <c r="Q25" i="66" s="1"/>
  <c r="R25" i="66" s="1"/>
  <c r="S25" i="66" s="1"/>
  <c r="T25" i="66" s="1"/>
  <c r="U25" i="66" s="1"/>
  <c r="V25" i="66" s="1"/>
  <c r="W25" i="66" s="1"/>
  <c r="X25" i="66" s="1"/>
  <c r="E25" i="66"/>
  <c r="AA22" i="66"/>
  <c r="AB22" i="66" s="1"/>
  <c r="AE22" i="66" s="1"/>
  <c r="X22" i="66"/>
  <c r="W22" i="66"/>
  <c r="V22" i="66"/>
  <c r="U22" i="66"/>
  <c r="T22" i="66"/>
  <c r="S22" i="66"/>
  <c r="R22" i="66"/>
  <c r="Q22" i="66"/>
  <c r="P22" i="66"/>
  <c r="O22" i="66"/>
  <c r="N22" i="66"/>
  <c r="M22" i="66"/>
  <c r="L22" i="66"/>
  <c r="K22" i="66"/>
  <c r="J22" i="66"/>
  <c r="I22" i="66"/>
  <c r="H22" i="66"/>
  <c r="G22" i="66"/>
  <c r="F22" i="66"/>
  <c r="E22" i="66"/>
  <c r="X21" i="66"/>
  <c r="W21" i="66"/>
  <c r="V21" i="66"/>
  <c r="U21" i="66"/>
  <c r="T21" i="66"/>
  <c r="S21" i="66"/>
  <c r="R21" i="66"/>
  <c r="Q21" i="66"/>
  <c r="Q18" i="66" s="1"/>
  <c r="P21" i="66"/>
  <c r="O21" i="66"/>
  <c r="N21" i="66"/>
  <c r="M21" i="66"/>
  <c r="L21" i="66"/>
  <c r="K21" i="66"/>
  <c r="J21" i="66"/>
  <c r="I21" i="66"/>
  <c r="AA21" i="66" s="1"/>
  <c r="H21" i="66"/>
  <c r="G21" i="66"/>
  <c r="F21" i="66"/>
  <c r="E21" i="66"/>
  <c r="X20" i="66"/>
  <c r="W20" i="66"/>
  <c r="V20" i="66"/>
  <c r="U20" i="66"/>
  <c r="T20" i="66"/>
  <c r="S20" i="66"/>
  <c r="R20" i="66"/>
  <c r="R18" i="66" s="1"/>
  <c r="Q20" i="66"/>
  <c r="P20" i="66"/>
  <c r="O20" i="66"/>
  <c r="N20" i="66"/>
  <c r="M20" i="66"/>
  <c r="L20" i="66"/>
  <c r="K20" i="66"/>
  <c r="J20" i="66"/>
  <c r="J18" i="66" s="1"/>
  <c r="I20" i="66"/>
  <c r="H20" i="66"/>
  <c r="G20" i="66"/>
  <c r="F20" i="66"/>
  <c r="E20" i="66"/>
  <c r="AA20" i="66" s="1"/>
  <c r="X19" i="66"/>
  <c r="X18" i="66" s="1"/>
  <c r="W19" i="66"/>
  <c r="V19" i="66"/>
  <c r="U19" i="66"/>
  <c r="T19" i="66"/>
  <c r="T18" i="66" s="1"/>
  <c r="T33" i="66" s="1"/>
  <c r="T35" i="66" s="1"/>
  <c r="S19" i="66"/>
  <c r="S18" i="66" s="1"/>
  <c r="R19" i="66"/>
  <c r="Q19" i="66"/>
  <c r="P19" i="66"/>
  <c r="P18" i="66" s="1"/>
  <c r="O19" i="66"/>
  <c r="N19" i="66"/>
  <c r="M19" i="66"/>
  <c r="L19" i="66"/>
  <c r="L18" i="66" s="1"/>
  <c r="K19" i="66"/>
  <c r="K18" i="66" s="1"/>
  <c r="J19" i="66"/>
  <c r="I19" i="66"/>
  <c r="H19" i="66"/>
  <c r="H18" i="66" s="1"/>
  <c r="G19" i="66"/>
  <c r="F19" i="66"/>
  <c r="E19" i="66"/>
  <c r="AA19" i="66" s="1"/>
  <c r="W18" i="66"/>
  <c r="V18" i="66"/>
  <c r="U18" i="66"/>
  <c r="O18" i="66"/>
  <c r="N18" i="66"/>
  <c r="M18" i="66"/>
  <c r="M33" i="66" s="1"/>
  <c r="M35" i="66" s="1"/>
  <c r="G18" i="66"/>
  <c r="F18" i="66"/>
  <c r="E18" i="66"/>
  <c r="F17" i="66"/>
  <c r="G17" i="66" s="1"/>
  <c r="H17" i="66" s="1"/>
  <c r="I17" i="66" s="1"/>
  <c r="J17" i="66" s="1"/>
  <c r="K17" i="66" s="1"/>
  <c r="L17" i="66" s="1"/>
  <c r="M17" i="66" s="1"/>
  <c r="N17" i="66" s="1"/>
  <c r="O17" i="66" s="1"/>
  <c r="P17" i="66" s="1"/>
  <c r="Q17" i="66" s="1"/>
  <c r="R17" i="66" s="1"/>
  <c r="S17" i="66" s="1"/>
  <c r="T17" i="66" s="1"/>
  <c r="U17" i="66" s="1"/>
  <c r="V17" i="66" s="1"/>
  <c r="W17" i="66" s="1"/>
  <c r="X17" i="66" s="1"/>
  <c r="E17" i="66"/>
  <c r="F16" i="66"/>
  <c r="G16" i="66" s="1"/>
  <c r="H16" i="66" s="1"/>
  <c r="I16" i="66" s="1"/>
  <c r="J16" i="66" s="1"/>
  <c r="K16" i="66" s="1"/>
  <c r="L16" i="66" s="1"/>
  <c r="M16" i="66" s="1"/>
  <c r="N16" i="66" s="1"/>
  <c r="O16" i="66" s="1"/>
  <c r="P16" i="66" s="1"/>
  <c r="Q16" i="66" s="1"/>
  <c r="R16" i="66" s="1"/>
  <c r="S16" i="66" s="1"/>
  <c r="T16" i="66" s="1"/>
  <c r="U16" i="66" s="1"/>
  <c r="V16" i="66" s="1"/>
  <c r="W16" i="66" s="1"/>
  <c r="X16" i="66" s="1"/>
  <c r="E16" i="66"/>
  <c r="AD15" i="66"/>
  <c r="U15" i="66"/>
  <c r="U12" i="66" s="1"/>
  <c r="T15" i="66"/>
  <c r="M15" i="66"/>
  <c r="M12" i="66" s="1"/>
  <c r="L15" i="66"/>
  <c r="L12" i="66" s="1"/>
  <c r="E15" i="66"/>
  <c r="E12" i="66" s="1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H14" i="66"/>
  <c r="G14" i="66"/>
  <c r="F14" i="66"/>
  <c r="E14" i="66"/>
  <c r="X13" i="66"/>
  <c r="W13" i="66"/>
  <c r="V13" i="66"/>
  <c r="V15" i="66" s="1"/>
  <c r="U13" i="66"/>
  <c r="T13" i="66"/>
  <c r="S13" i="66"/>
  <c r="S15" i="66" s="1"/>
  <c r="S12" i="66" s="1"/>
  <c r="R13" i="66"/>
  <c r="R15" i="66" s="1"/>
  <c r="Q13" i="66"/>
  <c r="P13" i="66"/>
  <c r="O13" i="66"/>
  <c r="N13" i="66"/>
  <c r="N15" i="66" s="1"/>
  <c r="M13" i="66"/>
  <c r="L13" i="66"/>
  <c r="K13" i="66"/>
  <c r="K15" i="66" s="1"/>
  <c r="K12" i="66" s="1"/>
  <c r="J13" i="66"/>
  <c r="J15" i="66" s="1"/>
  <c r="I13" i="66"/>
  <c r="H13" i="66"/>
  <c r="G13" i="66"/>
  <c r="F13" i="66"/>
  <c r="E13" i="66"/>
  <c r="T12" i="66"/>
  <c r="F10" i="66"/>
  <c r="G10" i="66" s="1"/>
  <c r="H10" i="66" s="1"/>
  <c r="I10" i="66" s="1"/>
  <c r="J10" i="66" s="1"/>
  <c r="K10" i="66" s="1"/>
  <c r="L10" i="66" s="1"/>
  <c r="M10" i="66" s="1"/>
  <c r="N10" i="66" s="1"/>
  <c r="O10" i="66" s="1"/>
  <c r="P10" i="66" s="1"/>
  <c r="Q10" i="66" s="1"/>
  <c r="R10" i="66" s="1"/>
  <c r="S10" i="66" s="1"/>
  <c r="T10" i="66" s="1"/>
  <c r="U10" i="66" s="1"/>
  <c r="V10" i="66" s="1"/>
  <c r="W10" i="66" s="1"/>
  <c r="X10" i="66" s="1"/>
  <c r="E10" i="66"/>
  <c r="E8" i="66"/>
  <c r="F8" i="66" s="1"/>
  <c r="G8" i="66" s="1"/>
  <c r="H8" i="66" s="1"/>
  <c r="I8" i="66" s="1"/>
  <c r="J8" i="66" s="1"/>
  <c r="K8" i="66" s="1"/>
  <c r="L8" i="66" s="1"/>
  <c r="M8" i="66" s="1"/>
  <c r="N8" i="66" s="1"/>
  <c r="O8" i="66" s="1"/>
  <c r="P8" i="66" s="1"/>
  <c r="Q8" i="66" s="1"/>
  <c r="R8" i="66" s="1"/>
  <c r="S8" i="66" s="1"/>
  <c r="T8" i="66" s="1"/>
  <c r="U8" i="66" s="1"/>
  <c r="V8" i="66" s="1"/>
  <c r="W8" i="66" s="1"/>
  <c r="X8" i="66" s="1"/>
  <c r="E7" i="66"/>
  <c r="F7" i="66" s="1"/>
  <c r="G7" i="66" s="1"/>
  <c r="H7" i="66" s="1"/>
  <c r="I7" i="66" s="1"/>
  <c r="J7" i="66" s="1"/>
  <c r="K7" i="66" s="1"/>
  <c r="L7" i="66" s="1"/>
  <c r="M7" i="66" s="1"/>
  <c r="N7" i="66" s="1"/>
  <c r="O7" i="66" s="1"/>
  <c r="P7" i="66" s="1"/>
  <c r="Q7" i="66" s="1"/>
  <c r="R7" i="66" s="1"/>
  <c r="S7" i="66" s="1"/>
  <c r="T7" i="66" s="1"/>
  <c r="U7" i="66" s="1"/>
  <c r="V7" i="66" s="1"/>
  <c r="W7" i="66" s="1"/>
  <c r="X7" i="66" s="1"/>
  <c r="F6" i="66"/>
  <c r="G6" i="66" s="1"/>
  <c r="H6" i="66" s="1"/>
  <c r="I6" i="66" s="1"/>
  <c r="J6" i="66" s="1"/>
  <c r="K6" i="66" s="1"/>
  <c r="L6" i="66" s="1"/>
  <c r="M6" i="66" s="1"/>
  <c r="N6" i="66" s="1"/>
  <c r="O6" i="66" s="1"/>
  <c r="P6" i="66" s="1"/>
  <c r="Q6" i="66" s="1"/>
  <c r="R6" i="66" s="1"/>
  <c r="S6" i="66" s="1"/>
  <c r="T6" i="66" s="1"/>
  <c r="U6" i="66" s="1"/>
  <c r="V6" i="66" s="1"/>
  <c r="W6" i="66" s="1"/>
  <c r="X6" i="66" s="1"/>
  <c r="E6" i="66"/>
  <c r="A5" i="66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E4" i="66"/>
  <c r="F4" i="66" s="1"/>
  <c r="G4" i="66" s="1"/>
  <c r="H4" i="66" s="1"/>
  <c r="I4" i="66" s="1"/>
  <c r="J4" i="66" s="1"/>
  <c r="K4" i="66" s="1"/>
  <c r="L4" i="66" s="1"/>
  <c r="M4" i="66" s="1"/>
  <c r="N4" i="66" s="1"/>
  <c r="O4" i="66" s="1"/>
  <c r="P4" i="66" s="1"/>
  <c r="F38" i="1"/>
  <c r="F39" i="1"/>
  <c r="F37" i="1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G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G19" i="2"/>
  <c r="G18" i="2"/>
  <c r="G17" i="2"/>
  <c r="F62" i="3"/>
  <c r="G62" i="3"/>
  <c r="H62" i="3"/>
  <c r="I62" i="3"/>
  <c r="J62" i="3"/>
  <c r="K62" i="3"/>
  <c r="L62" i="3"/>
  <c r="M62" i="3"/>
  <c r="N62" i="3"/>
  <c r="F60" i="3"/>
  <c r="G60" i="3"/>
  <c r="H60" i="3"/>
  <c r="I60" i="3"/>
  <c r="J60" i="3"/>
  <c r="K60" i="3"/>
  <c r="L60" i="3"/>
  <c r="M60" i="3"/>
  <c r="N60" i="3"/>
  <c r="F59" i="3"/>
  <c r="G59" i="3"/>
  <c r="H59" i="3"/>
  <c r="I59" i="3"/>
  <c r="J59" i="3"/>
  <c r="K59" i="3"/>
  <c r="L59" i="3"/>
  <c r="F58" i="3"/>
  <c r="G58" i="3"/>
  <c r="H58" i="3"/>
  <c r="I58" i="3"/>
  <c r="J58" i="3"/>
  <c r="K58" i="3"/>
  <c r="L58" i="3"/>
  <c r="M58" i="3"/>
  <c r="N58" i="3"/>
  <c r="O58" i="3"/>
  <c r="P58" i="3"/>
  <c r="F57" i="3"/>
  <c r="G57" i="3"/>
  <c r="H57" i="3"/>
  <c r="I57" i="3"/>
  <c r="J57" i="3"/>
  <c r="K57" i="3"/>
  <c r="L57" i="3"/>
  <c r="M57" i="3"/>
  <c r="N57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E56" i="3"/>
  <c r="AN9" i="4"/>
  <c r="AM9" i="4"/>
  <c r="Q11" i="5"/>
  <c r="Q10" i="5"/>
  <c r="Q9" i="5"/>
  <c r="Q8" i="5"/>
  <c r="Q7" i="5"/>
  <c r="Q6" i="5"/>
  <c r="Q5" i="5"/>
  <c r="AC5" i="5"/>
  <c r="Y35" i="63"/>
  <c r="F35" i="63"/>
  <c r="G35" i="63"/>
  <c r="H35" i="63"/>
  <c r="I35" i="63"/>
  <c r="J35" i="63"/>
  <c r="K35" i="63"/>
  <c r="L35" i="63"/>
  <c r="M35" i="63"/>
  <c r="N35" i="63"/>
  <c r="O35" i="63"/>
  <c r="P35" i="63"/>
  <c r="Q35" i="63"/>
  <c r="R35" i="63"/>
  <c r="S35" i="63"/>
  <c r="T35" i="63"/>
  <c r="U35" i="63"/>
  <c r="V35" i="63"/>
  <c r="W35" i="63"/>
  <c r="X35" i="63"/>
  <c r="E35" i="63"/>
  <c r="AE22" i="63"/>
  <c r="AD22" i="63"/>
  <c r="AE21" i="63"/>
  <c r="AD21" i="63"/>
  <c r="AE20" i="63"/>
  <c r="AD20" i="63"/>
  <c r="AE19" i="63"/>
  <c r="AD19" i="63"/>
  <c r="AE18" i="63"/>
  <c r="AD18" i="63"/>
  <c r="AD15" i="63"/>
  <c r="AB22" i="63"/>
  <c r="AB21" i="63"/>
  <c r="AB20" i="63"/>
  <c r="AB19" i="63"/>
  <c r="AB18" i="63"/>
  <c r="AA22" i="63"/>
  <c r="AA21" i="63"/>
  <c r="AA20" i="63"/>
  <c r="AA19" i="63"/>
  <c r="AA18" i="63"/>
  <c r="Y33" i="63"/>
  <c r="F33" i="63"/>
  <c r="G33" i="63"/>
  <c r="H33" i="63"/>
  <c r="I33" i="63"/>
  <c r="J33" i="63"/>
  <c r="K33" i="63"/>
  <c r="L33" i="63"/>
  <c r="M33" i="63"/>
  <c r="N33" i="63"/>
  <c r="O33" i="63"/>
  <c r="P33" i="63"/>
  <c r="Q33" i="63"/>
  <c r="R33" i="63"/>
  <c r="S33" i="63"/>
  <c r="T33" i="63"/>
  <c r="U33" i="63"/>
  <c r="V33" i="63"/>
  <c r="W33" i="63"/>
  <c r="X33" i="63"/>
  <c r="E33" i="63"/>
  <c r="H5" i="68" l="1"/>
  <c r="H6" i="68"/>
  <c r="O38" i="68"/>
  <c r="O11" i="68" s="1"/>
  <c r="Q46" i="68"/>
  <c r="S46" i="68" s="1"/>
  <c r="X43" i="68"/>
  <c r="Y9" i="68"/>
  <c r="Q14" i="68"/>
  <c r="Q8" i="68" s="1"/>
  <c r="U19" i="68"/>
  <c r="O9" i="68"/>
  <c r="Q44" i="68"/>
  <c r="U44" i="68" s="1"/>
  <c r="X44" i="68" s="1"/>
  <c r="I4" i="68"/>
  <c r="L6" i="67"/>
  <c r="L5" i="67"/>
  <c r="T51" i="67"/>
  <c r="T49" i="67"/>
  <c r="T47" i="67"/>
  <c r="T50" i="67"/>
  <c r="T48" i="67"/>
  <c r="T46" i="67"/>
  <c r="Y40" i="67"/>
  <c r="Y38" i="67"/>
  <c r="Y36" i="67"/>
  <c r="Y37" i="67"/>
  <c r="Y39" i="67"/>
  <c r="Y41" i="67"/>
  <c r="V28" i="67"/>
  <c r="V26" i="67"/>
  <c r="V24" i="67"/>
  <c r="V29" i="67"/>
  <c r="V13" i="67"/>
  <c r="V7" i="67" s="1"/>
  <c r="V27" i="67"/>
  <c r="V25" i="67"/>
  <c r="P29" i="67"/>
  <c r="P27" i="67"/>
  <c r="P25" i="67"/>
  <c r="P28" i="67"/>
  <c r="P26" i="67"/>
  <c r="P24" i="67"/>
  <c r="Y15" i="67"/>
  <c r="Q15" i="67"/>
  <c r="I15" i="67"/>
  <c r="X15" i="67"/>
  <c r="P15" i="67"/>
  <c r="P13" i="67" s="1"/>
  <c r="P7" i="67" s="1"/>
  <c r="H15" i="67"/>
  <c r="T15" i="67"/>
  <c r="L15" i="67"/>
  <c r="R15" i="67"/>
  <c r="O15" i="67"/>
  <c r="Z15" i="67"/>
  <c r="Z10" i="67" s="1"/>
  <c r="M15" i="67"/>
  <c r="W15" i="67"/>
  <c r="K15" i="67"/>
  <c r="J16" i="67"/>
  <c r="S50" i="67"/>
  <c r="S48" i="67"/>
  <c r="S46" i="67"/>
  <c r="S51" i="67"/>
  <c r="S47" i="67"/>
  <c r="G25" i="67"/>
  <c r="G29" i="67"/>
  <c r="R29" i="67"/>
  <c r="R27" i="67"/>
  <c r="R25" i="67"/>
  <c r="R28" i="67"/>
  <c r="R24" i="67"/>
  <c r="R26" i="67"/>
  <c r="G15" i="67"/>
  <c r="M16" i="67"/>
  <c r="G28" i="67"/>
  <c r="H29" i="67"/>
  <c r="H27" i="67"/>
  <c r="H25" i="67"/>
  <c r="H28" i="67"/>
  <c r="H26" i="67"/>
  <c r="H24" i="67"/>
  <c r="S29" i="67"/>
  <c r="S26" i="67"/>
  <c r="J33" i="67"/>
  <c r="J31" i="67"/>
  <c r="J34" i="67"/>
  <c r="J32" i="67"/>
  <c r="J13" i="67"/>
  <c r="J7" i="67" s="1"/>
  <c r="N41" i="67"/>
  <c r="N39" i="67"/>
  <c r="N37" i="67"/>
  <c r="N40" i="67"/>
  <c r="N38" i="67"/>
  <c r="N36" i="67"/>
  <c r="V51" i="67"/>
  <c r="V49" i="67"/>
  <c r="V47" i="67"/>
  <c r="V50" i="67"/>
  <c r="V48" i="67"/>
  <c r="V46" i="67"/>
  <c r="Z40" i="67"/>
  <c r="Z38" i="67"/>
  <c r="Z36" i="67"/>
  <c r="Z41" i="67"/>
  <c r="Z39" i="67"/>
  <c r="Z37" i="67"/>
  <c r="H50" i="67"/>
  <c r="H48" i="67"/>
  <c r="H46" i="67"/>
  <c r="H51" i="67"/>
  <c r="H49" i="67"/>
  <c r="H47" i="67"/>
  <c r="N34" i="67"/>
  <c r="N32" i="67"/>
  <c r="N33" i="67"/>
  <c r="N31" i="67"/>
  <c r="R16" i="67"/>
  <c r="Z53" i="67"/>
  <c r="X53" i="67"/>
  <c r="R19" i="67"/>
  <c r="R53" i="67" s="1"/>
  <c r="W53" i="67"/>
  <c r="Q19" i="67"/>
  <c r="Q53" i="67" s="1"/>
  <c r="U53" i="67"/>
  <c r="J19" i="67"/>
  <c r="J53" i="67" s="1"/>
  <c r="T53" i="67"/>
  <c r="L19" i="67"/>
  <c r="L53" i="67" s="1"/>
  <c r="H19" i="67"/>
  <c r="H53" i="67" s="1"/>
  <c r="S15" i="67"/>
  <c r="S13" i="67" s="1"/>
  <c r="S7" i="67" s="1"/>
  <c r="X16" i="67"/>
  <c r="Z18" i="67"/>
  <c r="R18" i="67"/>
  <c r="J18" i="67"/>
  <c r="Y18" i="67"/>
  <c r="Q18" i="67"/>
  <c r="I18" i="67"/>
  <c r="U18" i="67"/>
  <c r="M18" i="67"/>
  <c r="P18" i="67"/>
  <c r="O18" i="67"/>
  <c r="X18" i="67"/>
  <c r="L18" i="67"/>
  <c r="W18" i="67"/>
  <c r="K18" i="67"/>
  <c r="M19" i="67"/>
  <c r="M53" i="67" s="1"/>
  <c r="S25" i="67"/>
  <c r="S28" i="67"/>
  <c r="L28" i="67"/>
  <c r="L26" i="67"/>
  <c r="L24" i="67"/>
  <c r="L29" i="67"/>
  <c r="L27" i="67"/>
  <c r="L25" i="67"/>
  <c r="W25" i="67"/>
  <c r="U10" i="67"/>
  <c r="U13" i="67"/>
  <c r="U7" i="67" s="1"/>
  <c r="G51" i="67"/>
  <c r="G49" i="67"/>
  <c r="G47" i="67"/>
  <c r="G50" i="67"/>
  <c r="G46" i="67"/>
  <c r="O19" i="67"/>
  <c r="O53" i="67" s="1"/>
  <c r="W28" i="67"/>
  <c r="T16" i="67"/>
  <c r="L16" i="67"/>
  <c r="S16" i="67"/>
  <c r="K16" i="67"/>
  <c r="W16" i="67"/>
  <c r="W13" i="67" s="1"/>
  <c r="W7" i="67" s="1"/>
  <c r="O16" i="67"/>
  <c r="G16" i="67"/>
  <c r="V16" i="67"/>
  <c r="I16" i="67"/>
  <c r="U16" i="67"/>
  <c r="H16" i="67"/>
  <c r="Q16" i="67"/>
  <c r="P16" i="67"/>
  <c r="P10" i="67" s="1"/>
  <c r="N51" i="67"/>
  <c r="N49" i="67"/>
  <c r="N47" i="67"/>
  <c r="N50" i="67"/>
  <c r="N48" i="67"/>
  <c r="N46" i="67"/>
  <c r="K5" i="67"/>
  <c r="V34" i="67"/>
  <c r="V32" i="67"/>
  <c r="V33" i="67"/>
  <c r="V31" i="67"/>
  <c r="J29" i="67"/>
  <c r="J27" i="67"/>
  <c r="J25" i="67"/>
  <c r="T28" i="67"/>
  <c r="T26" i="67"/>
  <c r="T24" i="67"/>
  <c r="T29" i="67"/>
  <c r="T27" i="67"/>
  <c r="T25" i="67"/>
  <c r="J24" i="67"/>
  <c r="J28" i="67"/>
  <c r="K24" i="67"/>
  <c r="K28" i="67"/>
  <c r="K29" i="67"/>
  <c r="M28" i="67"/>
  <c r="M26" i="67"/>
  <c r="M24" i="67"/>
  <c r="X29" i="67"/>
  <c r="X27" i="67"/>
  <c r="X25" i="67"/>
  <c r="X28" i="67"/>
  <c r="X26" i="67"/>
  <c r="X24" i="67"/>
  <c r="M25" i="67"/>
  <c r="O10" i="67"/>
  <c r="Z29" i="67"/>
  <c r="Z27" i="67"/>
  <c r="Z25" i="67"/>
  <c r="Z28" i="67"/>
  <c r="J26" i="67"/>
  <c r="Z26" i="67"/>
  <c r="I14" i="67"/>
  <c r="Q14" i="67"/>
  <c r="Y14" i="67"/>
  <c r="J17" i="67"/>
  <c r="J44" i="67" s="1"/>
  <c r="R17" i="67"/>
  <c r="R44" i="67" s="1"/>
  <c r="Z17" i="67"/>
  <c r="Z44" i="67" s="1"/>
  <c r="N17" i="67"/>
  <c r="N44" i="67" s="1"/>
  <c r="V17" i="67"/>
  <c r="V44" i="67" s="1"/>
  <c r="N14" i="67"/>
  <c r="G17" i="67"/>
  <c r="G44" i="67" s="1"/>
  <c r="O17" i="67"/>
  <c r="O44" i="67" s="1"/>
  <c r="U24" i="67"/>
  <c r="U26" i="67"/>
  <c r="AB20" i="66"/>
  <c r="AE20" i="66" s="1"/>
  <c r="AD20" i="66"/>
  <c r="AB21" i="66"/>
  <c r="AE21" i="66" s="1"/>
  <c r="AD21" i="66"/>
  <c r="U33" i="66"/>
  <c r="U35" i="66" s="1"/>
  <c r="J12" i="66"/>
  <c r="L33" i="66"/>
  <c r="L35" i="66" s="1"/>
  <c r="R12" i="66"/>
  <c r="AD19" i="66"/>
  <c r="AB19" i="66"/>
  <c r="AE19" i="66" s="1"/>
  <c r="V33" i="66"/>
  <c r="V35" i="66" s="1"/>
  <c r="K33" i="66"/>
  <c r="K35" i="66" s="1"/>
  <c r="S33" i="66"/>
  <c r="S35" i="66" s="1"/>
  <c r="J33" i="66"/>
  <c r="J35" i="66" s="1"/>
  <c r="R33" i="66"/>
  <c r="R35" i="66" s="1"/>
  <c r="E33" i="66"/>
  <c r="F15" i="66"/>
  <c r="F12" i="66" s="1"/>
  <c r="F33" i="66" s="1"/>
  <c r="F35" i="66" s="1"/>
  <c r="N12" i="66"/>
  <c r="N33" i="66" s="1"/>
  <c r="N35" i="66" s="1"/>
  <c r="G15" i="66"/>
  <c r="G12" i="66" s="1"/>
  <c r="G33" i="66" s="1"/>
  <c r="G35" i="66" s="1"/>
  <c r="O15" i="66"/>
  <c r="O12" i="66" s="1"/>
  <c r="O33" i="66" s="1"/>
  <c r="O35" i="66" s="1"/>
  <c r="W15" i="66"/>
  <c r="W12" i="66" s="1"/>
  <c r="W33" i="66" s="1"/>
  <c r="W35" i="66" s="1"/>
  <c r="AD22" i="66"/>
  <c r="V12" i="66"/>
  <c r="H15" i="66"/>
  <c r="H12" i="66" s="1"/>
  <c r="H33" i="66" s="1"/>
  <c r="H35" i="66" s="1"/>
  <c r="P15" i="66"/>
  <c r="P12" i="66" s="1"/>
  <c r="P33" i="66" s="1"/>
  <c r="P35" i="66" s="1"/>
  <c r="X15" i="66"/>
  <c r="X12" i="66" s="1"/>
  <c r="X33" i="66" s="1"/>
  <c r="X35" i="66" s="1"/>
  <c r="I15" i="66"/>
  <c r="I12" i="66" s="1"/>
  <c r="Q15" i="66"/>
  <c r="Q12" i="66" s="1"/>
  <c r="Q33" i="66" s="1"/>
  <c r="Q35" i="66" s="1"/>
  <c r="I18" i="66"/>
  <c r="AA18" i="66" s="1"/>
  <c r="U70" i="65"/>
  <c r="O70" i="65"/>
  <c r="I70" i="65"/>
  <c r="Q68" i="65"/>
  <c r="U63" i="65"/>
  <c r="U61" i="65" s="1"/>
  <c r="U10" i="65" s="1"/>
  <c r="R63" i="65"/>
  <c r="L63" i="65"/>
  <c r="I63" i="65"/>
  <c r="I61" i="65" s="1"/>
  <c r="I10" i="65" s="1"/>
  <c r="Z61" i="65"/>
  <c r="Y61" i="65"/>
  <c r="X61" i="65"/>
  <c r="W61" i="65"/>
  <c r="V61" i="65"/>
  <c r="V10" i="65" s="1"/>
  <c r="T61" i="65"/>
  <c r="S61" i="65"/>
  <c r="R61" i="65"/>
  <c r="Q61" i="65"/>
  <c r="P61" i="65"/>
  <c r="O61" i="65"/>
  <c r="N61" i="65"/>
  <c r="M61" i="65"/>
  <c r="L61" i="65"/>
  <c r="K61" i="65"/>
  <c r="J61" i="65"/>
  <c r="H61" i="65"/>
  <c r="G61" i="65"/>
  <c r="Z58" i="65"/>
  <c r="Y58" i="65"/>
  <c r="X58" i="65"/>
  <c r="W58" i="65"/>
  <c r="W38" i="65" s="1"/>
  <c r="V58" i="65"/>
  <c r="U58" i="65"/>
  <c r="T58" i="65"/>
  <c r="S58" i="65"/>
  <c r="R58" i="65"/>
  <c r="Q58" i="65"/>
  <c r="P58" i="65"/>
  <c r="O58" i="65"/>
  <c r="N58" i="65"/>
  <c r="M58" i="65"/>
  <c r="L58" i="65"/>
  <c r="K58" i="65"/>
  <c r="J58" i="65"/>
  <c r="I58" i="65"/>
  <c r="H58" i="65"/>
  <c r="G58" i="65"/>
  <c r="G38" i="65" s="1"/>
  <c r="X46" i="65"/>
  <c r="Z46" i="65" s="1"/>
  <c r="Z38" i="65" s="1"/>
  <c r="Z11" i="65" s="1"/>
  <c r="Z9" i="65" s="1"/>
  <c r="Q46" i="65"/>
  <c r="S46" i="65" s="1"/>
  <c r="L46" i="65"/>
  <c r="L38" i="65" s="1"/>
  <c r="K46" i="65"/>
  <c r="M46" i="65" s="1"/>
  <c r="O46" i="65" s="1"/>
  <c r="B46" i="65"/>
  <c r="Q45" i="65"/>
  <c r="U45" i="65" s="1"/>
  <c r="X45" i="65" s="1"/>
  <c r="N45" i="65"/>
  <c r="N44" i="65"/>
  <c r="Q44" i="65" s="1"/>
  <c r="U44" i="65" s="1"/>
  <c r="X44" i="65" s="1"/>
  <c r="Q43" i="65"/>
  <c r="N43" i="65"/>
  <c r="Y38" i="65"/>
  <c r="V38" i="65"/>
  <c r="T38" i="65"/>
  <c r="R38" i="65"/>
  <c r="R11" i="65" s="1"/>
  <c r="R9" i="65" s="1"/>
  <c r="P38" i="65"/>
  <c r="K38" i="65"/>
  <c r="J38" i="65"/>
  <c r="I38" i="65"/>
  <c r="H38" i="65"/>
  <c r="E36" i="65"/>
  <c r="N21" i="65"/>
  <c r="Q21" i="65" s="1"/>
  <c r="U21" i="65" s="1"/>
  <c r="X21" i="65" s="1"/>
  <c r="N20" i="65"/>
  <c r="N19" i="65"/>
  <c r="Q19" i="65" s="1"/>
  <c r="Z14" i="65"/>
  <c r="Z8" i="65" s="1"/>
  <c r="Y14" i="65"/>
  <c r="W14" i="65"/>
  <c r="W8" i="65" s="1"/>
  <c r="V14" i="65"/>
  <c r="T14" i="65"/>
  <c r="S14" i="65"/>
  <c r="R14" i="65"/>
  <c r="R8" i="65" s="1"/>
  <c r="P14" i="65"/>
  <c r="O14" i="65"/>
  <c r="O8" i="65" s="1"/>
  <c r="M14" i="65"/>
  <c r="L14" i="65"/>
  <c r="K14" i="65"/>
  <c r="J14" i="65"/>
  <c r="J8" i="65" s="1"/>
  <c r="I14" i="65"/>
  <c r="H14" i="65"/>
  <c r="G14" i="65"/>
  <c r="G8" i="65" s="1"/>
  <c r="G13" i="65"/>
  <c r="G37" i="65" s="1"/>
  <c r="W11" i="65"/>
  <c r="J11" i="65"/>
  <c r="G11" i="65"/>
  <c r="Z10" i="65"/>
  <c r="Y10" i="65"/>
  <c r="X10" i="65"/>
  <c r="W10" i="65"/>
  <c r="T10" i="65"/>
  <c r="S10" i="65"/>
  <c r="R10" i="65"/>
  <c r="Q10" i="65"/>
  <c r="P10" i="65"/>
  <c r="O10" i="65"/>
  <c r="N10" i="65"/>
  <c r="M10" i="65"/>
  <c r="L10" i="65"/>
  <c r="K10" i="65"/>
  <c r="J10" i="65"/>
  <c r="H10" i="65"/>
  <c r="G10" i="65"/>
  <c r="W9" i="65"/>
  <c r="J9" i="65"/>
  <c r="G9" i="65"/>
  <c r="Y8" i="65"/>
  <c r="V8" i="65"/>
  <c r="T8" i="65"/>
  <c r="S8" i="65"/>
  <c r="P8" i="65"/>
  <c r="M8" i="65"/>
  <c r="L8" i="65"/>
  <c r="K8" i="65"/>
  <c r="I8" i="65"/>
  <c r="H8" i="65"/>
  <c r="G6" i="65"/>
  <c r="F6" i="65"/>
  <c r="H4" i="65"/>
  <c r="H13" i="65" s="1"/>
  <c r="H37" i="65" s="1"/>
  <c r="Y53" i="64"/>
  <c r="V53" i="64"/>
  <c r="S53" i="64"/>
  <c r="P53" i="64"/>
  <c r="N53" i="64"/>
  <c r="K53" i="64"/>
  <c r="I53" i="64"/>
  <c r="G53" i="64"/>
  <c r="E52" i="64"/>
  <c r="K47" i="64"/>
  <c r="F45" i="64"/>
  <c r="E45" i="64"/>
  <c r="P44" i="64"/>
  <c r="F43" i="64"/>
  <c r="E43" i="64"/>
  <c r="R40" i="64"/>
  <c r="L39" i="64"/>
  <c r="X38" i="64"/>
  <c r="U38" i="64"/>
  <c r="M38" i="64"/>
  <c r="G38" i="64"/>
  <c r="S37" i="64"/>
  <c r="H36" i="64"/>
  <c r="F35" i="64"/>
  <c r="E35" i="64"/>
  <c r="L33" i="64"/>
  <c r="X32" i="64"/>
  <c r="T32" i="64"/>
  <c r="Z31" i="64"/>
  <c r="R31" i="64"/>
  <c r="F30" i="64"/>
  <c r="E30" i="64"/>
  <c r="Z29" i="64"/>
  <c r="R29" i="64"/>
  <c r="Z28" i="64"/>
  <c r="O28" i="64"/>
  <c r="K28" i="64"/>
  <c r="Z27" i="64"/>
  <c r="M27" i="64"/>
  <c r="G27" i="64"/>
  <c r="R26" i="64"/>
  <c r="O26" i="64"/>
  <c r="Z25" i="64"/>
  <c r="K25" i="64"/>
  <c r="G25" i="64"/>
  <c r="R24" i="64"/>
  <c r="I24" i="64"/>
  <c r="F23" i="64"/>
  <c r="E23" i="64"/>
  <c r="H21" i="64"/>
  <c r="I21" i="64" s="1"/>
  <c r="J21" i="64" s="1"/>
  <c r="K21" i="64" s="1"/>
  <c r="L21" i="64" s="1"/>
  <c r="M21" i="64" s="1"/>
  <c r="N21" i="64" s="1"/>
  <c r="O21" i="64" s="1"/>
  <c r="P21" i="64" s="1"/>
  <c r="Q21" i="64" s="1"/>
  <c r="R21" i="64" s="1"/>
  <c r="S21" i="64" s="1"/>
  <c r="T21" i="64" s="1"/>
  <c r="U21" i="64" s="1"/>
  <c r="V21" i="64" s="1"/>
  <c r="W21" i="64" s="1"/>
  <c r="X21" i="64" s="1"/>
  <c r="Y21" i="64" s="1"/>
  <c r="Z21" i="64" s="1"/>
  <c r="O19" i="64"/>
  <c r="O53" i="64" s="1"/>
  <c r="J19" i="64"/>
  <c r="J53" i="64" s="1"/>
  <c r="D19" i="64"/>
  <c r="R19" i="64" s="1"/>
  <c r="R53" i="64" s="1"/>
  <c r="Y18" i="64"/>
  <c r="X18" i="64"/>
  <c r="U18" i="64"/>
  <c r="S18" i="64"/>
  <c r="S47" i="64" s="1"/>
  <c r="Q18" i="64"/>
  <c r="P18" i="64"/>
  <c r="M18" i="64"/>
  <c r="K18" i="64"/>
  <c r="K49" i="64" s="1"/>
  <c r="I18" i="64"/>
  <c r="H18" i="64"/>
  <c r="D18" i="64"/>
  <c r="T18" i="64" s="1"/>
  <c r="Z17" i="64"/>
  <c r="Z44" i="64" s="1"/>
  <c r="X17" i="64"/>
  <c r="X44" i="64" s="1"/>
  <c r="U17" i="64"/>
  <c r="U44" i="64" s="1"/>
  <c r="R17" i="64"/>
  <c r="R44" i="64" s="1"/>
  <c r="P17" i="64"/>
  <c r="M17" i="64"/>
  <c r="M44" i="64" s="1"/>
  <c r="J17" i="64"/>
  <c r="J44" i="64" s="1"/>
  <c r="H17" i="64"/>
  <c r="H44" i="64" s="1"/>
  <c r="D17" i="64"/>
  <c r="Y17" i="64" s="1"/>
  <c r="Y44" i="64" s="1"/>
  <c r="Z16" i="64"/>
  <c r="Y16" i="64"/>
  <c r="X16" i="64"/>
  <c r="W16" i="64"/>
  <c r="W40" i="64" s="1"/>
  <c r="U16" i="64"/>
  <c r="U40" i="64" s="1"/>
  <c r="T16" i="64"/>
  <c r="T37" i="64" s="1"/>
  <c r="S16" i="64"/>
  <c r="S41" i="64" s="1"/>
  <c r="R16" i="64"/>
  <c r="Q16" i="64"/>
  <c r="Q37" i="64" s="1"/>
  <c r="P16" i="64"/>
  <c r="O16" i="64"/>
  <c r="M16" i="64"/>
  <c r="M40" i="64" s="1"/>
  <c r="L16" i="64"/>
  <c r="K16" i="64"/>
  <c r="J16" i="64"/>
  <c r="I16" i="64"/>
  <c r="H16" i="64"/>
  <c r="G16" i="64"/>
  <c r="D16" i="64"/>
  <c r="V16" i="64" s="1"/>
  <c r="Z15" i="64"/>
  <c r="Z33" i="64" s="1"/>
  <c r="X15" i="64"/>
  <c r="X33" i="64" s="1"/>
  <c r="W15" i="64"/>
  <c r="U15" i="64"/>
  <c r="T15" i="64"/>
  <c r="R15" i="64"/>
  <c r="R33" i="64" s="1"/>
  <c r="P15" i="64"/>
  <c r="P34" i="64" s="1"/>
  <c r="O15" i="64"/>
  <c r="M15" i="64"/>
  <c r="L15" i="64"/>
  <c r="J15" i="64"/>
  <c r="H15" i="64"/>
  <c r="H33" i="64" s="1"/>
  <c r="G15" i="64"/>
  <c r="G31" i="64" s="1"/>
  <c r="D15" i="64"/>
  <c r="S15" i="64" s="1"/>
  <c r="Z14" i="64"/>
  <c r="Z24" i="64" s="1"/>
  <c r="Y14" i="64"/>
  <c r="W14" i="64"/>
  <c r="W28" i="64" s="1"/>
  <c r="U14" i="64"/>
  <c r="T14" i="64"/>
  <c r="T28" i="64" s="1"/>
  <c r="R14" i="64"/>
  <c r="R28" i="64" s="1"/>
  <c r="Q14" i="64"/>
  <c r="O14" i="64"/>
  <c r="O25" i="64" s="1"/>
  <c r="M14" i="64"/>
  <c r="L14" i="64"/>
  <c r="K14" i="64"/>
  <c r="K29" i="64" s="1"/>
  <c r="J14" i="64"/>
  <c r="J28" i="64" s="1"/>
  <c r="I14" i="64"/>
  <c r="I26" i="64" s="1"/>
  <c r="G14" i="64"/>
  <c r="G24" i="64" s="1"/>
  <c r="D14" i="64"/>
  <c r="X14" i="64" s="1"/>
  <c r="U10" i="64"/>
  <c r="J6" i="64"/>
  <c r="G6" i="64"/>
  <c r="H6" i="64" s="1"/>
  <c r="I6" i="64" s="1"/>
  <c r="J5" i="64" s="1"/>
  <c r="Z5" i="64"/>
  <c r="Y5" i="64"/>
  <c r="X5" i="64"/>
  <c r="W5" i="64"/>
  <c r="V5" i="64"/>
  <c r="U5" i="64"/>
  <c r="T5" i="64"/>
  <c r="I5" i="64"/>
  <c r="G4" i="64"/>
  <c r="H4" i="64" s="1"/>
  <c r="I4" i="64" s="1"/>
  <c r="J4" i="64" s="1"/>
  <c r="K4" i="64" s="1"/>
  <c r="L4" i="64" s="1"/>
  <c r="M4" i="64" s="1"/>
  <c r="N4" i="64" s="1"/>
  <c r="O4" i="64" s="1"/>
  <c r="P4" i="64" s="1"/>
  <c r="Q4" i="64" s="1"/>
  <c r="R4" i="64" s="1"/>
  <c r="E30" i="63"/>
  <c r="F30" i="63" s="1"/>
  <c r="G30" i="63" s="1"/>
  <c r="H30" i="63" s="1"/>
  <c r="I30" i="63" s="1"/>
  <c r="J30" i="63" s="1"/>
  <c r="K30" i="63" s="1"/>
  <c r="L30" i="63" s="1"/>
  <c r="M30" i="63" s="1"/>
  <c r="N30" i="63" s="1"/>
  <c r="O30" i="63" s="1"/>
  <c r="P30" i="63" s="1"/>
  <c r="Q30" i="63" s="1"/>
  <c r="R30" i="63" s="1"/>
  <c r="S30" i="63" s="1"/>
  <c r="T30" i="63" s="1"/>
  <c r="U30" i="63" s="1"/>
  <c r="V30" i="63" s="1"/>
  <c r="W30" i="63" s="1"/>
  <c r="X30" i="63" s="1"/>
  <c r="E29" i="63"/>
  <c r="F29" i="63" s="1"/>
  <c r="G29" i="63" s="1"/>
  <c r="H29" i="63" s="1"/>
  <c r="I29" i="63" s="1"/>
  <c r="J29" i="63" s="1"/>
  <c r="K29" i="63" s="1"/>
  <c r="L29" i="63" s="1"/>
  <c r="M29" i="63" s="1"/>
  <c r="N29" i="63" s="1"/>
  <c r="O29" i="63" s="1"/>
  <c r="P29" i="63" s="1"/>
  <c r="Q29" i="63" s="1"/>
  <c r="R29" i="63" s="1"/>
  <c r="S29" i="63" s="1"/>
  <c r="T29" i="63" s="1"/>
  <c r="U29" i="63" s="1"/>
  <c r="V29" i="63" s="1"/>
  <c r="W29" i="63" s="1"/>
  <c r="X29" i="63" s="1"/>
  <c r="E28" i="63"/>
  <c r="F28" i="63" s="1"/>
  <c r="G28" i="63" s="1"/>
  <c r="H28" i="63" s="1"/>
  <c r="I28" i="63" s="1"/>
  <c r="J28" i="63" s="1"/>
  <c r="K28" i="63" s="1"/>
  <c r="L28" i="63" s="1"/>
  <c r="M28" i="63" s="1"/>
  <c r="N28" i="63" s="1"/>
  <c r="O28" i="63" s="1"/>
  <c r="P28" i="63" s="1"/>
  <c r="Q28" i="63" s="1"/>
  <c r="R28" i="63" s="1"/>
  <c r="S28" i="63" s="1"/>
  <c r="T28" i="63" s="1"/>
  <c r="U28" i="63" s="1"/>
  <c r="V28" i="63" s="1"/>
  <c r="W28" i="63" s="1"/>
  <c r="X28" i="63" s="1"/>
  <c r="F27" i="63"/>
  <c r="G27" i="63" s="1"/>
  <c r="H27" i="63" s="1"/>
  <c r="I27" i="63" s="1"/>
  <c r="J27" i="63" s="1"/>
  <c r="K27" i="63" s="1"/>
  <c r="L27" i="63" s="1"/>
  <c r="M27" i="63" s="1"/>
  <c r="N27" i="63" s="1"/>
  <c r="O27" i="63" s="1"/>
  <c r="P27" i="63" s="1"/>
  <c r="Q27" i="63" s="1"/>
  <c r="R27" i="63" s="1"/>
  <c r="S27" i="63" s="1"/>
  <c r="T27" i="63" s="1"/>
  <c r="U27" i="63" s="1"/>
  <c r="V27" i="63" s="1"/>
  <c r="W27" i="63" s="1"/>
  <c r="X27" i="63" s="1"/>
  <c r="E27" i="63"/>
  <c r="E25" i="63"/>
  <c r="F25" i="63" s="1"/>
  <c r="G25" i="63" s="1"/>
  <c r="H25" i="63" s="1"/>
  <c r="I25" i="63" s="1"/>
  <c r="J25" i="63" s="1"/>
  <c r="K25" i="63" s="1"/>
  <c r="L25" i="63" s="1"/>
  <c r="M25" i="63" s="1"/>
  <c r="N25" i="63" s="1"/>
  <c r="O25" i="63" s="1"/>
  <c r="P25" i="63" s="1"/>
  <c r="Q25" i="63" s="1"/>
  <c r="R25" i="63" s="1"/>
  <c r="S25" i="63" s="1"/>
  <c r="T25" i="63" s="1"/>
  <c r="U25" i="63" s="1"/>
  <c r="V25" i="63" s="1"/>
  <c r="W25" i="63" s="1"/>
  <c r="X25" i="63" s="1"/>
  <c r="X22" i="63"/>
  <c r="U22" i="63"/>
  <c r="P22" i="63"/>
  <c r="H22" i="63"/>
  <c r="E22" i="63"/>
  <c r="S21" i="63"/>
  <c r="X20" i="63"/>
  <c r="W20" i="63"/>
  <c r="V20" i="63"/>
  <c r="U20" i="63"/>
  <c r="T20" i="63"/>
  <c r="S20" i="63"/>
  <c r="R20" i="63"/>
  <c r="Q20" i="63"/>
  <c r="P20" i="63"/>
  <c r="O20" i="63"/>
  <c r="N20" i="63"/>
  <c r="M20" i="63"/>
  <c r="L20" i="63"/>
  <c r="K20" i="63"/>
  <c r="J20" i="63"/>
  <c r="I20" i="63"/>
  <c r="H20" i="63"/>
  <c r="F20" i="63"/>
  <c r="E20" i="63"/>
  <c r="E17" i="63"/>
  <c r="F17" i="63" s="1"/>
  <c r="G17" i="63" s="1"/>
  <c r="H17" i="63" s="1"/>
  <c r="I17" i="63" s="1"/>
  <c r="J17" i="63" s="1"/>
  <c r="K17" i="63" s="1"/>
  <c r="L17" i="63" s="1"/>
  <c r="M17" i="63" s="1"/>
  <c r="N17" i="63" s="1"/>
  <c r="O17" i="63" s="1"/>
  <c r="P17" i="63" s="1"/>
  <c r="Q17" i="63" s="1"/>
  <c r="R17" i="63" s="1"/>
  <c r="S17" i="63" s="1"/>
  <c r="T17" i="63" s="1"/>
  <c r="U17" i="63" s="1"/>
  <c r="V17" i="63" s="1"/>
  <c r="W17" i="63" s="1"/>
  <c r="X17" i="63" s="1"/>
  <c r="E16" i="63"/>
  <c r="F16" i="63" s="1"/>
  <c r="G16" i="63" s="1"/>
  <c r="H16" i="63" s="1"/>
  <c r="I16" i="63" s="1"/>
  <c r="J16" i="63" s="1"/>
  <c r="K16" i="63" s="1"/>
  <c r="L16" i="63" s="1"/>
  <c r="M16" i="63" s="1"/>
  <c r="N16" i="63" s="1"/>
  <c r="O16" i="63" s="1"/>
  <c r="P16" i="63" s="1"/>
  <c r="Q16" i="63" s="1"/>
  <c r="R16" i="63" s="1"/>
  <c r="S16" i="63" s="1"/>
  <c r="T16" i="63" s="1"/>
  <c r="U16" i="63" s="1"/>
  <c r="V16" i="63" s="1"/>
  <c r="W16" i="63" s="1"/>
  <c r="X16" i="63" s="1"/>
  <c r="X14" i="63"/>
  <c r="W14" i="63"/>
  <c r="U14" i="63"/>
  <c r="T14" i="63"/>
  <c r="R14" i="63"/>
  <c r="Q14" i="63"/>
  <c r="P14" i="63"/>
  <c r="N14" i="63"/>
  <c r="M14" i="63"/>
  <c r="K14" i="63"/>
  <c r="J14" i="63"/>
  <c r="I14" i="63"/>
  <c r="H14" i="63"/>
  <c r="G14" i="63"/>
  <c r="F14" i="63"/>
  <c r="E14" i="63"/>
  <c r="F10" i="63"/>
  <c r="G10" i="63" s="1"/>
  <c r="H10" i="63" s="1"/>
  <c r="I10" i="63" s="1"/>
  <c r="J10" i="63" s="1"/>
  <c r="K10" i="63" s="1"/>
  <c r="L10" i="63" s="1"/>
  <c r="M10" i="63" s="1"/>
  <c r="N10" i="63" s="1"/>
  <c r="O10" i="63" s="1"/>
  <c r="P10" i="63" s="1"/>
  <c r="Q10" i="63" s="1"/>
  <c r="R10" i="63" s="1"/>
  <c r="S10" i="63" s="1"/>
  <c r="T10" i="63" s="1"/>
  <c r="U10" i="63" s="1"/>
  <c r="V10" i="63" s="1"/>
  <c r="W10" i="63" s="1"/>
  <c r="X10" i="63" s="1"/>
  <c r="E10" i="63"/>
  <c r="E8" i="63"/>
  <c r="F8" i="63" s="1"/>
  <c r="G8" i="63" s="1"/>
  <c r="H8" i="63" s="1"/>
  <c r="I8" i="63" s="1"/>
  <c r="J8" i="63" s="1"/>
  <c r="K8" i="63" s="1"/>
  <c r="L8" i="63" s="1"/>
  <c r="M8" i="63" s="1"/>
  <c r="N8" i="63" s="1"/>
  <c r="O8" i="63" s="1"/>
  <c r="P8" i="63" s="1"/>
  <c r="Q8" i="63" s="1"/>
  <c r="R8" i="63" s="1"/>
  <c r="S8" i="63" s="1"/>
  <c r="T8" i="63" s="1"/>
  <c r="U8" i="63" s="1"/>
  <c r="V8" i="63" s="1"/>
  <c r="W8" i="63" s="1"/>
  <c r="X8" i="63" s="1"/>
  <c r="E7" i="63"/>
  <c r="F7" i="63" s="1"/>
  <c r="G7" i="63" s="1"/>
  <c r="H7" i="63" s="1"/>
  <c r="I7" i="63" s="1"/>
  <c r="J7" i="63" s="1"/>
  <c r="K7" i="63" s="1"/>
  <c r="L7" i="63" s="1"/>
  <c r="M7" i="63" s="1"/>
  <c r="N7" i="63" s="1"/>
  <c r="O7" i="63" s="1"/>
  <c r="P7" i="63" s="1"/>
  <c r="Q7" i="63" s="1"/>
  <c r="R7" i="63" s="1"/>
  <c r="S7" i="63" s="1"/>
  <c r="T7" i="63" s="1"/>
  <c r="U7" i="63" s="1"/>
  <c r="V7" i="63" s="1"/>
  <c r="W7" i="63" s="1"/>
  <c r="X7" i="63" s="1"/>
  <c r="F6" i="63"/>
  <c r="G6" i="63" s="1"/>
  <c r="H6" i="63" s="1"/>
  <c r="I6" i="63" s="1"/>
  <c r="J6" i="63" s="1"/>
  <c r="K6" i="63" s="1"/>
  <c r="L6" i="63" s="1"/>
  <c r="M6" i="63" s="1"/>
  <c r="N6" i="63" s="1"/>
  <c r="O6" i="63" s="1"/>
  <c r="P6" i="63" s="1"/>
  <c r="Q6" i="63" s="1"/>
  <c r="R6" i="63" s="1"/>
  <c r="S6" i="63" s="1"/>
  <c r="T6" i="63" s="1"/>
  <c r="U6" i="63" s="1"/>
  <c r="V6" i="63" s="1"/>
  <c r="W6" i="63" s="1"/>
  <c r="X6" i="63" s="1"/>
  <c r="E6" i="63"/>
  <c r="A5" i="63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E4" i="63"/>
  <c r="F4" i="63" s="1"/>
  <c r="G4" i="63" s="1"/>
  <c r="H4" i="63" s="1"/>
  <c r="I4" i="63" s="1"/>
  <c r="J4" i="63" s="1"/>
  <c r="K4" i="63" s="1"/>
  <c r="L4" i="63" s="1"/>
  <c r="M4" i="63" s="1"/>
  <c r="N4" i="63" s="1"/>
  <c r="O4" i="63" s="1"/>
  <c r="P4" i="63" s="1"/>
  <c r="Q38" i="68" l="1"/>
  <c r="Q11" i="68" s="1"/>
  <c r="Q9" i="68" s="1"/>
  <c r="X38" i="68"/>
  <c r="X11" i="68" s="1"/>
  <c r="X9" i="68" s="1"/>
  <c r="J4" i="68"/>
  <c r="I13" i="68"/>
  <c r="I37" i="68" s="1"/>
  <c r="U46" i="68"/>
  <c r="U38" i="68" s="1"/>
  <c r="U11" i="68" s="1"/>
  <c r="U9" i="68" s="1"/>
  <c r="S38" i="68"/>
  <c r="S11" i="68" s="1"/>
  <c r="S9" i="68" s="1"/>
  <c r="X19" i="68"/>
  <c r="X14" i="68" s="1"/>
  <c r="X8" i="68" s="1"/>
  <c r="U14" i="68"/>
  <c r="U8" i="68" s="1"/>
  <c r="I5" i="68"/>
  <c r="I6" i="68"/>
  <c r="U41" i="67"/>
  <c r="U39" i="67"/>
  <c r="U37" i="67"/>
  <c r="U40" i="67"/>
  <c r="U22" i="67" s="1"/>
  <c r="U9" i="67" s="1"/>
  <c r="U8" i="67" s="1"/>
  <c r="U38" i="67"/>
  <c r="U36" i="67"/>
  <c r="L41" i="67"/>
  <c r="L39" i="67"/>
  <c r="L37" i="67"/>
  <c r="L40" i="67"/>
  <c r="L38" i="67"/>
  <c r="L36" i="67"/>
  <c r="K50" i="67"/>
  <c r="K48" i="67"/>
  <c r="K46" i="67"/>
  <c r="K49" i="67"/>
  <c r="K51" i="67"/>
  <c r="K47" i="67"/>
  <c r="I50" i="67"/>
  <c r="I48" i="67"/>
  <c r="I46" i="67"/>
  <c r="I51" i="67"/>
  <c r="I47" i="67"/>
  <c r="I49" i="67"/>
  <c r="M41" i="67"/>
  <c r="M39" i="67"/>
  <c r="M37" i="67"/>
  <c r="M36" i="67"/>
  <c r="M22" i="67" s="1"/>
  <c r="M9" i="67" s="1"/>
  <c r="M8" i="67" s="1"/>
  <c r="M40" i="67"/>
  <c r="M38" i="67"/>
  <c r="L33" i="67"/>
  <c r="L31" i="67"/>
  <c r="L34" i="67"/>
  <c r="L32" i="67"/>
  <c r="L22" i="67" s="1"/>
  <c r="L9" i="67" s="1"/>
  <c r="L8" i="67" s="1"/>
  <c r="L10" i="67"/>
  <c r="G34" i="67"/>
  <c r="G32" i="67"/>
  <c r="G31" i="67"/>
  <c r="G33" i="67"/>
  <c r="G13" i="67"/>
  <c r="G7" i="67" s="1"/>
  <c r="J40" i="67"/>
  <c r="J38" i="67"/>
  <c r="J36" i="67"/>
  <c r="J41" i="67"/>
  <c r="J39" i="67"/>
  <c r="J37" i="67"/>
  <c r="J22" i="67" s="1"/>
  <c r="J9" i="67" s="1"/>
  <c r="J8" i="67" s="1"/>
  <c r="V41" i="67"/>
  <c r="V39" i="67"/>
  <c r="V37" i="67"/>
  <c r="V22" i="67" s="1"/>
  <c r="V9" i="67" s="1"/>
  <c r="V8" i="67" s="1"/>
  <c r="V40" i="67"/>
  <c r="V38" i="67"/>
  <c r="V36" i="67"/>
  <c r="L51" i="67"/>
  <c r="L49" i="67"/>
  <c r="L47" i="67"/>
  <c r="L50" i="67"/>
  <c r="L48" i="67"/>
  <c r="L46" i="67"/>
  <c r="Y50" i="67"/>
  <c r="Y48" i="67"/>
  <c r="Y46" i="67"/>
  <c r="Y51" i="67"/>
  <c r="Y49" i="67"/>
  <c r="Y47" i="67"/>
  <c r="K33" i="67"/>
  <c r="K31" i="67"/>
  <c r="K22" i="67" s="1"/>
  <c r="K9" i="67" s="1"/>
  <c r="K8" i="67" s="1"/>
  <c r="K34" i="67"/>
  <c r="K10" i="67"/>
  <c r="K32" i="67"/>
  <c r="H34" i="67"/>
  <c r="H32" i="67"/>
  <c r="H33" i="67"/>
  <c r="H22" i="67" s="1"/>
  <c r="H9" i="67" s="1"/>
  <c r="H8" i="67" s="1"/>
  <c r="H31" i="67"/>
  <c r="H10" i="67"/>
  <c r="Y29" i="67"/>
  <c r="Y27" i="67"/>
  <c r="Y25" i="67"/>
  <c r="Y10" i="67"/>
  <c r="Y26" i="67"/>
  <c r="Y13" i="67"/>
  <c r="Y7" i="67" s="1"/>
  <c r="Y24" i="67"/>
  <c r="Y28" i="67"/>
  <c r="K13" i="67"/>
  <c r="K7" i="67" s="1"/>
  <c r="G36" i="67"/>
  <c r="G38" i="67"/>
  <c r="G37" i="67"/>
  <c r="G40" i="67"/>
  <c r="G39" i="67"/>
  <c r="G41" i="67"/>
  <c r="X50" i="67"/>
  <c r="X48" i="67"/>
  <c r="X46" i="67"/>
  <c r="X51" i="67"/>
  <c r="X49" i="67"/>
  <c r="X47" i="67"/>
  <c r="J50" i="67"/>
  <c r="J48" i="67"/>
  <c r="J46" i="67"/>
  <c r="J51" i="67"/>
  <c r="J49" i="67"/>
  <c r="J47" i="67"/>
  <c r="G10" i="67"/>
  <c r="W34" i="67"/>
  <c r="W32" i="67"/>
  <c r="W33" i="67"/>
  <c r="W31" i="67"/>
  <c r="W22" i="67" s="1"/>
  <c r="W9" i="67" s="1"/>
  <c r="W8" i="67" s="1"/>
  <c r="P34" i="67"/>
  <c r="P32" i="67"/>
  <c r="P33" i="67"/>
  <c r="P31" i="67"/>
  <c r="P22" i="67" s="1"/>
  <c r="P9" i="67" s="1"/>
  <c r="P8" i="67" s="1"/>
  <c r="Q29" i="67"/>
  <c r="Q27" i="67"/>
  <c r="Q25" i="67"/>
  <c r="Q28" i="67"/>
  <c r="Q24" i="67"/>
  <c r="Q10" i="67"/>
  <c r="Q13" i="67"/>
  <c r="Q7" i="67" s="1"/>
  <c r="Q26" i="67"/>
  <c r="O36" i="67"/>
  <c r="O38" i="67"/>
  <c r="O37" i="67"/>
  <c r="O41" i="67"/>
  <c r="O40" i="67"/>
  <c r="O39" i="67"/>
  <c r="O51" i="67"/>
  <c r="O49" i="67"/>
  <c r="O47" i="67"/>
  <c r="O48" i="67"/>
  <c r="O50" i="67"/>
  <c r="O46" i="67"/>
  <c r="R50" i="67"/>
  <c r="R48" i="67"/>
  <c r="R46" i="67"/>
  <c r="R51" i="67"/>
  <c r="R49" i="67"/>
  <c r="R47" i="67"/>
  <c r="R40" i="67"/>
  <c r="R38" i="67"/>
  <c r="R36" i="67"/>
  <c r="R41" i="67"/>
  <c r="R39" i="67"/>
  <c r="R37" i="67"/>
  <c r="M32" i="67"/>
  <c r="M31" i="67"/>
  <c r="M10" i="67"/>
  <c r="M33" i="67"/>
  <c r="M13" i="67"/>
  <c r="M7" i="67" s="1"/>
  <c r="M34" i="67"/>
  <c r="X34" i="67"/>
  <c r="X32" i="67"/>
  <c r="X33" i="67"/>
  <c r="X31" i="67"/>
  <c r="X22" i="67" s="1"/>
  <c r="X9" i="67" s="1"/>
  <c r="X8" i="67" s="1"/>
  <c r="X10" i="67"/>
  <c r="X13" i="67"/>
  <c r="X7" i="67" s="1"/>
  <c r="W51" i="67"/>
  <c r="W49" i="67"/>
  <c r="W47" i="67"/>
  <c r="W46" i="67"/>
  <c r="W50" i="67"/>
  <c r="W48" i="67"/>
  <c r="N28" i="67"/>
  <c r="N26" i="67"/>
  <c r="N24" i="67"/>
  <c r="N29" i="67"/>
  <c r="N13" i="67"/>
  <c r="N7" i="67" s="1"/>
  <c r="N25" i="67"/>
  <c r="N10" i="67"/>
  <c r="N27" i="67"/>
  <c r="I29" i="67"/>
  <c r="I27" i="67"/>
  <c r="I25" i="67"/>
  <c r="I26" i="67"/>
  <c r="I10" i="67"/>
  <c r="I24" i="67"/>
  <c r="I22" i="67" s="1"/>
  <c r="I9" i="67" s="1"/>
  <c r="I8" i="67" s="1"/>
  <c r="I28" i="67"/>
  <c r="I13" i="67"/>
  <c r="I7" i="67" s="1"/>
  <c r="J10" i="67"/>
  <c r="P40" i="67"/>
  <c r="P38" i="67"/>
  <c r="P36" i="67"/>
  <c r="P41" i="67"/>
  <c r="P39" i="67"/>
  <c r="P37" i="67"/>
  <c r="W41" i="67"/>
  <c r="W40" i="67"/>
  <c r="W37" i="67"/>
  <c r="W39" i="67"/>
  <c r="W36" i="67"/>
  <c r="W38" i="67"/>
  <c r="W10" i="67"/>
  <c r="P50" i="67"/>
  <c r="P48" i="67"/>
  <c r="P46" i="67"/>
  <c r="P51" i="67"/>
  <c r="P49" i="67"/>
  <c r="P47" i="67"/>
  <c r="Z50" i="67"/>
  <c r="Z48" i="67"/>
  <c r="Z46" i="67"/>
  <c r="Z51" i="67"/>
  <c r="Z49" i="67"/>
  <c r="Z47" i="67"/>
  <c r="R10" i="67"/>
  <c r="Z33" i="67"/>
  <c r="Z31" i="67"/>
  <c r="Z22" i="67" s="1"/>
  <c r="Z9" i="67" s="1"/>
  <c r="Z8" i="67" s="1"/>
  <c r="Z34" i="67"/>
  <c r="Z32" i="67"/>
  <c r="Z13" i="67"/>
  <c r="Z7" i="67" s="1"/>
  <c r="I33" i="67"/>
  <c r="I32" i="67"/>
  <c r="I34" i="67"/>
  <c r="I31" i="67"/>
  <c r="H13" i="67"/>
  <c r="H7" i="67" s="1"/>
  <c r="I40" i="67"/>
  <c r="I38" i="67"/>
  <c r="I36" i="67"/>
  <c r="I37" i="67"/>
  <c r="I39" i="67"/>
  <c r="I41" i="67"/>
  <c r="Q50" i="67"/>
  <c r="Q48" i="67"/>
  <c r="Q46" i="67"/>
  <c r="Q51" i="67"/>
  <c r="Q49" i="67"/>
  <c r="Q47" i="67"/>
  <c r="Q40" i="67"/>
  <c r="Q38" i="67"/>
  <c r="Q36" i="67"/>
  <c r="Q37" i="67"/>
  <c r="Q39" i="67"/>
  <c r="Q41" i="67"/>
  <c r="K39" i="67"/>
  <c r="K38" i="67"/>
  <c r="K41" i="67"/>
  <c r="K40" i="67"/>
  <c r="K37" i="67"/>
  <c r="K36" i="67"/>
  <c r="L13" i="67"/>
  <c r="L7" i="67" s="1"/>
  <c r="M51" i="67"/>
  <c r="M49" i="67"/>
  <c r="M47" i="67"/>
  <c r="M48" i="67"/>
  <c r="M46" i="67"/>
  <c r="M50" i="67"/>
  <c r="X40" i="67"/>
  <c r="X38" i="67"/>
  <c r="X36" i="67"/>
  <c r="X41" i="67"/>
  <c r="X39" i="67"/>
  <c r="X37" i="67"/>
  <c r="O34" i="67"/>
  <c r="O32" i="67"/>
  <c r="O31" i="67"/>
  <c r="O33" i="67"/>
  <c r="O13" i="67"/>
  <c r="O7" i="67" s="1"/>
  <c r="Q33" i="67"/>
  <c r="Q32" i="67"/>
  <c r="Q34" i="67"/>
  <c r="Q31" i="67"/>
  <c r="V10" i="67"/>
  <c r="T41" i="67"/>
  <c r="T39" i="67"/>
  <c r="T37" i="67"/>
  <c r="T40" i="67"/>
  <c r="T38" i="67"/>
  <c r="T36" i="67"/>
  <c r="T33" i="67"/>
  <c r="T31" i="67"/>
  <c r="T22" i="67" s="1"/>
  <c r="T9" i="67" s="1"/>
  <c r="T8" i="67" s="1"/>
  <c r="T34" i="67"/>
  <c r="T32" i="67"/>
  <c r="T10" i="67"/>
  <c r="T13" i="67"/>
  <c r="T7" i="67" s="1"/>
  <c r="H40" i="67"/>
  <c r="H38" i="67"/>
  <c r="H36" i="67"/>
  <c r="H41" i="67"/>
  <c r="H39" i="67"/>
  <c r="H37" i="67"/>
  <c r="S39" i="67"/>
  <c r="S38" i="67"/>
  <c r="S41" i="67"/>
  <c r="S40" i="67"/>
  <c r="S36" i="67"/>
  <c r="S37" i="67"/>
  <c r="U51" i="67"/>
  <c r="U49" i="67"/>
  <c r="U47" i="67"/>
  <c r="U46" i="67"/>
  <c r="U48" i="67"/>
  <c r="U50" i="67"/>
  <c r="S33" i="67"/>
  <c r="S31" i="67"/>
  <c r="S22" i="67" s="1"/>
  <c r="S9" i="67" s="1"/>
  <c r="S8" i="67" s="1"/>
  <c r="S34" i="67"/>
  <c r="S10" i="67"/>
  <c r="S32" i="67"/>
  <c r="R33" i="67"/>
  <c r="R31" i="67"/>
  <c r="R22" i="67" s="1"/>
  <c r="R9" i="67" s="1"/>
  <c r="R8" i="67" s="1"/>
  <c r="R34" i="67"/>
  <c r="R32" i="67"/>
  <c r="R13" i="67"/>
  <c r="R7" i="67" s="1"/>
  <c r="Y31" i="67"/>
  <c r="Y32" i="67"/>
  <c r="Y34" i="67"/>
  <c r="Y33" i="67"/>
  <c r="M5" i="67"/>
  <c r="M6" i="67"/>
  <c r="AD18" i="66"/>
  <c r="AB18" i="66"/>
  <c r="AE18" i="66" s="1"/>
  <c r="I33" i="66"/>
  <c r="I35" i="66" s="1"/>
  <c r="E35" i="66"/>
  <c r="L29" i="64"/>
  <c r="L27" i="64"/>
  <c r="L26" i="64"/>
  <c r="L25" i="64"/>
  <c r="L28" i="64"/>
  <c r="Y29" i="64"/>
  <c r="Y27" i="64"/>
  <c r="Y25" i="64"/>
  <c r="Y24" i="64"/>
  <c r="Y28" i="64"/>
  <c r="Y26" i="64"/>
  <c r="O34" i="64"/>
  <c r="O32" i="64"/>
  <c r="O33" i="64"/>
  <c r="V39" i="64"/>
  <c r="V37" i="64"/>
  <c r="V40" i="64"/>
  <c r="V38" i="64"/>
  <c r="O41" i="64"/>
  <c r="O39" i="64"/>
  <c r="O37" i="64"/>
  <c r="O40" i="64"/>
  <c r="O38" i="64"/>
  <c r="O36" i="64"/>
  <c r="M50" i="64"/>
  <c r="M48" i="64"/>
  <c r="M46" i="64"/>
  <c r="M51" i="64"/>
  <c r="M49" i="64"/>
  <c r="M47" i="64"/>
  <c r="L24" i="64"/>
  <c r="U19" i="65"/>
  <c r="Q38" i="65"/>
  <c r="Q11" i="65" s="1"/>
  <c r="O22" i="63" s="1"/>
  <c r="U43" i="65"/>
  <c r="G41" i="64"/>
  <c r="G39" i="64"/>
  <c r="G37" i="64"/>
  <c r="G36" i="64"/>
  <c r="G40" i="64"/>
  <c r="P51" i="64"/>
  <c r="P49" i="64"/>
  <c r="P47" i="64"/>
  <c r="P50" i="64"/>
  <c r="P48" i="64"/>
  <c r="P46" i="64"/>
  <c r="U46" i="65"/>
  <c r="S38" i="65"/>
  <c r="S11" i="65" s="1"/>
  <c r="Q22" i="63" s="1"/>
  <c r="S33" i="64"/>
  <c r="S31" i="64"/>
  <c r="S32" i="64"/>
  <c r="Z41" i="64"/>
  <c r="Z37" i="64"/>
  <c r="Z40" i="64"/>
  <c r="Z38" i="64"/>
  <c r="Z13" i="64"/>
  <c r="Z7" i="64" s="1"/>
  <c r="X13" i="63" s="1"/>
  <c r="V41" i="64"/>
  <c r="X28" i="64"/>
  <c r="X29" i="64"/>
  <c r="X25" i="64"/>
  <c r="X10" i="64"/>
  <c r="V21" i="63" s="1"/>
  <c r="X24" i="64"/>
  <c r="X27" i="64"/>
  <c r="X13" i="64"/>
  <c r="X7" i="64" s="1"/>
  <c r="V13" i="63" s="1"/>
  <c r="Q29" i="64"/>
  <c r="Q27" i="64"/>
  <c r="Q25" i="64"/>
  <c r="Q24" i="64"/>
  <c r="Q10" i="64"/>
  <c r="O21" i="63" s="1"/>
  <c r="Q28" i="64"/>
  <c r="Q26" i="64"/>
  <c r="G34" i="64"/>
  <c r="G32" i="64"/>
  <c r="G33" i="64"/>
  <c r="T33" i="64"/>
  <c r="T31" i="64"/>
  <c r="T34" i="64"/>
  <c r="R38" i="64"/>
  <c r="R36" i="64"/>
  <c r="R37" i="64"/>
  <c r="R41" i="64"/>
  <c r="X26" i="64"/>
  <c r="O31" i="64"/>
  <c r="V36" i="64"/>
  <c r="J41" i="64"/>
  <c r="J39" i="64"/>
  <c r="J37" i="64"/>
  <c r="J38" i="64"/>
  <c r="J36" i="64"/>
  <c r="T50" i="64"/>
  <c r="T48" i="64"/>
  <c r="T46" i="64"/>
  <c r="T51" i="64"/>
  <c r="T49" i="64"/>
  <c r="T47" i="64"/>
  <c r="U50" i="64"/>
  <c r="U48" i="64"/>
  <c r="U46" i="64"/>
  <c r="U51" i="64"/>
  <c r="U49" i="64"/>
  <c r="U47" i="64"/>
  <c r="Z36" i="64"/>
  <c r="R39" i="64"/>
  <c r="K5" i="64"/>
  <c r="K6" i="64"/>
  <c r="I29" i="64"/>
  <c r="I27" i="64"/>
  <c r="I25" i="64"/>
  <c r="I28" i="64"/>
  <c r="T29" i="64"/>
  <c r="T27" i="64"/>
  <c r="T26" i="64"/>
  <c r="T24" i="64"/>
  <c r="W34" i="64"/>
  <c r="W32" i="64"/>
  <c r="W33" i="64"/>
  <c r="W31" i="64"/>
  <c r="H51" i="64"/>
  <c r="H49" i="64"/>
  <c r="H47" i="64"/>
  <c r="H50" i="64"/>
  <c r="H48" i="64"/>
  <c r="H46" i="64"/>
  <c r="X51" i="64"/>
  <c r="X49" i="64"/>
  <c r="X47" i="64"/>
  <c r="X50" i="64"/>
  <c r="X48" i="64"/>
  <c r="X46" i="64"/>
  <c r="S34" i="64"/>
  <c r="Z39" i="64"/>
  <c r="H5" i="65"/>
  <c r="H6" i="65"/>
  <c r="W41" i="64"/>
  <c r="W39" i="64"/>
  <c r="W37" i="64"/>
  <c r="W38" i="64"/>
  <c r="W36" i="64"/>
  <c r="G20" i="63"/>
  <c r="I13" i="64"/>
  <c r="I7" i="64" s="1"/>
  <c r="G13" i="63" s="1"/>
  <c r="L31" i="64"/>
  <c r="L34" i="64"/>
  <c r="T25" i="64"/>
  <c r="L32" i="64"/>
  <c r="J40" i="64"/>
  <c r="G13" i="64"/>
  <c r="G7" i="64" s="1"/>
  <c r="E13" i="63" s="1"/>
  <c r="M33" i="64"/>
  <c r="M31" i="64"/>
  <c r="U33" i="64"/>
  <c r="U31" i="64"/>
  <c r="H41" i="64"/>
  <c r="H39" i="64"/>
  <c r="H37" i="64"/>
  <c r="P41" i="64"/>
  <c r="P39" i="64"/>
  <c r="P37" i="64"/>
  <c r="X41" i="64"/>
  <c r="X39" i="64"/>
  <c r="X37" i="64"/>
  <c r="X40" i="64"/>
  <c r="K17" i="64"/>
  <c r="K44" i="64" s="1"/>
  <c r="S17" i="64"/>
  <c r="S44" i="64" s="1"/>
  <c r="N18" i="64"/>
  <c r="V18" i="64"/>
  <c r="L19" i="64"/>
  <c r="L53" i="64" s="1"/>
  <c r="J24" i="64"/>
  <c r="R25" i="64"/>
  <c r="G26" i="64"/>
  <c r="W27" i="64"/>
  <c r="O29" i="64"/>
  <c r="P31" i="64"/>
  <c r="H32" i="64"/>
  <c r="U32" i="64"/>
  <c r="H38" i="64"/>
  <c r="S51" i="64"/>
  <c r="Q9" i="65"/>
  <c r="H5" i="64"/>
  <c r="S14" i="64"/>
  <c r="N15" i="64"/>
  <c r="V15" i="64"/>
  <c r="I40" i="64"/>
  <c r="I38" i="64"/>
  <c r="I36" i="64"/>
  <c r="Q41" i="64"/>
  <c r="Q40" i="64"/>
  <c r="Q38" i="64"/>
  <c r="Q36" i="64"/>
  <c r="Y41" i="64"/>
  <c r="Y40" i="64"/>
  <c r="Y38" i="64"/>
  <c r="Y36" i="64"/>
  <c r="L17" i="64"/>
  <c r="L44" i="64" s="1"/>
  <c r="T17" i="64"/>
  <c r="T44" i="64" s="1"/>
  <c r="G18" i="64"/>
  <c r="O18" i="64"/>
  <c r="W18" i="64"/>
  <c r="M19" i="64"/>
  <c r="K24" i="64"/>
  <c r="J25" i="64"/>
  <c r="Z26" i="64"/>
  <c r="O27" i="64"/>
  <c r="P33" i="64"/>
  <c r="H34" i="64"/>
  <c r="U34" i="64"/>
  <c r="M36" i="64"/>
  <c r="X36" i="64"/>
  <c r="Q39" i="64"/>
  <c r="H40" i="64"/>
  <c r="M28" i="64"/>
  <c r="M26" i="64"/>
  <c r="M24" i="64"/>
  <c r="U28" i="64"/>
  <c r="U26" i="64"/>
  <c r="U24" i="64"/>
  <c r="K40" i="64"/>
  <c r="K38" i="64"/>
  <c r="K36" i="64"/>
  <c r="S40" i="64"/>
  <c r="S38" i="64"/>
  <c r="S36" i="64"/>
  <c r="N17" i="64"/>
  <c r="N44" i="64" s="1"/>
  <c r="V17" i="64"/>
  <c r="V44" i="64" s="1"/>
  <c r="I51" i="64"/>
  <c r="I49" i="64"/>
  <c r="I47" i="64"/>
  <c r="I50" i="64"/>
  <c r="I48" i="64"/>
  <c r="I46" i="64"/>
  <c r="Q51" i="64"/>
  <c r="Q49" i="64"/>
  <c r="Q47" i="64"/>
  <c r="Q50" i="64"/>
  <c r="Q48" i="64"/>
  <c r="Q46" i="64"/>
  <c r="Y51" i="64"/>
  <c r="Y49" i="64"/>
  <c r="Y47" i="64"/>
  <c r="Y50" i="64"/>
  <c r="Y48" i="64"/>
  <c r="Y46" i="64"/>
  <c r="Q19" i="64"/>
  <c r="Q53" i="64" s="1"/>
  <c r="W24" i="64"/>
  <c r="U25" i="64"/>
  <c r="J26" i="64"/>
  <c r="R27" i="64"/>
  <c r="G28" i="64"/>
  <c r="G29" i="64"/>
  <c r="U29" i="64"/>
  <c r="H31" i="64"/>
  <c r="M32" i="64"/>
  <c r="X34" i="64"/>
  <c r="I37" i="64"/>
  <c r="S39" i="64"/>
  <c r="N14" i="65"/>
  <c r="N8" i="65" s="1"/>
  <c r="L14" i="63" s="1"/>
  <c r="Q20" i="65"/>
  <c r="U20" i="65" s="1"/>
  <c r="X20" i="65" s="1"/>
  <c r="N14" i="64"/>
  <c r="V14" i="64"/>
  <c r="I15" i="64"/>
  <c r="I10" i="64" s="1"/>
  <c r="G21" i="63" s="1"/>
  <c r="Q15" i="64"/>
  <c r="Y15" i="64"/>
  <c r="Y10" i="64" s="1"/>
  <c r="W21" i="63" s="1"/>
  <c r="L40" i="64"/>
  <c r="L38" i="64"/>
  <c r="L36" i="64"/>
  <c r="L41" i="64"/>
  <c r="T40" i="64"/>
  <c r="T38" i="64"/>
  <c r="T36" i="64"/>
  <c r="T41" i="64"/>
  <c r="G17" i="64"/>
  <c r="G44" i="64" s="1"/>
  <c r="O17" i="64"/>
  <c r="O44" i="64" s="1"/>
  <c r="W17" i="64"/>
  <c r="W44" i="64" s="1"/>
  <c r="J18" i="64"/>
  <c r="R18" i="64"/>
  <c r="R13" i="64" s="1"/>
  <c r="R7" i="64" s="1"/>
  <c r="P13" i="63" s="1"/>
  <c r="Z18" i="64"/>
  <c r="O24" i="64"/>
  <c r="M25" i="64"/>
  <c r="K26" i="64"/>
  <c r="J27" i="64"/>
  <c r="M34" i="64"/>
  <c r="P36" i="64"/>
  <c r="I39" i="64"/>
  <c r="T39" i="64"/>
  <c r="I41" i="64"/>
  <c r="J34" i="64"/>
  <c r="J32" i="64"/>
  <c r="R34" i="64"/>
  <c r="R32" i="64"/>
  <c r="Z34" i="64"/>
  <c r="Z32" i="64"/>
  <c r="M41" i="64"/>
  <c r="M39" i="64"/>
  <c r="M37" i="64"/>
  <c r="U41" i="64"/>
  <c r="U39" i="64"/>
  <c r="U37" i="64"/>
  <c r="K50" i="64"/>
  <c r="K48" i="64"/>
  <c r="K46" i="64"/>
  <c r="S50" i="64"/>
  <c r="S48" i="64"/>
  <c r="S46" i="64"/>
  <c r="U53" i="64"/>
  <c r="T53" i="64"/>
  <c r="Z53" i="64"/>
  <c r="X53" i="64"/>
  <c r="W53" i="64"/>
  <c r="W25" i="64"/>
  <c r="K27" i="64"/>
  <c r="J29" i="64"/>
  <c r="W29" i="64"/>
  <c r="J31" i="64"/>
  <c r="X31" i="64"/>
  <c r="P32" i="64"/>
  <c r="K37" i="64"/>
  <c r="Y37" i="64"/>
  <c r="P38" i="64"/>
  <c r="O38" i="65"/>
  <c r="O11" i="65" s="1"/>
  <c r="M13" i="64"/>
  <c r="M7" i="64" s="1"/>
  <c r="K13" i="63" s="1"/>
  <c r="U13" i="64"/>
  <c r="U7" i="64" s="1"/>
  <c r="S13" i="63" s="1"/>
  <c r="H14" i="64"/>
  <c r="P14" i="64"/>
  <c r="K15" i="64"/>
  <c r="N16" i="64"/>
  <c r="I17" i="64"/>
  <c r="I44" i="64" s="1"/>
  <c r="Q17" i="64"/>
  <c r="Q44" i="64" s="1"/>
  <c r="L18" i="64"/>
  <c r="H19" i="64"/>
  <c r="H53" i="64" s="1"/>
  <c r="W26" i="64"/>
  <c r="U27" i="64"/>
  <c r="M29" i="64"/>
  <c r="J33" i="64"/>
  <c r="U36" i="64"/>
  <c r="L37" i="64"/>
  <c r="K39" i="64"/>
  <c r="Y39" i="64"/>
  <c r="P40" i="64"/>
  <c r="K41" i="64"/>
  <c r="S49" i="64"/>
  <c r="K51" i="64"/>
  <c r="V11" i="65"/>
  <c r="T22" i="63" s="1"/>
  <c r="T11" i="65"/>
  <c r="K11" i="65"/>
  <c r="I22" i="63" s="1"/>
  <c r="Y11" i="65"/>
  <c r="W22" i="63" s="1"/>
  <c r="I11" i="65"/>
  <c r="G22" i="63" s="1"/>
  <c r="E39" i="65"/>
  <c r="P11" i="65"/>
  <c r="H11" i="65"/>
  <c r="M38" i="65"/>
  <c r="M11" i="65" s="1"/>
  <c r="L11" i="65"/>
  <c r="I4" i="65"/>
  <c r="N38" i="65"/>
  <c r="N11" i="65" s="1"/>
  <c r="L22" i="63" s="1"/>
  <c r="K4" i="68" l="1"/>
  <c r="J13" i="68"/>
  <c r="J37" i="68" s="1"/>
  <c r="J6" i="68"/>
  <c r="J5" i="68"/>
  <c r="N22" i="67"/>
  <c r="N9" i="67" s="1"/>
  <c r="N8" i="67" s="1"/>
  <c r="Q22" i="67"/>
  <c r="Q9" i="67" s="1"/>
  <c r="Q8" i="67" s="1"/>
  <c r="N6" i="67"/>
  <c r="N5" i="67"/>
  <c r="O22" i="67"/>
  <c r="O9" i="67" s="1"/>
  <c r="O8" i="67" s="1"/>
  <c r="G22" i="67"/>
  <c r="G9" i="67" s="1"/>
  <c r="G8" i="67" s="1"/>
  <c r="Y22" i="67"/>
  <c r="Y9" i="67" s="1"/>
  <c r="Y8" i="67" s="1"/>
  <c r="Y33" i="66"/>
  <c r="Y35" i="66" s="1"/>
  <c r="P15" i="63"/>
  <c r="P12" i="63"/>
  <c r="E12" i="63"/>
  <c r="E15" i="63"/>
  <c r="L5" i="64"/>
  <c r="L6" i="64"/>
  <c r="I13" i="65"/>
  <c r="I37" i="65" s="1"/>
  <c r="J4" i="65"/>
  <c r="L50" i="64"/>
  <c r="L48" i="64"/>
  <c r="L46" i="64"/>
  <c r="L22" i="64" s="1"/>
  <c r="L9" i="64" s="1"/>
  <c r="L51" i="64"/>
  <c r="L49" i="64"/>
  <c r="L47" i="64"/>
  <c r="K15" i="63"/>
  <c r="K12" i="63" s="1"/>
  <c r="S9" i="65"/>
  <c r="Q14" i="65"/>
  <c r="Q8" i="65" s="1"/>
  <c r="O14" i="63" s="1"/>
  <c r="J51" i="64"/>
  <c r="J49" i="64"/>
  <c r="J47" i="64"/>
  <c r="J46" i="64"/>
  <c r="J50" i="64"/>
  <c r="J48" i="64"/>
  <c r="J10" i="64"/>
  <c r="H21" i="63" s="1"/>
  <c r="G15" i="63"/>
  <c r="G12" i="63" s="1"/>
  <c r="T9" i="65"/>
  <c r="R22" i="63"/>
  <c r="O9" i="65"/>
  <c r="M22" i="63"/>
  <c r="U22" i="64"/>
  <c r="U9" i="64" s="1"/>
  <c r="K22" i="64"/>
  <c r="K9" i="64" s="1"/>
  <c r="K9" i="65"/>
  <c r="J13" i="64"/>
  <c r="J7" i="64" s="1"/>
  <c r="H13" i="63" s="1"/>
  <c r="X19" i="65"/>
  <c r="X14" i="65" s="1"/>
  <c r="X8" i="65" s="1"/>
  <c r="V14" i="63" s="1"/>
  <c r="U14" i="65"/>
  <c r="U8" i="65" s="1"/>
  <c r="S14" i="63" s="1"/>
  <c r="S15" i="63" s="1"/>
  <c r="S12" i="63" s="1"/>
  <c r="L13" i="64"/>
  <c r="L7" i="64" s="1"/>
  <c r="J13" i="63" s="1"/>
  <c r="N26" i="64"/>
  <c r="N25" i="64"/>
  <c r="N24" i="64"/>
  <c r="N10" i="64"/>
  <c r="L21" i="63" s="1"/>
  <c r="N28" i="64"/>
  <c r="N27" i="64"/>
  <c r="N13" i="64"/>
  <c r="N7" i="64" s="1"/>
  <c r="L13" i="63" s="1"/>
  <c r="N29" i="64"/>
  <c r="N9" i="65"/>
  <c r="M53" i="64"/>
  <c r="M10" i="64"/>
  <c r="K21" i="63" s="1"/>
  <c r="G10" i="64"/>
  <c r="E21" i="63" s="1"/>
  <c r="L10" i="64"/>
  <c r="J21" i="63" s="1"/>
  <c r="H9" i="65"/>
  <c r="F22" i="63"/>
  <c r="N40" i="64"/>
  <c r="N38" i="64"/>
  <c r="N39" i="64"/>
  <c r="N37" i="64"/>
  <c r="N36" i="64"/>
  <c r="N41" i="64"/>
  <c r="Y34" i="64"/>
  <c r="Y32" i="64"/>
  <c r="Y31" i="64"/>
  <c r="Y22" i="64" s="1"/>
  <c r="Y9" i="64" s="1"/>
  <c r="Y33" i="64"/>
  <c r="Y13" i="64"/>
  <c r="Y7" i="64" s="1"/>
  <c r="W13" i="63" s="1"/>
  <c r="W51" i="64"/>
  <c r="W49" i="64"/>
  <c r="W47" i="64"/>
  <c r="W50" i="64"/>
  <c r="W46" i="64"/>
  <c r="W48" i="64"/>
  <c r="V33" i="64"/>
  <c r="V31" i="64"/>
  <c r="V32" i="64"/>
  <c r="V34" i="64"/>
  <c r="V50" i="64"/>
  <c r="V48" i="64"/>
  <c r="V46" i="64"/>
  <c r="V47" i="64"/>
  <c r="V51" i="64"/>
  <c r="V49" i="64"/>
  <c r="T10" i="64"/>
  <c r="R21" i="63" s="1"/>
  <c r="M9" i="65"/>
  <c r="K22" i="63"/>
  <c r="Q34" i="64"/>
  <c r="Q32" i="64"/>
  <c r="Q22" i="64" s="1"/>
  <c r="Q9" i="64" s="1"/>
  <c r="Q31" i="64"/>
  <c r="Q33" i="64"/>
  <c r="Q13" i="64"/>
  <c r="Q7" i="64" s="1"/>
  <c r="O13" i="63" s="1"/>
  <c r="M22" i="64"/>
  <c r="M9" i="64" s="1"/>
  <c r="O51" i="64"/>
  <c r="O49" i="64"/>
  <c r="O47" i="64"/>
  <c r="O46" i="64"/>
  <c r="O22" i="64" s="1"/>
  <c r="O9" i="64" s="1"/>
  <c r="O48" i="64"/>
  <c r="O50" i="64"/>
  <c r="N33" i="64"/>
  <c r="N31" i="64"/>
  <c r="N34" i="64"/>
  <c r="N32" i="64"/>
  <c r="N50" i="64"/>
  <c r="N48" i="64"/>
  <c r="N46" i="64"/>
  <c r="N49" i="64"/>
  <c r="N47" i="64"/>
  <c r="N51" i="64"/>
  <c r="T22" i="64"/>
  <c r="T9" i="64" s="1"/>
  <c r="V15" i="63"/>
  <c r="V12" i="63" s="1"/>
  <c r="V9" i="65"/>
  <c r="O10" i="64"/>
  <c r="M21" i="63" s="1"/>
  <c r="P9" i="65"/>
  <c r="N22" i="63"/>
  <c r="K33" i="64"/>
  <c r="K31" i="64"/>
  <c r="K13" i="64"/>
  <c r="K7" i="64" s="1"/>
  <c r="I13" i="63" s="1"/>
  <c r="K32" i="64"/>
  <c r="K10" i="64"/>
  <c r="I21" i="63" s="1"/>
  <c r="K34" i="64"/>
  <c r="P24" i="64"/>
  <c r="P10" i="64"/>
  <c r="N21" i="63" s="1"/>
  <c r="P28" i="64"/>
  <c r="P29" i="64"/>
  <c r="P13" i="64"/>
  <c r="P7" i="64" s="1"/>
  <c r="N13" i="63" s="1"/>
  <c r="P26" i="64"/>
  <c r="P27" i="64"/>
  <c r="P25" i="64"/>
  <c r="Z51" i="64"/>
  <c r="Z49" i="64"/>
  <c r="Z47" i="64"/>
  <c r="Z50" i="64"/>
  <c r="Z48" i="64"/>
  <c r="Z46" i="64"/>
  <c r="I34" i="64"/>
  <c r="I32" i="64"/>
  <c r="I33" i="64"/>
  <c r="I31" i="64"/>
  <c r="I22" i="64" s="1"/>
  <c r="I9" i="64" s="1"/>
  <c r="G51" i="64"/>
  <c r="G49" i="64"/>
  <c r="G47" i="64"/>
  <c r="G48" i="64"/>
  <c r="G46" i="64"/>
  <c r="G50" i="64"/>
  <c r="S29" i="64"/>
  <c r="S28" i="64"/>
  <c r="S27" i="64"/>
  <c r="S13" i="64"/>
  <c r="S7" i="64" s="1"/>
  <c r="Q13" i="63" s="1"/>
  <c r="S26" i="64"/>
  <c r="S25" i="64"/>
  <c r="S24" i="64"/>
  <c r="S10" i="64"/>
  <c r="Q21" i="63" s="1"/>
  <c r="W13" i="64"/>
  <c r="W7" i="64" s="1"/>
  <c r="U13" i="63" s="1"/>
  <c r="Y9" i="65"/>
  <c r="I9" i="65"/>
  <c r="X15" i="63"/>
  <c r="X12" i="63"/>
  <c r="L9" i="65"/>
  <c r="J22" i="63"/>
  <c r="H24" i="64"/>
  <c r="H10" i="64"/>
  <c r="F21" i="63" s="1"/>
  <c r="H29" i="64"/>
  <c r="H28" i="64"/>
  <c r="H27" i="64"/>
  <c r="H26" i="64"/>
  <c r="H13" i="64"/>
  <c r="H7" i="64" s="1"/>
  <c r="F13" i="63" s="1"/>
  <c r="H25" i="64"/>
  <c r="R51" i="64"/>
  <c r="R49" i="64"/>
  <c r="R47" i="64"/>
  <c r="R50" i="64"/>
  <c r="R48" i="64"/>
  <c r="R10" i="64"/>
  <c r="P21" i="63" s="1"/>
  <c r="R46" i="64"/>
  <c r="V26" i="64"/>
  <c r="V29" i="64"/>
  <c r="V25" i="64"/>
  <c r="V10" i="64"/>
  <c r="T21" i="63" s="1"/>
  <c r="V28" i="64"/>
  <c r="V27" i="64"/>
  <c r="V24" i="64"/>
  <c r="V13" i="64"/>
  <c r="V7" i="64" s="1"/>
  <c r="T13" i="63" s="1"/>
  <c r="O13" i="64"/>
  <c r="O7" i="64" s="1"/>
  <c r="M13" i="63" s="1"/>
  <c r="I5" i="65"/>
  <c r="I6" i="65"/>
  <c r="W10" i="64"/>
  <c r="U21" i="63" s="1"/>
  <c r="T13" i="64"/>
  <c r="T7" i="64" s="1"/>
  <c r="R13" i="63" s="1"/>
  <c r="Z10" i="64"/>
  <c r="X21" i="63" s="1"/>
  <c r="X22" i="64"/>
  <c r="X9" i="64" s="1"/>
  <c r="X43" i="65"/>
  <c r="X38" i="65" s="1"/>
  <c r="X11" i="65" s="1"/>
  <c r="U38" i="65"/>
  <c r="U11" i="65" s="1"/>
  <c r="L4" i="68" l="1"/>
  <c r="K13" i="68"/>
  <c r="K37" i="68" s="1"/>
  <c r="K6" i="68"/>
  <c r="K5" i="68"/>
  <c r="O6" i="67"/>
  <c r="O5" i="67"/>
  <c r="J22" i="64"/>
  <c r="J9" i="64" s="1"/>
  <c r="W22" i="64"/>
  <c r="W9" i="64" s="1"/>
  <c r="G22" i="64"/>
  <c r="G9" i="64" s="1"/>
  <c r="R22" i="64"/>
  <c r="R9" i="64" s="1"/>
  <c r="Z22" i="64"/>
  <c r="Z9" i="64" s="1"/>
  <c r="M3" i="65"/>
  <c r="M3" i="64"/>
  <c r="H19" i="63"/>
  <c r="J8" i="64"/>
  <c r="I8" i="64"/>
  <c r="G19" i="63"/>
  <c r="Y8" i="64"/>
  <c r="W19" i="63"/>
  <c r="W8" i="64"/>
  <c r="U19" i="63"/>
  <c r="U3" i="64"/>
  <c r="U3" i="65"/>
  <c r="L8" i="64"/>
  <c r="J19" i="63"/>
  <c r="O8" i="64"/>
  <c r="M19" i="63"/>
  <c r="G8" i="64"/>
  <c r="E19" i="63"/>
  <c r="Q8" i="64"/>
  <c r="O19" i="63"/>
  <c r="P19" i="63"/>
  <c r="R8" i="64"/>
  <c r="Z8" i="64"/>
  <c r="X19" i="63"/>
  <c r="X3" i="65"/>
  <c r="X3" i="64"/>
  <c r="I3" i="65"/>
  <c r="I3" i="64"/>
  <c r="G3" i="65"/>
  <c r="G3" i="64"/>
  <c r="Q15" i="63"/>
  <c r="Q12" i="63"/>
  <c r="N15" i="63"/>
  <c r="N12" i="63" s="1"/>
  <c r="I15" i="63"/>
  <c r="I12" i="63" s="1"/>
  <c r="L12" i="63"/>
  <c r="L15" i="63"/>
  <c r="F15" i="63"/>
  <c r="F12" i="63" s="1"/>
  <c r="V22" i="64"/>
  <c r="V9" i="64" s="1"/>
  <c r="K19" i="63"/>
  <c r="M8" i="64"/>
  <c r="J13" i="65"/>
  <c r="J37" i="65" s="1"/>
  <c r="K4" i="65"/>
  <c r="X8" i="64"/>
  <c r="V19" i="63"/>
  <c r="J12" i="63"/>
  <c r="J15" i="63"/>
  <c r="T8" i="64"/>
  <c r="R19" i="63"/>
  <c r="H15" i="63"/>
  <c r="H12" i="63"/>
  <c r="T15" i="63"/>
  <c r="T12" i="63" s="1"/>
  <c r="S19" i="63"/>
  <c r="U8" i="64"/>
  <c r="R15" i="63"/>
  <c r="R12" i="63" s="1"/>
  <c r="J5" i="65"/>
  <c r="J6" i="65"/>
  <c r="P22" i="64"/>
  <c r="P9" i="64" s="1"/>
  <c r="W15" i="63"/>
  <c r="W12" i="63" s="1"/>
  <c r="N22" i="64"/>
  <c r="N9" i="64" s="1"/>
  <c r="M5" i="64"/>
  <c r="M6" i="64"/>
  <c r="R3" i="65"/>
  <c r="R3" i="64"/>
  <c r="X9" i="65"/>
  <c r="V22" i="63"/>
  <c r="K8" i="64"/>
  <c r="I19" i="63"/>
  <c r="Z3" i="64"/>
  <c r="Z3" i="65"/>
  <c r="U15" i="63"/>
  <c r="U12" i="63" s="1"/>
  <c r="O15" i="63"/>
  <c r="O12" i="63" s="1"/>
  <c r="H22" i="64"/>
  <c r="H9" i="64" s="1"/>
  <c r="S22" i="63"/>
  <c r="U9" i="65"/>
  <c r="M15" i="63"/>
  <c r="M12" i="63" s="1"/>
  <c r="S22" i="64"/>
  <c r="S9" i="64" s="1"/>
  <c r="L13" i="68" l="1"/>
  <c r="L37" i="68" s="1"/>
  <c r="M4" i="68"/>
  <c r="L6" i="68"/>
  <c r="L5" i="68"/>
  <c r="P6" i="67"/>
  <c r="P5" i="67"/>
  <c r="P18" i="63"/>
  <c r="S18" i="63"/>
  <c r="O18" i="63"/>
  <c r="X18" i="63"/>
  <c r="K18" i="63"/>
  <c r="H18" i="63"/>
  <c r="R18" i="63"/>
  <c r="M18" i="63"/>
  <c r="G18" i="63"/>
  <c r="I18" i="63"/>
  <c r="U18" i="63"/>
  <c r="W18" i="63"/>
  <c r="J18" i="63"/>
  <c r="E18" i="63"/>
  <c r="T3" i="65"/>
  <c r="T3" i="64"/>
  <c r="Q3" i="65"/>
  <c r="Q3" i="64"/>
  <c r="W3" i="65"/>
  <c r="W3" i="64"/>
  <c r="V3" i="65"/>
  <c r="V3" i="64"/>
  <c r="O3" i="65"/>
  <c r="O3" i="64"/>
  <c r="H3" i="65"/>
  <c r="H3" i="64"/>
  <c r="Y3" i="65"/>
  <c r="Y3" i="64"/>
  <c r="K3" i="65"/>
  <c r="K3" i="64"/>
  <c r="P3" i="65"/>
  <c r="P3" i="64"/>
  <c r="H8" i="64"/>
  <c r="F19" i="63"/>
  <c r="V18" i="63"/>
  <c r="P8" i="64"/>
  <c r="N19" i="63"/>
  <c r="N3" i="65"/>
  <c r="N3" i="64"/>
  <c r="S3" i="65"/>
  <c r="S3" i="64"/>
  <c r="J3" i="65"/>
  <c r="J3" i="64"/>
  <c r="L4" i="65"/>
  <c r="K13" i="65"/>
  <c r="K37" i="65" s="1"/>
  <c r="L3" i="65"/>
  <c r="L3" i="64"/>
  <c r="S8" i="64"/>
  <c r="Q19" i="63"/>
  <c r="K5" i="65"/>
  <c r="K6" i="65"/>
  <c r="N6" i="64"/>
  <c r="N5" i="64"/>
  <c r="N8" i="64"/>
  <c r="L19" i="63"/>
  <c r="V8" i="64"/>
  <c r="T19" i="63"/>
  <c r="M13" i="68" l="1"/>
  <c r="M37" i="68" s="1"/>
  <c r="N4" i="68"/>
  <c r="M5" i="68"/>
  <c r="M6" i="68"/>
  <c r="Q6" i="67"/>
  <c r="Q5" i="67"/>
  <c r="T18" i="63"/>
  <c r="N18" i="63"/>
  <c r="F18" i="63"/>
  <c r="Q18" i="63"/>
  <c r="L18" i="63"/>
  <c r="O6" i="64"/>
  <c r="O5" i="64"/>
  <c r="M4" i="65"/>
  <c r="L13" i="65"/>
  <c r="L37" i="65" s="1"/>
  <c r="L6" i="65"/>
  <c r="L5" i="65"/>
  <c r="N13" i="68" l="1"/>
  <c r="N37" i="68" s="1"/>
  <c r="O4" i="68"/>
  <c r="N5" i="68"/>
  <c r="N6" i="68"/>
  <c r="R5" i="67"/>
  <c r="R6" i="67"/>
  <c r="S5" i="67" s="1"/>
  <c r="M6" i="65"/>
  <c r="M5" i="65"/>
  <c r="N4" i="65"/>
  <c r="M13" i="65"/>
  <c r="M37" i="65" s="1"/>
  <c r="P6" i="64"/>
  <c r="P5" i="64"/>
  <c r="O13" i="68" l="1"/>
  <c r="O37" i="68" s="1"/>
  <c r="P4" i="68"/>
  <c r="O5" i="68"/>
  <c r="O6" i="68"/>
  <c r="Q6" i="64"/>
  <c r="Q5" i="64"/>
  <c r="O4" i="65"/>
  <c r="N13" i="65"/>
  <c r="N37" i="65" s="1"/>
  <c r="N6" i="65"/>
  <c r="N5" i="65"/>
  <c r="P5" i="68" l="1"/>
  <c r="P6" i="68"/>
  <c r="P13" i="68"/>
  <c r="P37" i="68" s="1"/>
  <c r="Q4" i="68"/>
  <c r="O6" i="65"/>
  <c r="O5" i="65"/>
  <c r="O13" i="65"/>
  <c r="O37" i="65" s="1"/>
  <c r="P4" i="65"/>
  <c r="R5" i="64"/>
  <c r="R6" i="64"/>
  <c r="S5" i="64" s="1"/>
  <c r="Q5" i="68" l="1"/>
  <c r="Q6" i="68"/>
  <c r="R4" i="68"/>
  <c r="Q13" i="68"/>
  <c r="Q37" i="68" s="1"/>
  <c r="P13" i="65"/>
  <c r="P37" i="65" s="1"/>
  <c r="Q4" i="65"/>
  <c r="P5" i="65"/>
  <c r="P6" i="65"/>
  <c r="R5" i="68" l="1"/>
  <c r="R6" i="68"/>
  <c r="S4" i="68"/>
  <c r="T4" i="68" s="1"/>
  <c r="U4" i="68" s="1"/>
  <c r="V4" i="68" s="1"/>
  <c r="W4" i="68" s="1"/>
  <c r="X4" i="68" s="1"/>
  <c r="Y4" i="68" s="1"/>
  <c r="Z4" i="68" s="1"/>
  <c r="R13" i="68"/>
  <c r="R37" i="68" s="1"/>
  <c r="Q5" i="65"/>
  <c r="Q6" i="65"/>
  <c r="Q13" i="65"/>
  <c r="Q37" i="65" s="1"/>
  <c r="R4" i="65"/>
  <c r="R13" i="65" l="1"/>
  <c r="R37" i="65" s="1"/>
  <c r="S4" i="65"/>
  <c r="T4" i="65" s="1"/>
  <c r="U4" i="65" s="1"/>
  <c r="V4" i="65" s="1"/>
  <c r="W4" i="65" s="1"/>
  <c r="X4" i="65" s="1"/>
  <c r="Y4" i="65" s="1"/>
  <c r="Z4" i="65" s="1"/>
  <c r="R5" i="65"/>
  <c r="R6" i="65"/>
  <c r="Q23" i="57" l="1"/>
  <c r="R23" i="57" s="1"/>
  <c r="Q22" i="57"/>
  <c r="R22" i="57" s="1"/>
  <c r="R21" i="57"/>
  <c r="Q21" i="57"/>
  <c r="R20" i="57"/>
  <c r="Q20" i="57"/>
  <c r="Q19" i="57"/>
  <c r="R19" i="57" s="1"/>
  <c r="Q18" i="57"/>
  <c r="R18" i="57" s="1"/>
  <c r="N34" i="57"/>
  <c r="M34" i="57"/>
  <c r="L34" i="57"/>
  <c r="K34" i="57"/>
  <c r="J34" i="57"/>
  <c r="I34" i="57"/>
  <c r="H34" i="57"/>
  <c r="G34" i="57"/>
  <c r="F34" i="57"/>
  <c r="O34" i="57" s="1"/>
  <c r="E34" i="57"/>
  <c r="O34" i="60"/>
  <c r="F34" i="60"/>
  <c r="G34" i="60"/>
  <c r="H34" i="60"/>
  <c r="I34" i="60"/>
  <c r="J34" i="60"/>
  <c r="K34" i="60"/>
  <c r="L34" i="60"/>
  <c r="M34" i="60"/>
  <c r="N34" i="60"/>
  <c r="E34" i="60"/>
  <c r="Q23" i="60"/>
  <c r="R23" i="60" s="1"/>
  <c r="Q22" i="60"/>
  <c r="R22" i="60" s="1"/>
  <c r="R21" i="60"/>
  <c r="Q21" i="60"/>
  <c r="Q20" i="60"/>
  <c r="R20" i="60" s="1"/>
  <c r="Q19" i="60"/>
  <c r="R19" i="60" s="1"/>
  <c r="Q18" i="60"/>
  <c r="R18" i="60" s="1"/>
  <c r="F62" i="32"/>
  <c r="G62" i="32"/>
  <c r="H62" i="32"/>
  <c r="I62" i="32"/>
  <c r="J62" i="32"/>
  <c r="K62" i="32"/>
  <c r="L62" i="32"/>
  <c r="M62" i="32"/>
  <c r="N62" i="32"/>
  <c r="E62" i="32"/>
  <c r="F60" i="32"/>
  <c r="G60" i="32"/>
  <c r="H60" i="32"/>
  <c r="I60" i="32"/>
  <c r="J60" i="32"/>
  <c r="K60" i="32"/>
  <c r="L60" i="32"/>
  <c r="M60" i="32"/>
  <c r="N60" i="32"/>
  <c r="E60" i="32"/>
  <c r="F59" i="32"/>
  <c r="G59" i="32"/>
  <c r="H59" i="32"/>
  <c r="I59" i="32"/>
  <c r="J59" i="32"/>
  <c r="K59" i="32"/>
  <c r="L59" i="32"/>
  <c r="E59" i="32"/>
  <c r="F58" i="32"/>
  <c r="G58" i="32"/>
  <c r="H58" i="32"/>
  <c r="I58" i="32"/>
  <c r="J58" i="32"/>
  <c r="K58" i="32"/>
  <c r="L58" i="32"/>
  <c r="M58" i="32"/>
  <c r="N58" i="32"/>
  <c r="O58" i="32"/>
  <c r="P58" i="32"/>
  <c r="E58" i="32"/>
  <c r="F57" i="32"/>
  <c r="G57" i="32"/>
  <c r="H57" i="32"/>
  <c r="I57" i="32"/>
  <c r="J57" i="32"/>
  <c r="K57" i="32"/>
  <c r="L57" i="32"/>
  <c r="M57" i="32"/>
  <c r="N57" i="32"/>
  <c r="E57" i="32"/>
  <c r="G109" i="33"/>
  <c r="H109" i="33"/>
  <c r="P109" i="33"/>
  <c r="H110" i="33"/>
  <c r="I110" i="33"/>
  <c r="I109" i="33" s="1"/>
  <c r="J110" i="33"/>
  <c r="J109" i="33" s="1"/>
  <c r="K110" i="33"/>
  <c r="K109" i="33" s="1"/>
  <c r="L110" i="33"/>
  <c r="M110" i="33"/>
  <c r="M109" i="33" s="1"/>
  <c r="N110" i="33"/>
  <c r="O110" i="33"/>
  <c r="O109" i="33" s="1"/>
  <c r="P110" i="33"/>
  <c r="H111" i="33"/>
  <c r="I111" i="33"/>
  <c r="J111" i="33"/>
  <c r="K111" i="33"/>
  <c r="L111" i="33"/>
  <c r="L109" i="33" s="1"/>
  <c r="M111" i="33"/>
  <c r="N111" i="33"/>
  <c r="N109" i="33" s="1"/>
  <c r="O111" i="33"/>
  <c r="P111" i="33"/>
  <c r="H112" i="33"/>
  <c r="I112" i="33"/>
  <c r="J112" i="33"/>
  <c r="K112" i="33"/>
  <c r="L112" i="33"/>
  <c r="M112" i="33"/>
  <c r="N112" i="33"/>
  <c r="O112" i="33"/>
  <c r="P112" i="33"/>
  <c r="G112" i="33"/>
  <c r="G111" i="33"/>
  <c r="G110" i="33"/>
  <c r="J220" i="62"/>
  <c r="M219" i="62"/>
  <c r="I219" i="62"/>
  <c r="M218" i="62"/>
  <c r="I218" i="62"/>
  <c r="M217" i="62"/>
  <c r="I217" i="62"/>
  <c r="M216" i="62"/>
  <c r="I216" i="62"/>
  <c r="M215" i="62"/>
  <c r="I215" i="62"/>
  <c r="M214" i="62"/>
  <c r="I214" i="62"/>
  <c r="M213" i="62"/>
  <c r="I213" i="62"/>
  <c r="M212" i="62"/>
  <c r="I212" i="62"/>
  <c r="M211" i="62"/>
  <c r="I211" i="62"/>
  <c r="M210" i="62"/>
  <c r="I210" i="62"/>
  <c r="M209" i="62"/>
  <c r="I209" i="62"/>
  <c r="M207" i="62"/>
  <c r="I207" i="62"/>
  <c r="M206" i="62"/>
  <c r="I206" i="62"/>
  <c r="M205" i="62"/>
  <c r="I205" i="62"/>
  <c r="M204" i="62"/>
  <c r="I204" i="62"/>
  <c r="M203" i="62"/>
  <c r="I203" i="62"/>
  <c r="M202" i="62"/>
  <c r="K202" i="62"/>
  <c r="I202" i="62"/>
  <c r="G202" i="62"/>
  <c r="M201" i="62"/>
  <c r="K201" i="62"/>
  <c r="I201" i="62"/>
  <c r="G201" i="62"/>
  <c r="M200" i="62"/>
  <c r="K200" i="62"/>
  <c r="I200" i="62"/>
  <c r="G200" i="62"/>
  <c r="M199" i="62"/>
  <c r="K199" i="62"/>
  <c r="I199" i="62"/>
  <c r="G199" i="62"/>
  <c r="O198" i="62"/>
  <c r="N198" i="62"/>
  <c r="M198" i="62"/>
  <c r="L198" i="62"/>
  <c r="K198" i="62"/>
  <c r="J198" i="62"/>
  <c r="J158" i="62" s="1"/>
  <c r="J11" i="62" s="1"/>
  <c r="I198" i="62"/>
  <c r="H198" i="62"/>
  <c r="G198" i="62"/>
  <c r="F198" i="62"/>
  <c r="O197" i="62"/>
  <c r="N197" i="62"/>
  <c r="M197" i="62"/>
  <c r="L197" i="62"/>
  <c r="L158" i="62" s="1"/>
  <c r="L11" i="62" s="1"/>
  <c r="K197" i="62"/>
  <c r="J197" i="62"/>
  <c r="I197" i="62"/>
  <c r="H197" i="62"/>
  <c r="G197" i="62"/>
  <c r="F197" i="62"/>
  <c r="O196" i="62"/>
  <c r="N196" i="62"/>
  <c r="N158" i="62" s="1"/>
  <c r="N11" i="62" s="1"/>
  <c r="M196" i="62"/>
  <c r="L196" i="62"/>
  <c r="K196" i="62"/>
  <c r="J196" i="62"/>
  <c r="I196" i="62"/>
  <c r="H196" i="62"/>
  <c r="G196" i="62"/>
  <c r="F196" i="62"/>
  <c r="F158" i="62" s="1"/>
  <c r="F11" i="62" s="1"/>
  <c r="M194" i="62"/>
  <c r="I194" i="62"/>
  <c r="M193" i="62"/>
  <c r="I193" i="62"/>
  <c r="M192" i="62"/>
  <c r="I192" i="62"/>
  <c r="M191" i="62"/>
  <c r="I191" i="62"/>
  <c r="M190" i="62"/>
  <c r="I190" i="62"/>
  <c r="M189" i="62"/>
  <c r="I189" i="62"/>
  <c r="M188" i="62"/>
  <c r="I188" i="62"/>
  <c r="M187" i="62"/>
  <c r="I187" i="62"/>
  <c r="M186" i="62"/>
  <c r="I186" i="62"/>
  <c r="M185" i="62"/>
  <c r="I185" i="62"/>
  <c r="M184" i="62"/>
  <c r="I184" i="62"/>
  <c r="M183" i="62"/>
  <c r="I183" i="62"/>
  <c r="M182" i="62"/>
  <c r="I182" i="62"/>
  <c r="M181" i="62"/>
  <c r="I181" i="62"/>
  <c r="M180" i="62"/>
  <c r="I180" i="62"/>
  <c r="M179" i="62"/>
  <c r="K179" i="62"/>
  <c r="I179" i="62"/>
  <c r="G179" i="62"/>
  <c r="M178" i="62"/>
  <c r="I178" i="62"/>
  <c r="M177" i="62"/>
  <c r="I177" i="62"/>
  <c r="M176" i="62"/>
  <c r="I176" i="62"/>
  <c r="M175" i="62"/>
  <c r="I175" i="62"/>
  <c r="M174" i="62"/>
  <c r="I174" i="62"/>
  <c r="M173" i="62"/>
  <c r="I173" i="62"/>
  <c r="M172" i="62"/>
  <c r="I172" i="62"/>
  <c r="M171" i="62"/>
  <c r="I171" i="62"/>
  <c r="M170" i="62"/>
  <c r="K170" i="62"/>
  <c r="I170" i="62"/>
  <c r="G170" i="62"/>
  <c r="M169" i="62"/>
  <c r="K169" i="62"/>
  <c r="I169" i="62"/>
  <c r="G169" i="62"/>
  <c r="M167" i="62"/>
  <c r="I167" i="62"/>
  <c r="M166" i="62"/>
  <c r="I166" i="62"/>
  <c r="M165" i="62"/>
  <c r="I165" i="62"/>
  <c r="I158" i="62" s="1"/>
  <c r="I11" i="62" s="1"/>
  <c r="M163" i="62"/>
  <c r="K163" i="62"/>
  <c r="I163" i="62"/>
  <c r="G163" i="62"/>
  <c r="M162" i="62"/>
  <c r="M158" i="62" s="1"/>
  <c r="M11" i="62" s="1"/>
  <c r="K162" i="62"/>
  <c r="I162" i="62"/>
  <c r="G162" i="62"/>
  <c r="G158" i="62" s="1"/>
  <c r="G11" i="62" s="1"/>
  <c r="K161" i="62"/>
  <c r="H161" i="62"/>
  <c r="H158" i="62" s="1"/>
  <c r="H11" i="62" s="1"/>
  <c r="K160" i="62"/>
  <c r="K158" i="62" s="1"/>
  <c r="K11" i="62" s="1"/>
  <c r="H160" i="62"/>
  <c r="O158" i="62"/>
  <c r="O157" i="62"/>
  <c r="N157" i="62"/>
  <c r="M157" i="62"/>
  <c r="L157" i="62"/>
  <c r="K157" i="62"/>
  <c r="J157" i="62"/>
  <c r="I157" i="62"/>
  <c r="H157" i="62"/>
  <c r="G157" i="62"/>
  <c r="F157" i="62"/>
  <c r="O156" i="62"/>
  <c r="N156" i="62"/>
  <c r="M156" i="62"/>
  <c r="L156" i="62"/>
  <c r="K156" i="62"/>
  <c r="J156" i="62"/>
  <c r="I156" i="62"/>
  <c r="H156" i="62"/>
  <c r="H152" i="62" s="1"/>
  <c r="H10" i="62" s="1"/>
  <c r="G156" i="62"/>
  <c r="F156" i="62"/>
  <c r="O155" i="62"/>
  <c r="N155" i="62"/>
  <c r="M155" i="62"/>
  <c r="L155" i="62"/>
  <c r="K155" i="62"/>
  <c r="J155" i="62"/>
  <c r="J152" i="62" s="1"/>
  <c r="J10" i="62" s="1"/>
  <c r="I155" i="62"/>
  <c r="H155" i="62"/>
  <c r="G155" i="62"/>
  <c r="F155" i="62"/>
  <c r="O154" i="62"/>
  <c r="N154" i="62"/>
  <c r="M154" i="62"/>
  <c r="L154" i="62"/>
  <c r="K154" i="62"/>
  <c r="J154" i="62"/>
  <c r="I154" i="62"/>
  <c r="H154" i="62"/>
  <c r="G154" i="62"/>
  <c r="G152" i="62" s="1"/>
  <c r="G10" i="62" s="1"/>
  <c r="F154" i="62"/>
  <c r="O153" i="62"/>
  <c r="O152" i="62" s="1"/>
  <c r="O10" i="62" s="1"/>
  <c r="N153" i="62"/>
  <c r="N152" i="62" s="1"/>
  <c r="N10" i="62" s="1"/>
  <c r="M153" i="62"/>
  <c r="L153" i="62"/>
  <c r="L152" i="62" s="1"/>
  <c r="L10" i="62" s="1"/>
  <c r="K153" i="62"/>
  <c r="J153" i="62"/>
  <c r="I153" i="62"/>
  <c r="I152" i="62" s="1"/>
  <c r="I10" i="62" s="1"/>
  <c r="H153" i="62"/>
  <c r="G153" i="62"/>
  <c r="F153" i="62"/>
  <c r="F152" i="62" s="1"/>
  <c r="F10" i="62" s="1"/>
  <c r="M152" i="62"/>
  <c r="K152" i="62"/>
  <c r="M141" i="62"/>
  <c r="D141" i="62"/>
  <c r="I141" i="62" s="1"/>
  <c r="D140" i="62"/>
  <c r="M140" i="62" s="1"/>
  <c r="D139" i="62"/>
  <c r="M139" i="62" s="1"/>
  <c r="D138" i="62"/>
  <c r="I138" i="62" s="1"/>
  <c r="I137" i="62"/>
  <c r="D137" i="62"/>
  <c r="M137" i="62" s="1"/>
  <c r="M133" i="62"/>
  <c r="D133" i="62"/>
  <c r="I133" i="62" s="1"/>
  <c r="M132" i="62"/>
  <c r="D132" i="62"/>
  <c r="I132" i="62" s="1"/>
  <c r="D131" i="62"/>
  <c r="M127" i="62"/>
  <c r="D127" i="62"/>
  <c r="I127" i="62" s="1"/>
  <c r="M126" i="62"/>
  <c r="D126" i="62"/>
  <c r="I126" i="62" s="1"/>
  <c r="M125" i="62"/>
  <c r="I125" i="62"/>
  <c r="D125" i="62"/>
  <c r="K125" i="62" s="1"/>
  <c r="O119" i="62"/>
  <c r="L119" i="62"/>
  <c r="J119" i="62"/>
  <c r="I119" i="62"/>
  <c r="G119" i="62"/>
  <c r="D119" i="62"/>
  <c r="M119" i="62" s="1"/>
  <c r="D118" i="62"/>
  <c r="I117" i="62"/>
  <c r="D117" i="62"/>
  <c r="M117" i="62" s="1"/>
  <c r="M113" i="62"/>
  <c r="D113" i="62"/>
  <c r="I113" i="62" s="1"/>
  <c r="D112" i="62"/>
  <c r="M112" i="62" s="1"/>
  <c r="D111" i="62"/>
  <c r="M111" i="62" s="1"/>
  <c r="D110" i="62"/>
  <c r="I110" i="62" s="1"/>
  <c r="I109" i="62"/>
  <c r="D109" i="62"/>
  <c r="M109" i="62" s="1"/>
  <c r="M105" i="62"/>
  <c r="D105" i="62"/>
  <c r="I105" i="62" s="1"/>
  <c r="D104" i="62"/>
  <c r="M104" i="62" s="1"/>
  <c r="D103" i="62"/>
  <c r="M103" i="62" s="1"/>
  <c r="D102" i="62"/>
  <c r="K102" i="62" s="1"/>
  <c r="D101" i="62"/>
  <c r="M101" i="62" s="1"/>
  <c r="D100" i="62"/>
  <c r="I100" i="62" s="1"/>
  <c r="I99" i="62"/>
  <c r="D99" i="62"/>
  <c r="M99" i="62" s="1"/>
  <c r="M95" i="62"/>
  <c r="D95" i="62"/>
  <c r="I95" i="62" s="1"/>
  <c r="D94" i="62"/>
  <c r="M94" i="62" s="1"/>
  <c r="M93" i="62"/>
  <c r="I93" i="62"/>
  <c r="D93" i="62"/>
  <c r="K93" i="62" s="1"/>
  <c r="D91" i="62"/>
  <c r="D90" i="62"/>
  <c r="I90" i="62" s="1"/>
  <c r="I89" i="62"/>
  <c r="D89" i="62"/>
  <c r="M89" i="62" s="1"/>
  <c r="D87" i="62"/>
  <c r="K83" i="62"/>
  <c r="D83" i="62"/>
  <c r="H83" i="62" s="1"/>
  <c r="F81" i="62"/>
  <c r="D80" i="62"/>
  <c r="D143" i="62" s="1"/>
  <c r="J143" i="62" s="1"/>
  <c r="J77" i="62"/>
  <c r="D77" i="62"/>
  <c r="M76" i="62"/>
  <c r="I76" i="62"/>
  <c r="D76" i="62"/>
  <c r="M75" i="62"/>
  <c r="I75" i="62"/>
  <c r="D75" i="62"/>
  <c r="M74" i="62"/>
  <c r="D74" i="62"/>
  <c r="I74" i="62" s="1"/>
  <c r="D73" i="62"/>
  <c r="M73" i="62" s="1"/>
  <c r="D72" i="62"/>
  <c r="M72" i="62" s="1"/>
  <c r="D71" i="62"/>
  <c r="I71" i="62" s="1"/>
  <c r="I70" i="62"/>
  <c r="D70" i="62"/>
  <c r="M70" i="62" s="1"/>
  <c r="M69" i="62"/>
  <c r="I69" i="62"/>
  <c r="D69" i="62"/>
  <c r="M68" i="62"/>
  <c r="I68" i="62"/>
  <c r="D68" i="62"/>
  <c r="M67" i="62"/>
  <c r="I67" i="62"/>
  <c r="D67" i="62"/>
  <c r="M66" i="62"/>
  <c r="D66" i="62"/>
  <c r="I66" i="62" s="1"/>
  <c r="D64" i="62"/>
  <c r="M64" i="62" s="1"/>
  <c r="D63" i="62"/>
  <c r="M63" i="62" s="1"/>
  <c r="D62" i="62"/>
  <c r="I62" i="62" s="1"/>
  <c r="I61" i="62"/>
  <c r="D61" i="62"/>
  <c r="M61" i="62" s="1"/>
  <c r="M60" i="62"/>
  <c r="I60" i="62"/>
  <c r="D60" i="62"/>
  <c r="K59" i="62"/>
  <c r="G59" i="62"/>
  <c r="D59" i="62"/>
  <c r="M59" i="62" s="1"/>
  <c r="K58" i="62"/>
  <c r="D58" i="62"/>
  <c r="G58" i="62" s="1"/>
  <c r="D57" i="62"/>
  <c r="M57" i="62" s="1"/>
  <c r="D56" i="62"/>
  <c r="K56" i="62" s="1"/>
  <c r="D55" i="62"/>
  <c r="K55" i="62" s="1"/>
  <c r="H54" i="62"/>
  <c r="D54" i="62"/>
  <c r="N54" i="62" s="1"/>
  <c r="N53" i="62"/>
  <c r="K53" i="62"/>
  <c r="H53" i="62"/>
  <c r="F53" i="62"/>
  <c r="D53" i="62"/>
  <c r="I53" i="62" s="1"/>
  <c r="M51" i="62"/>
  <c r="I51" i="62"/>
  <c r="D51" i="62"/>
  <c r="M50" i="62"/>
  <c r="I50" i="62"/>
  <c r="D50" i="62"/>
  <c r="M49" i="62"/>
  <c r="I49" i="62"/>
  <c r="D49" i="62"/>
  <c r="M48" i="62"/>
  <c r="D48" i="62"/>
  <c r="I48" i="62" s="1"/>
  <c r="D47" i="62"/>
  <c r="M47" i="62" s="1"/>
  <c r="D46" i="62"/>
  <c r="M46" i="62" s="1"/>
  <c r="D45" i="62"/>
  <c r="I45" i="62" s="1"/>
  <c r="I44" i="62"/>
  <c r="D44" i="62"/>
  <c r="M44" i="62" s="1"/>
  <c r="M43" i="62"/>
  <c r="I43" i="62"/>
  <c r="D43" i="62"/>
  <c r="M42" i="62"/>
  <c r="I42" i="62"/>
  <c r="D42" i="62"/>
  <c r="M41" i="62"/>
  <c r="I41" i="62"/>
  <c r="D41" i="62"/>
  <c r="M40" i="62"/>
  <c r="D40" i="62"/>
  <c r="I40" i="62" s="1"/>
  <c r="D39" i="62"/>
  <c r="M39" i="62" s="1"/>
  <c r="D38" i="62"/>
  <c r="M38" i="62" s="1"/>
  <c r="D37" i="62"/>
  <c r="I37" i="62" s="1"/>
  <c r="D36" i="62"/>
  <c r="M36" i="62" s="1"/>
  <c r="D35" i="62"/>
  <c r="I35" i="62" s="1"/>
  <c r="I34" i="62"/>
  <c r="D34" i="62"/>
  <c r="M34" i="62" s="1"/>
  <c r="M33" i="62"/>
  <c r="I33" i="62"/>
  <c r="D33" i="62"/>
  <c r="M32" i="62"/>
  <c r="I32" i="62"/>
  <c r="D32" i="62"/>
  <c r="M31" i="62"/>
  <c r="I31" i="62"/>
  <c r="D31" i="62"/>
  <c r="M30" i="62"/>
  <c r="D30" i="62"/>
  <c r="I30" i="62" s="1"/>
  <c r="D29" i="62"/>
  <c r="M29" i="62" s="1"/>
  <c r="D28" i="62"/>
  <c r="M28" i="62" s="1"/>
  <c r="D27" i="62"/>
  <c r="K27" i="62" s="1"/>
  <c r="I26" i="62"/>
  <c r="D26" i="62"/>
  <c r="M26" i="62" s="1"/>
  <c r="D24" i="62"/>
  <c r="M24" i="62" s="1"/>
  <c r="D23" i="62"/>
  <c r="M23" i="62" s="1"/>
  <c r="D22" i="62"/>
  <c r="I22" i="62" s="1"/>
  <c r="D20" i="62"/>
  <c r="M20" i="62" s="1"/>
  <c r="D19" i="62"/>
  <c r="K19" i="62" s="1"/>
  <c r="D18" i="62"/>
  <c r="K18" i="62" s="1"/>
  <c r="D17" i="62"/>
  <c r="H17" i="62" s="1"/>
  <c r="F15" i="62"/>
  <c r="O11" i="62"/>
  <c r="M10" i="62"/>
  <c r="K10" i="62"/>
  <c r="F6" i="62"/>
  <c r="G6" i="62" s="1"/>
  <c r="E6" i="62"/>
  <c r="G5" i="62"/>
  <c r="H4" i="62"/>
  <c r="I4" i="62" s="1"/>
  <c r="G4" i="62"/>
  <c r="G15" i="62" s="1"/>
  <c r="G81" i="62" s="1"/>
  <c r="O3" i="62"/>
  <c r="N3" i="62"/>
  <c r="M3" i="62"/>
  <c r="L3" i="62"/>
  <c r="K3" i="62"/>
  <c r="J3" i="62"/>
  <c r="I3" i="62"/>
  <c r="H3" i="62"/>
  <c r="G3" i="62"/>
  <c r="F3" i="62"/>
  <c r="R163" i="61"/>
  <c r="R162" i="61"/>
  <c r="E146" i="61"/>
  <c r="R145" i="61"/>
  <c r="R144" i="61"/>
  <c r="R143" i="61"/>
  <c r="R142" i="61"/>
  <c r="E126" i="61"/>
  <c r="R125" i="61"/>
  <c r="R124" i="61"/>
  <c r="R123" i="61"/>
  <c r="E106" i="61"/>
  <c r="R105" i="61"/>
  <c r="R104" i="61"/>
  <c r="R103" i="61"/>
  <c r="F87" i="61"/>
  <c r="E87" i="61"/>
  <c r="R85" i="61"/>
  <c r="R84" i="61"/>
  <c r="R83" i="61"/>
  <c r="F64" i="61"/>
  <c r="E64" i="61"/>
  <c r="R63" i="61"/>
  <c r="R62" i="61"/>
  <c r="O61" i="61"/>
  <c r="J56" i="61"/>
  <c r="N54" i="61"/>
  <c r="H53" i="61"/>
  <c r="L51" i="61"/>
  <c r="J50" i="61"/>
  <c r="O49" i="61"/>
  <c r="K49" i="61"/>
  <c r="G49" i="61"/>
  <c r="O47" i="61"/>
  <c r="K47" i="61"/>
  <c r="G47" i="61"/>
  <c r="F46" i="61"/>
  <c r="E46" i="61"/>
  <c r="R45" i="61"/>
  <c r="P45" i="61"/>
  <c r="L45" i="61"/>
  <c r="H45" i="61"/>
  <c r="R44" i="61"/>
  <c r="M43" i="61"/>
  <c r="I43" i="61"/>
  <c r="M41" i="61"/>
  <c r="I41" i="61"/>
  <c r="M39" i="61"/>
  <c r="I39" i="61"/>
  <c r="M37" i="61"/>
  <c r="I37" i="61"/>
  <c r="M35" i="61"/>
  <c r="I35" i="61"/>
  <c r="F33" i="61"/>
  <c r="E33" i="61"/>
  <c r="R32" i="61"/>
  <c r="P32" i="61"/>
  <c r="L32" i="61"/>
  <c r="H32" i="61"/>
  <c r="R31" i="61"/>
  <c r="O31" i="61"/>
  <c r="K31" i="61"/>
  <c r="G31" i="61"/>
  <c r="O29" i="61"/>
  <c r="K29" i="61"/>
  <c r="G29" i="61"/>
  <c r="O27" i="61"/>
  <c r="K27" i="61"/>
  <c r="G27" i="61"/>
  <c r="F25" i="61"/>
  <c r="E25" i="61"/>
  <c r="P21" i="61"/>
  <c r="O21" i="61"/>
  <c r="N21" i="61"/>
  <c r="M21" i="61"/>
  <c r="L21" i="61"/>
  <c r="K21" i="61"/>
  <c r="J21" i="61"/>
  <c r="I21" i="61"/>
  <c r="H21" i="61"/>
  <c r="G21" i="61"/>
  <c r="P20" i="61"/>
  <c r="O20" i="61"/>
  <c r="N20" i="61"/>
  <c r="M20" i="61"/>
  <c r="L20" i="61"/>
  <c r="K20" i="61"/>
  <c r="J20" i="61"/>
  <c r="I20" i="61"/>
  <c r="H20" i="61"/>
  <c r="G20" i="61"/>
  <c r="P19" i="61"/>
  <c r="O19" i="61"/>
  <c r="N19" i="61"/>
  <c r="M19" i="61"/>
  <c r="L19" i="61"/>
  <c r="K19" i="61"/>
  <c r="J19" i="61"/>
  <c r="I19" i="61"/>
  <c r="H19" i="61"/>
  <c r="G19" i="61"/>
  <c r="P18" i="61"/>
  <c r="O18" i="61"/>
  <c r="N18" i="61"/>
  <c r="M18" i="61"/>
  <c r="L18" i="61"/>
  <c r="K18" i="61"/>
  <c r="J18" i="61"/>
  <c r="I18" i="61"/>
  <c r="H18" i="61"/>
  <c r="G18" i="61"/>
  <c r="P17" i="61"/>
  <c r="O17" i="61"/>
  <c r="N17" i="61"/>
  <c r="M17" i="61"/>
  <c r="L17" i="61"/>
  <c r="K17" i="61"/>
  <c r="J17" i="61"/>
  <c r="I17" i="61"/>
  <c r="H17" i="61"/>
  <c r="G17" i="61"/>
  <c r="P16" i="61"/>
  <c r="O16" i="61"/>
  <c r="O53" i="61" s="1"/>
  <c r="N16" i="61"/>
  <c r="N47" i="61" s="1"/>
  <c r="M16" i="61"/>
  <c r="M47" i="61" s="1"/>
  <c r="L16" i="61"/>
  <c r="L55" i="61" s="1"/>
  <c r="K16" i="61"/>
  <c r="K59" i="61" s="1"/>
  <c r="J16" i="61"/>
  <c r="J63" i="61" s="1"/>
  <c r="I16" i="61"/>
  <c r="I60" i="61" s="1"/>
  <c r="H16" i="61"/>
  <c r="G16" i="61"/>
  <c r="G57" i="61" s="1"/>
  <c r="P15" i="61"/>
  <c r="P44" i="61" s="1"/>
  <c r="O15" i="61"/>
  <c r="O41" i="61" s="1"/>
  <c r="N15" i="61"/>
  <c r="N45" i="61" s="1"/>
  <c r="M15" i="61"/>
  <c r="M42" i="61" s="1"/>
  <c r="L15" i="61"/>
  <c r="L42" i="61" s="1"/>
  <c r="K15" i="61"/>
  <c r="K43" i="61" s="1"/>
  <c r="J15" i="61"/>
  <c r="J43" i="61" s="1"/>
  <c r="I15" i="61"/>
  <c r="I44" i="61" s="1"/>
  <c r="H15" i="61"/>
  <c r="H44" i="61" s="1"/>
  <c r="G15" i="61"/>
  <c r="G41" i="61" s="1"/>
  <c r="P14" i="61"/>
  <c r="P29" i="61" s="1"/>
  <c r="O14" i="61"/>
  <c r="O30" i="61" s="1"/>
  <c r="N14" i="61"/>
  <c r="N30" i="61" s="1"/>
  <c r="M14" i="61"/>
  <c r="M31" i="61" s="1"/>
  <c r="L14" i="61"/>
  <c r="L31" i="61" s="1"/>
  <c r="K14" i="61"/>
  <c r="K28" i="61" s="1"/>
  <c r="J14" i="61"/>
  <c r="J32" i="61" s="1"/>
  <c r="I14" i="61"/>
  <c r="I29" i="61" s="1"/>
  <c r="H14" i="61"/>
  <c r="H29" i="61" s="1"/>
  <c r="G14" i="61"/>
  <c r="G30" i="61" s="1"/>
  <c r="P13" i="61"/>
  <c r="O13" i="61"/>
  <c r="L13" i="61"/>
  <c r="K13" i="61"/>
  <c r="J13" i="61"/>
  <c r="H13" i="61"/>
  <c r="G13" i="61"/>
  <c r="P10" i="61"/>
  <c r="N10" i="61"/>
  <c r="M10" i="61"/>
  <c r="L10" i="61"/>
  <c r="J10" i="61"/>
  <c r="I10" i="61"/>
  <c r="H10" i="61"/>
  <c r="P7" i="61"/>
  <c r="O7" i="61"/>
  <c r="L7" i="61"/>
  <c r="K7" i="61"/>
  <c r="J7" i="61"/>
  <c r="H7" i="61"/>
  <c r="G7" i="61"/>
  <c r="G6" i="61"/>
  <c r="H5" i="61" s="1"/>
  <c r="H4" i="61"/>
  <c r="I4" i="61" s="1"/>
  <c r="J4" i="61" s="1"/>
  <c r="K4" i="61" s="1"/>
  <c r="L4" i="61" s="1"/>
  <c r="M4" i="61" s="1"/>
  <c r="N4" i="61" s="1"/>
  <c r="O4" i="61" s="1"/>
  <c r="P4" i="61" s="1"/>
  <c r="G4" i="61"/>
  <c r="P3" i="61"/>
  <c r="O3" i="61"/>
  <c r="N3" i="61"/>
  <c r="M3" i="61"/>
  <c r="L3" i="61"/>
  <c r="K3" i="61"/>
  <c r="J3" i="61"/>
  <c r="I3" i="61"/>
  <c r="H3" i="61"/>
  <c r="G3" i="61"/>
  <c r="N23" i="60"/>
  <c r="M23" i="60"/>
  <c r="L23" i="60"/>
  <c r="K23" i="60"/>
  <c r="J23" i="60"/>
  <c r="I23" i="60"/>
  <c r="H23" i="60"/>
  <c r="H18" i="60" s="1"/>
  <c r="G23" i="60"/>
  <c r="F23" i="60"/>
  <c r="E23" i="60"/>
  <c r="N22" i="60"/>
  <c r="M22" i="60"/>
  <c r="L22" i="60"/>
  <c r="K22" i="60"/>
  <c r="J22" i="60"/>
  <c r="I22" i="60"/>
  <c r="H22" i="60"/>
  <c r="G22" i="60"/>
  <c r="F22" i="60"/>
  <c r="E22" i="60"/>
  <c r="N21" i="60"/>
  <c r="M21" i="60"/>
  <c r="L21" i="60"/>
  <c r="K21" i="60"/>
  <c r="K18" i="60" s="1"/>
  <c r="J21" i="60"/>
  <c r="I21" i="60"/>
  <c r="H21" i="60"/>
  <c r="G21" i="60"/>
  <c r="F21" i="60"/>
  <c r="E21" i="60"/>
  <c r="N20" i="60"/>
  <c r="N18" i="60" s="1"/>
  <c r="M20" i="60"/>
  <c r="L20" i="60"/>
  <c r="K20" i="60"/>
  <c r="J20" i="60"/>
  <c r="J18" i="60" s="1"/>
  <c r="I20" i="60"/>
  <c r="H20" i="60"/>
  <c r="G20" i="60"/>
  <c r="F20" i="60"/>
  <c r="F18" i="60" s="1"/>
  <c r="E20" i="60"/>
  <c r="N19" i="60"/>
  <c r="M19" i="60"/>
  <c r="M18" i="60" s="1"/>
  <c r="L19" i="60"/>
  <c r="L18" i="60" s="1"/>
  <c r="K19" i="60"/>
  <c r="J19" i="60"/>
  <c r="I19" i="60"/>
  <c r="I18" i="60" s="1"/>
  <c r="H19" i="60"/>
  <c r="G19" i="60"/>
  <c r="F19" i="60"/>
  <c r="E19" i="60"/>
  <c r="E18" i="60" s="1"/>
  <c r="G18" i="60"/>
  <c r="M15" i="60"/>
  <c r="L15" i="60"/>
  <c r="I15" i="60"/>
  <c r="I12" i="60" s="1"/>
  <c r="E15" i="60"/>
  <c r="N14" i="60"/>
  <c r="M14" i="60"/>
  <c r="L14" i="60"/>
  <c r="L12" i="60" s="1"/>
  <c r="K14" i="60"/>
  <c r="J14" i="60"/>
  <c r="I14" i="60"/>
  <c r="H14" i="60"/>
  <c r="G14" i="60"/>
  <c r="F14" i="60"/>
  <c r="E14" i="60"/>
  <c r="N13" i="60"/>
  <c r="N15" i="60" s="1"/>
  <c r="N12" i="60" s="1"/>
  <c r="M13" i="60"/>
  <c r="L13" i="60"/>
  <c r="K13" i="60"/>
  <c r="J13" i="60"/>
  <c r="J15" i="60" s="1"/>
  <c r="I13" i="60"/>
  <c r="H13" i="60"/>
  <c r="H15" i="60" s="1"/>
  <c r="G13" i="60"/>
  <c r="G15" i="60" s="1"/>
  <c r="F13" i="60"/>
  <c r="F15" i="60" s="1"/>
  <c r="F12" i="60" s="1"/>
  <c r="E13" i="60"/>
  <c r="M12" i="60"/>
  <c r="E12" i="60"/>
  <c r="A5" i="60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E4" i="60"/>
  <c r="F4" i="60" s="1"/>
  <c r="G4" i="60" s="1"/>
  <c r="H4" i="60" s="1"/>
  <c r="I4" i="60" s="1"/>
  <c r="J4" i="60" s="1"/>
  <c r="K4" i="60" s="1"/>
  <c r="L4" i="60" s="1"/>
  <c r="M4" i="60" s="1"/>
  <c r="N4" i="60" s="1"/>
  <c r="AC6" i="5"/>
  <c r="AN10" i="4"/>
  <c r="AM10" i="4"/>
  <c r="H109" i="2"/>
  <c r="P109" i="2"/>
  <c r="H110" i="2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N109" i="2" s="1"/>
  <c r="O110" i="2"/>
  <c r="O109" i="2" s="1"/>
  <c r="P110" i="2"/>
  <c r="H111" i="2"/>
  <c r="I111" i="2"/>
  <c r="J111" i="2"/>
  <c r="K111" i="2"/>
  <c r="L111" i="2"/>
  <c r="M111" i="2"/>
  <c r="N111" i="2"/>
  <c r="O111" i="2"/>
  <c r="P111" i="2"/>
  <c r="H112" i="2"/>
  <c r="I112" i="2"/>
  <c r="J112" i="2"/>
  <c r="K112" i="2"/>
  <c r="L112" i="2"/>
  <c r="M112" i="2"/>
  <c r="N112" i="2"/>
  <c r="O112" i="2"/>
  <c r="P112" i="2"/>
  <c r="G109" i="2"/>
  <c r="G112" i="2"/>
  <c r="G111" i="2"/>
  <c r="G110" i="2"/>
  <c r="J4" i="62" l="1"/>
  <c r="I15" i="62"/>
  <c r="I81" i="62" s="1"/>
  <c r="H5" i="62"/>
  <c r="H6" i="62"/>
  <c r="K17" i="62"/>
  <c r="M19" i="62"/>
  <c r="M22" i="62"/>
  <c r="G26" i="62"/>
  <c r="M27" i="62"/>
  <c r="M35" i="62"/>
  <c r="M37" i="62"/>
  <c r="M45" i="62"/>
  <c r="J53" i="62"/>
  <c r="G54" i="62"/>
  <c r="O54" i="62"/>
  <c r="L55" i="62"/>
  <c r="M56" i="62"/>
  <c r="I58" i="62"/>
  <c r="M62" i="62"/>
  <c r="M71" i="62"/>
  <c r="D88" i="62"/>
  <c r="M90" i="62"/>
  <c r="G93" i="62"/>
  <c r="D98" i="62"/>
  <c r="M100" i="62"/>
  <c r="M102" i="62"/>
  <c r="D108" i="62"/>
  <c r="M110" i="62"/>
  <c r="D116" i="62"/>
  <c r="F119" i="62"/>
  <c r="N119" i="62"/>
  <c r="D122" i="62"/>
  <c r="G125" i="62"/>
  <c r="D130" i="62"/>
  <c r="D136" i="62"/>
  <c r="M138" i="62"/>
  <c r="H18" i="62"/>
  <c r="H16" i="62" s="1"/>
  <c r="H8" i="62" s="1"/>
  <c r="G20" i="62"/>
  <c r="I23" i="62"/>
  <c r="K26" i="62"/>
  <c r="I28" i="62"/>
  <c r="G36" i="62"/>
  <c r="I38" i="62"/>
  <c r="I46" i="62"/>
  <c r="L53" i="62"/>
  <c r="I54" i="62"/>
  <c r="F55" i="62"/>
  <c r="N55" i="62"/>
  <c r="N16" i="62" s="1"/>
  <c r="N8" i="62" s="1"/>
  <c r="G57" i="62"/>
  <c r="M58" i="62"/>
  <c r="I63" i="62"/>
  <c r="I72" i="62"/>
  <c r="D84" i="62"/>
  <c r="D86" i="62"/>
  <c r="D92" i="62"/>
  <c r="D96" i="62"/>
  <c r="I101" i="62"/>
  <c r="I103" i="62"/>
  <c r="D106" i="62"/>
  <c r="I111" i="62"/>
  <c r="D114" i="62"/>
  <c r="H119" i="62"/>
  <c r="D120" i="62"/>
  <c r="D124" i="62"/>
  <c r="D128" i="62"/>
  <c r="D134" i="62"/>
  <c r="I139" i="62"/>
  <c r="D142" i="62"/>
  <c r="I20" i="62"/>
  <c r="I36" i="62"/>
  <c r="M53" i="62"/>
  <c r="J54" i="62"/>
  <c r="G55" i="62"/>
  <c r="O55" i="62"/>
  <c r="I57" i="62"/>
  <c r="K20" i="62"/>
  <c r="K36" i="62"/>
  <c r="K54" i="62"/>
  <c r="H55" i="62"/>
  <c r="K57" i="62"/>
  <c r="H15" i="62"/>
  <c r="H81" i="62" s="1"/>
  <c r="G19" i="62"/>
  <c r="I24" i="62"/>
  <c r="G27" i="62"/>
  <c r="I29" i="62"/>
  <c r="I39" i="62"/>
  <c r="I47" i="62"/>
  <c r="G53" i="62"/>
  <c r="O53" i="62"/>
  <c r="O16" i="62" s="1"/>
  <c r="O8" i="62" s="1"/>
  <c r="L54" i="62"/>
  <c r="I55" i="62"/>
  <c r="G56" i="62"/>
  <c r="I59" i="62"/>
  <c r="I64" i="62"/>
  <c r="I73" i="62"/>
  <c r="D85" i="62"/>
  <c r="I94" i="62"/>
  <c r="D97" i="62"/>
  <c r="G102" i="62"/>
  <c r="I104" i="62"/>
  <c r="D107" i="62"/>
  <c r="I112" i="62"/>
  <c r="D115" i="62"/>
  <c r="K119" i="62"/>
  <c r="D121" i="62"/>
  <c r="D123" i="62"/>
  <c r="D129" i="62"/>
  <c r="D135" i="62"/>
  <c r="I140" i="62"/>
  <c r="M55" i="62"/>
  <c r="I19" i="62"/>
  <c r="I27" i="62"/>
  <c r="M54" i="62"/>
  <c r="J55" i="62"/>
  <c r="I56" i="62"/>
  <c r="I102" i="62"/>
  <c r="F54" i="62"/>
  <c r="F16" i="62" s="1"/>
  <c r="F8" i="62" s="1"/>
  <c r="K81" i="61"/>
  <c r="K77" i="61"/>
  <c r="K73" i="61"/>
  <c r="K69" i="61"/>
  <c r="K65" i="61"/>
  <c r="K84" i="61"/>
  <c r="K80" i="61"/>
  <c r="K76" i="61"/>
  <c r="K72" i="61"/>
  <c r="K68" i="61"/>
  <c r="K83" i="61"/>
  <c r="K79" i="61"/>
  <c r="K75" i="61"/>
  <c r="K71" i="61"/>
  <c r="K67" i="61"/>
  <c r="K85" i="61"/>
  <c r="K82" i="61"/>
  <c r="K78" i="61"/>
  <c r="K74" i="61"/>
  <c r="K70" i="61"/>
  <c r="K66" i="61"/>
  <c r="O105" i="61"/>
  <c r="O102" i="61"/>
  <c r="O98" i="61"/>
  <c r="O94" i="61"/>
  <c r="O101" i="61"/>
  <c r="O97" i="61"/>
  <c r="O93" i="61"/>
  <c r="O104" i="61"/>
  <c r="O91" i="61"/>
  <c r="O99" i="61"/>
  <c r="O90" i="61"/>
  <c r="O100" i="61"/>
  <c r="O89" i="61"/>
  <c r="O103" i="61"/>
  <c r="O95" i="61"/>
  <c r="O88" i="61"/>
  <c r="O96" i="61"/>
  <c r="O92" i="61"/>
  <c r="K140" i="61"/>
  <c r="K136" i="61"/>
  <c r="K132" i="61"/>
  <c r="K128" i="61"/>
  <c r="K124" i="61"/>
  <c r="K139" i="61"/>
  <c r="K135" i="61"/>
  <c r="K131" i="61"/>
  <c r="K127" i="61"/>
  <c r="K161" i="61"/>
  <c r="K157" i="61"/>
  <c r="K153" i="61"/>
  <c r="K149" i="61"/>
  <c r="K145" i="61"/>
  <c r="K123" i="61"/>
  <c r="K119" i="61"/>
  <c r="K115" i="61"/>
  <c r="K111" i="61"/>
  <c r="K107" i="61"/>
  <c r="K160" i="61"/>
  <c r="K156" i="61"/>
  <c r="K152" i="61"/>
  <c r="K148" i="61"/>
  <c r="K122" i="61"/>
  <c r="K118" i="61"/>
  <c r="K114" i="61"/>
  <c r="K110" i="61"/>
  <c r="K163" i="61"/>
  <c r="K144" i="61"/>
  <c r="K141" i="61"/>
  <c r="K137" i="61"/>
  <c r="K133" i="61"/>
  <c r="K129" i="61"/>
  <c r="K158" i="61"/>
  <c r="K142" i="61"/>
  <c r="K151" i="61"/>
  <c r="K116" i="61"/>
  <c r="K108" i="61"/>
  <c r="K154" i="61"/>
  <c r="K147" i="61"/>
  <c r="K143" i="61"/>
  <c r="K117" i="61"/>
  <c r="K109" i="61"/>
  <c r="K150" i="61"/>
  <c r="K159" i="61"/>
  <c r="K130" i="61"/>
  <c r="K120" i="61"/>
  <c r="K112" i="61"/>
  <c r="K162" i="61"/>
  <c r="K134" i="61"/>
  <c r="K155" i="61"/>
  <c r="K138" i="61"/>
  <c r="K121" i="61"/>
  <c r="K113" i="61"/>
  <c r="G36" i="61"/>
  <c r="G44" i="61"/>
  <c r="H6" i="61"/>
  <c r="N13" i="61"/>
  <c r="N7" i="61" s="1"/>
  <c r="H60" i="61"/>
  <c r="H56" i="61"/>
  <c r="H52" i="61"/>
  <c r="H63" i="61"/>
  <c r="H59" i="61"/>
  <c r="H55" i="61"/>
  <c r="H51" i="61"/>
  <c r="H62" i="61"/>
  <c r="H58" i="61"/>
  <c r="H54" i="61"/>
  <c r="H61" i="61"/>
  <c r="P60" i="61"/>
  <c r="P56" i="61"/>
  <c r="P52" i="61"/>
  <c r="P63" i="61"/>
  <c r="P59" i="61"/>
  <c r="P55" i="61"/>
  <c r="P51" i="61"/>
  <c r="P62" i="61"/>
  <c r="P58" i="61"/>
  <c r="P54" i="61"/>
  <c r="P50" i="61"/>
  <c r="P61" i="61"/>
  <c r="P57" i="61"/>
  <c r="N80" i="61"/>
  <c r="N76" i="61"/>
  <c r="N72" i="61"/>
  <c r="N68" i="61"/>
  <c r="N83" i="61"/>
  <c r="N79" i="61"/>
  <c r="N75" i="61"/>
  <c r="N71" i="61"/>
  <c r="N67" i="61"/>
  <c r="N85" i="61"/>
  <c r="N82" i="61"/>
  <c r="N78" i="61"/>
  <c r="N74" i="61"/>
  <c r="N70" i="61"/>
  <c r="N66" i="61"/>
  <c r="N81" i="61"/>
  <c r="N77" i="61"/>
  <c r="N73" i="61"/>
  <c r="N69" i="61"/>
  <c r="N65" i="61"/>
  <c r="N84" i="61"/>
  <c r="J101" i="61"/>
  <c r="J97" i="61"/>
  <c r="J104" i="61"/>
  <c r="J103" i="61"/>
  <c r="J99" i="61"/>
  <c r="J95" i="61"/>
  <c r="J98" i="61"/>
  <c r="J89" i="61"/>
  <c r="J96" i="61"/>
  <c r="J93" i="61"/>
  <c r="J88" i="61"/>
  <c r="J105" i="61"/>
  <c r="J102" i="61"/>
  <c r="J94" i="61"/>
  <c r="J92" i="61"/>
  <c r="J91" i="61"/>
  <c r="J100" i="61"/>
  <c r="J90" i="61"/>
  <c r="N161" i="61"/>
  <c r="N157" i="61"/>
  <c r="N153" i="61"/>
  <c r="N149" i="61"/>
  <c r="N145" i="61"/>
  <c r="N160" i="61"/>
  <c r="N156" i="61"/>
  <c r="N152" i="61"/>
  <c r="N148" i="61"/>
  <c r="N122" i="61"/>
  <c r="N118" i="61"/>
  <c r="N114" i="61"/>
  <c r="N110" i="61"/>
  <c r="N163" i="61"/>
  <c r="N144" i="61"/>
  <c r="N141" i="61"/>
  <c r="N137" i="61"/>
  <c r="N133" i="61"/>
  <c r="N129" i="61"/>
  <c r="N159" i="61"/>
  <c r="N155" i="61"/>
  <c r="N151" i="61"/>
  <c r="N147" i="61"/>
  <c r="N140" i="61"/>
  <c r="N136" i="61"/>
  <c r="N132" i="61"/>
  <c r="N128" i="61"/>
  <c r="N124" i="61"/>
  <c r="N162" i="61"/>
  <c r="N158" i="61"/>
  <c r="N154" i="61"/>
  <c r="N150" i="61"/>
  <c r="N143" i="61"/>
  <c r="N120" i="61"/>
  <c r="N116" i="61"/>
  <c r="N112" i="61"/>
  <c r="N108" i="61"/>
  <c r="N131" i="61"/>
  <c r="N119" i="61"/>
  <c r="N111" i="61"/>
  <c r="N135" i="61"/>
  <c r="N139" i="61"/>
  <c r="N117" i="61"/>
  <c r="N109" i="61"/>
  <c r="N130" i="61"/>
  <c r="N123" i="61"/>
  <c r="N115" i="61"/>
  <c r="N107" i="61"/>
  <c r="N134" i="61"/>
  <c r="N138" i="61"/>
  <c r="N121" i="61"/>
  <c r="N113" i="61"/>
  <c r="N142" i="61"/>
  <c r="N127" i="61"/>
  <c r="H26" i="61"/>
  <c r="P26" i="61"/>
  <c r="N27" i="61"/>
  <c r="L28" i="61"/>
  <c r="J29" i="61"/>
  <c r="H30" i="61"/>
  <c r="P30" i="61"/>
  <c r="N31" i="61"/>
  <c r="K32" i="61"/>
  <c r="N34" i="61"/>
  <c r="L35" i="61"/>
  <c r="J36" i="61"/>
  <c r="H37" i="61"/>
  <c r="P37" i="61"/>
  <c r="N38" i="61"/>
  <c r="L39" i="61"/>
  <c r="J40" i="61"/>
  <c r="H41" i="61"/>
  <c r="P41" i="61"/>
  <c r="N42" i="61"/>
  <c r="L43" i="61"/>
  <c r="J44" i="61"/>
  <c r="G45" i="61"/>
  <c r="O45" i="61"/>
  <c r="J47" i="61"/>
  <c r="H48" i="61"/>
  <c r="P48" i="61"/>
  <c r="N49" i="61"/>
  <c r="K51" i="61"/>
  <c r="M54" i="61"/>
  <c r="O57" i="61"/>
  <c r="G83" i="61"/>
  <c r="G79" i="61"/>
  <c r="G75" i="61"/>
  <c r="G71" i="61"/>
  <c r="G67" i="61"/>
  <c r="G85" i="61"/>
  <c r="G82" i="61"/>
  <c r="G78" i="61"/>
  <c r="G74" i="61"/>
  <c r="G70" i="61"/>
  <c r="G66" i="61"/>
  <c r="G81" i="61"/>
  <c r="G77" i="61"/>
  <c r="G73" i="61"/>
  <c r="G69" i="61"/>
  <c r="G65" i="61"/>
  <c r="G84" i="61"/>
  <c r="G80" i="61"/>
  <c r="G76" i="61"/>
  <c r="G72" i="61"/>
  <c r="G68" i="61"/>
  <c r="K104" i="61"/>
  <c r="K100" i="61"/>
  <c r="K96" i="61"/>
  <c r="K103" i="61"/>
  <c r="K99" i="61"/>
  <c r="K95" i="61"/>
  <c r="K89" i="61"/>
  <c r="K101" i="61"/>
  <c r="K93" i="61"/>
  <c r="K88" i="61"/>
  <c r="K105" i="61"/>
  <c r="K102" i="61"/>
  <c r="K94" i="61"/>
  <c r="K92" i="61"/>
  <c r="K91" i="61"/>
  <c r="K97" i="61"/>
  <c r="K90" i="61"/>
  <c r="K98" i="61"/>
  <c r="I48" i="61"/>
  <c r="M58" i="61"/>
  <c r="J59" i="61"/>
  <c r="J55" i="61"/>
  <c r="J51" i="61"/>
  <c r="J62" i="61"/>
  <c r="J58" i="61"/>
  <c r="J54" i="61"/>
  <c r="J61" i="61"/>
  <c r="J57" i="61"/>
  <c r="J53" i="61"/>
  <c r="J60" i="61"/>
  <c r="H83" i="61"/>
  <c r="H79" i="61"/>
  <c r="H75" i="61"/>
  <c r="H71" i="61"/>
  <c r="H67" i="61"/>
  <c r="H85" i="61"/>
  <c r="H82" i="61"/>
  <c r="H78" i="61"/>
  <c r="H74" i="61"/>
  <c r="H70" i="61"/>
  <c r="H66" i="61"/>
  <c r="H81" i="61"/>
  <c r="H77" i="61"/>
  <c r="H73" i="61"/>
  <c r="H69" i="61"/>
  <c r="H65" i="61"/>
  <c r="H84" i="61"/>
  <c r="H80" i="61"/>
  <c r="H76" i="61"/>
  <c r="H72" i="61"/>
  <c r="H68" i="61"/>
  <c r="P83" i="61"/>
  <c r="P79" i="61"/>
  <c r="P75" i="61"/>
  <c r="P71" i="61"/>
  <c r="P67" i="61"/>
  <c r="P85" i="61"/>
  <c r="P82" i="61"/>
  <c r="P78" i="61"/>
  <c r="P74" i="61"/>
  <c r="P70" i="61"/>
  <c r="P66" i="61"/>
  <c r="P81" i="61"/>
  <c r="P77" i="61"/>
  <c r="P73" i="61"/>
  <c r="P69" i="61"/>
  <c r="P65" i="61"/>
  <c r="P84" i="61"/>
  <c r="P80" i="61"/>
  <c r="P76" i="61"/>
  <c r="P72" i="61"/>
  <c r="P68" i="61"/>
  <c r="L100" i="61"/>
  <c r="L96" i="61"/>
  <c r="L105" i="61"/>
  <c r="L102" i="61"/>
  <c r="L98" i="61"/>
  <c r="L94" i="61"/>
  <c r="L101" i="61"/>
  <c r="L104" i="61"/>
  <c r="L93" i="61"/>
  <c r="L88" i="61"/>
  <c r="L99" i="61"/>
  <c r="L92" i="61"/>
  <c r="L91" i="61"/>
  <c r="L97" i="61"/>
  <c r="L90" i="61"/>
  <c r="L103" i="61"/>
  <c r="L95" i="61"/>
  <c r="L89" i="61"/>
  <c r="H160" i="61"/>
  <c r="H156" i="61"/>
  <c r="H152" i="61"/>
  <c r="H148" i="61"/>
  <c r="H159" i="61"/>
  <c r="H155" i="61"/>
  <c r="H151" i="61"/>
  <c r="H147" i="61"/>
  <c r="H121" i="61"/>
  <c r="H117" i="61"/>
  <c r="H113" i="61"/>
  <c r="H109" i="61"/>
  <c r="H140" i="61"/>
  <c r="H136" i="61"/>
  <c r="H132" i="61"/>
  <c r="H128" i="61"/>
  <c r="H124" i="61"/>
  <c r="H162" i="61"/>
  <c r="H158" i="61"/>
  <c r="H154" i="61"/>
  <c r="H150" i="61"/>
  <c r="H139" i="61"/>
  <c r="H135" i="61"/>
  <c r="H131" i="61"/>
  <c r="H127" i="61"/>
  <c r="H161" i="61"/>
  <c r="H157" i="61"/>
  <c r="H153" i="61"/>
  <c r="H149" i="61"/>
  <c r="H145" i="61"/>
  <c r="H123" i="61"/>
  <c r="H119" i="61"/>
  <c r="H115" i="61"/>
  <c r="H111" i="61"/>
  <c r="H107" i="61"/>
  <c r="H138" i="61"/>
  <c r="H118" i="61"/>
  <c r="H110" i="61"/>
  <c r="H142" i="61"/>
  <c r="H129" i="61"/>
  <c r="H116" i="61"/>
  <c r="H108" i="61"/>
  <c r="H163" i="61"/>
  <c r="H133" i="61"/>
  <c r="H143" i="61"/>
  <c r="H137" i="61"/>
  <c r="H122" i="61"/>
  <c r="H114" i="61"/>
  <c r="H141" i="61"/>
  <c r="H130" i="61"/>
  <c r="H120" i="61"/>
  <c r="H112" i="61"/>
  <c r="H144" i="61"/>
  <c r="H134" i="61"/>
  <c r="P160" i="61"/>
  <c r="P156" i="61"/>
  <c r="P152" i="61"/>
  <c r="P148" i="61"/>
  <c r="P159" i="61"/>
  <c r="P155" i="61"/>
  <c r="P151" i="61"/>
  <c r="P147" i="61"/>
  <c r="P121" i="61"/>
  <c r="P117" i="61"/>
  <c r="P113" i="61"/>
  <c r="P109" i="61"/>
  <c r="P140" i="61"/>
  <c r="P136" i="61"/>
  <c r="P132" i="61"/>
  <c r="P128" i="61"/>
  <c r="P124" i="61"/>
  <c r="P162" i="61"/>
  <c r="P158" i="61"/>
  <c r="P154" i="61"/>
  <c r="P150" i="61"/>
  <c r="P139" i="61"/>
  <c r="P135" i="61"/>
  <c r="P131" i="61"/>
  <c r="P127" i="61"/>
  <c r="P161" i="61"/>
  <c r="P157" i="61"/>
  <c r="P153" i="61"/>
  <c r="P149" i="61"/>
  <c r="P145" i="61"/>
  <c r="P123" i="61"/>
  <c r="P119" i="61"/>
  <c r="P115" i="61"/>
  <c r="P111" i="61"/>
  <c r="P107" i="61"/>
  <c r="P133" i="61"/>
  <c r="P122" i="61"/>
  <c r="P114" i="61"/>
  <c r="P163" i="61"/>
  <c r="P143" i="61"/>
  <c r="P137" i="61"/>
  <c r="P141" i="61"/>
  <c r="P120" i="61"/>
  <c r="P112" i="61"/>
  <c r="P130" i="61"/>
  <c r="P144" i="61"/>
  <c r="P134" i="61"/>
  <c r="P118" i="61"/>
  <c r="P110" i="61"/>
  <c r="P138" i="61"/>
  <c r="P142" i="61"/>
  <c r="P116" i="61"/>
  <c r="P108" i="61"/>
  <c r="P129" i="61"/>
  <c r="J26" i="61"/>
  <c r="H27" i="61"/>
  <c r="P27" i="61"/>
  <c r="N28" i="61"/>
  <c r="L29" i="61"/>
  <c r="J30" i="61"/>
  <c r="H31" i="61"/>
  <c r="P31" i="61"/>
  <c r="M32" i="61"/>
  <c r="H34" i="61"/>
  <c r="P34" i="61"/>
  <c r="N35" i="61"/>
  <c r="L36" i="61"/>
  <c r="J37" i="61"/>
  <c r="H38" i="61"/>
  <c r="P38" i="61"/>
  <c r="N39" i="61"/>
  <c r="L40" i="61"/>
  <c r="J41" i="61"/>
  <c r="H42" i="61"/>
  <c r="P42" i="61"/>
  <c r="N43" i="61"/>
  <c r="L44" i="61"/>
  <c r="I45" i="61"/>
  <c r="L47" i="61"/>
  <c r="J48" i="61"/>
  <c r="H49" i="61"/>
  <c r="P49" i="61"/>
  <c r="I52" i="61"/>
  <c r="K55" i="61"/>
  <c r="O83" i="61"/>
  <c r="O79" i="61"/>
  <c r="O75" i="61"/>
  <c r="O71" i="61"/>
  <c r="O67" i="61"/>
  <c r="O85" i="61"/>
  <c r="O82" i="61"/>
  <c r="O78" i="61"/>
  <c r="O74" i="61"/>
  <c r="O70" i="61"/>
  <c r="O66" i="61"/>
  <c r="O81" i="61"/>
  <c r="O77" i="61"/>
  <c r="O73" i="61"/>
  <c r="O69" i="61"/>
  <c r="O65" i="61"/>
  <c r="O84" i="61"/>
  <c r="O80" i="61"/>
  <c r="O76" i="61"/>
  <c r="O72" i="61"/>
  <c r="O68" i="61"/>
  <c r="O142" i="61"/>
  <c r="O138" i="61"/>
  <c r="O134" i="61"/>
  <c r="O130" i="61"/>
  <c r="O163" i="61"/>
  <c r="O144" i="61"/>
  <c r="O141" i="61"/>
  <c r="O137" i="61"/>
  <c r="O133" i="61"/>
  <c r="O129" i="61"/>
  <c r="O159" i="61"/>
  <c r="O155" i="61"/>
  <c r="O151" i="61"/>
  <c r="O147" i="61"/>
  <c r="O121" i="61"/>
  <c r="O117" i="61"/>
  <c r="O113" i="61"/>
  <c r="O109" i="61"/>
  <c r="O162" i="61"/>
  <c r="O158" i="61"/>
  <c r="O154" i="61"/>
  <c r="O150" i="61"/>
  <c r="O143" i="61"/>
  <c r="O120" i="61"/>
  <c r="O116" i="61"/>
  <c r="O112" i="61"/>
  <c r="O108" i="61"/>
  <c r="O139" i="61"/>
  <c r="O135" i="61"/>
  <c r="O131" i="61"/>
  <c r="O127" i="61"/>
  <c r="O148" i="61"/>
  <c r="O157" i="61"/>
  <c r="O122" i="61"/>
  <c r="O114" i="61"/>
  <c r="O160" i="61"/>
  <c r="O153" i="61"/>
  <c r="O128" i="61"/>
  <c r="O123" i="61"/>
  <c r="O115" i="61"/>
  <c r="O107" i="61"/>
  <c r="O156" i="61"/>
  <c r="O132" i="61"/>
  <c r="O149" i="61"/>
  <c r="O136" i="61"/>
  <c r="O118" i="61"/>
  <c r="O110" i="61"/>
  <c r="O152" i="61"/>
  <c r="O140" i="61"/>
  <c r="O124" i="61"/>
  <c r="O161" i="61"/>
  <c r="O145" i="61"/>
  <c r="O119" i="61"/>
  <c r="O111" i="61"/>
  <c r="I26" i="61"/>
  <c r="O34" i="61"/>
  <c r="O38" i="61"/>
  <c r="K40" i="61"/>
  <c r="G42" i="61"/>
  <c r="K44" i="61"/>
  <c r="K10" i="61"/>
  <c r="I13" i="61"/>
  <c r="I7" i="61" s="1"/>
  <c r="K62" i="61"/>
  <c r="K58" i="61"/>
  <c r="K54" i="61"/>
  <c r="K50" i="61"/>
  <c r="K61" i="61"/>
  <c r="K57" i="61"/>
  <c r="K53" i="61"/>
  <c r="K60" i="61"/>
  <c r="K56" i="61"/>
  <c r="K52" i="61"/>
  <c r="K63" i="61"/>
  <c r="I85" i="61"/>
  <c r="I82" i="61"/>
  <c r="I78" i="61"/>
  <c r="I74" i="61"/>
  <c r="I70" i="61"/>
  <c r="I66" i="61"/>
  <c r="I81" i="61"/>
  <c r="I77" i="61"/>
  <c r="I73" i="61"/>
  <c r="I69" i="61"/>
  <c r="I65" i="61"/>
  <c r="I84" i="61"/>
  <c r="I80" i="61"/>
  <c r="I76" i="61"/>
  <c r="I72" i="61"/>
  <c r="I68" i="61"/>
  <c r="I83" i="61"/>
  <c r="I79" i="61"/>
  <c r="I75" i="61"/>
  <c r="I71" i="61"/>
  <c r="I67" i="61"/>
  <c r="M103" i="61"/>
  <c r="M99" i="61"/>
  <c r="M95" i="61"/>
  <c r="M105" i="61"/>
  <c r="M102" i="61"/>
  <c r="M98" i="61"/>
  <c r="M94" i="61"/>
  <c r="M104" i="61"/>
  <c r="M93" i="61"/>
  <c r="M88" i="61"/>
  <c r="M96" i="61"/>
  <c r="M92" i="61"/>
  <c r="M91" i="61"/>
  <c r="M97" i="61"/>
  <c r="M90" i="61"/>
  <c r="M100" i="61"/>
  <c r="M89" i="61"/>
  <c r="M101" i="61"/>
  <c r="I163" i="61"/>
  <c r="I144" i="61"/>
  <c r="I141" i="61"/>
  <c r="I137" i="61"/>
  <c r="I133" i="61"/>
  <c r="I129" i="61"/>
  <c r="I140" i="61"/>
  <c r="I136" i="61"/>
  <c r="I132" i="61"/>
  <c r="I128" i="61"/>
  <c r="I124" i="61"/>
  <c r="I162" i="61"/>
  <c r="I158" i="61"/>
  <c r="I154" i="61"/>
  <c r="I150" i="61"/>
  <c r="I143" i="61"/>
  <c r="I120" i="61"/>
  <c r="I116" i="61"/>
  <c r="I112" i="61"/>
  <c r="I108" i="61"/>
  <c r="I161" i="61"/>
  <c r="I157" i="61"/>
  <c r="I153" i="61"/>
  <c r="I149" i="61"/>
  <c r="I145" i="61"/>
  <c r="I123" i="61"/>
  <c r="I119" i="61"/>
  <c r="I115" i="61"/>
  <c r="I111" i="61"/>
  <c r="I107" i="61"/>
  <c r="I142" i="61"/>
  <c r="I138" i="61"/>
  <c r="I134" i="61"/>
  <c r="I130" i="61"/>
  <c r="I155" i="61"/>
  <c r="I148" i="61"/>
  <c r="I127" i="61"/>
  <c r="I121" i="61"/>
  <c r="I113" i="61"/>
  <c r="I151" i="61"/>
  <c r="I131" i="61"/>
  <c r="I160" i="61"/>
  <c r="I135" i="61"/>
  <c r="I122" i="61"/>
  <c r="I114" i="61"/>
  <c r="I147" i="61"/>
  <c r="I139" i="61"/>
  <c r="I156" i="61"/>
  <c r="I117" i="61"/>
  <c r="I109" i="61"/>
  <c r="I159" i="61"/>
  <c r="I152" i="61"/>
  <c r="I118" i="61"/>
  <c r="I110" i="61"/>
  <c r="K26" i="61"/>
  <c r="I27" i="61"/>
  <c r="G28" i="61"/>
  <c r="O28" i="61"/>
  <c r="M29" i="61"/>
  <c r="K30" i="61"/>
  <c r="I31" i="61"/>
  <c r="N32" i="61"/>
  <c r="I34" i="61"/>
  <c r="G35" i="61"/>
  <c r="O35" i="61"/>
  <c r="M36" i="61"/>
  <c r="K37" i="61"/>
  <c r="I38" i="61"/>
  <c r="G39" i="61"/>
  <c r="O39" i="61"/>
  <c r="M40" i="61"/>
  <c r="K41" i="61"/>
  <c r="I42" i="61"/>
  <c r="G43" i="61"/>
  <c r="O43" i="61"/>
  <c r="M44" i="61"/>
  <c r="J45" i="61"/>
  <c r="K48" i="61"/>
  <c r="I49" i="61"/>
  <c r="G50" i="61"/>
  <c r="J52" i="61"/>
  <c r="I63" i="61"/>
  <c r="I59" i="61"/>
  <c r="I55" i="61"/>
  <c r="I51" i="61"/>
  <c r="I62" i="61"/>
  <c r="I58" i="61"/>
  <c r="I54" i="61"/>
  <c r="I50" i="61"/>
  <c r="I61" i="61"/>
  <c r="I57" i="61"/>
  <c r="I53" i="61"/>
  <c r="G142" i="61"/>
  <c r="G138" i="61"/>
  <c r="G134" i="61"/>
  <c r="G130" i="61"/>
  <c r="G163" i="61"/>
  <c r="G144" i="61"/>
  <c r="G141" i="61"/>
  <c r="G137" i="61"/>
  <c r="G133" i="61"/>
  <c r="G129" i="61"/>
  <c r="G159" i="61"/>
  <c r="G155" i="61"/>
  <c r="G151" i="61"/>
  <c r="G147" i="61"/>
  <c r="G121" i="61"/>
  <c r="G117" i="61"/>
  <c r="G113" i="61"/>
  <c r="G109" i="61"/>
  <c r="G162" i="61"/>
  <c r="G158" i="61"/>
  <c r="G154" i="61"/>
  <c r="G150" i="61"/>
  <c r="G143" i="61"/>
  <c r="G120" i="61"/>
  <c r="G116" i="61"/>
  <c r="G112" i="61"/>
  <c r="G108" i="61"/>
  <c r="G139" i="61"/>
  <c r="G135" i="61"/>
  <c r="G131" i="61"/>
  <c r="G127" i="61"/>
  <c r="G152" i="61"/>
  <c r="G136" i="61"/>
  <c r="G161" i="61"/>
  <c r="G140" i="61"/>
  <c r="G124" i="61"/>
  <c r="G118" i="61"/>
  <c r="G110" i="61"/>
  <c r="G148" i="61"/>
  <c r="G145" i="61"/>
  <c r="G126" i="61"/>
  <c r="G157" i="61"/>
  <c r="G119" i="61"/>
  <c r="G111" i="61"/>
  <c r="G160" i="61"/>
  <c r="G153" i="61"/>
  <c r="G122" i="61"/>
  <c r="G114" i="61"/>
  <c r="G156" i="61"/>
  <c r="G128" i="61"/>
  <c r="G149" i="61"/>
  <c r="G132" i="61"/>
  <c r="G123" i="61"/>
  <c r="G115" i="61"/>
  <c r="G107" i="61"/>
  <c r="M28" i="61"/>
  <c r="I30" i="61"/>
  <c r="G34" i="61"/>
  <c r="K36" i="61"/>
  <c r="G38" i="61"/>
  <c r="O42" i="61"/>
  <c r="L62" i="61"/>
  <c r="L58" i="61"/>
  <c r="L54" i="61"/>
  <c r="L50" i="61"/>
  <c r="L61" i="61"/>
  <c r="L57" i="61"/>
  <c r="L53" i="61"/>
  <c r="L60" i="61"/>
  <c r="L56" i="61"/>
  <c r="L52" i="61"/>
  <c r="L63" i="61"/>
  <c r="L59" i="61"/>
  <c r="J85" i="61"/>
  <c r="J82" i="61"/>
  <c r="J78" i="61"/>
  <c r="J74" i="61"/>
  <c r="J70" i="61"/>
  <c r="J66" i="61"/>
  <c r="J81" i="61"/>
  <c r="J77" i="61"/>
  <c r="J73" i="61"/>
  <c r="J69" i="61"/>
  <c r="J65" i="61"/>
  <c r="J84" i="61"/>
  <c r="J80" i="61"/>
  <c r="J76" i="61"/>
  <c r="J72" i="61"/>
  <c r="J68" i="61"/>
  <c r="J83" i="61"/>
  <c r="J79" i="61"/>
  <c r="J75" i="61"/>
  <c r="J71" i="61"/>
  <c r="J67" i="61"/>
  <c r="N103" i="61"/>
  <c r="N99" i="61"/>
  <c r="N95" i="61"/>
  <c r="N101" i="61"/>
  <c r="N97" i="61"/>
  <c r="N96" i="61"/>
  <c r="N92" i="61"/>
  <c r="N91" i="61"/>
  <c r="N105" i="61"/>
  <c r="N102" i="61"/>
  <c r="N94" i="61"/>
  <c r="N90" i="61"/>
  <c r="N100" i="61"/>
  <c r="N89" i="61"/>
  <c r="N98" i="61"/>
  <c r="N104" i="61"/>
  <c r="N93" i="61"/>
  <c r="N88" i="61"/>
  <c r="J159" i="61"/>
  <c r="J155" i="61"/>
  <c r="J151" i="61"/>
  <c r="J147" i="61"/>
  <c r="J162" i="61"/>
  <c r="J158" i="61"/>
  <c r="J154" i="61"/>
  <c r="J150" i="61"/>
  <c r="J143" i="61"/>
  <c r="J120" i="61"/>
  <c r="J116" i="61"/>
  <c r="J112" i="61"/>
  <c r="J108" i="61"/>
  <c r="J139" i="61"/>
  <c r="J135" i="61"/>
  <c r="J131" i="61"/>
  <c r="J127" i="61"/>
  <c r="J161" i="61"/>
  <c r="J157" i="61"/>
  <c r="J153" i="61"/>
  <c r="J149" i="61"/>
  <c r="J142" i="61"/>
  <c r="J138" i="61"/>
  <c r="J134" i="61"/>
  <c r="J130" i="61"/>
  <c r="J160" i="61"/>
  <c r="J156" i="61"/>
  <c r="J152" i="61"/>
  <c r="J148" i="61"/>
  <c r="J122" i="61"/>
  <c r="J118" i="61"/>
  <c r="J114" i="61"/>
  <c r="J110" i="61"/>
  <c r="J140" i="61"/>
  <c r="J124" i="61"/>
  <c r="J121" i="61"/>
  <c r="J113" i="61"/>
  <c r="J145" i="61"/>
  <c r="J129" i="61"/>
  <c r="J163" i="61"/>
  <c r="J133" i="61"/>
  <c r="J119" i="61"/>
  <c r="J111" i="61"/>
  <c r="J137" i="61"/>
  <c r="J141" i="61"/>
  <c r="J117" i="61"/>
  <c r="J109" i="61"/>
  <c r="J128" i="61"/>
  <c r="J144" i="61"/>
  <c r="J132" i="61"/>
  <c r="J123" i="61"/>
  <c r="J115" i="61"/>
  <c r="J107" i="61"/>
  <c r="J136" i="61"/>
  <c r="L26" i="61"/>
  <c r="J27" i="61"/>
  <c r="H28" i="61"/>
  <c r="P28" i="61"/>
  <c r="N29" i="61"/>
  <c r="L30" i="61"/>
  <c r="J31" i="61"/>
  <c r="G32" i="61"/>
  <c r="O32" i="61"/>
  <c r="J34" i="61"/>
  <c r="H35" i="61"/>
  <c r="P35" i="61"/>
  <c r="N36" i="61"/>
  <c r="L37" i="61"/>
  <c r="J38" i="61"/>
  <c r="H39" i="61"/>
  <c r="P39" i="61"/>
  <c r="N40" i="61"/>
  <c r="L41" i="61"/>
  <c r="J42" i="61"/>
  <c r="H43" i="61"/>
  <c r="P43" i="61"/>
  <c r="N44" i="61"/>
  <c r="K45" i="61"/>
  <c r="L48" i="61"/>
  <c r="J49" i="61"/>
  <c r="H50" i="61"/>
  <c r="G53" i="61"/>
  <c r="I56" i="61"/>
  <c r="G61" i="61"/>
  <c r="M61" i="61"/>
  <c r="M57" i="61"/>
  <c r="M53" i="61"/>
  <c r="M60" i="61"/>
  <c r="M56" i="61"/>
  <c r="M52" i="61"/>
  <c r="M63" i="61"/>
  <c r="M59" i="61"/>
  <c r="M55" i="61"/>
  <c r="M51" i="61"/>
  <c r="M26" i="61"/>
  <c r="I28" i="61"/>
  <c r="M30" i="61"/>
  <c r="G40" i="61"/>
  <c r="K42" i="61"/>
  <c r="N61" i="61"/>
  <c r="N57" i="61"/>
  <c r="N53" i="61"/>
  <c r="N60" i="61"/>
  <c r="N56" i="61"/>
  <c r="N52" i="61"/>
  <c r="N63" i="61"/>
  <c r="N59" i="61"/>
  <c r="N55" i="61"/>
  <c r="N51" i="61"/>
  <c r="N62" i="61"/>
  <c r="N58" i="61"/>
  <c r="L81" i="61"/>
  <c r="L77" i="61"/>
  <c r="L73" i="61"/>
  <c r="L69" i="61"/>
  <c r="L65" i="61"/>
  <c r="L84" i="61"/>
  <c r="L80" i="61"/>
  <c r="L76" i="61"/>
  <c r="L72" i="61"/>
  <c r="L68" i="61"/>
  <c r="L83" i="61"/>
  <c r="L79" i="61"/>
  <c r="L75" i="61"/>
  <c r="L71" i="61"/>
  <c r="L67" i="61"/>
  <c r="L85" i="61"/>
  <c r="L82" i="61"/>
  <c r="L78" i="61"/>
  <c r="L74" i="61"/>
  <c r="L70" i="61"/>
  <c r="L66" i="61"/>
  <c r="H105" i="61"/>
  <c r="H102" i="61"/>
  <c r="H98" i="61"/>
  <c r="H94" i="61"/>
  <c r="H104" i="61"/>
  <c r="H100" i="61"/>
  <c r="H96" i="61"/>
  <c r="H103" i="61"/>
  <c r="H95" i="61"/>
  <c r="H90" i="61"/>
  <c r="H101" i="61"/>
  <c r="H89" i="61"/>
  <c r="H99" i="61"/>
  <c r="H93" i="61"/>
  <c r="H92" i="61"/>
  <c r="H88" i="61"/>
  <c r="H97" i="61"/>
  <c r="H91" i="61"/>
  <c r="P105" i="61"/>
  <c r="P102" i="61"/>
  <c r="P98" i="61"/>
  <c r="P94" i="61"/>
  <c r="P104" i="61"/>
  <c r="P100" i="61"/>
  <c r="P96" i="61"/>
  <c r="P99" i="61"/>
  <c r="P90" i="61"/>
  <c r="P97" i="61"/>
  <c r="P89" i="61"/>
  <c r="P103" i="61"/>
  <c r="P95" i="61"/>
  <c r="P88" i="61"/>
  <c r="P101" i="61"/>
  <c r="P93" i="61"/>
  <c r="P92" i="61"/>
  <c r="P91" i="61"/>
  <c r="L162" i="61"/>
  <c r="L158" i="61"/>
  <c r="L154" i="61"/>
  <c r="L150" i="61"/>
  <c r="L143" i="61"/>
  <c r="L161" i="61"/>
  <c r="L157" i="61"/>
  <c r="L153" i="61"/>
  <c r="L149" i="61"/>
  <c r="L145" i="61"/>
  <c r="L123" i="61"/>
  <c r="L119" i="61"/>
  <c r="L115" i="61"/>
  <c r="L111" i="61"/>
  <c r="L107" i="61"/>
  <c r="L142" i="61"/>
  <c r="L138" i="61"/>
  <c r="L134" i="61"/>
  <c r="L130" i="61"/>
  <c r="L160" i="61"/>
  <c r="L156" i="61"/>
  <c r="L152" i="61"/>
  <c r="L148" i="61"/>
  <c r="L163" i="61"/>
  <c r="L144" i="61"/>
  <c r="L141" i="61"/>
  <c r="L137" i="61"/>
  <c r="L133" i="61"/>
  <c r="L129" i="61"/>
  <c r="L159" i="61"/>
  <c r="L155" i="61"/>
  <c r="L151" i="61"/>
  <c r="L147" i="61"/>
  <c r="L121" i="61"/>
  <c r="L117" i="61"/>
  <c r="L113" i="61"/>
  <c r="L109" i="61"/>
  <c r="L127" i="61"/>
  <c r="L116" i="61"/>
  <c r="L108" i="61"/>
  <c r="L131" i="61"/>
  <c r="L135" i="61"/>
  <c r="L122" i="61"/>
  <c r="L114" i="61"/>
  <c r="L139" i="61"/>
  <c r="L128" i="61"/>
  <c r="L120" i="61"/>
  <c r="L112" i="61"/>
  <c r="L132" i="61"/>
  <c r="L136" i="61"/>
  <c r="L118" i="61"/>
  <c r="L110" i="61"/>
  <c r="L140" i="61"/>
  <c r="L124" i="61"/>
  <c r="N26" i="61"/>
  <c r="L27" i="61"/>
  <c r="J28" i="61"/>
  <c r="I32" i="61"/>
  <c r="L34" i="61"/>
  <c r="J35" i="61"/>
  <c r="H36" i="61"/>
  <c r="P36" i="61"/>
  <c r="N37" i="61"/>
  <c r="L38" i="61"/>
  <c r="J39" i="61"/>
  <c r="H40" i="61"/>
  <c r="P40" i="61"/>
  <c r="N41" i="61"/>
  <c r="M45" i="61"/>
  <c r="H47" i="61"/>
  <c r="P47" i="61"/>
  <c r="N48" i="61"/>
  <c r="L49" i="61"/>
  <c r="M50" i="61"/>
  <c r="M62" i="61"/>
  <c r="G105" i="61"/>
  <c r="G102" i="61"/>
  <c r="G98" i="61"/>
  <c r="G94" i="61"/>
  <c r="G101" i="61"/>
  <c r="G97" i="61"/>
  <c r="G93" i="61"/>
  <c r="G104" i="61"/>
  <c r="G91" i="61"/>
  <c r="G103" i="61"/>
  <c r="G95" i="61"/>
  <c r="G90" i="61"/>
  <c r="G96" i="61"/>
  <c r="G89" i="61"/>
  <c r="G99" i="61"/>
  <c r="G92" i="61"/>
  <c r="G88" i="61"/>
  <c r="G100" i="61"/>
  <c r="K34" i="61"/>
  <c r="O36" i="61"/>
  <c r="K38" i="61"/>
  <c r="O40" i="61"/>
  <c r="O44" i="61"/>
  <c r="M48" i="61"/>
  <c r="G10" i="61"/>
  <c r="O10" i="61"/>
  <c r="M13" i="61"/>
  <c r="M7" i="61" s="1"/>
  <c r="G60" i="61"/>
  <c r="G56" i="61"/>
  <c r="G52" i="61"/>
  <c r="G63" i="61"/>
  <c r="G59" i="61"/>
  <c r="G55" i="61"/>
  <c r="G51" i="61"/>
  <c r="G62" i="61"/>
  <c r="G58" i="61"/>
  <c r="G54" i="61"/>
  <c r="O60" i="61"/>
  <c r="O56" i="61"/>
  <c r="O52" i="61"/>
  <c r="O63" i="61"/>
  <c r="O59" i="61"/>
  <c r="O55" i="61"/>
  <c r="O51" i="61"/>
  <c r="O62" i="61"/>
  <c r="O58" i="61"/>
  <c r="O54" i="61"/>
  <c r="O50" i="61"/>
  <c r="M84" i="61"/>
  <c r="M80" i="61"/>
  <c r="M76" i="61"/>
  <c r="M72" i="61"/>
  <c r="M68" i="61"/>
  <c r="M83" i="61"/>
  <c r="M79" i="61"/>
  <c r="M75" i="61"/>
  <c r="M71" i="61"/>
  <c r="M67" i="61"/>
  <c r="M85" i="61"/>
  <c r="M82" i="61"/>
  <c r="M78" i="61"/>
  <c r="M74" i="61"/>
  <c r="M70" i="61"/>
  <c r="M66" i="61"/>
  <c r="M81" i="61"/>
  <c r="M77" i="61"/>
  <c r="M73" i="61"/>
  <c r="M69" i="61"/>
  <c r="M65" i="61"/>
  <c r="I101" i="61"/>
  <c r="I97" i="61"/>
  <c r="I100" i="61"/>
  <c r="I96" i="61"/>
  <c r="I92" i="61"/>
  <c r="I90" i="61"/>
  <c r="I98" i="61"/>
  <c r="I104" i="61"/>
  <c r="I89" i="61"/>
  <c r="I99" i="61"/>
  <c r="I93" i="61"/>
  <c r="I88" i="61"/>
  <c r="I105" i="61"/>
  <c r="I102" i="61"/>
  <c r="I94" i="61"/>
  <c r="I91" i="61"/>
  <c r="I103" i="61"/>
  <c r="I95" i="61"/>
  <c r="M139" i="61"/>
  <c r="M135" i="61"/>
  <c r="M131" i="61"/>
  <c r="M127" i="61"/>
  <c r="M142" i="61"/>
  <c r="M138" i="61"/>
  <c r="M134" i="61"/>
  <c r="M130" i="61"/>
  <c r="M160" i="61"/>
  <c r="M156" i="61"/>
  <c r="M152" i="61"/>
  <c r="M148" i="61"/>
  <c r="M122" i="61"/>
  <c r="M118" i="61"/>
  <c r="M114" i="61"/>
  <c r="M110" i="61"/>
  <c r="M163" i="61"/>
  <c r="M159" i="61"/>
  <c r="M155" i="61"/>
  <c r="M151" i="61"/>
  <c r="M147" i="61"/>
  <c r="M121" i="61"/>
  <c r="M117" i="61"/>
  <c r="M113" i="61"/>
  <c r="M109" i="61"/>
  <c r="M140" i="61"/>
  <c r="M136" i="61"/>
  <c r="M132" i="61"/>
  <c r="M128" i="61"/>
  <c r="M124" i="61"/>
  <c r="M161" i="61"/>
  <c r="M145" i="61"/>
  <c r="M129" i="61"/>
  <c r="M154" i="61"/>
  <c r="M133" i="61"/>
  <c r="M119" i="61"/>
  <c r="M111" i="61"/>
  <c r="M157" i="61"/>
  <c r="M143" i="61"/>
  <c r="M137" i="61"/>
  <c r="M150" i="61"/>
  <c r="M141" i="61"/>
  <c r="M120" i="61"/>
  <c r="M112" i="61"/>
  <c r="M153" i="61"/>
  <c r="M162" i="61"/>
  <c r="M144" i="61"/>
  <c r="M123" i="61"/>
  <c r="M115" i="61"/>
  <c r="M107" i="61"/>
  <c r="M149" i="61"/>
  <c r="M158" i="61"/>
  <c r="M116" i="61"/>
  <c r="M108" i="61"/>
  <c r="G26" i="61"/>
  <c r="O26" i="61"/>
  <c r="M27" i="61"/>
  <c r="M34" i="61"/>
  <c r="K35" i="61"/>
  <c r="I36" i="61"/>
  <c r="G37" i="61"/>
  <c r="O37" i="61"/>
  <c r="M38" i="61"/>
  <c r="K39" i="61"/>
  <c r="I40" i="61"/>
  <c r="I47" i="61"/>
  <c r="G48" i="61"/>
  <c r="O48" i="61"/>
  <c r="M49" i="61"/>
  <c r="N50" i="61"/>
  <c r="P53" i="61"/>
  <c r="H57" i="61"/>
  <c r="H12" i="60"/>
  <c r="K12" i="60"/>
  <c r="K15" i="60"/>
  <c r="G12" i="60"/>
  <c r="J12" i="60"/>
  <c r="H24" i="58"/>
  <c r="I24" i="58"/>
  <c r="J24" i="58"/>
  <c r="K24" i="58"/>
  <c r="L24" i="58"/>
  <c r="M24" i="58"/>
  <c r="N24" i="58"/>
  <c r="O24" i="58"/>
  <c r="P24" i="58"/>
  <c r="G24" i="58"/>
  <c r="G37" i="1"/>
  <c r="G38" i="1"/>
  <c r="G39" i="1"/>
  <c r="E31" i="30"/>
  <c r="Z25" i="3"/>
  <c r="E57" i="3"/>
  <c r="J220" i="59"/>
  <c r="M219" i="59"/>
  <c r="I219" i="59"/>
  <c r="M218" i="59"/>
  <c r="I218" i="59"/>
  <c r="M217" i="59"/>
  <c r="I217" i="59"/>
  <c r="M216" i="59"/>
  <c r="I216" i="59"/>
  <c r="M215" i="59"/>
  <c r="I215" i="59"/>
  <c r="M214" i="59"/>
  <c r="I214" i="59"/>
  <c r="M213" i="59"/>
  <c r="I213" i="59"/>
  <c r="M212" i="59"/>
  <c r="I212" i="59"/>
  <c r="M211" i="59"/>
  <c r="I211" i="59"/>
  <c r="M210" i="59"/>
  <c r="I210" i="59"/>
  <c r="M209" i="59"/>
  <c r="I209" i="59"/>
  <c r="M207" i="59"/>
  <c r="I207" i="59"/>
  <c r="M206" i="59"/>
  <c r="I206" i="59"/>
  <c r="M205" i="59"/>
  <c r="I205" i="59"/>
  <c r="M204" i="59"/>
  <c r="I204" i="59"/>
  <c r="M203" i="59"/>
  <c r="I203" i="59"/>
  <c r="M202" i="59"/>
  <c r="K202" i="59"/>
  <c r="I202" i="59"/>
  <c r="G202" i="59"/>
  <c r="M201" i="59"/>
  <c r="K201" i="59"/>
  <c r="I201" i="59"/>
  <c r="G201" i="59"/>
  <c r="M200" i="59"/>
  <c r="K200" i="59"/>
  <c r="I200" i="59"/>
  <c r="G200" i="59"/>
  <c r="M199" i="59"/>
  <c r="K199" i="59"/>
  <c r="I199" i="59"/>
  <c r="G199" i="59"/>
  <c r="O198" i="59"/>
  <c r="N198" i="59"/>
  <c r="M198" i="59"/>
  <c r="L198" i="59"/>
  <c r="K198" i="59"/>
  <c r="J198" i="59"/>
  <c r="J158" i="59" s="1"/>
  <c r="J11" i="59" s="1"/>
  <c r="I198" i="59"/>
  <c r="H198" i="59"/>
  <c r="G198" i="59"/>
  <c r="F198" i="59"/>
  <c r="O197" i="59"/>
  <c r="N197" i="59"/>
  <c r="M197" i="59"/>
  <c r="L197" i="59"/>
  <c r="L158" i="59" s="1"/>
  <c r="L11" i="59" s="1"/>
  <c r="K197" i="59"/>
  <c r="J197" i="59"/>
  <c r="I197" i="59"/>
  <c r="H197" i="59"/>
  <c r="G197" i="59"/>
  <c r="F197" i="59"/>
  <c r="O196" i="59"/>
  <c r="O158" i="59" s="1"/>
  <c r="O11" i="59" s="1"/>
  <c r="N196" i="59"/>
  <c r="N158" i="59" s="1"/>
  <c r="N11" i="59" s="1"/>
  <c r="M196" i="59"/>
  <c r="L196" i="59"/>
  <c r="K196" i="59"/>
  <c r="J196" i="59"/>
  <c r="I196" i="59"/>
  <c r="H196" i="59"/>
  <c r="G196" i="59"/>
  <c r="F196" i="59"/>
  <c r="F158" i="59" s="1"/>
  <c r="F11" i="59" s="1"/>
  <c r="M194" i="59"/>
  <c r="I194" i="59"/>
  <c r="M193" i="59"/>
  <c r="I193" i="59"/>
  <c r="M192" i="59"/>
  <c r="I192" i="59"/>
  <c r="M191" i="59"/>
  <c r="I191" i="59"/>
  <c r="M190" i="59"/>
  <c r="I190" i="59"/>
  <c r="M189" i="59"/>
  <c r="I189" i="59"/>
  <c r="M188" i="59"/>
  <c r="I188" i="59"/>
  <c r="M187" i="59"/>
  <c r="I187" i="59"/>
  <c r="M186" i="59"/>
  <c r="I186" i="59"/>
  <c r="M185" i="59"/>
  <c r="I185" i="59"/>
  <c r="M184" i="59"/>
  <c r="I184" i="59"/>
  <c r="M183" i="59"/>
  <c r="I183" i="59"/>
  <c r="M182" i="59"/>
  <c r="I182" i="59"/>
  <c r="M181" i="59"/>
  <c r="I181" i="59"/>
  <c r="M180" i="59"/>
  <c r="I180" i="59"/>
  <c r="M179" i="59"/>
  <c r="K179" i="59"/>
  <c r="I179" i="59"/>
  <c r="G179" i="59"/>
  <c r="M178" i="59"/>
  <c r="I178" i="59"/>
  <c r="M177" i="59"/>
  <c r="I177" i="59"/>
  <c r="M176" i="59"/>
  <c r="I176" i="59"/>
  <c r="M175" i="59"/>
  <c r="I175" i="59"/>
  <c r="M174" i="59"/>
  <c r="I174" i="59"/>
  <c r="M173" i="59"/>
  <c r="I173" i="59"/>
  <c r="M172" i="59"/>
  <c r="I172" i="59"/>
  <c r="M171" i="59"/>
  <c r="I171" i="59"/>
  <c r="M170" i="59"/>
  <c r="K170" i="59"/>
  <c r="I170" i="59"/>
  <c r="G170" i="59"/>
  <c r="M169" i="59"/>
  <c r="K169" i="59"/>
  <c r="I169" i="59"/>
  <c r="G169" i="59"/>
  <c r="M167" i="59"/>
  <c r="I167" i="59"/>
  <c r="M166" i="59"/>
  <c r="I166" i="59"/>
  <c r="M165" i="59"/>
  <c r="I165" i="59"/>
  <c r="M163" i="59"/>
  <c r="M158" i="59" s="1"/>
  <c r="M11" i="59" s="1"/>
  <c r="L21" i="57" s="1"/>
  <c r="K163" i="59"/>
  <c r="I163" i="59"/>
  <c r="G163" i="59"/>
  <c r="M162" i="59"/>
  <c r="K162" i="59"/>
  <c r="I162" i="59"/>
  <c r="G162" i="59"/>
  <c r="G158" i="59" s="1"/>
  <c r="G11" i="59" s="1"/>
  <c r="K161" i="59"/>
  <c r="K158" i="59" s="1"/>
  <c r="K11" i="59" s="1"/>
  <c r="H161" i="59"/>
  <c r="K160" i="59"/>
  <c r="H160" i="59"/>
  <c r="H158" i="59"/>
  <c r="O157" i="59"/>
  <c r="N157" i="59"/>
  <c r="M157" i="59"/>
  <c r="L157" i="59"/>
  <c r="K157" i="59"/>
  <c r="J157" i="59"/>
  <c r="I157" i="59"/>
  <c r="H157" i="59"/>
  <c r="G157" i="59"/>
  <c r="F157" i="59"/>
  <c r="O156" i="59"/>
  <c r="N156" i="59"/>
  <c r="M156" i="59"/>
  <c r="L156" i="59"/>
  <c r="K156" i="59"/>
  <c r="J156" i="59"/>
  <c r="I156" i="59"/>
  <c r="I152" i="59" s="1"/>
  <c r="I10" i="59" s="1"/>
  <c r="H156" i="59"/>
  <c r="H152" i="59" s="1"/>
  <c r="H10" i="59" s="1"/>
  <c r="G156" i="59"/>
  <c r="F156" i="59"/>
  <c r="O155" i="59"/>
  <c r="N155" i="59"/>
  <c r="M155" i="59"/>
  <c r="L155" i="59"/>
  <c r="K155" i="59"/>
  <c r="J155" i="59"/>
  <c r="I155" i="59"/>
  <c r="H155" i="59"/>
  <c r="G155" i="59"/>
  <c r="F155" i="59"/>
  <c r="O154" i="59"/>
  <c r="N154" i="59"/>
  <c r="M154" i="59"/>
  <c r="L154" i="59"/>
  <c r="K154" i="59"/>
  <c r="J154" i="59"/>
  <c r="I154" i="59"/>
  <c r="H154" i="59"/>
  <c r="G154" i="59"/>
  <c r="F154" i="59"/>
  <c r="O153" i="59"/>
  <c r="O152" i="59" s="1"/>
  <c r="O10" i="59" s="1"/>
  <c r="N153" i="59"/>
  <c r="N152" i="59" s="1"/>
  <c r="N10" i="59" s="1"/>
  <c r="M153" i="59"/>
  <c r="L153" i="59"/>
  <c r="K153" i="59"/>
  <c r="J153" i="59"/>
  <c r="I153" i="59"/>
  <c r="H153" i="59"/>
  <c r="G153" i="59"/>
  <c r="G152" i="59" s="1"/>
  <c r="G10" i="59" s="1"/>
  <c r="F153" i="59"/>
  <c r="F152" i="59" s="1"/>
  <c r="F10" i="59" s="1"/>
  <c r="D136" i="59"/>
  <c r="M136" i="59" s="1"/>
  <c r="D134" i="59"/>
  <c r="D124" i="59"/>
  <c r="G122" i="59"/>
  <c r="D122" i="59"/>
  <c r="D120" i="59"/>
  <c r="D116" i="59"/>
  <c r="D114" i="59"/>
  <c r="D108" i="59"/>
  <c r="M108" i="59" s="1"/>
  <c r="D106" i="59"/>
  <c r="I101" i="59"/>
  <c r="D101" i="59"/>
  <c r="M101" i="59" s="1"/>
  <c r="D92" i="59"/>
  <c r="I88" i="59"/>
  <c r="D88" i="59"/>
  <c r="M88" i="59" s="1"/>
  <c r="D86" i="59"/>
  <c r="D80" i="59"/>
  <c r="D142" i="59" s="1"/>
  <c r="D77" i="59"/>
  <c r="J77" i="59" s="1"/>
  <c r="D76" i="59"/>
  <c r="M76" i="59" s="1"/>
  <c r="D75" i="59"/>
  <c r="M74" i="59"/>
  <c r="I74" i="59"/>
  <c r="D74" i="59"/>
  <c r="I73" i="59"/>
  <c r="D73" i="59"/>
  <c r="M73" i="59" s="1"/>
  <c r="D72" i="59"/>
  <c r="M72" i="59" s="1"/>
  <c r="M71" i="59"/>
  <c r="I71" i="59"/>
  <c r="D71" i="59"/>
  <c r="M70" i="59"/>
  <c r="I70" i="59"/>
  <c r="D70" i="59"/>
  <c r="D69" i="59"/>
  <c r="D68" i="59"/>
  <c r="M68" i="59" s="1"/>
  <c r="D67" i="59"/>
  <c r="M66" i="59"/>
  <c r="I66" i="59"/>
  <c r="D66" i="59"/>
  <c r="I64" i="59"/>
  <c r="D64" i="59"/>
  <c r="M64" i="59" s="1"/>
  <c r="I63" i="59"/>
  <c r="D63" i="59"/>
  <c r="M63" i="59" s="1"/>
  <c r="M62" i="59"/>
  <c r="I62" i="59"/>
  <c r="D62" i="59"/>
  <c r="M61" i="59"/>
  <c r="I61" i="59"/>
  <c r="D61" i="59"/>
  <c r="M60" i="59"/>
  <c r="D60" i="59"/>
  <c r="I60" i="59" s="1"/>
  <c r="M59" i="59"/>
  <c r="K59" i="59"/>
  <c r="I59" i="59"/>
  <c r="G59" i="59"/>
  <c r="D59" i="59"/>
  <c r="M58" i="59"/>
  <c r="K58" i="59"/>
  <c r="I58" i="59"/>
  <c r="G58" i="59"/>
  <c r="D58" i="59"/>
  <c r="D57" i="59"/>
  <c r="M56" i="59"/>
  <c r="K56" i="59"/>
  <c r="G56" i="59"/>
  <c r="D56" i="59"/>
  <c r="I56" i="59" s="1"/>
  <c r="D55" i="59"/>
  <c r="O54" i="59"/>
  <c r="N54" i="59"/>
  <c r="L54" i="59"/>
  <c r="I54" i="59"/>
  <c r="H54" i="59"/>
  <c r="G54" i="59"/>
  <c r="F54" i="59"/>
  <c r="D54" i="59"/>
  <c r="M54" i="59" s="1"/>
  <c r="O53" i="59"/>
  <c r="N53" i="59"/>
  <c r="L53" i="59"/>
  <c r="K53" i="59"/>
  <c r="J53" i="59"/>
  <c r="I53" i="59"/>
  <c r="H53" i="59"/>
  <c r="G53" i="59"/>
  <c r="F53" i="59"/>
  <c r="D53" i="59"/>
  <c r="M53" i="59" s="1"/>
  <c r="M51" i="59"/>
  <c r="D51" i="59"/>
  <c r="I51" i="59" s="1"/>
  <c r="D50" i="59"/>
  <c r="M50" i="59" s="1"/>
  <c r="D49" i="59"/>
  <c r="M48" i="59"/>
  <c r="I48" i="59"/>
  <c r="D48" i="59"/>
  <c r="I47" i="59"/>
  <c r="D47" i="59"/>
  <c r="M47" i="59" s="1"/>
  <c r="D46" i="59"/>
  <c r="M46" i="59" s="1"/>
  <c r="M45" i="59"/>
  <c r="I45" i="59"/>
  <c r="D45" i="59"/>
  <c r="M44" i="59"/>
  <c r="I44" i="59"/>
  <c r="D44" i="59"/>
  <c r="D43" i="59"/>
  <c r="D42" i="59"/>
  <c r="M42" i="59" s="1"/>
  <c r="D41" i="59"/>
  <c r="M40" i="59"/>
  <c r="I40" i="59"/>
  <c r="D40" i="59"/>
  <c r="I39" i="59"/>
  <c r="D39" i="59"/>
  <c r="M39" i="59" s="1"/>
  <c r="I38" i="59"/>
  <c r="D38" i="59"/>
  <c r="M38" i="59" s="1"/>
  <c r="M37" i="59"/>
  <c r="I37" i="59"/>
  <c r="D37" i="59"/>
  <c r="D36" i="59"/>
  <c r="M35" i="59"/>
  <c r="I35" i="59"/>
  <c r="D35" i="59"/>
  <c r="M34" i="59"/>
  <c r="I34" i="59"/>
  <c r="D34" i="59"/>
  <c r="D33" i="59"/>
  <c r="M33" i="59" s="1"/>
  <c r="D32" i="59"/>
  <c r="M32" i="59" s="1"/>
  <c r="D31" i="59"/>
  <c r="M30" i="59"/>
  <c r="I30" i="59"/>
  <c r="D30" i="59"/>
  <c r="I29" i="59"/>
  <c r="D29" i="59"/>
  <c r="M29" i="59" s="1"/>
  <c r="D28" i="59"/>
  <c r="M27" i="59"/>
  <c r="K27" i="59"/>
  <c r="G27" i="59"/>
  <c r="D27" i="59"/>
  <c r="I27" i="59" s="1"/>
  <c r="K26" i="59"/>
  <c r="I26" i="59"/>
  <c r="G26" i="59"/>
  <c r="D26" i="59"/>
  <c r="M26" i="59" s="1"/>
  <c r="I24" i="59"/>
  <c r="D24" i="59"/>
  <c r="M24" i="59" s="1"/>
  <c r="D23" i="59"/>
  <c r="M22" i="59"/>
  <c r="I22" i="59"/>
  <c r="D22" i="59"/>
  <c r="G20" i="59"/>
  <c r="D20" i="59"/>
  <c r="M19" i="59"/>
  <c r="K19" i="59"/>
  <c r="G19" i="59"/>
  <c r="D19" i="59"/>
  <c r="I19" i="59" s="1"/>
  <c r="D18" i="59"/>
  <c r="K18" i="59" s="1"/>
  <c r="K17" i="59"/>
  <c r="H17" i="59"/>
  <c r="D17" i="59"/>
  <c r="F15" i="59"/>
  <c r="F81" i="59" s="1"/>
  <c r="H11" i="59"/>
  <c r="E6" i="59"/>
  <c r="F6" i="59" s="1"/>
  <c r="G4" i="59"/>
  <c r="H4" i="59" s="1"/>
  <c r="R163" i="58"/>
  <c r="R162" i="58"/>
  <c r="O161" i="58"/>
  <c r="K151" i="58"/>
  <c r="O147" i="58"/>
  <c r="E146" i="58"/>
  <c r="R145" i="58"/>
  <c r="R144" i="58"/>
  <c r="R143" i="58"/>
  <c r="R142" i="58"/>
  <c r="O132" i="58"/>
  <c r="G127" i="58"/>
  <c r="E126" i="58"/>
  <c r="R125" i="58"/>
  <c r="R124" i="58"/>
  <c r="R123" i="58"/>
  <c r="L119" i="58"/>
  <c r="G113" i="58"/>
  <c r="O110" i="58"/>
  <c r="J107" i="58"/>
  <c r="E106" i="58"/>
  <c r="R105" i="58"/>
  <c r="R104" i="58"/>
  <c r="H104" i="58"/>
  <c r="R103" i="58"/>
  <c r="G103" i="58"/>
  <c r="P99" i="58"/>
  <c r="K99" i="58"/>
  <c r="K97" i="58"/>
  <c r="O94" i="58"/>
  <c r="J94" i="58"/>
  <c r="N89" i="58"/>
  <c r="F87" i="58"/>
  <c r="E87" i="58"/>
  <c r="R85" i="58"/>
  <c r="R84" i="58"/>
  <c r="K84" i="58"/>
  <c r="R83" i="58"/>
  <c r="N82" i="58"/>
  <c r="L79" i="58"/>
  <c r="G76" i="58"/>
  <c r="J75" i="58"/>
  <c r="O73" i="58"/>
  <c r="J71" i="58"/>
  <c r="K68" i="58"/>
  <c r="O66" i="58"/>
  <c r="F64" i="58"/>
  <c r="E64" i="58"/>
  <c r="R63" i="58"/>
  <c r="N63" i="58"/>
  <c r="R62" i="58"/>
  <c r="M62" i="58"/>
  <c r="L62" i="58"/>
  <c r="N61" i="58"/>
  <c r="M60" i="58"/>
  <c r="I60" i="58"/>
  <c r="L58" i="58"/>
  <c r="I58" i="58"/>
  <c r="I56" i="58"/>
  <c r="H56" i="58"/>
  <c r="I54" i="58"/>
  <c r="H52" i="58"/>
  <c r="N49" i="58"/>
  <c r="P48" i="58"/>
  <c r="F46" i="58"/>
  <c r="E46" i="58"/>
  <c r="R45" i="58"/>
  <c r="O45" i="58"/>
  <c r="H45" i="58"/>
  <c r="R44" i="58"/>
  <c r="G44" i="58"/>
  <c r="O42" i="58"/>
  <c r="K42" i="58"/>
  <c r="H42" i="58"/>
  <c r="G42" i="58"/>
  <c r="K41" i="58"/>
  <c r="G41" i="58"/>
  <c r="O40" i="58"/>
  <c r="K40" i="58"/>
  <c r="O39" i="58"/>
  <c r="N39" i="58"/>
  <c r="K39" i="58"/>
  <c r="O38" i="58"/>
  <c r="N38" i="58"/>
  <c r="K38" i="58"/>
  <c r="P37" i="58"/>
  <c r="O37" i="58"/>
  <c r="K37" i="58"/>
  <c r="G37" i="58"/>
  <c r="P36" i="58"/>
  <c r="K36" i="58"/>
  <c r="H36" i="58"/>
  <c r="G36" i="58"/>
  <c r="K35" i="58"/>
  <c r="G35" i="58"/>
  <c r="N34" i="58"/>
  <c r="K34" i="58"/>
  <c r="H34" i="58"/>
  <c r="F33" i="58"/>
  <c r="E33" i="58"/>
  <c r="R32" i="58"/>
  <c r="M32" i="58"/>
  <c r="J32" i="58"/>
  <c r="R31" i="58"/>
  <c r="P31" i="58"/>
  <c r="M31" i="58"/>
  <c r="I31" i="58"/>
  <c r="H31" i="58"/>
  <c r="M30" i="58"/>
  <c r="J30" i="58"/>
  <c r="M29" i="58"/>
  <c r="L29" i="58"/>
  <c r="I29" i="58"/>
  <c r="P27" i="58"/>
  <c r="M27" i="58"/>
  <c r="I27" i="58"/>
  <c r="H27" i="58"/>
  <c r="M26" i="58"/>
  <c r="K26" i="58"/>
  <c r="J26" i="58"/>
  <c r="F25" i="58"/>
  <c r="E25" i="58"/>
  <c r="P21" i="58"/>
  <c r="P153" i="58" s="1"/>
  <c r="O21" i="58"/>
  <c r="O139" i="58" s="1"/>
  <c r="N21" i="58"/>
  <c r="N117" i="58" s="1"/>
  <c r="M21" i="58"/>
  <c r="L21" i="58"/>
  <c r="K21" i="58"/>
  <c r="J21" i="58"/>
  <c r="I21" i="58"/>
  <c r="H21" i="58"/>
  <c r="G21" i="58"/>
  <c r="P20" i="58"/>
  <c r="O20" i="58"/>
  <c r="N20" i="58"/>
  <c r="M20" i="58"/>
  <c r="L20" i="58"/>
  <c r="K20" i="58"/>
  <c r="J20" i="58"/>
  <c r="I20" i="58"/>
  <c r="H20" i="58"/>
  <c r="G20" i="58"/>
  <c r="P19" i="58"/>
  <c r="O19" i="58"/>
  <c r="N19" i="58"/>
  <c r="M19" i="58"/>
  <c r="L19" i="58"/>
  <c r="L93" i="58" s="1"/>
  <c r="K19" i="58"/>
  <c r="K101" i="58" s="1"/>
  <c r="J19" i="58"/>
  <c r="J102" i="58" s="1"/>
  <c r="I19" i="58"/>
  <c r="I98" i="58" s="1"/>
  <c r="H19" i="58"/>
  <c r="H96" i="58" s="1"/>
  <c r="G19" i="58"/>
  <c r="P18" i="58"/>
  <c r="O18" i="58"/>
  <c r="N18" i="58"/>
  <c r="M18" i="58"/>
  <c r="L18" i="58"/>
  <c r="K18" i="58"/>
  <c r="J18" i="58"/>
  <c r="I18" i="58"/>
  <c r="H18" i="58"/>
  <c r="G18" i="58"/>
  <c r="P17" i="58"/>
  <c r="P74" i="58" s="1"/>
  <c r="O17" i="58"/>
  <c r="O72" i="58" s="1"/>
  <c r="N17" i="58"/>
  <c r="N80" i="58" s="1"/>
  <c r="M17" i="58"/>
  <c r="M85" i="58" s="1"/>
  <c r="L17" i="58"/>
  <c r="L81" i="58" s="1"/>
  <c r="K17" i="58"/>
  <c r="J17" i="58"/>
  <c r="I17" i="58"/>
  <c r="H17" i="58"/>
  <c r="H67" i="58" s="1"/>
  <c r="G17" i="58"/>
  <c r="G77" i="58" s="1"/>
  <c r="P16" i="58"/>
  <c r="P52" i="58" s="1"/>
  <c r="O16" i="58"/>
  <c r="O61" i="58" s="1"/>
  <c r="N16" i="58"/>
  <c r="M16" i="58"/>
  <c r="M58" i="58" s="1"/>
  <c r="L16" i="58"/>
  <c r="K16" i="58"/>
  <c r="J16" i="58"/>
  <c r="I16" i="58"/>
  <c r="I63" i="58" s="1"/>
  <c r="H16" i="58"/>
  <c r="H48" i="58" s="1"/>
  <c r="G16" i="58"/>
  <c r="G51" i="58" s="1"/>
  <c r="P15" i="58"/>
  <c r="P45" i="58" s="1"/>
  <c r="O15" i="58"/>
  <c r="O41" i="58" s="1"/>
  <c r="N15" i="58"/>
  <c r="M15" i="58"/>
  <c r="M10" i="58" s="1"/>
  <c r="K22" i="57" s="1"/>
  <c r="L15" i="58"/>
  <c r="L40" i="58" s="1"/>
  <c r="K15" i="58"/>
  <c r="J15" i="58"/>
  <c r="J41" i="58" s="1"/>
  <c r="I15" i="58"/>
  <c r="I44" i="58" s="1"/>
  <c r="H15" i="58"/>
  <c r="H38" i="58" s="1"/>
  <c r="G15" i="58"/>
  <c r="G43" i="58" s="1"/>
  <c r="P14" i="58"/>
  <c r="P30" i="58" s="1"/>
  <c r="O14" i="58"/>
  <c r="O31" i="58" s="1"/>
  <c r="N14" i="58"/>
  <c r="N28" i="58" s="1"/>
  <c r="M14" i="58"/>
  <c r="M28" i="58" s="1"/>
  <c r="L14" i="58"/>
  <c r="L32" i="58" s="1"/>
  <c r="K14" i="58"/>
  <c r="K29" i="58" s="1"/>
  <c r="J14" i="58"/>
  <c r="J29" i="58" s="1"/>
  <c r="I14" i="58"/>
  <c r="I30" i="58" s="1"/>
  <c r="H14" i="58"/>
  <c r="H30" i="58" s="1"/>
  <c r="G14" i="58"/>
  <c r="G31" i="58" s="1"/>
  <c r="P13" i="58"/>
  <c r="P7" i="58" s="1"/>
  <c r="N13" i="57" s="1"/>
  <c r="I13" i="58"/>
  <c r="H13" i="58"/>
  <c r="H7" i="58" s="1"/>
  <c r="F13" i="57" s="1"/>
  <c r="K10" i="58"/>
  <c r="I22" i="57" s="1"/>
  <c r="J10" i="58"/>
  <c r="H22" i="57" s="1"/>
  <c r="I7" i="58"/>
  <c r="G13" i="57" s="1"/>
  <c r="G6" i="58"/>
  <c r="H6" i="58" s="1"/>
  <c r="G4" i="58"/>
  <c r="H4" i="58" s="1"/>
  <c r="I4" i="58" s="1"/>
  <c r="J4" i="58" s="1"/>
  <c r="K4" i="58" s="1"/>
  <c r="L4" i="58" s="1"/>
  <c r="M4" i="58" s="1"/>
  <c r="N4" i="58" s="1"/>
  <c r="O4" i="58" s="1"/>
  <c r="P4" i="58" s="1"/>
  <c r="N21" i="57"/>
  <c r="M21" i="57"/>
  <c r="K21" i="57"/>
  <c r="J21" i="57"/>
  <c r="I21" i="57"/>
  <c r="G21" i="57"/>
  <c r="F21" i="57"/>
  <c r="E21" i="57"/>
  <c r="N20" i="57"/>
  <c r="M20" i="57"/>
  <c r="H20" i="57"/>
  <c r="G20" i="57"/>
  <c r="F20" i="57"/>
  <c r="E20" i="57"/>
  <c r="A5" i="57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F4" i="57"/>
  <c r="G4" i="57" s="1"/>
  <c r="H4" i="57" s="1"/>
  <c r="I4" i="57" s="1"/>
  <c r="J4" i="57" s="1"/>
  <c r="K4" i="57" s="1"/>
  <c r="L4" i="57" s="1"/>
  <c r="M4" i="57" s="1"/>
  <c r="N4" i="57" s="1"/>
  <c r="E4" i="57"/>
  <c r="V3" i="4"/>
  <c r="R3" i="4"/>
  <c r="U9" i="4"/>
  <c r="Q9" i="4"/>
  <c r="B10" i="4"/>
  <c r="AC8" i="5"/>
  <c r="W43" i="34"/>
  <c r="W42" i="34"/>
  <c r="W41" i="34"/>
  <c r="I85" i="62" l="1"/>
  <c r="G85" i="62"/>
  <c r="M85" i="62"/>
  <c r="K85" i="62"/>
  <c r="M124" i="62"/>
  <c r="K124" i="62"/>
  <c r="I124" i="62"/>
  <c r="G124" i="62"/>
  <c r="M96" i="62"/>
  <c r="I96" i="62"/>
  <c r="M122" i="62"/>
  <c r="K122" i="62"/>
  <c r="I122" i="62"/>
  <c r="G122" i="62"/>
  <c r="I98" i="62"/>
  <c r="M98" i="62"/>
  <c r="K4" i="62"/>
  <c r="J15" i="62"/>
  <c r="J81" i="62" s="1"/>
  <c r="I16" i="62"/>
  <c r="I8" i="62" s="1"/>
  <c r="M115" i="62"/>
  <c r="I115" i="62"/>
  <c r="J120" i="62"/>
  <c r="I120" i="62"/>
  <c r="H120" i="62"/>
  <c r="L120" i="62"/>
  <c r="O120" i="62"/>
  <c r="G120" i="62"/>
  <c r="N120" i="62"/>
  <c r="F120" i="62"/>
  <c r="F82" i="62" s="1"/>
  <c r="F12" i="62" s="1"/>
  <c r="F9" i="62" s="1"/>
  <c r="M120" i="62"/>
  <c r="K120" i="62"/>
  <c r="M92" i="62"/>
  <c r="K92" i="62"/>
  <c r="I92" i="62"/>
  <c r="G92" i="62"/>
  <c r="M86" i="62"/>
  <c r="K86" i="62"/>
  <c r="I86" i="62"/>
  <c r="G86" i="62"/>
  <c r="M16" i="62"/>
  <c r="M8" i="62" s="1"/>
  <c r="M107" i="62"/>
  <c r="I107" i="62"/>
  <c r="M114" i="62"/>
  <c r="I114" i="62"/>
  <c r="K84" i="62"/>
  <c r="H84" i="62"/>
  <c r="H82" i="62" s="1"/>
  <c r="H12" i="62" s="1"/>
  <c r="H9" i="62" s="1"/>
  <c r="L16" i="62"/>
  <c r="L8" i="62" s="1"/>
  <c r="I116" i="62"/>
  <c r="M116" i="62"/>
  <c r="M88" i="62"/>
  <c r="I88" i="62"/>
  <c r="J16" i="62"/>
  <c r="J8" i="62" s="1"/>
  <c r="K16" i="62"/>
  <c r="K8" i="62" s="1"/>
  <c r="M135" i="62"/>
  <c r="I135" i="62"/>
  <c r="M142" i="62"/>
  <c r="I142" i="62"/>
  <c r="I6" i="62"/>
  <c r="I5" i="62"/>
  <c r="M128" i="62"/>
  <c r="I128" i="62"/>
  <c r="M129" i="62"/>
  <c r="I129" i="62"/>
  <c r="M106" i="62"/>
  <c r="I106" i="62"/>
  <c r="I136" i="62"/>
  <c r="M136" i="62"/>
  <c r="I108" i="62"/>
  <c r="M108" i="62"/>
  <c r="O121" i="62"/>
  <c r="G121" i="62"/>
  <c r="N121" i="62"/>
  <c r="N82" i="62" s="1"/>
  <c r="N12" i="62" s="1"/>
  <c r="N9" i="62" s="1"/>
  <c r="F121" i="62"/>
  <c r="M121" i="62"/>
  <c r="L121" i="62"/>
  <c r="I121" i="62"/>
  <c r="K121" i="62"/>
  <c r="J121" i="62"/>
  <c r="H121" i="62"/>
  <c r="I123" i="62"/>
  <c r="G123" i="62"/>
  <c r="M123" i="62"/>
  <c r="K123" i="62"/>
  <c r="M97" i="62"/>
  <c r="I97" i="62"/>
  <c r="G16" i="62"/>
  <c r="G8" i="62" s="1"/>
  <c r="M134" i="62"/>
  <c r="I134" i="62"/>
  <c r="I130" i="62"/>
  <c r="M130" i="62"/>
  <c r="G24" i="61"/>
  <c r="G9" i="61" s="1"/>
  <c r="G8" i="61" s="1"/>
  <c r="P24" i="61"/>
  <c r="P9" i="61" s="1"/>
  <c r="P8" i="61" s="1"/>
  <c r="I5" i="61"/>
  <c r="I6" i="61"/>
  <c r="H24" i="61"/>
  <c r="H9" i="61" s="1"/>
  <c r="H8" i="61" s="1"/>
  <c r="N24" i="61"/>
  <c r="N9" i="61" s="1"/>
  <c r="N8" i="61" s="1"/>
  <c r="M24" i="61"/>
  <c r="M9" i="61" s="1"/>
  <c r="M8" i="61" s="1"/>
  <c r="L24" i="61"/>
  <c r="L9" i="61" s="1"/>
  <c r="L8" i="61" s="1"/>
  <c r="K24" i="61"/>
  <c r="K9" i="61" s="1"/>
  <c r="K8" i="61" s="1"/>
  <c r="I24" i="61"/>
  <c r="I9" i="61" s="1"/>
  <c r="I8" i="61" s="1"/>
  <c r="O24" i="61"/>
  <c r="O9" i="61" s="1"/>
  <c r="O8" i="61" s="1"/>
  <c r="J24" i="61"/>
  <c r="J9" i="61" s="1"/>
  <c r="J8" i="61" s="1"/>
  <c r="I6" i="58"/>
  <c r="I5" i="58"/>
  <c r="I85" i="58"/>
  <c r="I82" i="58"/>
  <c r="I78" i="58"/>
  <c r="I74" i="58"/>
  <c r="I81" i="58"/>
  <c r="I77" i="58"/>
  <c r="I73" i="58"/>
  <c r="I68" i="58"/>
  <c r="I67" i="58"/>
  <c r="I84" i="58"/>
  <c r="I76" i="58"/>
  <c r="I75" i="58"/>
  <c r="I71" i="58"/>
  <c r="I66" i="58"/>
  <c r="I70" i="58"/>
  <c r="M105" i="58"/>
  <c r="M103" i="58"/>
  <c r="M101" i="58"/>
  <c r="M97" i="58"/>
  <c r="M93" i="58"/>
  <c r="M89" i="58"/>
  <c r="M100" i="58"/>
  <c r="M91" i="58"/>
  <c r="M96" i="58"/>
  <c r="M104" i="58"/>
  <c r="M92" i="58"/>
  <c r="M88" i="58"/>
  <c r="M102" i="58"/>
  <c r="M94" i="58"/>
  <c r="M99" i="58"/>
  <c r="M90" i="58"/>
  <c r="I159" i="58"/>
  <c r="I155" i="58"/>
  <c r="I161" i="58"/>
  <c r="I157" i="58"/>
  <c r="I153" i="58"/>
  <c r="I149" i="58"/>
  <c r="I152" i="58"/>
  <c r="I145" i="58"/>
  <c r="I123" i="58"/>
  <c r="I119" i="58"/>
  <c r="I115" i="58"/>
  <c r="I111" i="58"/>
  <c r="I107" i="58"/>
  <c r="I148" i="58"/>
  <c r="I122" i="58"/>
  <c r="I118" i="58"/>
  <c r="I114" i="58"/>
  <c r="I110" i="58"/>
  <c r="I162" i="58"/>
  <c r="I144" i="58"/>
  <c r="I141" i="58"/>
  <c r="I137" i="58"/>
  <c r="I133" i="58"/>
  <c r="I129" i="58"/>
  <c r="I154" i="58"/>
  <c r="I147" i="58"/>
  <c r="I121" i="58"/>
  <c r="I117" i="58"/>
  <c r="I113" i="58"/>
  <c r="I163" i="58"/>
  <c r="I142" i="58"/>
  <c r="I134" i="58"/>
  <c r="I116" i="58"/>
  <c r="I151" i="58"/>
  <c r="I140" i="58"/>
  <c r="I132" i="58"/>
  <c r="I112" i="58"/>
  <c r="I156" i="58"/>
  <c r="I143" i="58"/>
  <c r="I158" i="58"/>
  <c r="I136" i="58"/>
  <c r="I128" i="58"/>
  <c r="I150" i="58"/>
  <c r="I139" i="58"/>
  <c r="I130" i="58"/>
  <c r="I109" i="58"/>
  <c r="I138" i="58"/>
  <c r="I160" i="58"/>
  <c r="I127" i="58"/>
  <c r="I120" i="58"/>
  <c r="I34" i="58"/>
  <c r="L43" i="58"/>
  <c r="O47" i="58"/>
  <c r="I80" i="58"/>
  <c r="I135" i="58"/>
  <c r="L10" i="58"/>
  <c r="J22" i="57" s="1"/>
  <c r="J13" i="58"/>
  <c r="J7" i="58" s="1"/>
  <c r="H13" i="57" s="1"/>
  <c r="N44" i="58"/>
  <c r="N40" i="58"/>
  <c r="N36" i="58"/>
  <c r="N45" i="58"/>
  <c r="N41" i="58"/>
  <c r="L60" i="58"/>
  <c r="L56" i="58"/>
  <c r="L52" i="58"/>
  <c r="L48" i="58"/>
  <c r="L63" i="58"/>
  <c r="L59" i="58"/>
  <c r="L55" i="58"/>
  <c r="L51" i="58"/>
  <c r="L47" i="58"/>
  <c r="L61" i="58"/>
  <c r="L57" i="58"/>
  <c r="L53" i="58"/>
  <c r="L49" i="58"/>
  <c r="J84" i="58"/>
  <c r="J83" i="58"/>
  <c r="J81" i="58"/>
  <c r="J68" i="58"/>
  <c r="J82" i="58"/>
  <c r="J67" i="58"/>
  <c r="J73" i="58"/>
  <c r="J72" i="58"/>
  <c r="J77" i="58"/>
  <c r="J70" i="58"/>
  <c r="J85" i="58"/>
  <c r="J80" i="58"/>
  <c r="J79" i="58"/>
  <c r="J78" i="58"/>
  <c r="J69" i="58"/>
  <c r="J65" i="58"/>
  <c r="N103" i="58"/>
  <c r="N99" i="58"/>
  <c r="N95" i="58"/>
  <c r="N91" i="58"/>
  <c r="N102" i="58"/>
  <c r="N98" i="58"/>
  <c r="N94" i="58"/>
  <c r="N90" i="58"/>
  <c r="N104" i="58"/>
  <c r="N96" i="58"/>
  <c r="N92" i="58"/>
  <c r="N101" i="58"/>
  <c r="N97" i="58"/>
  <c r="N88" i="58"/>
  <c r="N93" i="58"/>
  <c r="J162" i="58"/>
  <c r="J158" i="58"/>
  <c r="J154" i="58"/>
  <c r="J150" i="58"/>
  <c r="J161" i="58"/>
  <c r="J157" i="58"/>
  <c r="J153" i="58"/>
  <c r="J149" i="58"/>
  <c r="J156" i="58"/>
  <c r="J142" i="58"/>
  <c r="J138" i="58"/>
  <c r="J134" i="58"/>
  <c r="J130" i="58"/>
  <c r="J159" i="58"/>
  <c r="J144" i="58"/>
  <c r="J141" i="58"/>
  <c r="J137" i="58"/>
  <c r="J133" i="58"/>
  <c r="J129" i="58"/>
  <c r="J147" i="58"/>
  <c r="J160" i="58"/>
  <c r="J140" i="58"/>
  <c r="J136" i="58"/>
  <c r="J132" i="58"/>
  <c r="J128" i="58"/>
  <c r="J124" i="58"/>
  <c r="J151" i="58"/>
  <c r="J121" i="58"/>
  <c r="J112" i="58"/>
  <c r="J111" i="58"/>
  <c r="J143" i="58"/>
  <c r="J117" i="58"/>
  <c r="J148" i="58"/>
  <c r="J135" i="58"/>
  <c r="J127" i="58"/>
  <c r="J122" i="58"/>
  <c r="J113" i="58"/>
  <c r="J152" i="58"/>
  <c r="J119" i="58"/>
  <c r="J145" i="58"/>
  <c r="J139" i="58"/>
  <c r="J131" i="58"/>
  <c r="J120" i="58"/>
  <c r="J115" i="58"/>
  <c r="J109" i="58"/>
  <c r="J108" i="58"/>
  <c r="J163" i="58"/>
  <c r="J118" i="58"/>
  <c r="J155" i="58"/>
  <c r="J110" i="58"/>
  <c r="L26" i="58"/>
  <c r="J27" i="58"/>
  <c r="J9" i="58" s="1"/>
  <c r="H28" i="58"/>
  <c r="P28" i="58"/>
  <c r="N29" i="58"/>
  <c r="L30" i="58"/>
  <c r="J31" i="58"/>
  <c r="G32" i="58"/>
  <c r="O32" i="58"/>
  <c r="J35" i="58"/>
  <c r="I36" i="58"/>
  <c r="H37" i="58"/>
  <c r="G38" i="58"/>
  <c r="P38" i="58"/>
  <c r="G40" i="58"/>
  <c r="H41" i="58"/>
  <c r="I42" i="58"/>
  <c r="M43" i="58"/>
  <c r="O44" i="58"/>
  <c r="I50" i="58"/>
  <c r="I52" i="58"/>
  <c r="L54" i="58"/>
  <c r="M56" i="58"/>
  <c r="P60" i="58"/>
  <c r="L65" i="58"/>
  <c r="N68" i="58"/>
  <c r="I72" i="58"/>
  <c r="J76" i="58"/>
  <c r="H85" i="58"/>
  <c r="L90" i="58"/>
  <c r="M95" i="58"/>
  <c r="N100" i="58"/>
  <c r="N105" i="58"/>
  <c r="J114" i="58"/>
  <c r="O136" i="58"/>
  <c r="K60" i="58"/>
  <c r="K56" i="58"/>
  <c r="K52" i="58"/>
  <c r="K48" i="58"/>
  <c r="K63" i="58"/>
  <c r="K62" i="58"/>
  <c r="K58" i="58"/>
  <c r="K54" i="58"/>
  <c r="K50" i="58"/>
  <c r="O28" i="58"/>
  <c r="I35" i="58"/>
  <c r="I65" i="58"/>
  <c r="I124" i="58"/>
  <c r="K13" i="58"/>
  <c r="K7" i="58" s="1"/>
  <c r="I13" i="57" s="1"/>
  <c r="M63" i="58"/>
  <c r="M59" i="58"/>
  <c r="M55" i="58"/>
  <c r="M51" i="58"/>
  <c r="M47" i="58"/>
  <c r="M61" i="58"/>
  <c r="M57" i="58"/>
  <c r="M53" i="58"/>
  <c r="M49" i="58"/>
  <c r="K81" i="58"/>
  <c r="K77" i="58"/>
  <c r="K73" i="58"/>
  <c r="K80" i="58"/>
  <c r="K76" i="58"/>
  <c r="K72" i="58"/>
  <c r="K82" i="58"/>
  <c r="K67" i="58"/>
  <c r="K83" i="58"/>
  <c r="K75" i="58"/>
  <c r="K74" i="58"/>
  <c r="K71" i="58"/>
  <c r="K66" i="58"/>
  <c r="K85" i="58"/>
  <c r="K79" i="58"/>
  <c r="K78" i="58"/>
  <c r="K69" i="58"/>
  <c r="K65" i="58"/>
  <c r="G105" i="58"/>
  <c r="G102" i="58"/>
  <c r="G100" i="58"/>
  <c r="G96" i="58"/>
  <c r="G92" i="58"/>
  <c r="G88" i="58"/>
  <c r="G98" i="58"/>
  <c r="G89" i="58"/>
  <c r="G94" i="58"/>
  <c r="G99" i="58"/>
  <c r="G90" i="58"/>
  <c r="G95" i="58"/>
  <c r="G104" i="58"/>
  <c r="G101" i="58"/>
  <c r="G97" i="58"/>
  <c r="O102" i="58"/>
  <c r="O100" i="58"/>
  <c r="O96" i="58"/>
  <c r="O92" i="58"/>
  <c r="O88" i="58"/>
  <c r="O103" i="58"/>
  <c r="O104" i="58"/>
  <c r="O101" i="58"/>
  <c r="O97" i="58"/>
  <c r="O93" i="58"/>
  <c r="O105" i="58"/>
  <c r="O98" i="58"/>
  <c r="O89" i="58"/>
  <c r="O99" i="58"/>
  <c r="O90" i="58"/>
  <c r="O95" i="58"/>
  <c r="K162" i="58"/>
  <c r="K158" i="58"/>
  <c r="K160" i="58"/>
  <c r="K156" i="58"/>
  <c r="K152" i="58"/>
  <c r="K148" i="58"/>
  <c r="K122" i="58"/>
  <c r="K118" i="58"/>
  <c r="K114" i="58"/>
  <c r="K110" i="58"/>
  <c r="K149" i="58"/>
  <c r="K147" i="58"/>
  <c r="K121" i="58"/>
  <c r="K117" i="58"/>
  <c r="K113" i="58"/>
  <c r="K109" i="58"/>
  <c r="K157" i="58"/>
  <c r="K154" i="58"/>
  <c r="K140" i="58"/>
  <c r="K136" i="58"/>
  <c r="K132" i="58"/>
  <c r="K128" i="58"/>
  <c r="K163" i="58"/>
  <c r="K150" i="58"/>
  <c r="K143" i="58"/>
  <c r="K120" i="58"/>
  <c r="K116" i="58"/>
  <c r="K112" i="58"/>
  <c r="K137" i="58"/>
  <c r="K129" i="58"/>
  <c r="K135" i="58"/>
  <c r="K127" i="58"/>
  <c r="K159" i="58"/>
  <c r="K153" i="58"/>
  <c r="K161" i="58"/>
  <c r="K145" i="58"/>
  <c r="K139" i="58"/>
  <c r="K131" i="58"/>
  <c r="K115" i="58"/>
  <c r="K108" i="58"/>
  <c r="K107" i="58"/>
  <c r="K130" i="58"/>
  <c r="K119" i="58"/>
  <c r="K138" i="58"/>
  <c r="K134" i="58"/>
  <c r="K155" i="58"/>
  <c r="K142" i="58"/>
  <c r="K133" i="58"/>
  <c r="K124" i="58"/>
  <c r="K111" i="58"/>
  <c r="K144" i="58"/>
  <c r="K123" i="58"/>
  <c r="K27" i="58"/>
  <c r="I28" i="58"/>
  <c r="G29" i="58"/>
  <c r="O29" i="58"/>
  <c r="K31" i="58"/>
  <c r="H32" i="58"/>
  <c r="P32" i="58"/>
  <c r="L34" i="58"/>
  <c r="J36" i="58"/>
  <c r="I37" i="58"/>
  <c r="G39" i="58"/>
  <c r="I40" i="58"/>
  <c r="I41" i="58"/>
  <c r="N43" i="58"/>
  <c r="I48" i="58"/>
  <c r="L50" i="58"/>
  <c r="M52" i="58"/>
  <c r="M54" i="58"/>
  <c r="P56" i="58"/>
  <c r="G59" i="58"/>
  <c r="G61" i="58"/>
  <c r="G66" i="58"/>
  <c r="I69" i="58"/>
  <c r="G91" i="58"/>
  <c r="J116" i="58"/>
  <c r="J61" i="58"/>
  <c r="J57" i="58"/>
  <c r="J53" i="58"/>
  <c r="J49" i="58"/>
  <c r="J60" i="58"/>
  <c r="J56" i="58"/>
  <c r="J52" i="58"/>
  <c r="J48" i="58"/>
  <c r="J62" i="58"/>
  <c r="J58" i="58"/>
  <c r="J54" i="58"/>
  <c r="J50" i="58"/>
  <c r="M42" i="58"/>
  <c r="M45" i="58"/>
  <c r="G28" i="58"/>
  <c r="K30" i="58"/>
  <c r="N32" i="58"/>
  <c r="M44" i="58"/>
  <c r="O49" i="58"/>
  <c r="P71" i="58"/>
  <c r="M69" i="59"/>
  <c r="I69" i="59"/>
  <c r="M142" i="59"/>
  <c r="I142" i="59"/>
  <c r="H5" i="58"/>
  <c r="N10" i="58"/>
  <c r="L22" i="57" s="1"/>
  <c r="L13" i="58"/>
  <c r="L7" i="58" s="1"/>
  <c r="J13" i="57" s="1"/>
  <c r="H43" i="58"/>
  <c r="H39" i="58"/>
  <c r="H35" i="58"/>
  <c r="H44" i="58"/>
  <c r="H40" i="58"/>
  <c r="P43" i="58"/>
  <c r="P39" i="58"/>
  <c r="P35" i="58"/>
  <c r="P44" i="58"/>
  <c r="P40" i="58"/>
  <c r="N59" i="58"/>
  <c r="N55" i="58"/>
  <c r="N51" i="58"/>
  <c r="N47" i="58"/>
  <c r="N62" i="58"/>
  <c r="N58" i="58"/>
  <c r="N54" i="58"/>
  <c r="N50" i="58"/>
  <c r="N60" i="58"/>
  <c r="N56" i="58"/>
  <c r="N52" i="58"/>
  <c r="N48" i="58"/>
  <c r="L84" i="58"/>
  <c r="L85" i="58"/>
  <c r="L82" i="58"/>
  <c r="L67" i="58"/>
  <c r="L83" i="58"/>
  <c r="L75" i="58"/>
  <c r="L74" i="58"/>
  <c r="L73" i="58"/>
  <c r="L72" i="58"/>
  <c r="L71" i="58"/>
  <c r="L66" i="58"/>
  <c r="L76" i="58"/>
  <c r="L70" i="58"/>
  <c r="L80" i="58"/>
  <c r="L68" i="58"/>
  <c r="H105" i="58"/>
  <c r="H102" i="58"/>
  <c r="H98" i="58"/>
  <c r="H94" i="58"/>
  <c r="H90" i="58"/>
  <c r="H101" i="58"/>
  <c r="H97" i="58"/>
  <c r="H93" i="58"/>
  <c r="H89" i="58"/>
  <c r="H99" i="58"/>
  <c r="H95" i="58"/>
  <c r="H103" i="58"/>
  <c r="H100" i="58"/>
  <c r="H91" i="58"/>
  <c r="H92" i="58"/>
  <c r="H88" i="58"/>
  <c r="P102" i="58"/>
  <c r="P98" i="58"/>
  <c r="P94" i="58"/>
  <c r="P90" i="58"/>
  <c r="P105" i="58"/>
  <c r="P101" i="58"/>
  <c r="P97" i="58"/>
  <c r="P93" i="58"/>
  <c r="P89" i="58"/>
  <c r="P104" i="58"/>
  <c r="P92" i="58"/>
  <c r="P88" i="58"/>
  <c r="P95" i="58"/>
  <c r="P100" i="58"/>
  <c r="P91" i="58"/>
  <c r="L161" i="58"/>
  <c r="L157" i="58"/>
  <c r="L153" i="58"/>
  <c r="L149" i="58"/>
  <c r="L160" i="58"/>
  <c r="L156" i="58"/>
  <c r="L152" i="58"/>
  <c r="L148" i="58"/>
  <c r="L163" i="58"/>
  <c r="L159" i="58"/>
  <c r="L144" i="58"/>
  <c r="L141" i="58"/>
  <c r="L137" i="58"/>
  <c r="L133" i="58"/>
  <c r="L129" i="58"/>
  <c r="L162" i="58"/>
  <c r="L154" i="58"/>
  <c r="L140" i="58"/>
  <c r="L136" i="58"/>
  <c r="L132" i="58"/>
  <c r="L128" i="58"/>
  <c r="L124" i="58"/>
  <c r="L150" i="58"/>
  <c r="L143" i="58"/>
  <c r="L155" i="58"/>
  <c r="L151" i="58"/>
  <c r="L139" i="58"/>
  <c r="L135" i="58"/>
  <c r="L131" i="58"/>
  <c r="L127" i="58"/>
  <c r="L117" i="58"/>
  <c r="L122" i="58"/>
  <c r="L113" i="58"/>
  <c r="L138" i="58"/>
  <c r="L130" i="58"/>
  <c r="L123" i="58"/>
  <c r="L118" i="58"/>
  <c r="L120" i="58"/>
  <c r="L109" i="58"/>
  <c r="L147" i="58"/>
  <c r="L142" i="58"/>
  <c r="L134" i="58"/>
  <c r="L116" i="58"/>
  <c r="L111" i="58"/>
  <c r="L110" i="58"/>
  <c r="L158" i="58"/>
  <c r="L112" i="58"/>
  <c r="L145" i="58"/>
  <c r="L115" i="58"/>
  <c r="L121" i="58"/>
  <c r="L114" i="58"/>
  <c r="L108" i="58"/>
  <c r="L107" i="58"/>
  <c r="N26" i="58"/>
  <c r="L27" i="58"/>
  <c r="J28" i="58"/>
  <c r="H29" i="58"/>
  <c r="P29" i="58"/>
  <c r="N30" i="58"/>
  <c r="L31" i="58"/>
  <c r="I32" i="58"/>
  <c r="M34" i="58"/>
  <c r="M9" i="58" s="1"/>
  <c r="L35" i="58"/>
  <c r="J37" i="58"/>
  <c r="I38" i="58"/>
  <c r="I39" i="58"/>
  <c r="J40" i="58"/>
  <c r="N42" i="58"/>
  <c r="O43" i="58"/>
  <c r="G45" i="58"/>
  <c r="M48" i="58"/>
  <c r="M50" i="58"/>
  <c r="G55" i="58"/>
  <c r="G57" i="58"/>
  <c r="J59" i="58"/>
  <c r="K61" i="58"/>
  <c r="J63" i="58"/>
  <c r="J66" i="58"/>
  <c r="L69" i="58"/>
  <c r="H73" i="58"/>
  <c r="L77" i="58"/>
  <c r="P81" i="58"/>
  <c r="O91" i="58"/>
  <c r="P96" i="58"/>
  <c r="K141" i="58"/>
  <c r="M80" i="58"/>
  <c r="M76" i="58"/>
  <c r="M83" i="58"/>
  <c r="M79" i="58"/>
  <c r="M75" i="58"/>
  <c r="M71" i="58"/>
  <c r="M82" i="58"/>
  <c r="M74" i="58"/>
  <c r="M73" i="58"/>
  <c r="M72" i="58"/>
  <c r="M66" i="58"/>
  <c r="M70" i="58"/>
  <c r="M84" i="58"/>
  <c r="M78" i="58"/>
  <c r="M77" i="58"/>
  <c r="M69" i="58"/>
  <c r="M65" i="58"/>
  <c r="M68" i="58"/>
  <c r="M81" i="58"/>
  <c r="M161" i="58"/>
  <c r="M157" i="58"/>
  <c r="M163" i="58"/>
  <c r="M159" i="58"/>
  <c r="M155" i="58"/>
  <c r="M151" i="58"/>
  <c r="M153" i="58"/>
  <c r="M147" i="58"/>
  <c r="M121" i="58"/>
  <c r="M117" i="58"/>
  <c r="M113" i="58"/>
  <c r="M109" i="58"/>
  <c r="M150" i="58"/>
  <c r="M143" i="58"/>
  <c r="M120" i="58"/>
  <c r="M116" i="58"/>
  <c r="M112" i="58"/>
  <c r="M108" i="58"/>
  <c r="M160" i="58"/>
  <c r="M139" i="58"/>
  <c r="M135" i="58"/>
  <c r="M131" i="58"/>
  <c r="M127" i="58"/>
  <c r="M145" i="58"/>
  <c r="M123" i="58"/>
  <c r="M119" i="58"/>
  <c r="M115" i="58"/>
  <c r="M140" i="58"/>
  <c r="M132" i="58"/>
  <c r="M122" i="58"/>
  <c r="M156" i="58"/>
  <c r="M148" i="58"/>
  <c r="M138" i="58"/>
  <c r="M130" i="58"/>
  <c r="M118" i="58"/>
  <c r="M162" i="58"/>
  <c r="M124" i="58"/>
  <c r="M114" i="58"/>
  <c r="M142" i="58"/>
  <c r="M134" i="58"/>
  <c r="M111" i="58"/>
  <c r="M110" i="58"/>
  <c r="M154" i="58"/>
  <c r="M149" i="58"/>
  <c r="M133" i="58"/>
  <c r="M129" i="58"/>
  <c r="M141" i="58"/>
  <c r="M137" i="58"/>
  <c r="M136" i="58"/>
  <c r="M107" i="58"/>
  <c r="M152" i="58"/>
  <c r="O26" i="58"/>
  <c r="K28" i="58"/>
  <c r="M35" i="58"/>
  <c r="J55" i="58"/>
  <c r="K59" i="58"/>
  <c r="H70" i="58"/>
  <c r="H78" i="58"/>
  <c r="I92" i="58"/>
  <c r="G10" i="58"/>
  <c r="E22" i="57" s="1"/>
  <c r="M13" i="58"/>
  <c r="M7" i="58" s="1"/>
  <c r="K13" i="57" s="1"/>
  <c r="G62" i="58"/>
  <c r="G58" i="58"/>
  <c r="G54" i="58"/>
  <c r="G50" i="58"/>
  <c r="G60" i="58"/>
  <c r="G56" i="58"/>
  <c r="G52" i="58"/>
  <c r="G48" i="58"/>
  <c r="G63" i="58"/>
  <c r="G30" i="58"/>
  <c r="O30" i="58"/>
  <c r="L36" i="58"/>
  <c r="H10" i="58"/>
  <c r="F22" i="57" s="1"/>
  <c r="P10" i="58"/>
  <c r="N22" i="57" s="1"/>
  <c r="N13" i="58"/>
  <c r="N7" i="58" s="1"/>
  <c r="L13" i="57" s="1"/>
  <c r="J42" i="58"/>
  <c r="J38" i="58"/>
  <c r="J34" i="58"/>
  <c r="J43" i="58"/>
  <c r="J39" i="58"/>
  <c r="H62" i="58"/>
  <c r="H58" i="58"/>
  <c r="H54" i="58"/>
  <c r="H50" i="58"/>
  <c r="H61" i="58"/>
  <c r="H57" i="58"/>
  <c r="H53" i="58"/>
  <c r="H49" i="58"/>
  <c r="H63" i="58"/>
  <c r="H59" i="58"/>
  <c r="H55" i="58"/>
  <c r="H51" i="58"/>
  <c r="H47" i="58"/>
  <c r="P62" i="58"/>
  <c r="P58" i="58"/>
  <c r="P54" i="58"/>
  <c r="P50" i="58"/>
  <c r="P61" i="58"/>
  <c r="P57" i="58"/>
  <c r="P53" i="58"/>
  <c r="P49" i="58"/>
  <c r="P63" i="58"/>
  <c r="P59" i="58"/>
  <c r="P55" i="58"/>
  <c r="P51" i="58"/>
  <c r="P47" i="58"/>
  <c r="N81" i="58"/>
  <c r="N74" i="58"/>
  <c r="N73" i="58"/>
  <c r="N72" i="58"/>
  <c r="N66" i="58"/>
  <c r="N83" i="58"/>
  <c r="N75" i="58"/>
  <c r="N71" i="58"/>
  <c r="N70" i="58"/>
  <c r="N84" i="58"/>
  <c r="N78" i="58"/>
  <c r="N77" i="58"/>
  <c r="N76" i="58"/>
  <c r="N69" i="58"/>
  <c r="N65" i="58"/>
  <c r="N85" i="58"/>
  <c r="N79" i="58"/>
  <c r="N67" i="58"/>
  <c r="J101" i="58"/>
  <c r="J97" i="58"/>
  <c r="J93" i="58"/>
  <c r="J89" i="58"/>
  <c r="J104" i="58"/>
  <c r="J100" i="58"/>
  <c r="J96" i="58"/>
  <c r="J92" i="58"/>
  <c r="J88" i="58"/>
  <c r="J99" i="58"/>
  <c r="J90" i="58"/>
  <c r="J95" i="58"/>
  <c r="J103" i="58"/>
  <c r="J91" i="58"/>
  <c r="J105" i="58"/>
  <c r="J98" i="58"/>
  <c r="N160" i="58"/>
  <c r="N156" i="58"/>
  <c r="N152" i="58"/>
  <c r="N148" i="58"/>
  <c r="N163" i="58"/>
  <c r="N159" i="58"/>
  <c r="N155" i="58"/>
  <c r="N151" i="58"/>
  <c r="N162" i="58"/>
  <c r="N154" i="58"/>
  <c r="N149" i="58"/>
  <c r="N140" i="58"/>
  <c r="N136" i="58"/>
  <c r="N132" i="58"/>
  <c r="N128" i="58"/>
  <c r="N124" i="58"/>
  <c r="N157" i="58"/>
  <c r="N139" i="58"/>
  <c r="N135" i="58"/>
  <c r="N131" i="58"/>
  <c r="N127" i="58"/>
  <c r="N145" i="58"/>
  <c r="N158" i="58"/>
  <c r="N142" i="58"/>
  <c r="N138" i="58"/>
  <c r="N134" i="58"/>
  <c r="N130" i="58"/>
  <c r="N143" i="58"/>
  <c r="N118" i="58"/>
  <c r="N113" i="58"/>
  <c r="N153" i="58"/>
  <c r="N123" i="58"/>
  <c r="N114" i="58"/>
  <c r="N150" i="58"/>
  <c r="N144" i="58"/>
  <c r="N141" i="58"/>
  <c r="N133" i="58"/>
  <c r="N119" i="58"/>
  <c r="N107" i="58"/>
  <c r="N147" i="58"/>
  <c r="N116" i="58"/>
  <c r="N137" i="58"/>
  <c r="N129" i="58"/>
  <c r="N121" i="58"/>
  <c r="N112" i="58"/>
  <c r="N122" i="58"/>
  <c r="N115" i="58"/>
  <c r="N109" i="58"/>
  <c r="N111" i="58"/>
  <c r="N108" i="58"/>
  <c r="N161" i="58"/>
  <c r="N120" i="58"/>
  <c r="N110" i="58"/>
  <c r="H26" i="58"/>
  <c r="P26" i="58"/>
  <c r="N27" i="58"/>
  <c r="L28" i="58"/>
  <c r="N31" i="58"/>
  <c r="K32" i="58"/>
  <c r="K9" i="58" s="1"/>
  <c r="O34" i="58"/>
  <c r="N35" i="58"/>
  <c r="M36" i="58"/>
  <c r="M37" i="58"/>
  <c r="L38" i="58"/>
  <c r="L39" i="58"/>
  <c r="M41" i="58"/>
  <c r="P42" i="58"/>
  <c r="J44" i="58"/>
  <c r="I45" i="58"/>
  <c r="G47" i="58"/>
  <c r="G49" i="58"/>
  <c r="J51" i="58"/>
  <c r="K53" i="58"/>
  <c r="K55" i="58"/>
  <c r="N57" i="58"/>
  <c r="O59" i="58"/>
  <c r="K70" i="58"/>
  <c r="J74" i="58"/>
  <c r="L78" i="58"/>
  <c r="I83" i="58"/>
  <c r="G93" i="58"/>
  <c r="P103" i="58"/>
  <c r="I108" i="58"/>
  <c r="P120" i="58"/>
  <c r="M128" i="58"/>
  <c r="P143" i="58"/>
  <c r="L41" i="58"/>
  <c r="L37" i="58"/>
  <c r="L42" i="58"/>
  <c r="O10" i="58"/>
  <c r="M22" i="57" s="1"/>
  <c r="O62" i="58"/>
  <c r="O58" i="58"/>
  <c r="O54" i="58"/>
  <c r="O50" i="58"/>
  <c r="O60" i="58"/>
  <c r="O56" i="58"/>
  <c r="O52" i="58"/>
  <c r="O48" i="58"/>
  <c r="O63" i="58"/>
  <c r="I101" i="58"/>
  <c r="I104" i="58"/>
  <c r="I103" i="58"/>
  <c r="I99" i="58"/>
  <c r="I95" i="58"/>
  <c r="I91" i="58"/>
  <c r="I102" i="58"/>
  <c r="I94" i="58"/>
  <c r="I90" i="58"/>
  <c r="I100" i="58"/>
  <c r="I96" i="58"/>
  <c r="I97" i="58"/>
  <c r="I88" i="58"/>
  <c r="I105" i="58"/>
  <c r="I93" i="58"/>
  <c r="G26" i="58"/>
  <c r="G53" i="58"/>
  <c r="K57" i="58"/>
  <c r="I10" i="58"/>
  <c r="G22" i="57" s="1"/>
  <c r="G13" i="58"/>
  <c r="G7" i="58" s="1"/>
  <c r="E13" i="57" s="1"/>
  <c r="O13" i="58"/>
  <c r="O7" i="58" s="1"/>
  <c r="M13" i="57" s="1"/>
  <c r="K45" i="58"/>
  <c r="K43" i="58"/>
  <c r="I61" i="58"/>
  <c r="I57" i="58"/>
  <c r="I53" i="58"/>
  <c r="I49" i="58"/>
  <c r="I59" i="58"/>
  <c r="I55" i="58"/>
  <c r="I51" i="58"/>
  <c r="I47" i="58"/>
  <c r="G83" i="58"/>
  <c r="G79" i="58"/>
  <c r="G75" i="58"/>
  <c r="G85" i="58"/>
  <c r="G82" i="58"/>
  <c r="G78" i="58"/>
  <c r="G74" i="58"/>
  <c r="G70" i="58"/>
  <c r="G84" i="58"/>
  <c r="G80" i="58"/>
  <c r="G69" i="58"/>
  <c r="G65" i="58"/>
  <c r="G81" i="58"/>
  <c r="G68" i="58"/>
  <c r="G73" i="58"/>
  <c r="G67" i="58"/>
  <c r="G72" i="58"/>
  <c r="O83" i="58"/>
  <c r="O79" i="58"/>
  <c r="O75" i="58"/>
  <c r="O85" i="58"/>
  <c r="O82" i="58"/>
  <c r="O78" i="58"/>
  <c r="O74" i="58"/>
  <c r="O70" i="58"/>
  <c r="O84" i="58"/>
  <c r="O71" i="58"/>
  <c r="O77" i="58"/>
  <c r="O76" i="58"/>
  <c r="O69" i="58"/>
  <c r="O65" i="58"/>
  <c r="O80" i="58"/>
  <c r="O68" i="58"/>
  <c r="O81" i="58"/>
  <c r="O67" i="58"/>
  <c r="K105" i="58"/>
  <c r="K104" i="58"/>
  <c r="K102" i="58"/>
  <c r="K98" i="58"/>
  <c r="K94" i="58"/>
  <c r="K90" i="58"/>
  <c r="K95" i="58"/>
  <c r="K103" i="58"/>
  <c r="K100" i="58"/>
  <c r="K91" i="58"/>
  <c r="K96" i="58"/>
  <c r="K92" i="58"/>
  <c r="K93" i="58"/>
  <c r="K89" i="58"/>
  <c r="G160" i="58"/>
  <c r="G156" i="58"/>
  <c r="G163" i="58"/>
  <c r="G162" i="58"/>
  <c r="G158" i="58"/>
  <c r="G154" i="58"/>
  <c r="G150" i="58"/>
  <c r="G151" i="58"/>
  <c r="G143" i="58"/>
  <c r="G120" i="58"/>
  <c r="G116" i="58"/>
  <c r="G112" i="58"/>
  <c r="G108" i="58"/>
  <c r="G152" i="58"/>
  <c r="G145" i="58"/>
  <c r="G126" i="58"/>
  <c r="G123" i="58"/>
  <c r="G119" i="58"/>
  <c r="G115" i="58"/>
  <c r="G111" i="58"/>
  <c r="G107" i="58"/>
  <c r="G159" i="58"/>
  <c r="G153" i="58"/>
  <c r="G142" i="58"/>
  <c r="G138" i="58"/>
  <c r="G134" i="58"/>
  <c r="G130" i="58"/>
  <c r="G149" i="58"/>
  <c r="G148" i="58"/>
  <c r="G122" i="58"/>
  <c r="G118" i="58"/>
  <c r="G114" i="58"/>
  <c r="G147" i="58"/>
  <c r="G139" i="58"/>
  <c r="G131" i="58"/>
  <c r="G137" i="58"/>
  <c r="G129" i="58"/>
  <c r="G110" i="58"/>
  <c r="G109" i="58"/>
  <c r="G121" i="58"/>
  <c r="G155" i="58"/>
  <c r="G144" i="58"/>
  <c r="G141" i="58"/>
  <c r="G133" i="58"/>
  <c r="G161" i="58"/>
  <c r="G124" i="58"/>
  <c r="G135" i="58"/>
  <c r="G157" i="58"/>
  <c r="G132" i="58"/>
  <c r="G128" i="58"/>
  <c r="G117" i="58"/>
  <c r="G140" i="58"/>
  <c r="G136" i="58"/>
  <c r="O160" i="58"/>
  <c r="O156" i="58"/>
  <c r="O163" i="58"/>
  <c r="O162" i="58"/>
  <c r="O158" i="58"/>
  <c r="O154" i="58"/>
  <c r="O150" i="58"/>
  <c r="O143" i="58"/>
  <c r="O120" i="58"/>
  <c r="O116" i="58"/>
  <c r="O112" i="58"/>
  <c r="O108" i="58"/>
  <c r="O145" i="58"/>
  <c r="O123" i="58"/>
  <c r="O119" i="58"/>
  <c r="O115" i="58"/>
  <c r="O111" i="58"/>
  <c r="O107" i="58"/>
  <c r="O155" i="58"/>
  <c r="O151" i="58"/>
  <c r="O142" i="58"/>
  <c r="O138" i="58"/>
  <c r="O134" i="58"/>
  <c r="O130" i="58"/>
  <c r="O122" i="58"/>
  <c r="O118" i="58"/>
  <c r="O114" i="58"/>
  <c r="O153" i="58"/>
  <c r="O148" i="58"/>
  <c r="O135" i="58"/>
  <c r="O127" i="58"/>
  <c r="O159" i="58"/>
  <c r="O144" i="58"/>
  <c r="O141" i="58"/>
  <c r="O133" i="58"/>
  <c r="O124" i="58"/>
  <c r="O149" i="58"/>
  <c r="O137" i="58"/>
  <c r="O129" i="58"/>
  <c r="O121" i="58"/>
  <c r="O157" i="58"/>
  <c r="O117" i="58"/>
  <c r="O128" i="58"/>
  <c r="O152" i="58"/>
  <c r="O140" i="58"/>
  <c r="O113" i="58"/>
  <c r="O131" i="58"/>
  <c r="I26" i="58"/>
  <c r="G27" i="58"/>
  <c r="O27" i="58"/>
  <c r="G34" i="58"/>
  <c r="P34" i="58"/>
  <c r="O35" i="58"/>
  <c r="O36" i="58"/>
  <c r="N37" i="58"/>
  <c r="M38" i="58"/>
  <c r="M39" i="58"/>
  <c r="M40" i="58"/>
  <c r="P41" i="58"/>
  <c r="K44" i="58"/>
  <c r="J45" i="58"/>
  <c r="J47" i="58"/>
  <c r="K49" i="58"/>
  <c r="K51" i="58"/>
  <c r="N53" i="58"/>
  <c r="O55" i="58"/>
  <c r="O57" i="58"/>
  <c r="H60" i="58"/>
  <c r="I62" i="58"/>
  <c r="M67" i="58"/>
  <c r="G71" i="58"/>
  <c r="I79" i="58"/>
  <c r="K88" i="58"/>
  <c r="M98" i="58"/>
  <c r="O109" i="58"/>
  <c r="J123" i="58"/>
  <c r="I131" i="58"/>
  <c r="M158" i="58"/>
  <c r="H80" i="58"/>
  <c r="H79" i="58"/>
  <c r="H69" i="58"/>
  <c r="H65" i="58"/>
  <c r="H81" i="58"/>
  <c r="H68" i="58"/>
  <c r="H82" i="58"/>
  <c r="H83" i="58"/>
  <c r="H74" i="58"/>
  <c r="H72" i="58"/>
  <c r="H84" i="58"/>
  <c r="H77" i="58"/>
  <c r="H76" i="58"/>
  <c r="H75" i="58"/>
  <c r="H71" i="58"/>
  <c r="H66" i="58"/>
  <c r="P80" i="58"/>
  <c r="P83" i="58"/>
  <c r="P77" i="58"/>
  <c r="P76" i="58"/>
  <c r="P75" i="58"/>
  <c r="P70" i="58"/>
  <c r="P69" i="58"/>
  <c r="P65" i="58"/>
  <c r="P84" i="58"/>
  <c r="P78" i="58"/>
  <c r="P85" i="58"/>
  <c r="P79" i="58"/>
  <c r="P68" i="58"/>
  <c r="P82" i="58"/>
  <c r="P73" i="58"/>
  <c r="P72" i="58"/>
  <c r="P66" i="58"/>
  <c r="L100" i="58"/>
  <c r="L96" i="58"/>
  <c r="L92" i="58"/>
  <c r="L88" i="58"/>
  <c r="L103" i="58"/>
  <c r="L99" i="58"/>
  <c r="L95" i="58"/>
  <c r="L91" i="58"/>
  <c r="L105" i="58"/>
  <c r="L104" i="58"/>
  <c r="L101" i="58"/>
  <c r="L97" i="58"/>
  <c r="L98" i="58"/>
  <c r="L89" i="58"/>
  <c r="L102" i="58"/>
  <c r="L94" i="58"/>
  <c r="H163" i="58"/>
  <c r="H159" i="58"/>
  <c r="H155" i="58"/>
  <c r="H151" i="58"/>
  <c r="H162" i="58"/>
  <c r="H158" i="58"/>
  <c r="H154" i="58"/>
  <c r="H150" i="58"/>
  <c r="H161" i="58"/>
  <c r="H139" i="58"/>
  <c r="H135" i="58"/>
  <c r="H131" i="58"/>
  <c r="H127" i="58"/>
  <c r="H156" i="58"/>
  <c r="H153" i="58"/>
  <c r="H142" i="58"/>
  <c r="H138" i="58"/>
  <c r="H134" i="58"/>
  <c r="H130" i="58"/>
  <c r="H149" i="58"/>
  <c r="H148" i="58"/>
  <c r="H157" i="58"/>
  <c r="H144" i="58"/>
  <c r="H141" i="58"/>
  <c r="H137" i="58"/>
  <c r="H133" i="58"/>
  <c r="H129" i="58"/>
  <c r="H160" i="58"/>
  <c r="H120" i="58"/>
  <c r="H110" i="58"/>
  <c r="H109" i="58"/>
  <c r="H108" i="58"/>
  <c r="H121" i="58"/>
  <c r="H116" i="58"/>
  <c r="H111" i="58"/>
  <c r="H140" i="58"/>
  <c r="H132" i="58"/>
  <c r="H117" i="58"/>
  <c r="H112" i="58"/>
  <c r="H124" i="58"/>
  <c r="H123" i="58"/>
  <c r="H114" i="58"/>
  <c r="H152" i="58"/>
  <c r="H136" i="58"/>
  <c r="H128" i="58"/>
  <c r="H119" i="58"/>
  <c r="H143" i="58"/>
  <c r="H107" i="58"/>
  <c r="H122" i="58"/>
  <c r="H145" i="58"/>
  <c r="H115" i="58"/>
  <c r="H118" i="58"/>
  <c r="H147" i="58"/>
  <c r="H113" i="58"/>
  <c r="P163" i="58"/>
  <c r="P159" i="58"/>
  <c r="P155" i="58"/>
  <c r="P151" i="58"/>
  <c r="P162" i="58"/>
  <c r="P158" i="58"/>
  <c r="P154" i="58"/>
  <c r="P150" i="58"/>
  <c r="P157" i="58"/>
  <c r="P139" i="58"/>
  <c r="P135" i="58"/>
  <c r="P131" i="58"/>
  <c r="P127" i="58"/>
  <c r="P160" i="58"/>
  <c r="P142" i="58"/>
  <c r="P138" i="58"/>
  <c r="P134" i="58"/>
  <c r="P130" i="58"/>
  <c r="P161" i="58"/>
  <c r="P152" i="58"/>
  <c r="P144" i="58"/>
  <c r="P141" i="58"/>
  <c r="P137" i="58"/>
  <c r="P133" i="58"/>
  <c r="P129" i="58"/>
  <c r="P156" i="58"/>
  <c r="P124" i="58"/>
  <c r="P123" i="58"/>
  <c r="P114" i="58"/>
  <c r="P119" i="58"/>
  <c r="P107" i="58"/>
  <c r="P136" i="58"/>
  <c r="P128" i="58"/>
  <c r="P115" i="58"/>
  <c r="P110" i="58"/>
  <c r="P109" i="58"/>
  <c r="P108" i="58"/>
  <c r="P117" i="58"/>
  <c r="P112" i="58"/>
  <c r="P140" i="58"/>
  <c r="P132" i="58"/>
  <c r="P122" i="58"/>
  <c r="P113" i="58"/>
  <c r="P145" i="58"/>
  <c r="P149" i="58"/>
  <c r="P118" i="58"/>
  <c r="P111" i="58"/>
  <c r="P148" i="58"/>
  <c r="P121" i="58"/>
  <c r="P147" i="58"/>
  <c r="P116" i="58"/>
  <c r="I43" i="58"/>
  <c r="L44" i="58"/>
  <c r="L45" i="58"/>
  <c r="K47" i="58"/>
  <c r="O51" i="58"/>
  <c r="O53" i="58"/>
  <c r="P67" i="58"/>
  <c r="I89" i="58"/>
  <c r="M144" i="58"/>
  <c r="G16" i="59"/>
  <c r="G8" i="59" s="1"/>
  <c r="F14" i="57" s="1"/>
  <c r="F15" i="57" s="1"/>
  <c r="M49" i="59"/>
  <c r="I49" i="59"/>
  <c r="G6" i="59"/>
  <c r="G5" i="59"/>
  <c r="M43" i="59"/>
  <c r="I43" i="59"/>
  <c r="M57" i="59"/>
  <c r="K57" i="59"/>
  <c r="I57" i="59"/>
  <c r="G57" i="59"/>
  <c r="M23" i="59"/>
  <c r="I23" i="59"/>
  <c r="M75" i="59"/>
  <c r="I75" i="59"/>
  <c r="M124" i="59"/>
  <c r="K124" i="59"/>
  <c r="I124" i="59"/>
  <c r="G124" i="59"/>
  <c r="M92" i="59"/>
  <c r="K92" i="59"/>
  <c r="I92" i="59"/>
  <c r="G92" i="59"/>
  <c r="M116" i="59"/>
  <c r="I116" i="59"/>
  <c r="M134" i="59"/>
  <c r="I134" i="59"/>
  <c r="M41" i="59"/>
  <c r="I41" i="59"/>
  <c r="M86" i="59"/>
  <c r="K86" i="59"/>
  <c r="I86" i="59"/>
  <c r="G86" i="59"/>
  <c r="I72" i="59"/>
  <c r="M114" i="59"/>
  <c r="I114" i="59"/>
  <c r="M122" i="59"/>
  <c r="K122" i="59"/>
  <c r="I122" i="59"/>
  <c r="I4" i="59"/>
  <c r="H15" i="59"/>
  <c r="H81" i="59" s="1"/>
  <c r="M31" i="59"/>
  <c r="I31" i="59"/>
  <c r="O16" i="59"/>
  <c r="O8" i="59" s="1"/>
  <c r="N14" i="57" s="1"/>
  <c r="N15" i="57" s="1"/>
  <c r="M106" i="59"/>
  <c r="I106" i="59"/>
  <c r="K55" i="59"/>
  <c r="J55" i="59"/>
  <c r="I55" i="59"/>
  <c r="H55" i="59"/>
  <c r="O55" i="59"/>
  <c r="G55" i="59"/>
  <c r="N55" i="59"/>
  <c r="M55" i="59"/>
  <c r="L55" i="59"/>
  <c r="L16" i="59" s="1"/>
  <c r="L8" i="59" s="1"/>
  <c r="K14" i="57" s="1"/>
  <c r="M67" i="59"/>
  <c r="I67" i="59"/>
  <c r="M20" i="59"/>
  <c r="K20" i="59"/>
  <c r="K16" i="59" s="1"/>
  <c r="K8" i="59" s="1"/>
  <c r="J14" i="57" s="1"/>
  <c r="I20" i="59"/>
  <c r="M28" i="59"/>
  <c r="I28" i="59"/>
  <c r="F16" i="59"/>
  <c r="F8" i="59" s="1"/>
  <c r="E14" i="57" s="1"/>
  <c r="F55" i="59"/>
  <c r="I108" i="59"/>
  <c r="J120" i="59"/>
  <c r="I120" i="59"/>
  <c r="H120" i="59"/>
  <c r="O120" i="59"/>
  <c r="G120" i="59"/>
  <c r="N120" i="59"/>
  <c r="F120" i="59"/>
  <c r="M120" i="59"/>
  <c r="L120" i="59"/>
  <c r="K120" i="59"/>
  <c r="I158" i="59"/>
  <c r="I11" i="59" s="1"/>
  <c r="H21" i="57" s="1"/>
  <c r="H18" i="59"/>
  <c r="H16" i="59" s="1"/>
  <c r="H8" i="59" s="1"/>
  <c r="G14" i="57" s="1"/>
  <c r="I33" i="59"/>
  <c r="M36" i="59"/>
  <c r="M16" i="59" s="1"/>
  <c r="M8" i="59" s="1"/>
  <c r="L14" i="57" s="1"/>
  <c r="K36" i="59"/>
  <c r="I36" i="59"/>
  <c r="I46" i="59"/>
  <c r="D141" i="59"/>
  <c r="D133" i="59"/>
  <c r="D127" i="59"/>
  <c r="D125" i="59"/>
  <c r="D119" i="59"/>
  <c r="D113" i="59"/>
  <c r="D105" i="59"/>
  <c r="D95" i="59"/>
  <c r="D93" i="59"/>
  <c r="D87" i="59"/>
  <c r="D83" i="59"/>
  <c r="D138" i="59"/>
  <c r="D118" i="59"/>
  <c r="D110" i="59"/>
  <c r="D100" i="59"/>
  <c r="D90" i="59"/>
  <c r="D143" i="59"/>
  <c r="J143" i="59" s="1"/>
  <c r="D135" i="59"/>
  <c r="D129" i="59"/>
  <c r="D123" i="59"/>
  <c r="D121" i="59"/>
  <c r="D115" i="59"/>
  <c r="D107" i="59"/>
  <c r="D97" i="59"/>
  <c r="D85" i="59"/>
  <c r="D140" i="59"/>
  <c r="D132" i="59"/>
  <c r="D126" i="59"/>
  <c r="D112" i="59"/>
  <c r="D104" i="59"/>
  <c r="D102" i="59"/>
  <c r="D94" i="59"/>
  <c r="D137" i="59"/>
  <c r="D131" i="59"/>
  <c r="D117" i="59"/>
  <c r="D109" i="59"/>
  <c r="D99" i="59"/>
  <c r="D89" i="59"/>
  <c r="D96" i="59"/>
  <c r="D103" i="59"/>
  <c r="D128" i="59"/>
  <c r="I136" i="59"/>
  <c r="J152" i="59"/>
  <c r="J10" i="59" s="1"/>
  <c r="G36" i="59"/>
  <c r="D84" i="59"/>
  <c r="D91" i="59"/>
  <c r="D98" i="59"/>
  <c r="D111" i="59"/>
  <c r="D130" i="59"/>
  <c r="L152" i="59"/>
  <c r="L10" i="59" s="1"/>
  <c r="N16" i="59"/>
  <c r="N8" i="59" s="1"/>
  <c r="M14" i="57" s="1"/>
  <c r="D139" i="59"/>
  <c r="M152" i="59"/>
  <c r="M10" i="59" s="1"/>
  <c r="K152" i="59"/>
  <c r="K10" i="59" s="1"/>
  <c r="G15" i="59"/>
  <c r="G81" i="59" s="1"/>
  <c r="J54" i="59"/>
  <c r="J16" i="59" s="1"/>
  <c r="J8" i="59" s="1"/>
  <c r="I14" i="57" s="1"/>
  <c r="K54" i="59"/>
  <c r="I32" i="59"/>
  <c r="I42" i="59"/>
  <c r="I16" i="59" s="1"/>
  <c r="I8" i="59" s="1"/>
  <c r="H14" i="57" s="1"/>
  <c r="I50" i="59"/>
  <c r="I68" i="59"/>
  <c r="I76" i="59"/>
  <c r="F132" i="41"/>
  <c r="E132" i="41"/>
  <c r="H575" i="33"/>
  <c r="I575" i="33"/>
  <c r="J575" i="33"/>
  <c r="K575" i="33"/>
  <c r="L575" i="33"/>
  <c r="M575" i="33"/>
  <c r="N575" i="33"/>
  <c r="O575" i="33"/>
  <c r="P575" i="33"/>
  <c r="H576" i="33"/>
  <c r="I576" i="33"/>
  <c r="J576" i="33"/>
  <c r="K576" i="33"/>
  <c r="L576" i="33"/>
  <c r="M576" i="33"/>
  <c r="N576" i="33"/>
  <c r="O576" i="33"/>
  <c r="P576" i="33"/>
  <c r="H577" i="33"/>
  <c r="I577" i="33"/>
  <c r="J577" i="33"/>
  <c r="K577" i="33"/>
  <c r="L577" i="33"/>
  <c r="M577" i="33"/>
  <c r="N577" i="33"/>
  <c r="O577" i="33"/>
  <c r="P577" i="33"/>
  <c r="G577" i="33"/>
  <c r="G576" i="33"/>
  <c r="G575" i="33"/>
  <c r="L38" i="1"/>
  <c r="L39" i="1"/>
  <c r="J38" i="1"/>
  <c r="J39" i="1"/>
  <c r="AC11" i="5"/>
  <c r="AN15" i="4"/>
  <c r="AM15" i="4"/>
  <c r="H575" i="2"/>
  <c r="I575" i="2"/>
  <c r="J575" i="2"/>
  <c r="K575" i="2"/>
  <c r="L575" i="2"/>
  <c r="M575" i="2"/>
  <c r="N575" i="2"/>
  <c r="O575" i="2"/>
  <c r="P575" i="2"/>
  <c r="H576" i="2"/>
  <c r="I576" i="2"/>
  <c r="J576" i="2"/>
  <c r="K576" i="2"/>
  <c r="L576" i="2"/>
  <c r="M576" i="2"/>
  <c r="N576" i="2"/>
  <c r="O576" i="2"/>
  <c r="P576" i="2"/>
  <c r="H577" i="2"/>
  <c r="I577" i="2"/>
  <c r="J577" i="2"/>
  <c r="K577" i="2"/>
  <c r="L577" i="2"/>
  <c r="M577" i="2"/>
  <c r="N577" i="2"/>
  <c r="O577" i="2"/>
  <c r="P577" i="2"/>
  <c r="G577" i="2"/>
  <c r="G576" i="2"/>
  <c r="G575" i="2"/>
  <c r="O62" i="56"/>
  <c r="N62" i="56"/>
  <c r="M62" i="56"/>
  <c r="L62" i="56"/>
  <c r="K62" i="56"/>
  <c r="K12" i="56" s="1"/>
  <c r="J62" i="56"/>
  <c r="I62" i="56"/>
  <c r="H62" i="56"/>
  <c r="G62" i="56"/>
  <c r="F62" i="56"/>
  <c r="O57" i="56"/>
  <c r="N57" i="56"/>
  <c r="M57" i="56"/>
  <c r="M11" i="56" s="1"/>
  <c r="L57" i="56"/>
  <c r="K57" i="56"/>
  <c r="J57" i="56"/>
  <c r="I57" i="56"/>
  <c r="H57" i="56"/>
  <c r="G57" i="56"/>
  <c r="F57" i="56"/>
  <c r="E53" i="56"/>
  <c r="C53" i="56"/>
  <c r="E52" i="56"/>
  <c r="D52" i="56"/>
  <c r="E51" i="56"/>
  <c r="D51" i="56"/>
  <c r="C51" i="56"/>
  <c r="E50" i="56"/>
  <c r="D50" i="56"/>
  <c r="D49" i="56"/>
  <c r="D48" i="56"/>
  <c r="E47" i="56"/>
  <c r="D47" i="56"/>
  <c r="E46" i="56"/>
  <c r="D46" i="56"/>
  <c r="D45" i="56"/>
  <c r="D44" i="56"/>
  <c r="C44" i="56"/>
  <c r="D43" i="56"/>
  <c r="C43" i="56"/>
  <c r="D42" i="56"/>
  <c r="C42" i="56"/>
  <c r="E41" i="56"/>
  <c r="D41" i="56"/>
  <c r="D40" i="56"/>
  <c r="E39" i="56"/>
  <c r="D39" i="56"/>
  <c r="E38" i="56"/>
  <c r="D38" i="56"/>
  <c r="E37" i="56"/>
  <c r="D37" i="56"/>
  <c r="C37" i="56"/>
  <c r="E36" i="56"/>
  <c r="D36" i="56"/>
  <c r="D35" i="56"/>
  <c r="D34" i="56"/>
  <c r="E33" i="56"/>
  <c r="D33" i="56"/>
  <c r="E32" i="56"/>
  <c r="D32" i="56"/>
  <c r="O30" i="56"/>
  <c r="N30" i="56"/>
  <c r="M30" i="56"/>
  <c r="L30" i="56"/>
  <c r="K30" i="56"/>
  <c r="J30" i="56"/>
  <c r="I30" i="56"/>
  <c r="H30" i="56"/>
  <c r="G30" i="56"/>
  <c r="F30" i="56"/>
  <c r="O29" i="56"/>
  <c r="N29" i="56"/>
  <c r="L29" i="56"/>
  <c r="K29" i="56"/>
  <c r="I29" i="56"/>
  <c r="G29" i="56"/>
  <c r="F29" i="56"/>
  <c r="E28" i="56"/>
  <c r="E43" i="56" s="1"/>
  <c r="O26" i="56"/>
  <c r="N26" i="56"/>
  <c r="M26" i="56"/>
  <c r="L26" i="56"/>
  <c r="K26" i="56"/>
  <c r="J26" i="56"/>
  <c r="I26" i="56"/>
  <c r="H26" i="56"/>
  <c r="G26" i="56"/>
  <c r="F26" i="56"/>
  <c r="O25" i="56"/>
  <c r="N25" i="56"/>
  <c r="M25" i="56"/>
  <c r="L25" i="56"/>
  <c r="K25" i="56"/>
  <c r="J25" i="56"/>
  <c r="I25" i="56"/>
  <c r="H25" i="56"/>
  <c r="G25" i="56"/>
  <c r="F25" i="56"/>
  <c r="O24" i="56"/>
  <c r="N24" i="56"/>
  <c r="M24" i="56"/>
  <c r="L24" i="56"/>
  <c r="K24" i="56"/>
  <c r="J24" i="56"/>
  <c r="I24" i="56"/>
  <c r="H24" i="56"/>
  <c r="G24" i="56"/>
  <c r="F24" i="56"/>
  <c r="O23" i="56"/>
  <c r="N23" i="56"/>
  <c r="M23" i="56"/>
  <c r="L23" i="56"/>
  <c r="K23" i="56"/>
  <c r="J23" i="56"/>
  <c r="I23" i="56"/>
  <c r="H23" i="56"/>
  <c r="G23" i="56"/>
  <c r="F23" i="56"/>
  <c r="O22" i="56"/>
  <c r="N22" i="56"/>
  <c r="M22" i="56"/>
  <c r="L22" i="56"/>
  <c r="K22" i="56"/>
  <c r="J22" i="56"/>
  <c r="I22" i="56"/>
  <c r="H22" i="56"/>
  <c r="G22" i="56"/>
  <c r="F22" i="56"/>
  <c r="O21" i="56"/>
  <c r="N21" i="56"/>
  <c r="M21" i="56"/>
  <c r="L21" i="56"/>
  <c r="K21" i="56"/>
  <c r="J21" i="56"/>
  <c r="I21" i="56"/>
  <c r="H21" i="56"/>
  <c r="G21" i="56"/>
  <c r="F21" i="56"/>
  <c r="O20" i="56"/>
  <c r="N20" i="56"/>
  <c r="M20" i="56"/>
  <c r="L20" i="56"/>
  <c r="K20" i="56"/>
  <c r="J20" i="56"/>
  <c r="I20" i="56"/>
  <c r="H20" i="56"/>
  <c r="G20" i="56"/>
  <c r="F20" i="56"/>
  <c r="O19" i="56"/>
  <c r="N19" i="56"/>
  <c r="M19" i="56"/>
  <c r="M17" i="56" s="1"/>
  <c r="M9" i="56" s="1"/>
  <c r="L19" i="56"/>
  <c r="K19" i="56"/>
  <c r="J19" i="56"/>
  <c r="I19" i="56"/>
  <c r="H19" i="56"/>
  <c r="G19" i="56"/>
  <c r="F19" i="56"/>
  <c r="O18" i="56"/>
  <c r="O17" i="56" s="1"/>
  <c r="O9" i="56" s="1"/>
  <c r="N18" i="56"/>
  <c r="N17" i="56" s="1"/>
  <c r="N9" i="56" s="1"/>
  <c r="M18" i="56"/>
  <c r="L18" i="56"/>
  <c r="L17" i="56" s="1"/>
  <c r="L9" i="56" s="1"/>
  <c r="K18" i="56"/>
  <c r="J18" i="56"/>
  <c r="J17" i="56" s="1"/>
  <c r="J9" i="56" s="1"/>
  <c r="I18" i="56"/>
  <c r="I17" i="56" s="1"/>
  <c r="I9" i="56" s="1"/>
  <c r="H18" i="56"/>
  <c r="G18" i="56"/>
  <c r="G17" i="56" s="1"/>
  <c r="G9" i="56" s="1"/>
  <c r="F18" i="56"/>
  <c r="F17" i="56" s="1"/>
  <c r="F9" i="56" s="1"/>
  <c r="K17" i="56"/>
  <c r="K9" i="56" s="1"/>
  <c r="H17" i="56"/>
  <c r="H9" i="56" s="1"/>
  <c r="O16" i="56"/>
  <c r="N16" i="56"/>
  <c r="M16" i="56"/>
  <c r="M29" i="56" s="1"/>
  <c r="L16" i="56"/>
  <c r="K16" i="56"/>
  <c r="J16" i="56"/>
  <c r="J29" i="56" s="1"/>
  <c r="I16" i="56"/>
  <c r="H16" i="56"/>
  <c r="H29" i="56" s="1"/>
  <c r="G16" i="56"/>
  <c r="F16" i="56"/>
  <c r="O12" i="56"/>
  <c r="N12" i="56"/>
  <c r="M12" i="56"/>
  <c r="L12" i="56"/>
  <c r="J12" i="56"/>
  <c r="I12" i="56"/>
  <c r="H12" i="56"/>
  <c r="G12" i="56"/>
  <c r="F12" i="56"/>
  <c r="O11" i="56"/>
  <c r="N11" i="56"/>
  <c r="L11" i="56"/>
  <c r="K11" i="56"/>
  <c r="J11" i="56"/>
  <c r="I11" i="56"/>
  <c r="H11" i="56"/>
  <c r="G11" i="56"/>
  <c r="F11" i="56"/>
  <c r="G7" i="56"/>
  <c r="H7" i="56" s="1"/>
  <c r="H6" i="56"/>
  <c r="G6" i="56"/>
  <c r="O4" i="56"/>
  <c r="N4" i="56"/>
  <c r="M4" i="56"/>
  <c r="L4" i="56"/>
  <c r="K4" i="56"/>
  <c r="J4" i="56"/>
  <c r="I4" i="56"/>
  <c r="H4" i="56"/>
  <c r="G4" i="56"/>
  <c r="F4" i="56"/>
  <c r="D3" i="56"/>
  <c r="C3" i="56"/>
  <c r="E65" i="55"/>
  <c r="D65" i="55"/>
  <c r="E63" i="55"/>
  <c r="D63" i="55"/>
  <c r="E61" i="55"/>
  <c r="D61" i="55"/>
  <c r="E56" i="55"/>
  <c r="D56" i="55"/>
  <c r="E54" i="55"/>
  <c r="D54" i="55"/>
  <c r="E38" i="55"/>
  <c r="D38" i="55"/>
  <c r="E36" i="55"/>
  <c r="D36" i="55"/>
  <c r="Q21" i="55"/>
  <c r="C21" i="55" s="1"/>
  <c r="Q20" i="55"/>
  <c r="C20" i="55" s="1"/>
  <c r="Q19" i="55"/>
  <c r="C19" i="55" s="1"/>
  <c r="Q18" i="55"/>
  <c r="C18" i="55" s="1"/>
  <c r="Q17" i="55"/>
  <c r="C17" i="55" s="1"/>
  <c r="Q16" i="55"/>
  <c r="C16" i="55" s="1"/>
  <c r="Q15" i="55"/>
  <c r="C15" i="55" s="1"/>
  <c r="Q14" i="55"/>
  <c r="C14" i="55" s="1"/>
  <c r="F14" i="55" s="1"/>
  <c r="F6" i="55"/>
  <c r="G5" i="55" s="1"/>
  <c r="G4" i="55"/>
  <c r="H4" i="55" s="1"/>
  <c r="I4" i="55" s="1"/>
  <c r="J4" i="55" s="1"/>
  <c r="K4" i="55" s="1"/>
  <c r="L4" i="55" s="1"/>
  <c r="M4" i="55" s="1"/>
  <c r="N4" i="55" s="1"/>
  <c r="O4" i="55" s="1"/>
  <c r="F4" i="55"/>
  <c r="O3" i="55"/>
  <c r="N3" i="55"/>
  <c r="M3" i="55"/>
  <c r="L3" i="55"/>
  <c r="K3" i="55"/>
  <c r="J3" i="55"/>
  <c r="I3" i="55"/>
  <c r="H3" i="55"/>
  <c r="G3" i="55"/>
  <c r="F3" i="55"/>
  <c r="C2" i="55"/>
  <c r="B2" i="55"/>
  <c r="D40" i="54"/>
  <c r="D39" i="54"/>
  <c r="N23" i="54"/>
  <c r="N35" i="54" s="1"/>
  <c r="N36" i="54" s="1"/>
  <c r="M23" i="54"/>
  <c r="M35" i="54" s="1"/>
  <c r="M36" i="54" s="1"/>
  <c r="L23" i="54"/>
  <c r="L35" i="54" s="1"/>
  <c r="L36" i="54" s="1"/>
  <c r="K23" i="54"/>
  <c r="K35" i="54" s="1"/>
  <c r="K36" i="54" s="1"/>
  <c r="J23" i="54"/>
  <c r="J35" i="54" s="1"/>
  <c r="J36" i="54" s="1"/>
  <c r="I23" i="54"/>
  <c r="I35" i="54" s="1"/>
  <c r="I36" i="54" s="1"/>
  <c r="H23" i="54"/>
  <c r="H35" i="54" s="1"/>
  <c r="H36" i="54" s="1"/>
  <c r="G23" i="54"/>
  <c r="Q23" i="54" s="1"/>
  <c r="R23" i="54" s="1"/>
  <c r="F23" i="54"/>
  <c r="F35" i="54" s="1"/>
  <c r="F36" i="54" s="1"/>
  <c r="E23" i="54"/>
  <c r="E35" i="54" s="1"/>
  <c r="E36" i="54" s="1"/>
  <c r="N22" i="54"/>
  <c r="N33" i="54" s="1"/>
  <c r="N34" i="54" s="1"/>
  <c r="M22" i="54"/>
  <c r="L22" i="54"/>
  <c r="L33" i="54" s="1"/>
  <c r="L34" i="54" s="1"/>
  <c r="K22" i="54"/>
  <c r="J22" i="54"/>
  <c r="J33" i="54" s="1"/>
  <c r="J34" i="54" s="1"/>
  <c r="I22" i="54"/>
  <c r="H22" i="54"/>
  <c r="H33" i="54" s="1"/>
  <c r="H34" i="54" s="1"/>
  <c r="G22" i="54"/>
  <c r="G33" i="54" s="1"/>
  <c r="G34" i="54" s="1"/>
  <c r="F22" i="54"/>
  <c r="F33" i="54" s="1"/>
  <c r="F34" i="54" s="1"/>
  <c r="E22" i="54"/>
  <c r="Q22" i="54" s="1"/>
  <c r="N21" i="54"/>
  <c r="M21" i="54"/>
  <c r="L21" i="54"/>
  <c r="K21" i="54"/>
  <c r="J21" i="54"/>
  <c r="I21" i="54"/>
  <c r="I18" i="54" s="1"/>
  <c r="H21" i="54"/>
  <c r="G21" i="54"/>
  <c r="Q21" i="54" s="1"/>
  <c r="R21" i="54" s="1"/>
  <c r="F21" i="54"/>
  <c r="E21" i="54"/>
  <c r="N20" i="54"/>
  <c r="N18" i="54" s="1"/>
  <c r="N44" i="54" s="1"/>
  <c r="M20" i="54"/>
  <c r="L20" i="54"/>
  <c r="K20" i="54"/>
  <c r="J20" i="54"/>
  <c r="I20" i="54"/>
  <c r="H20" i="54"/>
  <c r="G20" i="54"/>
  <c r="F20" i="54"/>
  <c r="Q20" i="54" s="1"/>
  <c r="E20" i="54"/>
  <c r="N19" i="54"/>
  <c r="M19" i="54"/>
  <c r="M18" i="54" s="1"/>
  <c r="L19" i="54"/>
  <c r="L18" i="54" s="1"/>
  <c r="K19" i="54"/>
  <c r="K18" i="54" s="1"/>
  <c r="J19" i="54"/>
  <c r="I19" i="54"/>
  <c r="H19" i="54"/>
  <c r="G19" i="54"/>
  <c r="G18" i="54" s="1"/>
  <c r="G44" i="54" s="1"/>
  <c r="F19" i="54"/>
  <c r="F18" i="54" s="1"/>
  <c r="F44" i="54" s="1"/>
  <c r="E19" i="54"/>
  <c r="E18" i="54" s="1"/>
  <c r="J18" i="54"/>
  <c r="H18" i="54"/>
  <c r="N15" i="54"/>
  <c r="M15" i="54"/>
  <c r="G15" i="54"/>
  <c r="G12" i="54" s="1"/>
  <c r="F15" i="54"/>
  <c r="E15" i="54"/>
  <c r="N14" i="54"/>
  <c r="M14" i="54"/>
  <c r="L14" i="54"/>
  <c r="K14" i="54"/>
  <c r="J14" i="54"/>
  <c r="I14" i="54"/>
  <c r="H14" i="54"/>
  <c r="H15" i="54" s="1"/>
  <c r="G14" i="54"/>
  <c r="F14" i="54"/>
  <c r="E14" i="54"/>
  <c r="N13" i="54"/>
  <c r="M13" i="54"/>
  <c r="M33" i="54" s="1"/>
  <c r="M34" i="54" s="1"/>
  <c r="L13" i="54"/>
  <c r="L15" i="54" s="1"/>
  <c r="K13" i="54"/>
  <c r="J13" i="54"/>
  <c r="J15" i="54" s="1"/>
  <c r="I13" i="54"/>
  <c r="I15" i="54" s="1"/>
  <c r="H13" i="54"/>
  <c r="G13" i="54"/>
  <c r="F13" i="54"/>
  <c r="E13" i="54"/>
  <c r="E33" i="54" s="1"/>
  <c r="E34" i="54" s="1"/>
  <c r="N12" i="54"/>
  <c r="F12" i="54"/>
  <c r="A6" i="54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5" i="54"/>
  <c r="F4" i="54"/>
  <c r="G4" i="54" s="1"/>
  <c r="H4" i="54" s="1"/>
  <c r="I4" i="54" s="1"/>
  <c r="J4" i="54" s="1"/>
  <c r="K4" i="54" s="1"/>
  <c r="L4" i="54" s="1"/>
  <c r="M4" i="54" s="1"/>
  <c r="N4" i="54" s="1"/>
  <c r="E4" i="54"/>
  <c r="G10" i="52"/>
  <c r="H10" i="52"/>
  <c r="I10" i="52"/>
  <c r="J10" i="52"/>
  <c r="K10" i="52"/>
  <c r="L10" i="52"/>
  <c r="M10" i="52"/>
  <c r="N10" i="52"/>
  <c r="O10" i="52"/>
  <c r="G10" i="28"/>
  <c r="H10" i="28"/>
  <c r="I10" i="28"/>
  <c r="J10" i="28"/>
  <c r="K10" i="28"/>
  <c r="L10" i="28"/>
  <c r="M10" i="28"/>
  <c r="N10" i="28"/>
  <c r="O10" i="28"/>
  <c r="F10" i="52"/>
  <c r="J82" i="62" l="1"/>
  <c r="J12" i="62" s="1"/>
  <c r="J9" i="62" s="1"/>
  <c r="J5" i="62"/>
  <c r="J6" i="62"/>
  <c r="M82" i="62"/>
  <c r="M12" i="62" s="1"/>
  <c r="M9" i="62" s="1"/>
  <c r="O82" i="62"/>
  <c r="O12" i="62" s="1"/>
  <c r="O9" i="62" s="1"/>
  <c r="G82" i="62"/>
  <c r="G12" i="62" s="1"/>
  <c r="G9" i="62" s="1"/>
  <c r="K82" i="62"/>
  <c r="K12" i="62" s="1"/>
  <c r="K9" i="62" s="1"/>
  <c r="L82" i="62"/>
  <c r="L12" i="62" s="1"/>
  <c r="L9" i="62" s="1"/>
  <c r="K15" i="62"/>
  <c r="K81" i="62" s="1"/>
  <c r="L4" i="62"/>
  <c r="I82" i="62"/>
  <c r="I12" i="62" s="1"/>
  <c r="I9" i="62" s="1"/>
  <c r="J6" i="61"/>
  <c r="J5" i="61"/>
  <c r="G15" i="57"/>
  <c r="G12" i="57"/>
  <c r="H19" i="57"/>
  <c r="J8" i="58"/>
  <c r="I19" i="57"/>
  <c r="K8" i="58"/>
  <c r="M8" i="58"/>
  <c r="K19" i="57"/>
  <c r="M98" i="59"/>
  <c r="I98" i="59"/>
  <c r="M103" i="59"/>
  <c r="I103" i="59"/>
  <c r="M94" i="59"/>
  <c r="I94" i="59"/>
  <c r="M97" i="59"/>
  <c r="I97" i="59"/>
  <c r="I90" i="59"/>
  <c r="M90" i="59"/>
  <c r="M95" i="59"/>
  <c r="I95" i="59"/>
  <c r="I15" i="57"/>
  <c r="I12" i="57" s="1"/>
  <c r="L9" i="58"/>
  <c r="M128" i="59"/>
  <c r="I128" i="59"/>
  <c r="J20" i="57"/>
  <c r="M96" i="59"/>
  <c r="I96" i="59"/>
  <c r="K102" i="59"/>
  <c r="I102" i="59"/>
  <c r="G102" i="59"/>
  <c r="M102" i="59"/>
  <c r="M107" i="59"/>
  <c r="I107" i="59"/>
  <c r="I100" i="59"/>
  <c r="M100" i="59"/>
  <c r="M105" i="59"/>
  <c r="I105" i="59"/>
  <c r="L20" i="57"/>
  <c r="K84" i="59"/>
  <c r="H84" i="59"/>
  <c r="M89" i="59"/>
  <c r="I89" i="59"/>
  <c r="M104" i="59"/>
  <c r="I104" i="59"/>
  <c r="M115" i="59"/>
  <c r="I115" i="59"/>
  <c r="I110" i="59"/>
  <c r="M110" i="59"/>
  <c r="I113" i="59"/>
  <c r="M113" i="59"/>
  <c r="I9" i="58"/>
  <c r="M15" i="57"/>
  <c r="M12" i="57" s="1"/>
  <c r="K15" i="57"/>
  <c r="K12" i="57" s="1"/>
  <c r="M93" i="59"/>
  <c r="G93" i="59"/>
  <c r="K93" i="59"/>
  <c r="I93" i="59"/>
  <c r="M139" i="59"/>
  <c r="I139" i="59"/>
  <c r="M99" i="59"/>
  <c r="I99" i="59"/>
  <c r="M112" i="59"/>
  <c r="I112" i="59"/>
  <c r="O121" i="59"/>
  <c r="G121" i="59"/>
  <c r="N121" i="59"/>
  <c r="F121" i="59"/>
  <c r="M121" i="59"/>
  <c r="L121" i="59"/>
  <c r="K121" i="59"/>
  <c r="I121" i="59"/>
  <c r="J121" i="59"/>
  <c r="H121" i="59"/>
  <c r="M119" i="59"/>
  <c r="L119" i="59"/>
  <c r="K119" i="59"/>
  <c r="J119" i="59"/>
  <c r="I119" i="59"/>
  <c r="H119" i="59"/>
  <c r="F119" i="59"/>
  <c r="F82" i="59" s="1"/>
  <c r="F12" i="59" s="1"/>
  <c r="O119" i="59"/>
  <c r="O82" i="59" s="1"/>
  <c r="O12" i="59" s="1"/>
  <c r="N119" i="59"/>
  <c r="N82" i="59" s="1"/>
  <c r="N12" i="59" s="1"/>
  <c r="G119" i="59"/>
  <c r="J4" i="59"/>
  <c r="I15" i="59"/>
  <c r="I81" i="59" s="1"/>
  <c r="H5" i="59"/>
  <c r="H6" i="59"/>
  <c r="E15" i="57"/>
  <c r="E12" i="57" s="1"/>
  <c r="P9" i="58"/>
  <c r="L15" i="57"/>
  <c r="L12" i="57"/>
  <c r="O9" i="58"/>
  <c r="M137" i="59"/>
  <c r="I137" i="59"/>
  <c r="M109" i="59"/>
  <c r="I109" i="59"/>
  <c r="M126" i="59"/>
  <c r="I126" i="59"/>
  <c r="I123" i="59"/>
  <c r="G123" i="59"/>
  <c r="M123" i="59"/>
  <c r="K123" i="59"/>
  <c r="I138" i="59"/>
  <c r="M138" i="59"/>
  <c r="M125" i="59"/>
  <c r="G125" i="59"/>
  <c r="K125" i="59"/>
  <c r="I125" i="59"/>
  <c r="H9" i="58"/>
  <c r="N9" i="58"/>
  <c r="H15" i="57"/>
  <c r="H12" i="57" s="1"/>
  <c r="J5" i="58"/>
  <c r="J6" i="58"/>
  <c r="M111" i="59"/>
  <c r="I111" i="59"/>
  <c r="I85" i="59"/>
  <c r="G85" i="59"/>
  <c r="M85" i="59"/>
  <c r="K85" i="59"/>
  <c r="I141" i="59"/>
  <c r="M141" i="59"/>
  <c r="G9" i="58"/>
  <c r="K20" i="57"/>
  <c r="I20" i="57"/>
  <c r="M117" i="59"/>
  <c r="I117" i="59"/>
  <c r="M132" i="59"/>
  <c r="I132" i="59"/>
  <c r="M129" i="59"/>
  <c r="I129" i="59"/>
  <c r="K83" i="59"/>
  <c r="H83" i="59"/>
  <c r="H82" i="59" s="1"/>
  <c r="H12" i="59" s="1"/>
  <c r="M127" i="59"/>
  <c r="I127" i="59"/>
  <c r="F12" i="57"/>
  <c r="N12" i="57"/>
  <c r="M130" i="59"/>
  <c r="I130" i="59"/>
  <c r="M140" i="59"/>
  <c r="I140" i="59"/>
  <c r="M135" i="59"/>
  <c r="I135" i="59"/>
  <c r="M133" i="59"/>
  <c r="I133" i="59"/>
  <c r="J15" i="57"/>
  <c r="J12" i="57" s="1"/>
  <c r="I6" i="56"/>
  <c r="I7" i="56"/>
  <c r="E34" i="56"/>
  <c r="E44" i="56"/>
  <c r="E48" i="56"/>
  <c r="E31" i="56"/>
  <c r="E35" i="56"/>
  <c r="E42" i="56"/>
  <c r="E45" i="56"/>
  <c r="E49" i="56"/>
  <c r="E40" i="56"/>
  <c r="F19" i="55"/>
  <c r="F62" i="55" s="1"/>
  <c r="M19" i="55"/>
  <c r="M62" i="55" s="1"/>
  <c r="L19" i="55"/>
  <c r="L62" i="55" s="1"/>
  <c r="K19" i="55"/>
  <c r="K62" i="55" s="1"/>
  <c r="H19" i="55"/>
  <c r="H62" i="55" s="1"/>
  <c r="J19" i="55"/>
  <c r="J62" i="55" s="1"/>
  <c r="I19" i="55"/>
  <c r="I62" i="55" s="1"/>
  <c r="O19" i="55"/>
  <c r="O62" i="55" s="1"/>
  <c r="G19" i="55"/>
  <c r="G62" i="55" s="1"/>
  <c r="N19" i="55"/>
  <c r="N62" i="55" s="1"/>
  <c r="J20" i="55"/>
  <c r="I20" i="55"/>
  <c r="H20" i="55"/>
  <c r="O20" i="55"/>
  <c r="G20" i="55"/>
  <c r="N20" i="55"/>
  <c r="F20" i="55"/>
  <c r="M20" i="55"/>
  <c r="L20" i="55"/>
  <c r="K20" i="55"/>
  <c r="F29" i="55"/>
  <c r="F28" i="55"/>
  <c r="F35" i="55"/>
  <c r="F27" i="55"/>
  <c r="F34" i="55"/>
  <c r="F26" i="55"/>
  <c r="F33" i="55"/>
  <c r="F32" i="55"/>
  <c r="F31" i="55"/>
  <c r="F30" i="55"/>
  <c r="M15" i="55"/>
  <c r="L15" i="55"/>
  <c r="K15" i="55"/>
  <c r="J15" i="55"/>
  <c r="I15" i="55"/>
  <c r="H15" i="55"/>
  <c r="O15" i="55"/>
  <c r="G15" i="55"/>
  <c r="N15" i="55"/>
  <c r="F15" i="55"/>
  <c r="F37" i="55" s="1"/>
  <c r="J16" i="55"/>
  <c r="I16" i="55"/>
  <c r="H16" i="55"/>
  <c r="O16" i="55"/>
  <c r="G16" i="55"/>
  <c r="N16" i="55"/>
  <c r="F16" i="55"/>
  <c r="M16" i="55"/>
  <c r="L16" i="55"/>
  <c r="K16" i="55"/>
  <c r="N17" i="55"/>
  <c r="N55" i="55" s="1"/>
  <c r="M17" i="55"/>
  <c r="M55" i="55" s="1"/>
  <c r="L17" i="55"/>
  <c r="L55" i="55" s="1"/>
  <c r="K17" i="55"/>
  <c r="K55" i="55" s="1"/>
  <c r="J17" i="55"/>
  <c r="J55" i="55" s="1"/>
  <c r="I17" i="55"/>
  <c r="I55" i="55" s="1"/>
  <c r="H17" i="55"/>
  <c r="H55" i="55" s="1"/>
  <c r="O17" i="55"/>
  <c r="O55" i="55" s="1"/>
  <c r="G17" i="55"/>
  <c r="G55" i="55" s="1"/>
  <c r="F17" i="55"/>
  <c r="F55" i="55" s="1"/>
  <c r="I18" i="55"/>
  <c r="H18" i="55"/>
  <c r="O18" i="55"/>
  <c r="G18" i="55"/>
  <c r="N18" i="55"/>
  <c r="F18" i="55"/>
  <c r="M18" i="55"/>
  <c r="L18" i="55"/>
  <c r="K18" i="55"/>
  <c r="J18" i="55"/>
  <c r="F21" i="55"/>
  <c r="F66" i="55" s="1"/>
  <c r="M21" i="55"/>
  <c r="M66" i="55" s="1"/>
  <c r="L21" i="55"/>
  <c r="L66" i="55" s="1"/>
  <c r="K21" i="55"/>
  <c r="K66" i="55" s="1"/>
  <c r="J21" i="55"/>
  <c r="J66" i="55" s="1"/>
  <c r="I21" i="55"/>
  <c r="I66" i="55" s="1"/>
  <c r="H21" i="55"/>
  <c r="H66" i="55" s="1"/>
  <c r="O21" i="55"/>
  <c r="O66" i="55" s="1"/>
  <c r="G21" i="55"/>
  <c r="G66" i="55" s="1"/>
  <c r="N21" i="55"/>
  <c r="N66" i="55" s="1"/>
  <c r="G6" i="55"/>
  <c r="K12" i="54"/>
  <c r="K44" i="54" s="1"/>
  <c r="R20" i="54"/>
  <c r="J12" i="54"/>
  <c r="J44" i="54" s="1"/>
  <c r="R22" i="54"/>
  <c r="Q18" i="54"/>
  <c r="R18" i="54" s="1"/>
  <c r="K33" i="54"/>
  <c r="K34" i="54" s="1"/>
  <c r="H12" i="54"/>
  <c r="H44" i="54" s="1"/>
  <c r="L12" i="54"/>
  <c r="L44" i="54" s="1"/>
  <c r="K15" i="54"/>
  <c r="I33" i="54"/>
  <c r="I34" i="54" s="1"/>
  <c r="E12" i="54"/>
  <c r="E44" i="54" s="1"/>
  <c r="O44" i="54" s="1"/>
  <c r="M12" i="54"/>
  <c r="M44" i="54" s="1"/>
  <c r="G35" i="54"/>
  <c r="G36" i="54" s="1"/>
  <c r="I12" i="54"/>
  <c r="I44" i="54" s="1"/>
  <c r="Q19" i="54"/>
  <c r="R19" i="54" s="1"/>
  <c r="H10" i="36"/>
  <c r="G10" i="36"/>
  <c r="F10" i="28"/>
  <c r="L37" i="1"/>
  <c r="E62" i="3"/>
  <c r="E15" i="51"/>
  <c r="G13" i="52"/>
  <c r="H13" i="52"/>
  <c r="I13" i="52"/>
  <c r="J13" i="52"/>
  <c r="K13" i="52"/>
  <c r="L13" i="52"/>
  <c r="M13" i="52"/>
  <c r="N13" i="52"/>
  <c r="O13" i="52"/>
  <c r="F13" i="52"/>
  <c r="R20" i="51"/>
  <c r="R21" i="51"/>
  <c r="R23" i="51"/>
  <c r="R19" i="51"/>
  <c r="Q20" i="51"/>
  <c r="Q21" i="51"/>
  <c r="Q23" i="51"/>
  <c r="Q19" i="51"/>
  <c r="O62" i="53"/>
  <c r="N62" i="53"/>
  <c r="M62" i="53"/>
  <c r="L62" i="53"/>
  <c r="K62" i="53"/>
  <c r="J62" i="53"/>
  <c r="I62" i="53"/>
  <c r="I12" i="53" s="1"/>
  <c r="H62" i="53"/>
  <c r="G62" i="53"/>
  <c r="F62" i="53"/>
  <c r="O57" i="53"/>
  <c r="N57" i="53"/>
  <c r="M57" i="53"/>
  <c r="L57" i="53"/>
  <c r="K57" i="53"/>
  <c r="K11" i="53" s="1"/>
  <c r="J57" i="53"/>
  <c r="I57" i="53"/>
  <c r="H57" i="53"/>
  <c r="G57" i="53"/>
  <c r="F57" i="53"/>
  <c r="C53" i="53"/>
  <c r="E52" i="53"/>
  <c r="D52" i="53"/>
  <c r="D51" i="53"/>
  <c r="C51" i="53"/>
  <c r="D50" i="53"/>
  <c r="D49" i="53"/>
  <c r="D48" i="53"/>
  <c r="D47" i="53"/>
  <c r="D46" i="53"/>
  <c r="D45" i="53"/>
  <c r="D44" i="53"/>
  <c r="C44" i="53"/>
  <c r="D43" i="53"/>
  <c r="C43" i="53"/>
  <c r="D42" i="53"/>
  <c r="C42" i="53"/>
  <c r="D41" i="53"/>
  <c r="D40" i="53"/>
  <c r="D39" i="53"/>
  <c r="E38" i="53"/>
  <c r="D38" i="53"/>
  <c r="D37" i="53"/>
  <c r="C37" i="53"/>
  <c r="D36" i="53"/>
  <c r="D35" i="53"/>
  <c r="D34" i="53"/>
  <c r="E33" i="53"/>
  <c r="D33" i="53"/>
  <c r="D32" i="53"/>
  <c r="O30" i="53"/>
  <c r="N30" i="53"/>
  <c r="M30" i="53"/>
  <c r="L30" i="53"/>
  <c r="K30" i="53"/>
  <c r="J30" i="53"/>
  <c r="I30" i="53"/>
  <c r="H30" i="53"/>
  <c r="G30" i="53"/>
  <c r="F30" i="53"/>
  <c r="I29" i="53"/>
  <c r="E28" i="53"/>
  <c r="E51" i="53" s="1"/>
  <c r="O26" i="53"/>
  <c r="N26" i="53"/>
  <c r="M26" i="53"/>
  <c r="L26" i="53"/>
  <c r="K26" i="53"/>
  <c r="J26" i="53"/>
  <c r="I26" i="53"/>
  <c r="H26" i="53"/>
  <c r="G26" i="53"/>
  <c r="F26" i="53"/>
  <c r="O25" i="53"/>
  <c r="N25" i="53"/>
  <c r="M25" i="53"/>
  <c r="L25" i="53"/>
  <c r="K25" i="53"/>
  <c r="J25" i="53"/>
  <c r="I25" i="53"/>
  <c r="H25" i="53"/>
  <c r="G25" i="53"/>
  <c r="F25" i="53"/>
  <c r="O24" i="53"/>
  <c r="N24" i="53"/>
  <c r="M24" i="53"/>
  <c r="L24" i="53"/>
  <c r="K24" i="53"/>
  <c r="J24" i="53"/>
  <c r="I24" i="53"/>
  <c r="H24" i="53"/>
  <c r="G24" i="53"/>
  <c r="F24" i="53"/>
  <c r="O23" i="53"/>
  <c r="N23" i="53"/>
  <c r="M23" i="53"/>
  <c r="L23" i="53"/>
  <c r="K23" i="53"/>
  <c r="J23" i="53"/>
  <c r="I23" i="53"/>
  <c r="H23" i="53"/>
  <c r="G23" i="53"/>
  <c r="F23" i="53"/>
  <c r="O22" i="53"/>
  <c r="N22" i="53"/>
  <c r="M22" i="53"/>
  <c r="L22" i="53"/>
  <c r="K22" i="53"/>
  <c r="J22" i="53"/>
  <c r="I22" i="53"/>
  <c r="H22" i="53"/>
  <c r="G22" i="53"/>
  <c r="F22" i="53"/>
  <c r="O21" i="53"/>
  <c r="N21" i="53"/>
  <c r="N17" i="53" s="1"/>
  <c r="N9" i="53" s="1"/>
  <c r="M14" i="51" s="1"/>
  <c r="M21" i="53"/>
  <c r="L21" i="53"/>
  <c r="K21" i="53"/>
  <c r="J21" i="53"/>
  <c r="I21" i="53"/>
  <c r="H21" i="53"/>
  <c r="G21" i="53"/>
  <c r="F21" i="53"/>
  <c r="O20" i="53"/>
  <c r="N20" i="53"/>
  <c r="M20" i="53"/>
  <c r="M17" i="53" s="1"/>
  <c r="M9" i="53" s="1"/>
  <c r="L14" i="51" s="1"/>
  <c r="L20" i="53"/>
  <c r="K20" i="53"/>
  <c r="J20" i="53"/>
  <c r="I20" i="53"/>
  <c r="H20" i="53"/>
  <c r="H17" i="53" s="1"/>
  <c r="H9" i="53" s="1"/>
  <c r="G14" i="51" s="1"/>
  <c r="G20" i="53"/>
  <c r="F20" i="53"/>
  <c r="O19" i="53"/>
  <c r="N19" i="53"/>
  <c r="M19" i="53"/>
  <c r="L19" i="53"/>
  <c r="K19" i="53"/>
  <c r="J19" i="53"/>
  <c r="J17" i="53" s="1"/>
  <c r="I19" i="53"/>
  <c r="H19" i="53"/>
  <c r="G19" i="53"/>
  <c r="F19" i="53"/>
  <c r="O18" i="53"/>
  <c r="O17" i="53" s="1"/>
  <c r="O9" i="53" s="1"/>
  <c r="N14" i="51" s="1"/>
  <c r="N18" i="53"/>
  <c r="M18" i="53"/>
  <c r="L18" i="53"/>
  <c r="L17" i="53" s="1"/>
  <c r="L9" i="53" s="1"/>
  <c r="K14" i="51" s="1"/>
  <c r="K18" i="53"/>
  <c r="J18" i="53"/>
  <c r="I18" i="53"/>
  <c r="I17" i="53" s="1"/>
  <c r="I9" i="53" s="1"/>
  <c r="H14" i="51" s="1"/>
  <c r="H18" i="53"/>
  <c r="G18" i="53"/>
  <c r="G17" i="53" s="1"/>
  <c r="G9" i="53" s="1"/>
  <c r="F14" i="51" s="1"/>
  <c r="F18" i="53"/>
  <c r="K17" i="53"/>
  <c r="F17" i="53"/>
  <c r="F9" i="53" s="1"/>
  <c r="E14" i="51" s="1"/>
  <c r="O16" i="53"/>
  <c r="O29" i="53" s="1"/>
  <c r="N16" i="53"/>
  <c r="N29" i="53" s="1"/>
  <c r="M16" i="53"/>
  <c r="M29" i="53" s="1"/>
  <c r="L16" i="53"/>
  <c r="L29" i="53" s="1"/>
  <c r="K16" i="53"/>
  <c r="K29" i="53" s="1"/>
  <c r="J16" i="53"/>
  <c r="J29" i="53" s="1"/>
  <c r="I16" i="53"/>
  <c r="H16" i="53"/>
  <c r="H29" i="53" s="1"/>
  <c r="G16" i="53"/>
  <c r="G29" i="53" s="1"/>
  <c r="F16" i="53"/>
  <c r="F29" i="53" s="1"/>
  <c r="O12" i="53"/>
  <c r="N12" i="53"/>
  <c r="M12" i="53"/>
  <c r="L12" i="53"/>
  <c r="K12" i="53"/>
  <c r="J12" i="53"/>
  <c r="H12" i="53"/>
  <c r="G12" i="53"/>
  <c r="F12" i="53"/>
  <c r="O11" i="53"/>
  <c r="N11" i="53"/>
  <c r="M11" i="53"/>
  <c r="L11" i="53"/>
  <c r="J11" i="53"/>
  <c r="I11" i="53"/>
  <c r="H11" i="53"/>
  <c r="G11" i="53"/>
  <c r="F11" i="53"/>
  <c r="K9" i="53"/>
  <c r="J9" i="53"/>
  <c r="I14" i="51" s="1"/>
  <c r="H7" i="53"/>
  <c r="I7" i="53" s="1"/>
  <c r="G7" i="53"/>
  <c r="I6" i="53"/>
  <c r="H6" i="53"/>
  <c r="G6" i="53"/>
  <c r="D3" i="53"/>
  <c r="C3" i="53"/>
  <c r="E65" i="52"/>
  <c r="D65" i="52"/>
  <c r="E63" i="52"/>
  <c r="D63" i="52"/>
  <c r="E61" i="52"/>
  <c r="D61" i="52"/>
  <c r="E56" i="52"/>
  <c r="D56" i="52"/>
  <c r="E54" i="52"/>
  <c r="D54" i="52"/>
  <c r="E38" i="52"/>
  <c r="D38" i="52"/>
  <c r="E36" i="52"/>
  <c r="D36" i="52"/>
  <c r="F32" i="52"/>
  <c r="Q21" i="52"/>
  <c r="C21" i="52" s="1"/>
  <c r="I21" i="52" s="1"/>
  <c r="I66" i="52" s="1"/>
  <c r="Q20" i="52"/>
  <c r="C20" i="52"/>
  <c r="Q19" i="52"/>
  <c r="C19" i="52" s="1"/>
  <c r="Q18" i="52"/>
  <c r="M18" i="52"/>
  <c r="C18" i="52"/>
  <c r="Q17" i="52"/>
  <c r="C17" i="52" s="1"/>
  <c r="I17" i="52"/>
  <c r="I55" i="52" s="1"/>
  <c r="Q16" i="52"/>
  <c r="M16" i="52"/>
  <c r="C16" i="52"/>
  <c r="Q15" i="52"/>
  <c r="C15" i="52" s="1"/>
  <c r="I15" i="52"/>
  <c r="Q14" i="52"/>
  <c r="C14" i="52" s="1"/>
  <c r="F14" i="52" s="1"/>
  <c r="F6" i="52"/>
  <c r="G6" i="52" s="1"/>
  <c r="G5" i="52"/>
  <c r="L4" i="52"/>
  <c r="M4" i="52" s="1"/>
  <c r="N4" i="52" s="1"/>
  <c r="O4" i="52" s="1"/>
  <c r="G4" i="52"/>
  <c r="H4" i="52" s="1"/>
  <c r="I4" i="52" s="1"/>
  <c r="J4" i="52" s="1"/>
  <c r="K4" i="52" s="1"/>
  <c r="F4" i="52"/>
  <c r="C2" i="52"/>
  <c r="B2" i="52"/>
  <c r="D40" i="51"/>
  <c r="D39" i="51"/>
  <c r="N21" i="51"/>
  <c r="M21" i="51"/>
  <c r="L21" i="51"/>
  <c r="J21" i="51"/>
  <c r="I21" i="51"/>
  <c r="G21" i="51"/>
  <c r="F21" i="51"/>
  <c r="E21" i="51"/>
  <c r="N20" i="51"/>
  <c r="L20" i="51"/>
  <c r="K20" i="51"/>
  <c r="I20" i="51"/>
  <c r="H20" i="51"/>
  <c r="G20" i="51"/>
  <c r="F20" i="51"/>
  <c r="J14" i="51"/>
  <c r="A5" i="51"/>
  <c r="A6" i="51" s="1"/>
  <c r="A7" i="51" s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E4" i="51"/>
  <c r="F4" i="51" s="1"/>
  <c r="G4" i="51" s="1"/>
  <c r="H4" i="51" s="1"/>
  <c r="I4" i="51" s="1"/>
  <c r="J4" i="51" s="1"/>
  <c r="K4" i="51" s="1"/>
  <c r="L4" i="51" s="1"/>
  <c r="M4" i="51" s="1"/>
  <c r="N4" i="51" s="1"/>
  <c r="K6" i="62" l="1"/>
  <c r="K5" i="62"/>
  <c r="M4" i="62"/>
  <c r="L15" i="62"/>
  <c r="L81" i="62" s="1"/>
  <c r="K5" i="61"/>
  <c r="K6" i="61"/>
  <c r="I3" i="59"/>
  <c r="J3" i="58"/>
  <c r="L3" i="59"/>
  <c r="M3" i="58"/>
  <c r="J3" i="59"/>
  <c r="K3" i="58"/>
  <c r="N3" i="59"/>
  <c r="O3" i="58"/>
  <c r="F3" i="59"/>
  <c r="G3" i="58"/>
  <c r="K3" i="59"/>
  <c r="L3" i="58"/>
  <c r="N19" i="57"/>
  <c r="P8" i="58"/>
  <c r="N23" i="57"/>
  <c r="O9" i="59"/>
  <c r="J19" i="57"/>
  <c r="L8" i="58"/>
  <c r="G23" i="57"/>
  <c r="H9" i="59"/>
  <c r="M82" i="59"/>
  <c r="M12" i="59" s="1"/>
  <c r="E23" i="57"/>
  <c r="F9" i="59"/>
  <c r="G19" i="57"/>
  <c r="G18" i="57" s="1"/>
  <c r="I8" i="58"/>
  <c r="K82" i="59"/>
  <c r="K12" i="59" s="1"/>
  <c r="G82" i="59"/>
  <c r="G12" i="59" s="1"/>
  <c r="L19" i="57"/>
  <c r="N8" i="58"/>
  <c r="I5" i="59"/>
  <c r="I6" i="59"/>
  <c r="I82" i="59"/>
  <c r="I12" i="59" s="1"/>
  <c r="F19" i="57"/>
  <c r="H8" i="58"/>
  <c r="M23" i="57"/>
  <c r="N9" i="59"/>
  <c r="O8" i="58"/>
  <c r="M19" i="57"/>
  <c r="M18" i="57" s="1"/>
  <c r="J82" i="59"/>
  <c r="J12" i="59" s="1"/>
  <c r="P3" i="58"/>
  <c r="O3" i="59"/>
  <c r="G8" i="58"/>
  <c r="E19" i="57"/>
  <c r="E18" i="57" s="1"/>
  <c r="M3" i="59"/>
  <c r="N3" i="58"/>
  <c r="K4" i="59"/>
  <c r="J15" i="59"/>
  <c r="J81" i="59" s="1"/>
  <c r="H3" i="59"/>
  <c r="I3" i="58"/>
  <c r="G3" i="59"/>
  <c r="H3" i="58"/>
  <c r="K5" i="58"/>
  <c r="K6" i="58"/>
  <c r="L82" i="59"/>
  <c r="L12" i="59" s="1"/>
  <c r="J6" i="56"/>
  <c r="J7" i="56"/>
  <c r="N13" i="56"/>
  <c r="N10" i="56" s="1"/>
  <c r="F13" i="56"/>
  <c r="F10" i="56" s="1"/>
  <c r="M13" i="56"/>
  <c r="M10" i="56" s="1"/>
  <c r="L13" i="56"/>
  <c r="L10" i="56" s="1"/>
  <c r="K13" i="56"/>
  <c r="K10" i="56" s="1"/>
  <c r="J13" i="56"/>
  <c r="J10" i="56" s="1"/>
  <c r="G13" i="56"/>
  <c r="G10" i="56" s="1"/>
  <c r="I13" i="56"/>
  <c r="I10" i="56" s="1"/>
  <c r="H13" i="56"/>
  <c r="H10" i="56" s="1"/>
  <c r="O13" i="56"/>
  <c r="O10" i="56" s="1"/>
  <c r="O53" i="55"/>
  <c r="O49" i="55"/>
  <c r="O44" i="55"/>
  <c r="O40" i="55"/>
  <c r="O52" i="55"/>
  <c r="O48" i="55"/>
  <c r="O43" i="55"/>
  <c r="O39" i="55"/>
  <c r="O45" i="55"/>
  <c r="O51" i="55"/>
  <c r="O46" i="55"/>
  <c r="O42" i="55"/>
  <c r="O50" i="55"/>
  <c r="O41" i="55"/>
  <c r="F13" i="55"/>
  <c r="F7" i="55" s="1"/>
  <c r="F57" i="55"/>
  <c r="F60" i="55"/>
  <c r="F59" i="55"/>
  <c r="F58" i="55"/>
  <c r="K51" i="55"/>
  <c r="K46" i="55"/>
  <c r="K42" i="55"/>
  <c r="K41" i="55"/>
  <c r="K50" i="55"/>
  <c r="K45" i="55"/>
  <c r="K52" i="55"/>
  <c r="K48" i="55"/>
  <c r="K39" i="55"/>
  <c r="K53" i="55"/>
  <c r="K49" i="55"/>
  <c r="K44" i="55"/>
  <c r="K40" i="55"/>
  <c r="K43" i="55"/>
  <c r="N57" i="55"/>
  <c r="N60" i="55"/>
  <c r="N59" i="55"/>
  <c r="N58" i="55"/>
  <c r="L50" i="55"/>
  <c r="L45" i="55"/>
  <c r="L41" i="55"/>
  <c r="L53" i="55"/>
  <c r="L49" i="55"/>
  <c r="L44" i="55"/>
  <c r="L40" i="55"/>
  <c r="L52" i="55"/>
  <c r="L48" i="55"/>
  <c r="L43" i="55"/>
  <c r="L39" i="55"/>
  <c r="L51" i="55"/>
  <c r="L46" i="55"/>
  <c r="L42" i="55"/>
  <c r="J51" i="55"/>
  <c r="J46" i="55"/>
  <c r="J42" i="55"/>
  <c r="J50" i="55"/>
  <c r="J45" i="55"/>
  <c r="J41" i="55"/>
  <c r="J53" i="55"/>
  <c r="J49" i="55"/>
  <c r="J44" i="55"/>
  <c r="J40" i="55"/>
  <c r="J52" i="55"/>
  <c r="J48" i="55"/>
  <c r="J43" i="55"/>
  <c r="J39" i="55"/>
  <c r="K13" i="55"/>
  <c r="K7" i="55" s="1"/>
  <c r="K37" i="55"/>
  <c r="K10" i="55"/>
  <c r="O57" i="55"/>
  <c r="O60" i="55"/>
  <c r="O58" i="55"/>
  <c r="O59" i="55"/>
  <c r="F53" i="55"/>
  <c r="F49" i="55"/>
  <c r="F44" i="55"/>
  <c r="F40" i="55"/>
  <c r="F24" i="55" s="1"/>
  <c r="F9" i="55" s="1"/>
  <c r="F8" i="55" s="1"/>
  <c r="F52" i="55"/>
  <c r="F48" i="55"/>
  <c r="F43" i="55"/>
  <c r="F39" i="55"/>
  <c r="F51" i="55"/>
  <c r="F46" i="55"/>
  <c r="F42" i="55"/>
  <c r="F50" i="55"/>
  <c r="F45" i="55"/>
  <c r="F41" i="55"/>
  <c r="M37" i="55"/>
  <c r="M10" i="55"/>
  <c r="M13" i="55"/>
  <c r="M7" i="55" s="1"/>
  <c r="J59" i="55"/>
  <c r="J58" i="55"/>
  <c r="J57" i="55"/>
  <c r="J60" i="55"/>
  <c r="H60" i="55"/>
  <c r="H59" i="55"/>
  <c r="H58" i="55"/>
  <c r="H57" i="55"/>
  <c r="N53" i="55"/>
  <c r="N49" i="55"/>
  <c r="N44" i="55"/>
  <c r="N40" i="55"/>
  <c r="N52" i="55"/>
  <c r="N48" i="55"/>
  <c r="N43" i="55"/>
  <c r="N39" i="55"/>
  <c r="N51" i="55"/>
  <c r="N46" i="55"/>
  <c r="N42" i="55"/>
  <c r="N50" i="55"/>
  <c r="N45" i="55"/>
  <c r="N41" i="55"/>
  <c r="G13" i="55"/>
  <c r="G7" i="55" s="1"/>
  <c r="G37" i="55"/>
  <c r="G10" i="55"/>
  <c r="H10" i="55"/>
  <c r="H13" i="55"/>
  <c r="H7" i="55" s="1"/>
  <c r="H37" i="55"/>
  <c r="H52" i="55"/>
  <c r="H48" i="55"/>
  <c r="H43" i="55"/>
  <c r="H39" i="55"/>
  <c r="H51" i="55"/>
  <c r="H46" i="55"/>
  <c r="H42" i="55"/>
  <c r="H50" i="55"/>
  <c r="H45" i="55"/>
  <c r="H41" i="55"/>
  <c r="H53" i="55"/>
  <c r="H49" i="55"/>
  <c r="H44" i="55"/>
  <c r="H40" i="55"/>
  <c r="I13" i="55"/>
  <c r="I7" i="55" s="1"/>
  <c r="I37" i="55"/>
  <c r="I10" i="55"/>
  <c r="I52" i="55"/>
  <c r="I48" i="55"/>
  <c r="I43" i="55"/>
  <c r="I39" i="55"/>
  <c r="I51" i="55"/>
  <c r="I46" i="55"/>
  <c r="I42" i="55"/>
  <c r="I44" i="55"/>
  <c r="I50" i="55"/>
  <c r="I45" i="55"/>
  <c r="I41" i="55"/>
  <c r="I53" i="55"/>
  <c r="I49" i="55"/>
  <c r="I40" i="55"/>
  <c r="J13" i="55"/>
  <c r="J7" i="55" s="1"/>
  <c r="J37" i="55"/>
  <c r="J10" i="55"/>
  <c r="H6" i="55"/>
  <c r="H5" i="55"/>
  <c r="G57" i="55"/>
  <c r="G60" i="55"/>
  <c r="G59" i="55"/>
  <c r="G58" i="55"/>
  <c r="M50" i="55"/>
  <c r="M45" i="55"/>
  <c r="M41" i="55"/>
  <c r="M53" i="55"/>
  <c r="M49" i="55"/>
  <c r="M44" i="55"/>
  <c r="M40" i="55"/>
  <c r="M52" i="55"/>
  <c r="M48" i="55"/>
  <c r="M43" i="55"/>
  <c r="M39" i="55"/>
  <c r="M46" i="55"/>
  <c r="M42" i="55"/>
  <c r="M51" i="55"/>
  <c r="L13" i="55"/>
  <c r="L7" i="55" s="1"/>
  <c r="L37" i="55"/>
  <c r="L10" i="55"/>
  <c r="N13" i="55"/>
  <c r="N7" i="55" s="1"/>
  <c r="N37" i="55"/>
  <c r="N10" i="55"/>
  <c r="K59" i="55"/>
  <c r="K58" i="55"/>
  <c r="K57" i="55"/>
  <c r="K60" i="55"/>
  <c r="I60" i="55"/>
  <c r="I59" i="55"/>
  <c r="I58" i="55"/>
  <c r="I57" i="55"/>
  <c r="G53" i="55"/>
  <c r="G49" i="55"/>
  <c r="G44" i="55"/>
  <c r="G40" i="55"/>
  <c r="G52" i="55"/>
  <c r="G48" i="55"/>
  <c r="G43" i="55"/>
  <c r="G39" i="55"/>
  <c r="G50" i="55"/>
  <c r="G41" i="55"/>
  <c r="G51" i="55"/>
  <c r="G46" i="55"/>
  <c r="G42" i="55"/>
  <c r="G45" i="55"/>
  <c r="O37" i="55"/>
  <c r="O13" i="55"/>
  <c r="O7" i="55" s="1"/>
  <c r="O10" i="55"/>
  <c r="F10" i="55"/>
  <c r="L58" i="55"/>
  <c r="L57" i="55"/>
  <c r="L60" i="55"/>
  <c r="L59" i="55"/>
  <c r="M58" i="55"/>
  <c r="M57" i="55"/>
  <c r="M60" i="55"/>
  <c r="M59" i="55"/>
  <c r="M50" i="52"/>
  <c r="M45" i="52"/>
  <c r="M41" i="52"/>
  <c r="M53" i="52"/>
  <c r="M49" i="52"/>
  <c r="M44" i="52"/>
  <c r="M40" i="52"/>
  <c r="M52" i="52"/>
  <c r="M48" i="52"/>
  <c r="M43" i="52"/>
  <c r="M39" i="52"/>
  <c r="M51" i="52"/>
  <c r="M46" i="52"/>
  <c r="M42" i="52"/>
  <c r="K20" i="52"/>
  <c r="J20" i="52"/>
  <c r="I20" i="52"/>
  <c r="H20" i="52"/>
  <c r="O20" i="52"/>
  <c r="G20" i="52"/>
  <c r="N20" i="52"/>
  <c r="F20" i="52"/>
  <c r="L20" i="52"/>
  <c r="J20" i="51"/>
  <c r="H21" i="51"/>
  <c r="O19" i="52"/>
  <c r="O62" i="52" s="1"/>
  <c r="G19" i="52"/>
  <c r="G62" i="52" s="1"/>
  <c r="N19" i="52"/>
  <c r="N62" i="52" s="1"/>
  <c r="F19" i="52"/>
  <c r="F62" i="52" s="1"/>
  <c r="M19" i="52"/>
  <c r="M62" i="52" s="1"/>
  <c r="L19" i="52"/>
  <c r="L62" i="52" s="1"/>
  <c r="K19" i="52"/>
  <c r="K62" i="52" s="1"/>
  <c r="J19" i="52"/>
  <c r="J62" i="52" s="1"/>
  <c r="H19" i="52"/>
  <c r="H62" i="52" s="1"/>
  <c r="M20" i="52"/>
  <c r="H5" i="52"/>
  <c r="H6" i="52"/>
  <c r="O17" i="52"/>
  <c r="O55" i="52" s="1"/>
  <c r="G17" i="52"/>
  <c r="G55" i="52" s="1"/>
  <c r="N17" i="52"/>
  <c r="N55" i="52" s="1"/>
  <c r="F17" i="52"/>
  <c r="F55" i="52" s="1"/>
  <c r="M17" i="52"/>
  <c r="M55" i="52" s="1"/>
  <c r="L17" i="52"/>
  <c r="L55" i="52" s="1"/>
  <c r="K17" i="52"/>
  <c r="K55" i="52" s="1"/>
  <c r="J17" i="52"/>
  <c r="J55" i="52" s="1"/>
  <c r="H17" i="52"/>
  <c r="H55" i="52" s="1"/>
  <c r="J7" i="53"/>
  <c r="J6" i="53"/>
  <c r="E20" i="51"/>
  <c r="F30" i="52"/>
  <c r="F29" i="52"/>
  <c r="F28" i="52"/>
  <c r="F35" i="52"/>
  <c r="F27" i="52"/>
  <c r="F34" i="52"/>
  <c r="F26" i="52"/>
  <c r="F33" i="52"/>
  <c r="F31" i="52"/>
  <c r="K18" i="52"/>
  <c r="J18" i="52"/>
  <c r="I18" i="52"/>
  <c r="H18" i="52"/>
  <c r="O18" i="52"/>
  <c r="G18" i="52"/>
  <c r="N18" i="52"/>
  <c r="F18" i="52"/>
  <c r="L18" i="52"/>
  <c r="I37" i="52"/>
  <c r="M58" i="52"/>
  <c r="M57" i="52"/>
  <c r="M60" i="52"/>
  <c r="M59" i="52"/>
  <c r="O21" i="52"/>
  <c r="O66" i="52" s="1"/>
  <c r="G21" i="52"/>
  <c r="G66" i="52" s="1"/>
  <c r="N21" i="52"/>
  <c r="N66" i="52" s="1"/>
  <c r="F21" i="52"/>
  <c r="F66" i="52" s="1"/>
  <c r="M21" i="52"/>
  <c r="M66" i="52" s="1"/>
  <c r="L21" i="52"/>
  <c r="L66" i="52" s="1"/>
  <c r="K21" i="52"/>
  <c r="K66" i="52" s="1"/>
  <c r="J21" i="52"/>
  <c r="J66" i="52" s="1"/>
  <c r="H21" i="52"/>
  <c r="H66" i="52" s="1"/>
  <c r="O15" i="52"/>
  <c r="G15" i="52"/>
  <c r="N15" i="52"/>
  <c r="F15" i="52"/>
  <c r="M15" i="52"/>
  <c r="L15" i="52"/>
  <c r="K15" i="52"/>
  <c r="J15" i="52"/>
  <c r="H15" i="52"/>
  <c r="K21" i="51"/>
  <c r="K16" i="52"/>
  <c r="J16" i="52"/>
  <c r="I16" i="52"/>
  <c r="H16" i="52"/>
  <c r="O16" i="52"/>
  <c r="G16" i="52"/>
  <c r="N16" i="52"/>
  <c r="F16" i="52"/>
  <c r="L16" i="52"/>
  <c r="I19" i="52"/>
  <c r="I62" i="52" s="1"/>
  <c r="M20" i="51"/>
  <c r="E34" i="53"/>
  <c r="E44" i="53"/>
  <c r="E48" i="53"/>
  <c r="E31" i="53"/>
  <c r="E35" i="53"/>
  <c r="E42" i="53"/>
  <c r="E45" i="53"/>
  <c r="E49" i="53"/>
  <c r="E39" i="53"/>
  <c r="E53" i="53"/>
  <c r="E32" i="53"/>
  <c r="E36" i="53"/>
  <c r="E46" i="53"/>
  <c r="E50" i="53"/>
  <c r="E40" i="53"/>
  <c r="E43" i="53"/>
  <c r="E47" i="53"/>
  <c r="E37" i="53"/>
  <c r="E41" i="53"/>
  <c r="M15" i="62" l="1"/>
  <c r="M81" i="62" s="1"/>
  <c r="N4" i="62"/>
  <c r="L6" i="62"/>
  <c r="L5" i="62"/>
  <c r="L6" i="61"/>
  <c r="L5" i="61"/>
  <c r="K23" i="57"/>
  <c r="K18" i="57" s="1"/>
  <c r="L9" i="59"/>
  <c r="J5" i="59"/>
  <c r="J6" i="59"/>
  <c r="L6" i="58"/>
  <c r="L5" i="58"/>
  <c r="K15" i="59"/>
  <c r="K81" i="59" s="1"/>
  <c r="L4" i="59"/>
  <c r="L23" i="57"/>
  <c r="L18" i="57" s="1"/>
  <c r="M9" i="59"/>
  <c r="N18" i="57"/>
  <c r="F23" i="57"/>
  <c r="G9" i="59"/>
  <c r="F18" i="57"/>
  <c r="J23" i="57"/>
  <c r="J18" i="57" s="1"/>
  <c r="K9" i="59"/>
  <c r="I23" i="57"/>
  <c r="I18" i="57" s="1"/>
  <c r="J9" i="59"/>
  <c r="H23" i="57"/>
  <c r="H18" i="57" s="1"/>
  <c r="I9" i="59"/>
  <c r="K7" i="56"/>
  <c r="K6" i="56"/>
  <c r="O24" i="55"/>
  <c r="O9" i="55" s="1"/>
  <c r="O8" i="55" s="1"/>
  <c r="N24" i="55"/>
  <c r="N9" i="55" s="1"/>
  <c r="N8" i="55" s="1"/>
  <c r="G24" i="55"/>
  <c r="G9" i="55" s="1"/>
  <c r="G8" i="55" s="1"/>
  <c r="I6" i="55"/>
  <c r="I5" i="55"/>
  <c r="K24" i="55"/>
  <c r="K9" i="55" s="1"/>
  <c r="K8" i="55" s="1"/>
  <c r="M24" i="55"/>
  <c r="M9" i="55" s="1"/>
  <c r="M8" i="55" s="1"/>
  <c r="L24" i="55"/>
  <c r="L9" i="55" s="1"/>
  <c r="L8" i="55" s="1"/>
  <c r="J24" i="55"/>
  <c r="J9" i="55" s="1"/>
  <c r="J8" i="55" s="1"/>
  <c r="I24" i="55"/>
  <c r="I9" i="55" s="1"/>
  <c r="I8" i="55" s="1"/>
  <c r="H24" i="55"/>
  <c r="H9" i="55" s="1"/>
  <c r="H8" i="55" s="1"/>
  <c r="I60" i="52"/>
  <c r="I59" i="52"/>
  <c r="I58" i="52"/>
  <c r="I57" i="52"/>
  <c r="G53" i="52"/>
  <c r="G49" i="52"/>
  <c r="G44" i="52"/>
  <c r="G40" i="52"/>
  <c r="G52" i="52"/>
  <c r="G48" i="52"/>
  <c r="G43" i="52"/>
  <c r="G39" i="52"/>
  <c r="G51" i="52"/>
  <c r="G46" i="52"/>
  <c r="G42" i="52"/>
  <c r="G50" i="52"/>
  <c r="G45" i="52"/>
  <c r="G41" i="52"/>
  <c r="H7" i="52"/>
  <c r="G13" i="51" s="1"/>
  <c r="G22" i="51"/>
  <c r="H37" i="52"/>
  <c r="N22" i="51"/>
  <c r="O37" i="52"/>
  <c r="O7" i="52"/>
  <c r="N13" i="51" s="1"/>
  <c r="J60" i="52"/>
  <c r="J59" i="52"/>
  <c r="J58" i="52"/>
  <c r="J57" i="52"/>
  <c r="I5" i="52"/>
  <c r="I6" i="52"/>
  <c r="F22" i="51"/>
  <c r="F33" i="51" s="1"/>
  <c r="F34" i="51" s="1"/>
  <c r="G37" i="52"/>
  <c r="G7" i="52"/>
  <c r="F13" i="51" s="1"/>
  <c r="O53" i="52"/>
  <c r="O49" i="52"/>
  <c r="O44" i="52"/>
  <c r="O40" i="52"/>
  <c r="O52" i="52"/>
  <c r="O48" i="52"/>
  <c r="O43" i="52"/>
  <c r="O39" i="52"/>
  <c r="O51" i="52"/>
  <c r="O46" i="52"/>
  <c r="O42" i="52"/>
  <c r="O50" i="52"/>
  <c r="O45" i="52"/>
  <c r="O41" i="52"/>
  <c r="J7" i="52"/>
  <c r="I13" i="51" s="1"/>
  <c r="J37" i="52"/>
  <c r="I22" i="51"/>
  <c r="L59" i="52"/>
  <c r="L58" i="52"/>
  <c r="L57" i="52"/>
  <c r="L60" i="52"/>
  <c r="K59" i="52"/>
  <c r="K58" i="52"/>
  <c r="K57" i="52"/>
  <c r="K60" i="52"/>
  <c r="H53" i="52"/>
  <c r="H49" i="52"/>
  <c r="H44" i="52"/>
  <c r="H40" i="52"/>
  <c r="H52" i="52"/>
  <c r="H48" i="52"/>
  <c r="H43" i="52"/>
  <c r="H39" i="52"/>
  <c r="H51" i="52"/>
  <c r="H46" i="52"/>
  <c r="H42" i="52"/>
  <c r="H41" i="52"/>
  <c r="H45" i="52"/>
  <c r="H50" i="52"/>
  <c r="K7" i="52"/>
  <c r="J13" i="51" s="1"/>
  <c r="K37" i="52"/>
  <c r="J22" i="51"/>
  <c r="F58" i="52"/>
  <c r="F57" i="52"/>
  <c r="F60" i="52"/>
  <c r="F59" i="52"/>
  <c r="N50" i="52"/>
  <c r="N45" i="52"/>
  <c r="N41" i="52"/>
  <c r="N53" i="52"/>
  <c r="N49" i="52"/>
  <c r="N44" i="52"/>
  <c r="N40" i="52"/>
  <c r="N52" i="52"/>
  <c r="N48" i="52"/>
  <c r="N43" i="52"/>
  <c r="N39" i="52"/>
  <c r="N46" i="52"/>
  <c r="N51" i="52"/>
  <c r="N42" i="52"/>
  <c r="I52" i="52"/>
  <c r="I48" i="52"/>
  <c r="I43" i="52"/>
  <c r="I24" i="52" s="1"/>
  <c r="I9" i="52" s="1"/>
  <c r="I39" i="52"/>
  <c r="I51" i="52"/>
  <c r="I46" i="52"/>
  <c r="I42" i="52"/>
  <c r="I50" i="52"/>
  <c r="I45" i="52"/>
  <c r="I41" i="52"/>
  <c r="I53" i="52"/>
  <c r="I49" i="52"/>
  <c r="I44" i="52"/>
  <c r="I40" i="52"/>
  <c r="H22" i="51"/>
  <c r="L7" i="52"/>
  <c r="K13" i="51" s="1"/>
  <c r="L37" i="52"/>
  <c r="K22" i="51"/>
  <c r="K33" i="51" s="1"/>
  <c r="K34" i="51" s="1"/>
  <c r="N58" i="52"/>
  <c r="N57" i="52"/>
  <c r="N60" i="52"/>
  <c r="N59" i="52"/>
  <c r="J52" i="52"/>
  <c r="J48" i="52"/>
  <c r="J43" i="52"/>
  <c r="J39" i="52"/>
  <c r="J51" i="52"/>
  <c r="J46" i="52"/>
  <c r="J42" i="52"/>
  <c r="J50" i="52"/>
  <c r="J45" i="52"/>
  <c r="J41" i="52"/>
  <c r="J40" i="52"/>
  <c r="J53" i="52"/>
  <c r="J44" i="52"/>
  <c r="J49" i="52"/>
  <c r="M7" i="52"/>
  <c r="L13" i="51" s="1"/>
  <c r="M37" i="52"/>
  <c r="M24" i="52" s="1"/>
  <c r="M9" i="52" s="1"/>
  <c r="L22" i="51"/>
  <c r="G57" i="52"/>
  <c r="G60" i="52"/>
  <c r="G59" i="52"/>
  <c r="G58" i="52"/>
  <c r="I7" i="52"/>
  <c r="H13" i="51" s="1"/>
  <c r="L51" i="52"/>
  <c r="L46" i="52"/>
  <c r="L42" i="52"/>
  <c r="L50" i="52"/>
  <c r="L45" i="52"/>
  <c r="L41" i="52"/>
  <c r="L53" i="52"/>
  <c r="L49" i="52"/>
  <c r="L44" i="52"/>
  <c r="L40" i="52"/>
  <c r="L39" i="52"/>
  <c r="L52" i="52"/>
  <c r="L43" i="52"/>
  <c r="L48" i="52"/>
  <c r="K51" i="52"/>
  <c r="K46" i="52"/>
  <c r="K42" i="52"/>
  <c r="K50" i="52"/>
  <c r="K45" i="52"/>
  <c r="K41" i="52"/>
  <c r="K53" i="52"/>
  <c r="K49" i="52"/>
  <c r="K44" i="52"/>
  <c r="K40" i="52"/>
  <c r="K52" i="52"/>
  <c r="K48" i="52"/>
  <c r="K43" i="52"/>
  <c r="K39" i="52"/>
  <c r="F37" i="52"/>
  <c r="F24" i="52" s="1"/>
  <c r="F9" i="52" s="1"/>
  <c r="E22" i="51"/>
  <c r="F7" i="52"/>
  <c r="E13" i="51" s="1"/>
  <c r="O57" i="52"/>
  <c r="O60" i="52"/>
  <c r="O59" i="52"/>
  <c r="O58" i="52"/>
  <c r="H13" i="53"/>
  <c r="O13" i="53"/>
  <c r="G13" i="53"/>
  <c r="N13" i="53"/>
  <c r="F13" i="53"/>
  <c r="M13" i="53"/>
  <c r="L13" i="53"/>
  <c r="K13" i="53"/>
  <c r="I13" i="53"/>
  <c r="J13" i="53"/>
  <c r="F50" i="52"/>
  <c r="F45" i="52"/>
  <c r="F41" i="52"/>
  <c r="F53" i="52"/>
  <c r="F49" i="52"/>
  <c r="F44" i="52"/>
  <c r="F40" i="52"/>
  <c r="F52" i="52"/>
  <c r="F48" i="52"/>
  <c r="F43" i="52"/>
  <c r="F39" i="52"/>
  <c r="F46" i="52"/>
  <c r="F51" i="52"/>
  <c r="F42" i="52"/>
  <c r="N37" i="52"/>
  <c r="M22" i="51"/>
  <c r="N7" i="52"/>
  <c r="M13" i="51" s="1"/>
  <c r="H57" i="52"/>
  <c r="H60" i="52"/>
  <c r="H59" i="52"/>
  <c r="H58" i="52"/>
  <c r="K6" i="53"/>
  <c r="K7" i="53"/>
  <c r="M6" i="62" l="1"/>
  <c r="M5" i="62"/>
  <c r="O4" i="62"/>
  <c r="O15" i="62" s="1"/>
  <c r="O81" i="62" s="1"/>
  <c r="N15" i="62"/>
  <c r="N81" i="62" s="1"/>
  <c r="M6" i="61"/>
  <c r="M5" i="61"/>
  <c r="M4" i="59"/>
  <c r="L15" i="59"/>
  <c r="L81" i="59" s="1"/>
  <c r="M6" i="58"/>
  <c r="M5" i="58"/>
  <c r="K6" i="59"/>
  <c r="K5" i="59"/>
  <c r="L7" i="56"/>
  <c r="L6" i="56"/>
  <c r="J6" i="55"/>
  <c r="J5" i="55"/>
  <c r="E33" i="51"/>
  <c r="E34" i="51" s="1"/>
  <c r="Q22" i="51"/>
  <c r="R22" i="51" s="1"/>
  <c r="L33" i="51"/>
  <c r="L34" i="51" s="1"/>
  <c r="H33" i="51"/>
  <c r="H34" i="51" s="1"/>
  <c r="G33" i="51"/>
  <c r="G34" i="51" s="1"/>
  <c r="J33" i="51"/>
  <c r="J34" i="51" s="1"/>
  <c r="I8" i="52"/>
  <c r="H19" i="51"/>
  <c r="E19" i="51"/>
  <c r="F8" i="52"/>
  <c r="I23" i="51"/>
  <c r="I35" i="51" s="1"/>
  <c r="I36" i="51" s="1"/>
  <c r="J10" i="53"/>
  <c r="N23" i="51"/>
  <c r="N35" i="51" s="1"/>
  <c r="N36" i="51" s="1"/>
  <c r="O10" i="53"/>
  <c r="O24" i="52"/>
  <c r="O9" i="52" s="1"/>
  <c r="I15" i="51"/>
  <c r="I12" i="51" s="1"/>
  <c r="M33" i="51"/>
  <c r="M34" i="51" s="1"/>
  <c r="N24" i="52"/>
  <c r="N9" i="52" s="1"/>
  <c r="H23" i="51"/>
  <c r="H35" i="51" s="1"/>
  <c r="H36" i="51" s="1"/>
  <c r="I10" i="53"/>
  <c r="G23" i="51"/>
  <c r="G35" i="51" s="1"/>
  <c r="G36" i="51" s="1"/>
  <c r="H10" i="53"/>
  <c r="L24" i="52"/>
  <c r="L9" i="52" s="1"/>
  <c r="J6" i="52"/>
  <c r="J5" i="52"/>
  <c r="N33" i="51"/>
  <c r="N34" i="51" s="1"/>
  <c r="N15" i="51"/>
  <c r="N12" i="51" s="1"/>
  <c r="L6" i="53"/>
  <c r="L7" i="53"/>
  <c r="J23" i="51"/>
  <c r="J35" i="51" s="1"/>
  <c r="J36" i="51" s="1"/>
  <c r="K10" i="53"/>
  <c r="K15" i="51"/>
  <c r="K12" i="51"/>
  <c r="H24" i="52"/>
  <c r="H9" i="52" s="1"/>
  <c r="K23" i="51"/>
  <c r="K35" i="51" s="1"/>
  <c r="K36" i="51" s="1"/>
  <c r="L10" i="53"/>
  <c r="M15" i="51"/>
  <c r="M12" i="51" s="1"/>
  <c r="M10" i="53"/>
  <c r="L23" i="51"/>
  <c r="L35" i="51" s="1"/>
  <c r="L36" i="51" s="1"/>
  <c r="L19" i="51"/>
  <c r="L18" i="51" s="1"/>
  <c r="M8" i="52"/>
  <c r="G15" i="51"/>
  <c r="G12" i="51" s="1"/>
  <c r="F23" i="51"/>
  <c r="F35" i="51" s="1"/>
  <c r="F36" i="51" s="1"/>
  <c r="G10" i="53"/>
  <c r="G24" i="52"/>
  <c r="G9" i="52" s="1"/>
  <c r="E23" i="51"/>
  <c r="E35" i="51" s="1"/>
  <c r="E36" i="51" s="1"/>
  <c r="F10" i="53"/>
  <c r="H15" i="51"/>
  <c r="H12" i="51" s="1"/>
  <c r="L15" i="51"/>
  <c r="L12" i="51" s="1"/>
  <c r="L44" i="51" s="1"/>
  <c r="K24" i="52"/>
  <c r="K9" i="52" s="1"/>
  <c r="I33" i="51"/>
  <c r="I34" i="51" s="1"/>
  <c r="M23" i="51"/>
  <c r="M35" i="51" s="1"/>
  <c r="M36" i="51" s="1"/>
  <c r="N10" i="53"/>
  <c r="E12" i="51"/>
  <c r="J15" i="51"/>
  <c r="J12" i="51" s="1"/>
  <c r="J24" i="52"/>
  <c r="J9" i="52" s="1"/>
  <c r="F15" i="51"/>
  <c r="F12" i="51" s="1"/>
  <c r="N6" i="62" l="1"/>
  <c r="N5" i="62"/>
  <c r="N6" i="61"/>
  <c r="N5" i="61"/>
  <c r="N4" i="59"/>
  <c r="M15" i="59"/>
  <c r="M81" i="59" s="1"/>
  <c r="L6" i="59"/>
  <c r="L5" i="59"/>
  <c r="N6" i="58"/>
  <c r="N5" i="58"/>
  <c r="M7" i="56"/>
  <c r="M6" i="56"/>
  <c r="K6" i="55"/>
  <c r="K5" i="55"/>
  <c r="I44" i="51"/>
  <c r="G4" i="53"/>
  <c r="G3" i="52"/>
  <c r="M4" i="53"/>
  <c r="M3" i="52"/>
  <c r="O4" i="53"/>
  <c r="O3" i="52"/>
  <c r="K4" i="53"/>
  <c r="K3" i="52"/>
  <c r="H4" i="53"/>
  <c r="H3" i="52"/>
  <c r="J4" i="53"/>
  <c r="J3" i="52"/>
  <c r="F4" i="53"/>
  <c r="F3" i="52"/>
  <c r="I4" i="53"/>
  <c r="I3" i="52"/>
  <c r="H8" i="52"/>
  <c r="G19" i="51"/>
  <c r="G18" i="51" s="1"/>
  <c r="G44" i="51" s="1"/>
  <c r="L4" i="53"/>
  <c r="L3" i="52"/>
  <c r="M19" i="51"/>
  <c r="M18" i="51" s="1"/>
  <c r="M44" i="51" s="1"/>
  <c r="N8" i="52"/>
  <c r="G8" i="52"/>
  <c r="F19" i="51"/>
  <c r="F18" i="51" s="1"/>
  <c r="F44" i="51" s="1"/>
  <c r="K6" i="52"/>
  <c r="K5" i="52"/>
  <c r="E18" i="51"/>
  <c r="J8" i="52"/>
  <c r="I19" i="51"/>
  <c r="I18" i="51" s="1"/>
  <c r="K8" i="52"/>
  <c r="J19" i="51"/>
  <c r="J18" i="51" s="1"/>
  <c r="J44" i="51" s="1"/>
  <c r="N4" i="53"/>
  <c r="N3" i="52"/>
  <c r="K19" i="51"/>
  <c r="K18" i="51" s="1"/>
  <c r="K44" i="51" s="1"/>
  <c r="L8" i="52"/>
  <c r="H18" i="51"/>
  <c r="H44" i="51" s="1"/>
  <c r="M7" i="53"/>
  <c r="M6" i="53"/>
  <c r="O8" i="52"/>
  <c r="N19" i="51"/>
  <c r="N18" i="51" s="1"/>
  <c r="N44" i="51" s="1"/>
  <c r="O5" i="62" l="1"/>
  <c r="O6" i="62"/>
  <c r="O6" i="61"/>
  <c r="O5" i="61"/>
  <c r="O6" i="58"/>
  <c r="O5" i="58"/>
  <c r="M6" i="59"/>
  <c r="M5" i="59"/>
  <c r="O4" i="59"/>
  <c r="O15" i="59" s="1"/>
  <c r="O81" i="59" s="1"/>
  <c r="N15" i="59"/>
  <c r="N81" i="59" s="1"/>
  <c r="N6" i="56"/>
  <c r="N7" i="56"/>
  <c r="L6" i="55"/>
  <c r="L5" i="55"/>
  <c r="Q18" i="51"/>
  <c r="R18" i="51" s="1"/>
  <c r="E44" i="51"/>
  <c r="O44" i="51" s="1"/>
  <c r="N7" i="53"/>
  <c r="N6" i="53"/>
  <c r="L6" i="52"/>
  <c r="L5" i="52"/>
  <c r="P5" i="61" l="1"/>
  <c r="P6" i="61"/>
  <c r="P6" i="58"/>
  <c r="P5" i="58"/>
  <c r="N6" i="59"/>
  <c r="N5" i="59"/>
  <c r="O6" i="56"/>
  <c r="O7" i="56"/>
  <c r="M6" i="55"/>
  <c r="M5" i="55"/>
  <c r="M6" i="52"/>
  <c r="M5" i="52"/>
  <c r="O7" i="53"/>
  <c r="O6" i="53"/>
  <c r="O6" i="59" l="1"/>
  <c r="O5" i="59"/>
  <c r="N6" i="55"/>
  <c r="N5" i="55"/>
  <c r="N6" i="52"/>
  <c r="N5" i="52"/>
  <c r="O5" i="55" l="1"/>
  <c r="O6" i="55"/>
  <c r="O6" i="52"/>
  <c r="O5" i="52"/>
  <c r="H389" i="33" l="1"/>
  <c r="I389" i="33"/>
  <c r="J389" i="33"/>
  <c r="K389" i="33"/>
  <c r="L389" i="33"/>
  <c r="M389" i="33"/>
  <c r="N389" i="33"/>
  <c r="O389" i="33"/>
  <c r="P389" i="33"/>
  <c r="H390" i="33"/>
  <c r="I390" i="33"/>
  <c r="J390" i="33"/>
  <c r="K390" i="33"/>
  <c r="L390" i="33"/>
  <c r="M390" i="33"/>
  <c r="N390" i="33"/>
  <c r="O390" i="33"/>
  <c r="P390" i="33"/>
  <c r="H391" i="33"/>
  <c r="I391" i="33"/>
  <c r="J391" i="33"/>
  <c r="K391" i="33"/>
  <c r="L391" i="33"/>
  <c r="M391" i="33"/>
  <c r="N391" i="33"/>
  <c r="O391" i="33"/>
  <c r="P391" i="33"/>
  <c r="G391" i="33"/>
  <c r="G390" i="33"/>
  <c r="G389" i="33"/>
  <c r="H296" i="33"/>
  <c r="I296" i="33"/>
  <c r="J296" i="33"/>
  <c r="K296" i="33"/>
  <c r="L296" i="33"/>
  <c r="M296" i="33"/>
  <c r="N296" i="33"/>
  <c r="H297" i="33"/>
  <c r="I297" i="33"/>
  <c r="J297" i="33"/>
  <c r="K297" i="33"/>
  <c r="L297" i="33"/>
  <c r="M297" i="33"/>
  <c r="N297" i="33"/>
  <c r="H298" i="33"/>
  <c r="I298" i="33"/>
  <c r="J298" i="33"/>
  <c r="K298" i="33"/>
  <c r="L298" i="33"/>
  <c r="M298" i="33"/>
  <c r="N298" i="33"/>
  <c r="G298" i="33"/>
  <c r="G297" i="33"/>
  <c r="G296" i="33"/>
  <c r="H203" i="33"/>
  <c r="I203" i="33"/>
  <c r="J203" i="33"/>
  <c r="K203" i="33"/>
  <c r="L203" i="33"/>
  <c r="M203" i="33"/>
  <c r="N203" i="33"/>
  <c r="O203" i="33"/>
  <c r="P203" i="33"/>
  <c r="Q203" i="33"/>
  <c r="R203" i="33"/>
  <c r="H204" i="33"/>
  <c r="I204" i="33"/>
  <c r="J204" i="33"/>
  <c r="K204" i="33"/>
  <c r="L204" i="33"/>
  <c r="M204" i="33"/>
  <c r="N204" i="33"/>
  <c r="O204" i="33"/>
  <c r="P204" i="33"/>
  <c r="Q204" i="33"/>
  <c r="R204" i="33"/>
  <c r="H205" i="33"/>
  <c r="I205" i="33"/>
  <c r="J205" i="33"/>
  <c r="K205" i="33"/>
  <c r="L205" i="33"/>
  <c r="M205" i="33"/>
  <c r="N205" i="33"/>
  <c r="O205" i="33"/>
  <c r="P205" i="33"/>
  <c r="Q205" i="33"/>
  <c r="R205" i="33"/>
  <c r="G205" i="33"/>
  <c r="G204" i="33"/>
  <c r="G203" i="33"/>
  <c r="Q69" i="50"/>
  <c r="N69" i="50"/>
  <c r="M69" i="50"/>
  <c r="K69" i="50"/>
  <c r="J69" i="50"/>
  <c r="H69" i="50"/>
  <c r="G69" i="50"/>
  <c r="N68" i="50"/>
  <c r="K68" i="50"/>
  <c r="H68" i="50"/>
  <c r="N67" i="50"/>
  <c r="K67" i="50"/>
  <c r="H67" i="50"/>
  <c r="N66" i="50"/>
  <c r="K66" i="50"/>
  <c r="H66" i="50"/>
  <c r="H40" i="50" s="1"/>
  <c r="H11" i="50" s="1"/>
  <c r="N64" i="50"/>
  <c r="K64" i="50"/>
  <c r="H64" i="50"/>
  <c r="N63" i="50"/>
  <c r="J63" i="50"/>
  <c r="P62" i="50"/>
  <c r="L62" i="50"/>
  <c r="I62" i="50"/>
  <c r="P61" i="50"/>
  <c r="L61" i="50"/>
  <c r="I61" i="50"/>
  <c r="P60" i="50"/>
  <c r="N60" i="50"/>
  <c r="M60" i="50"/>
  <c r="L60" i="50"/>
  <c r="K60" i="50"/>
  <c r="I60" i="50"/>
  <c r="G60" i="50"/>
  <c r="P59" i="50"/>
  <c r="N59" i="50"/>
  <c r="L59" i="50"/>
  <c r="J59" i="50"/>
  <c r="H59" i="50"/>
  <c r="K58" i="50"/>
  <c r="H58" i="50"/>
  <c r="L57" i="50"/>
  <c r="I57" i="50"/>
  <c r="L56" i="50"/>
  <c r="I56" i="50"/>
  <c r="N55" i="50"/>
  <c r="M55" i="50"/>
  <c r="I55" i="50"/>
  <c r="N54" i="50"/>
  <c r="M54" i="50"/>
  <c r="I54" i="50"/>
  <c r="P49" i="50"/>
  <c r="L49" i="50"/>
  <c r="I49" i="50"/>
  <c r="M48" i="50"/>
  <c r="I48" i="50"/>
  <c r="Q47" i="50"/>
  <c r="K47" i="50"/>
  <c r="G47" i="50"/>
  <c r="I47" i="50" s="1"/>
  <c r="M47" i="50" s="1"/>
  <c r="O47" i="50" s="1"/>
  <c r="N46" i="50"/>
  <c r="K46" i="50"/>
  <c r="H46" i="50"/>
  <c r="P45" i="50"/>
  <c r="P40" i="50" s="1"/>
  <c r="P11" i="50" s="1"/>
  <c r="N45" i="50"/>
  <c r="L45" i="50"/>
  <c r="J45" i="50"/>
  <c r="H45" i="50"/>
  <c r="O44" i="50"/>
  <c r="M44" i="50"/>
  <c r="M40" i="50" s="1"/>
  <c r="M11" i="50" s="1"/>
  <c r="K44" i="50"/>
  <c r="I44" i="50"/>
  <c r="I40" i="50" s="1"/>
  <c r="I11" i="50" s="1"/>
  <c r="G44" i="50"/>
  <c r="M43" i="50"/>
  <c r="K43" i="50"/>
  <c r="K40" i="50" s="1"/>
  <c r="K11" i="50" s="1"/>
  <c r="I43" i="50"/>
  <c r="G43" i="50"/>
  <c r="G40" i="50" s="1"/>
  <c r="G11" i="50" s="1"/>
  <c r="C43" i="50"/>
  <c r="O43" i="50" s="1"/>
  <c r="O40" i="50" s="1"/>
  <c r="O11" i="50" s="1"/>
  <c r="N42" i="50"/>
  <c r="N40" i="50" s="1"/>
  <c r="N11" i="50" s="1"/>
  <c r="K42" i="50"/>
  <c r="H42" i="50"/>
  <c r="Q40" i="50"/>
  <c r="L40" i="50"/>
  <c r="J40" i="50"/>
  <c r="F40" i="50"/>
  <c r="F11" i="50" s="1"/>
  <c r="Q39" i="50"/>
  <c r="P39" i="50"/>
  <c r="O39" i="50"/>
  <c r="N39" i="50"/>
  <c r="M39" i="50"/>
  <c r="L39" i="50"/>
  <c r="K39" i="50"/>
  <c r="J39" i="50"/>
  <c r="I39" i="50"/>
  <c r="H39" i="50"/>
  <c r="G39" i="50"/>
  <c r="F39" i="50"/>
  <c r="Q38" i="50"/>
  <c r="P38" i="50"/>
  <c r="O38" i="50"/>
  <c r="N38" i="50"/>
  <c r="M38" i="50"/>
  <c r="L38" i="50"/>
  <c r="K38" i="50"/>
  <c r="J38" i="50"/>
  <c r="I38" i="50"/>
  <c r="H38" i="50"/>
  <c r="G38" i="50"/>
  <c r="F38" i="50"/>
  <c r="P37" i="50"/>
  <c r="L37" i="50"/>
  <c r="J37" i="50"/>
  <c r="H37" i="50"/>
  <c r="E37" i="50"/>
  <c r="Q37" i="50" s="1"/>
  <c r="E36" i="50"/>
  <c r="N36" i="50" s="1"/>
  <c r="N35" i="50"/>
  <c r="L35" i="50"/>
  <c r="K35" i="50"/>
  <c r="J35" i="50"/>
  <c r="H35" i="50"/>
  <c r="G35" i="50"/>
  <c r="F35" i="50"/>
  <c r="E35" i="50"/>
  <c r="Q35" i="50" s="1"/>
  <c r="B27" i="50"/>
  <c r="B26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F24" i="50"/>
  <c r="D23" i="50"/>
  <c r="D26" i="50" s="1"/>
  <c r="Q21" i="50"/>
  <c r="P21" i="50"/>
  <c r="N21" i="50"/>
  <c r="M21" i="50"/>
  <c r="L21" i="50"/>
  <c r="K21" i="50"/>
  <c r="J21" i="50"/>
  <c r="I21" i="50"/>
  <c r="H21" i="50"/>
  <c r="G21" i="50"/>
  <c r="F21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Q17" i="50"/>
  <c r="Q16" i="50" s="1"/>
  <c r="Q8" i="50" s="1"/>
  <c r="P17" i="50"/>
  <c r="O17" i="50"/>
  <c r="N17" i="50"/>
  <c r="M17" i="50"/>
  <c r="L17" i="50"/>
  <c r="L16" i="50" s="1"/>
  <c r="L8" i="50" s="1"/>
  <c r="K17" i="50"/>
  <c r="J17" i="50"/>
  <c r="J16" i="50" s="1"/>
  <c r="J8" i="50" s="1"/>
  <c r="I17" i="50"/>
  <c r="I16" i="50" s="1"/>
  <c r="I8" i="50" s="1"/>
  <c r="H17" i="50"/>
  <c r="G17" i="50"/>
  <c r="F17" i="50"/>
  <c r="P16" i="50"/>
  <c r="O16" i="50"/>
  <c r="N16" i="50"/>
  <c r="M16" i="50"/>
  <c r="K16" i="50"/>
  <c r="H16" i="50"/>
  <c r="G16" i="50"/>
  <c r="F16" i="50"/>
  <c r="F15" i="50"/>
  <c r="Q11" i="50"/>
  <c r="L11" i="50"/>
  <c r="J11" i="50"/>
  <c r="P8" i="50"/>
  <c r="O8" i="50"/>
  <c r="N8" i="50"/>
  <c r="M8" i="50"/>
  <c r="K8" i="50"/>
  <c r="H8" i="50"/>
  <c r="G8" i="50"/>
  <c r="F8" i="50"/>
  <c r="E6" i="50"/>
  <c r="F6" i="50" s="1"/>
  <c r="H4" i="50"/>
  <c r="I4" i="50" s="1"/>
  <c r="G4" i="50"/>
  <c r="G15" i="50" s="1"/>
  <c r="G24" i="50" s="1"/>
  <c r="Q3" i="50"/>
  <c r="P3" i="50"/>
  <c r="O3" i="50"/>
  <c r="N3" i="50"/>
  <c r="M3" i="50"/>
  <c r="L3" i="50"/>
  <c r="K3" i="50"/>
  <c r="J3" i="50"/>
  <c r="I3" i="50"/>
  <c r="H3" i="50"/>
  <c r="G3" i="50"/>
  <c r="F3" i="50"/>
  <c r="P97" i="49"/>
  <c r="N97" i="49"/>
  <c r="K97" i="49"/>
  <c r="I97" i="49"/>
  <c r="G97" i="49"/>
  <c r="P96" i="49"/>
  <c r="N96" i="49"/>
  <c r="K96" i="49"/>
  <c r="I96" i="49"/>
  <c r="G96" i="49"/>
  <c r="R95" i="49"/>
  <c r="P95" i="49"/>
  <c r="N95" i="49"/>
  <c r="K95" i="49"/>
  <c r="I95" i="49"/>
  <c r="G95" i="49"/>
  <c r="R94" i="49"/>
  <c r="P94" i="49"/>
  <c r="N94" i="49"/>
  <c r="K94" i="49"/>
  <c r="I94" i="49"/>
  <c r="G94" i="49"/>
  <c r="R93" i="49"/>
  <c r="P93" i="49"/>
  <c r="N93" i="49"/>
  <c r="K93" i="49"/>
  <c r="I93" i="49"/>
  <c r="G93" i="49"/>
  <c r="P92" i="49"/>
  <c r="N92" i="49"/>
  <c r="K92" i="49"/>
  <c r="I92" i="49"/>
  <c r="G92" i="49"/>
  <c r="E91" i="49"/>
  <c r="O90" i="49"/>
  <c r="L90" i="49"/>
  <c r="K85" i="49"/>
  <c r="E84" i="49"/>
  <c r="H83" i="49"/>
  <c r="P81" i="49"/>
  <c r="M81" i="49"/>
  <c r="H79" i="49"/>
  <c r="P77" i="49"/>
  <c r="M77" i="49"/>
  <c r="H75" i="49"/>
  <c r="P73" i="49"/>
  <c r="M73" i="49"/>
  <c r="H71" i="49"/>
  <c r="P69" i="49"/>
  <c r="M69" i="49"/>
  <c r="H67" i="49"/>
  <c r="F65" i="49"/>
  <c r="E65" i="49"/>
  <c r="J64" i="49"/>
  <c r="J63" i="49"/>
  <c r="I63" i="49"/>
  <c r="L62" i="49"/>
  <c r="K62" i="49"/>
  <c r="N61" i="49"/>
  <c r="K61" i="49"/>
  <c r="O59" i="49"/>
  <c r="R58" i="49"/>
  <c r="O58" i="49"/>
  <c r="R57" i="49"/>
  <c r="Q57" i="49"/>
  <c r="J56" i="49"/>
  <c r="G56" i="49"/>
  <c r="J55" i="49"/>
  <c r="I55" i="49"/>
  <c r="L54" i="49"/>
  <c r="K54" i="49"/>
  <c r="K53" i="49"/>
  <c r="O51" i="49"/>
  <c r="R50" i="49"/>
  <c r="O50" i="49"/>
  <c r="R49" i="49"/>
  <c r="Q49" i="49"/>
  <c r="G49" i="49"/>
  <c r="J48" i="49"/>
  <c r="G48" i="49"/>
  <c r="F47" i="49"/>
  <c r="E47" i="49"/>
  <c r="M45" i="49"/>
  <c r="M44" i="49"/>
  <c r="P43" i="49"/>
  <c r="H42" i="49"/>
  <c r="H41" i="49"/>
  <c r="J40" i="49"/>
  <c r="I40" i="49"/>
  <c r="M38" i="49"/>
  <c r="R36" i="49"/>
  <c r="M35" i="49"/>
  <c r="P34" i="49"/>
  <c r="I34" i="49"/>
  <c r="H34" i="49"/>
  <c r="M33" i="49"/>
  <c r="E32" i="49"/>
  <c r="O30" i="49"/>
  <c r="F23" i="49"/>
  <c r="E23" i="49"/>
  <c r="R19" i="49"/>
  <c r="R97" i="49" s="1"/>
  <c r="Q19" i="49"/>
  <c r="O19" i="49"/>
  <c r="M19" i="49"/>
  <c r="L19" i="49"/>
  <c r="J19" i="49"/>
  <c r="J93" i="49" s="1"/>
  <c r="H19" i="49"/>
  <c r="R18" i="49"/>
  <c r="Q18" i="49"/>
  <c r="P18" i="49"/>
  <c r="O18" i="49"/>
  <c r="N18" i="49"/>
  <c r="M18" i="49"/>
  <c r="L18" i="49"/>
  <c r="K18" i="49"/>
  <c r="K90" i="49" s="1"/>
  <c r="J18" i="49"/>
  <c r="I18" i="49"/>
  <c r="H18" i="49"/>
  <c r="H87" i="49" s="1"/>
  <c r="G18" i="49"/>
  <c r="R17" i="49"/>
  <c r="Q17" i="49"/>
  <c r="Q80" i="49" s="1"/>
  <c r="P17" i="49"/>
  <c r="P82" i="49" s="1"/>
  <c r="O17" i="49"/>
  <c r="O80" i="49" s="1"/>
  <c r="N17" i="49"/>
  <c r="M17" i="49"/>
  <c r="L17" i="49"/>
  <c r="L76" i="49" s="1"/>
  <c r="K17" i="49"/>
  <c r="J17" i="49"/>
  <c r="I17" i="49"/>
  <c r="I82" i="49" s="1"/>
  <c r="H17" i="49"/>
  <c r="H80" i="49" s="1"/>
  <c r="G17" i="49"/>
  <c r="G82" i="49" s="1"/>
  <c r="R16" i="49"/>
  <c r="R64" i="49" s="1"/>
  <c r="Q16" i="49"/>
  <c r="P16" i="49"/>
  <c r="P59" i="49" s="1"/>
  <c r="O16" i="49"/>
  <c r="N16" i="49"/>
  <c r="M16" i="49"/>
  <c r="L16" i="49"/>
  <c r="L64" i="49" s="1"/>
  <c r="K16" i="49"/>
  <c r="K60" i="49" s="1"/>
  <c r="J16" i="49"/>
  <c r="J62" i="49" s="1"/>
  <c r="I16" i="49"/>
  <c r="H16" i="49"/>
  <c r="H49" i="49" s="1"/>
  <c r="G16" i="49"/>
  <c r="R15" i="49"/>
  <c r="Q15" i="49"/>
  <c r="Q42" i="49" s="1"/>
  <c r="M15" i="49"/>
  <c r="M43" i="49" s="1"/>
  <c r="L15" i="49"/>
  <c r="K15" i="49"/>
  <c r="K46" i="49" s="1"/>
  <c r="J15" i="49"/>
  <c r="J36" i="49" s="1"/>
  <c r="I15" i="49"/>
  <c r="I39" i="49" s="1"/>
  <c r="H15" i="49"/>
  <c r="H40" i="49" s="1"/>
  <c r="E15" i="49"/>
  <c r="P15" i="49" s="1"/>
  <c r="P44" i="49" s="1"/>
  <c r="Q14" i="49"/>
  <c r="O14" i="49"/>
  <c r="O28" i="49" s="1"/>
  <c r="N14" i="49"/>
  <c r="N30" i="49" s="1"/>
  <c r="I14" i="49"/>
  <c r="I10" i="49" s="1"/>
  <c r="E14" i="49"/>
  <c r="P14" i="49" s="1"/>
  <c r="H6" i="49"/>
  <c r="I5" i="49" s="1"/>
  <c r="G6" i="49"/>
  <c r="H5" i="49" s="1"/>
  <c r="G4" i="49"/>
  <c r="H4" i="49" s="1"/>
  <c r="I4" i="49" s="1"/>
  <c r="J4" i="49" s="1"/>
  <c r="K4" i="49" s="1"/>
  <c r="L4" i="49" s="1"/>
  <c r="M4" i="49" s="1"/>
  <c r="N4" i="49" s="1"/>
  <c r="O4" i="49" s="1"/>
  <c r="P4" i="49" s="1"/>
  <c r="Q4" i="49" s="1"/>
  <c r="R4" i="49" s="1"/>
  <c r="R3" i="49"/>
  <c r="Q3" i="49"/>
  <c r="P3" i="49"/>
  <c r="O3" i="49"/>
  <c r="N3" i="49"/>
  <c r="M3" i="49"/>
  <c r="L3" i="49"/>
  <c r="K3" i="49"/>
  <c r="J3" i="49"/>
  <c r="I3" i="49"/>
  <c r="H3" i="49"/>
  <c r="G3" i="49"/>
  <c r="P23" i="48"/>
  <c r="O23" i="48"/>
  <c r="N23" i="48"/>
  <c r="M23" i="48"/>
  <c r="L23" i="48"/>
  <c r="K23" i="48"/>
  <c r="J23" i="48"/>
  <c r="I23" i="48"/>
  <c r="I18" i="48" s="1"/>
  <c r="I34" i="48" s="1"/>
  <c r="H23" i="48"/>
  <c r="G23" i="48"/>
  <c r="F23" i="48"/>
  <c r="E23" i="48"/>
  <c r="P22" i="48"/>
  <c r="P18" i="48" s="1"/>
  <c r="O22" i="48"/>
  <c r="N22" i="48"/>
  <c r="M22" i="48"/>
  <c r="L22" i="48"/>
  <c r="K22" i="48"/>
  <c r="J22" i="48"/>
  <c r="I22" i="48"/>
  <c r="H22" i="48"/>
  <c r="H18" i="48" s="1"/>
  <c r="G22" i="48"/>
  <c r="F22" i="48"/>
  <c r="E22" i="48"/>
  <c r="S22" i="48" s="1"/>
  <c r="T22" i="48" s="1"/>
  <c r="P21" i="48"/>
  <c r="O21" i="48"/>
  <c r="O18" i="48" s="1"/>
  <c r="N21" i="48"/>
  <c r="M21" i="48"/>
  <c r="L21" i="48"/>
  <c r="K21" i="48"/>
  <c r="J21" i="48"/>
  <c r="I21" i="48"/>
  <c r="H21" i="48"/>
  <c r="G21" i="48"/>
  <c r="G18" i="48" s="1"/>
  <c r="F21" i="48"/>
  <c r="E21" i="48"/>
  <c r="S21" i="48" s="1"/>
  <c r="P20" i="48"/>
  <c r="O20" i="48"/>
  <c r="N20" i="48"/>
  <c r="N18" i="48" s="1"/>
  <c r="M20" i="48"/>
  <c r="L20" i="48"/>
  <c r="K20" i="48"/>
  <c r="J20" i="48"/>
  <c r="I20" i="48"/>
  <c r="H20" i="48"/>
  <c r="G20" i="48"/>
  <c r="F20" i="48"/>
  <c r="F18" i="48" s="1"/>
  <c r="E20" i="48"/>
  <c r="S20" i="48" s="1"/>
  <c r="T20" i="48" s="1"/>
  <c r="P19" i="48"/>
  <c r="O19" i="48"/>
  <c r="N19" i="48"/>
  <c r="M19" i="48"/>
  <c r="M18" i="48" s="1"/>
  <c r="L19" i="48"/>
  <c r="K19" i="48"/>
  <c r="J19" i="48"/>
  <c r="I19" i="48"/>
  <c r="H19" i="48"/>
  <c r="G19" i="48"/>
  <c r="F19" i="48"/>
  <c r="E19" i="48"/>
  <c r="S19" i="48" s="1"/>
  <c r="L18" i="48"/>
  <c r="L34" i="48" s="1"/>
  <c r="K18" i="48"/>
  <c r="J18" i="48"/>
  <c r="J34" i="48" s="1"/>
  <c r="K15" i="48"/>
  <c r="K12" i="48" s="1"/>
  <c r="K34" i="48" s="1"/>
  <c r="P14" i="48"/>
  <c r="O14" i="48"/>
  <c r="N14" i="48"/>
  <c r="M14" i="48"/>
  <c r="L14" i="48"/>
  <c r="K14" i="48"/>
  <c r="J14" i="48"/>
  <c r="I14" i="48"/>
  <c r="H14" i="48"/>
  <c r="G14" i="48"/>
  <c r="F14" i="48"/>
  <c r="E14" i="48"/>
  <c r="P13" i="48"/>
  <c r="P15" i="48" s="1"/>
  <c r="O13" i="48"/>
  <c r="O15" i="48" s="1"/>
  <c r="O12" i="48" s="1"/>
  <c r="N13" i="48"/>
  <c r="N15" i="48" s="1"/>
  <c r="N12" i="48" s="1"/>
  <c r="M13" i="48"/>
  <c r="L13" i="48"/>
  <c r="L15" i="48" s="1"/>
  <c r="L12" i="48" s="1"/>
  <c r="K13" i="48"/>
  <c r="J13" i="48"/>
  <c r="J15" i="48" s="1"/>
  <c r="J12" i="48" s="1"/>
  <c r="I13" i="48"/>
  <c r="I15" i="48" s="1"/>
  <c r="I12" i="48" s="1"/>
  <c r="H13" i="48"/>
  <c r="H15" i="48" s="1"/>
  <c r="G13" i="48"/>
  <c r="G15" i="48" s="1"/>
  <c r="G12" i="48" s="1"/>
  <c r="F13" i="48"/>
  <c r="F15" i="48" s="1"/>
  <c r="F12" i="48" s="1"/>
  <c r="E13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F4" i="48"/>
  <c r="G4" i="48" s="1"/>
  <c r="H4" i="48" s="1"/>
  <c r="I4" i="48" s="1"/>
  <c r="J4" i="48" s="1"/>
  <c r="K4" i="48" s="1"/>
  <c r="L4" i="48" s="1"/>
  <c r="M4" i="48" s="1"/>
  <c r="N4" i="48" s="1"/>
  <c r="O4" i="48" s="1"/>
  <c r="P4" i="48" s="1"/>
  <c r="E4" i="48"/>
  <c r="K72" i="47"/>
  <c r="H72" i="47"/>
  <c r="K71" i="47"/>
  <c r="H71" i="47"/>
  <c r="M69" i="47"/>
  <c r="K69" i="47"/>
  <c r="I69" i="47"/>
  <c r="G69" i="47"/>
  <c r="K68" i="47"/>
  <c r="H68" i="47"/>
  <c r="K67" i="47"/>
  <c r="H67" i="47"/>
  <c r="M66" i="47"/>
  <c r="K66" i="47"/>
  <c r="I66" i="47"/>
  <c r="G66" i="47"/>
  <c r="K65" i="47"/>
  <c r="H65" i="47"/>
  <c r="K64" i="47"/>
  <c r="H64" i="47"/>
  <c r="K63" i="47"/>
  <c r="H63" i="47"/>
  <c r="K62" i="47"/>
  <c r="H62" i="47"/>
  <c r="K61" i="47"/>
  <c r="H61" i="47"/>
  <c r="M60" i="47"/>
  <c r="K60" i="47"/>
  <c r="I60" i="47"/>
  <c r="G60" i="47"/>
  <c r="M58" i="47"/>
  <c r="K58" i="47"/>
  <c r="I58" i="47"/>
  <c r="G58" i="47"/>
  <c r="K57" i="47"/>
  <c r="H57" i="47"/>
  <c r="K56" i="47"/>
  <c r="H56" i="47"/>
  <c r="M55" i="47"/>
  <c r="K55" i="47"/>
  <c r="I55" i="47"/>
  <c r="G55" i="47"/>
  <c r="M54" i="47"/>
  <c r="K54" i="47"/>
  <c r="I54" i="47"/>
  <c r="G54" i="47"/>
  <c r="K53" i="47"/>
  <c r="H53" i="47"/>
  <c r="M52" i="47"/>
  <c r="L52" i="47"/>
  <c r="K52" i="47"/>
  <c r="J52" i="47"/>
  <c r="I52" i="47"/>
  <c r="H52" i="47"/>
  <c r="G52" i="47"/>
  <c r="F52" i="47"/>
  <c r="K51" i="47"/>
  <c r="H51" i="47"/>
  <c r="M50" i="47"/>
  <c r="K50" i="47"/>
  <c r="I50" i="47"/>
  <c r="G50" i="47"/>
  <c r="M48" i="47"/>
  <c r="K48" i="47"/>
  <c r="I48" i="47"/>
  <c r="G48" i="47"/>
  <c r="M47" i="47"/>
  <c r="K47" i="47"/>
  <c r="I47" i="47"/>
  <c r="G47" i="47"/>
  <c r="K46" i="47"/>
  <c r="H46" i="47"/>
  <c r="K45" i="47"/>
  <c r="H45" i="47"/>
  <c r="M44" i="47"/>
  <c r="K44" i="47"/>
  <c r="I44" i="47"/>
  <c r="G44" i="47"/>
  <c r="K43" i="47"/>
  <c r="H43" i="47"/>
  <c r="M42" i="47"/>
  <c r="L42" i="47"/>
  <c r="K42" i="47"/>
  <c r="J42" i="47"/>
  <c r="I42" i="47"/>
  <c r="I36" i="47" s="1"/>
  <c r="I11" i="47" s="1"/>
  <c r="H42" i="47"/>
  <c r="G42" i="47"/>
  <c r="G36" i="47" s="1"/>
  <c r="G11" i="47" s="1"/>
  <c r="F42" i="47"/>
  <c r="K41" i="47"/>
  <c r="H41" i="47"/>
  <c r="K40" i="47"/>
  <c r="H40" i="47"/>
  <c r="K38" i="47"/>
  <c r="K36" i="47" s="1"/>
  <c r="K11" i="47" s="1"/>
  <c r="H38" i="47"/>
  <c r="M36" i="47"/>
  <c r="M11" i="47" s="1"/>
  <c r="L36" i="47"/>
  <c r="J36" i="47"/>
  <c r="H36" i="47"/>
  <c r="F36" i="47"/>
  <c r="M35" i="47"/>
  <c r="L35" i="47"/>
  <c r="K35" i="47"/>
  <c r="J35" i="47"/>
  <c r="I35" i="47"/>
  <c r="H35" i="47"/>
  <c r="G35" i="47"/>
  <c r="F35" i="47"/>
  <c r="M34" i="47"/>
  <c r="L34" i="47"/>
  <c r="K34" i="47"/>
  <c r="J34" i="47"/>
  <c r="I34" i="47"/>
  <c r="H34" i="47"/>
  <c r="G34" i="47"/>
  <c r="F34" i="47"/>
  <c r="M33" i="47"/>
  <c r="L33" i="47"/>
  <c r="K33" i="47"/>
  <c r="J33" i="47"/>
  <c r="I33" i="47"/>
  <c r="H33" i="47"/>
  <c r="G33" i="47"/>
  <c r="F33" i="47"/>
  <c r="M32" i="47"/>
  <c r="L32" i="47"/>
  <c r="K32" i="47"/>
  <c r="J32" i="47"/>
  <c r="I32" i="47"/>
  <c r="H32" i="47"/>
  <c r="G32" i="47"/>
  <c r="F32" i="47"/>
  <c r="M31" i="47"/>
  <c r="L31" i="47"/>
  <c r="K31" i="47"/>
  <c r="J31" i="47"/>
  <c r="I31" i="47"/>
  <c r="H31" i="47"/>
  <c r="G31" i="47"/>
  <c r="F31" i="47"/>
  <c r="M30" i="47"/>
  <c r="M10" i="47" s="1"/>
  <c r="L30" i="47"/>
  <c r="K30" i="47"/>
  <c r="J30" i="47"/>
  <c r="I30" i="47"/>
  <c r="H30" i="47"/>
  <c r="G30" i="47"/>
  <c r="F30" i="47"/>
  <c r="K26" i="47"/>
  <c r="K23" i="47" s="1"/>
  <c r="H26" i="47"/>
  <c r="B26" i="47"/>
  <c r="M25" i="47"/>
  <c r="K25" i="47"/>
  <c r="I25" i="47"/>
  <c r="G25" i="47"/>
  <c r="D25" i="47"/>
  <c r="B25" i="47"/>
  <c r="M24" i="47"/>
  <c r="L24" i="47"/>
  <c r="L23" i="47" s="1"/>
  <c r="K24" i="47"/>
  <c r="J24" i="47"/>
  <c r="I24" i="47"/>
  <c r="H24" i="47"/>
  <c r="G24" i="47"/>
  <c r="G23" i="47" s="1"/>
  <c r="F24" i="47"/>
  <c r="B24" i="47"/>
  <c r="M23" i="47"/>
  <c r="J23" i="47"/>
  <c r="I23" i="47"/>
  <c r="H23" i="47"/>
  <c r="F23" i="47"/>
  <c r="D21" i="47"/>
  <c r="D26" i="47" s="1"/>
  <c r="K19" i="47"/>
  <c r="H19" i="47"/>
  <c r="M18" i="47"/>
  <c r="K18" i="47"/>
  <c r="K16" i="47" s="1"/>
  <c r="K8" i="47" s="1"/>
  <c r="I18" i="47"/>
  <c r="I16" i="47" s="1"/>
  <c r="I8" i="47" s="1"/>
  <c r="G18" i="47"/>
  <c r="M17" i="47"/>
  <c r="L17" i="47"/>
  <c r="K17" i="47"/>
  <c r="J17" i="47"/>
  <c r="I17" i="47"/>
  <c r="H17" i="47"/>
  <c r="H16" i="47" s="1"/>
  <c r="H8" i="47" s="1"/>
  <c r="G17" i="47"/>
  <c r="F17" i="47"/>
  <c r="M16" i="47"/>
  <c r="L16" i="47"/>
  <c r="J16" i="47"/>
  <c r="G16" i="47"/>
  <c r="F16" i="47"/>
  <c r="F15" i="47"/>
  <c r="F22" i="47" s="1"/>
  <c r="L11" i="47"/>
  <c r="J11" i="47"/>
  <c r="H11" i="47"/>
  <c r="F11" i="47"/>
  <c r="L10" i="47"/>
  <c r="K10" i="47"/>
  <c r="J10" i="47"/>
  <c r="I10" i="47"/>
  <c r="H10" i="47"/>
  <c r="G10" i="47"/>
  <c r="F10" i="47"/>
  <c r="M8" i="47"/>
  <c r="L8" i="47"/>
  <c r="J8" i="47"/>
  <c r="G8" i="47"/>
  <c r="F8" i="47"/>
  <c r="E6" i="47"/>
  <c r="F6" i="47" s="1"/>
  <c r="H4" i="47"/>
  <c r="I4" i="47" s="1"/>
  <c r="G4" i="47"/>
  <c r="G15" i="47" s="1"/>
  <c r="G22" i="47" s="1"/>
  <c r="M3" i="47"/>
  <c r="L3" i="47"/>
  <c r="K3" i="47"/>
  <c r="J3" i="47"/>
  <c r="I3" i="47"/>
  <c r="H3" i="47"/>
  <c r="G3" i="47"/>
  <c r="F3" i="47"/>
  <c r="N54" i="46"/>
  <c r="M54" i="46"/>
  <c r="N53" i="46"/>
  <c r="M53" i="46"/>
  <c r="N52" i="46"/>
  <c r="M52" i="46"/>
  <c r="N51" i="46"/>
  <c r="M51" i="46"/>
  <c r="N50" i="46"/>
  <c r="M50" i="46"/>
  <c r="N49" i="46"/>
  <c r="M49" i="46"/>
  <c r="F48" i="46"/>
  <c r="E48" i="46"/>
  <c r="F43" i="46"/>
  <c r="E43" i="46"/>
  <c r="N42" i="46"/>
  <c r="I42" i="46"/>
  <c r="N41" i="46"/>
  <c r="I41" i="46"/>
  <c r="N40" i="46"/>
  <c r="I40" i="46"/>
  <c r="N39" i="46"/>
  <c r="I39" i="46"/>
  <c r="N38" i="46"/>
  <c r="I38" i="46"/>
  <c r="N37" i="46"/>
  <c r="I37" i="46"/>
  <c r="N36" i="46"/>
  <c r="I36" i="46"/>
  <c r="N35" i="46"/>
  <c r="I35" i="46"/>
  <c r="F34" i="46"/>
  <c r="E34" i="46"/>
  <c r="N33" i="46"/>
  <c r="L33" i="46"/>
  <c r="K33" i="46"/>
  <c r="N32" i="46"/>
  <c r="L32" i="46"/>
  <c r="K32" i="46"/>
  <c r="N31" i="46"/>
  <c r="L31" i="46"/>
  <c r="K31" i="46"/>
  <c r="N30" i="46"/>
  <c r="L30" i="46"/>
  <c r="K30" i="46"/>
  <c r="N29" i="46"/>
  <c r="L29" i="46"/>
  <c r="K29" i="46"/>
  <c r="N28" i="46"/>
  <c r="L28" i="46"/>
  <c r="K28" i="46"/>
  <c r="N27" i="46"/>
  <c r="L27" i="46"/>
  <c r="K27" i="46"/>
  <c r="N26" i="46"/>
  <c r="L26" i="46"/>
  <c r="K26" i="46"/>
  <c r="F25" i="46"/>
  <c r="E25" i="46"/>
  <c r="N24" i="46"/>
  <c r="M24" i="46"/>
  <c r="N23" i="46"/>
  <c r="M23" i="46"/>
  <c r="F22" i="46"/>
  <c r="E22" i="46"/>
  <c r="N18" i="46"/>
  <c r="M18" i="46"/>
  <c r="L18" i="46"/>
  <c r="L54" i="46" s="1"/>
  <c r="K18" i="46"/>
  <c r="K54" i="46" s="1"/>
  <c r="J18" i="46"/>
  <c r="J54" i="46" s="1"/>
  <c r="I18" i="46"/>
  <c r="I54" i="46" s="1"/>
  <c r="H18" i="46"/>
  <c r="H54" i="46" s="1"/>
  <c r="G18" i="46"/>
  <c r="G54" i="46" s="1"/>
  <c r="N17" i="46"/>
  <c r="N47" i="46" s="1"/>
  <c r="M17" i="46"/>
  <c r="M47" i="46" s="1"/>
  <c r="L17" i="46"/>
  <c r="L47" i="46" s="1"/>
  <c r="K17" i="46"/>
  <c r="K47" i="46" s="1"/>
  <c r="J17" i="46"/>
  <c r="J47" i="46" s="1"/>
  <c r="I17" i="46"/>
  <c r="I47" i="46" s="1"/>
  <c r="H17" i="46"/>
  <c r="H47" i="46" s="1"/>
  <c r="G17" i="46"/>
  <c r="G47" i="46" s="1"/>
  <c r="N16" i="46"/>
  <c r="M16" i="46"/>
  <c r="M42" i="46" s="1"/>
  <c r="L16" i="46"/>
  <c r="L42" i="46" s="1"/>
  <c r="K16" i="46"/>
  <c r="K42" i="46" s="1"/>
  <c r="J16" i="46"/>
  <c r="J13" i="46" s="1"/>
  <c r="J7" i="46" s="1"/>
  <c r="I16" i="46"/>
  <c r="H16" i="46"/>
  <c r="H42" i="46" s="1"/>
  <c r="G16" i="46"/>
  <c r="G42" i="46" s="1"/>
  <c r="N15" i="46"/>
  <c r="M15" i="46"/>
  <c r="M33" i="46" s="1"/>
  <c r="L15" i="46"/>
  <c r="L13" i="46" s="1"/>
  <c r="L7" i="46" s="1"/>
  <c r="K15" i="46"/>
  <c r="J15" i="46"/>
  <c r="J33" i="46" s="1"/>
  <c r="I15" i="46"/>
  <c r="I33" i="46" s="1"/>
  <c r="H15" i="46"/>
  <c r="H33" i="46" s="1"/>
  <c r="G15" i="46"/>
  <c r="G33" i="46" s="1"/>
  <c r="N14" i="46"/>
  <c r="M14" i="46"/>
  <c r="L14" i="46"/>
  <c r="L24" i="46" s="1"/>
  <c r="K14" i="46"/>
  <c r="K24" i="46" s="1"/>
  <c r="J14" i="46"/>
  <c r="J24" i="46" s="1"/>
  <c r="I14" i="46"/>
  <c r="I24" i="46" s="1"/>
  <c r="H14" i="46"/>
  <c r="H24" i="46" s="1"/>
  <c r="G14" i="46"/>
  <c r="G24" i="46" s="1"/>
  <c r="N13" i="46"/>
  <c r="M13" i="46"/>
  <c r="K13" i="46"/>
  <c r="I13" i="46"/>
  <c r="H13" i="46"/>
  <c r="G13" i="46"/>
  <c r="N10" i="46"/>
  <c r="M10" i="46"/>
  <c r="L10" i="46"/>
  <c r="K10" i="46"/>
  <c r="J10" i="46"/>
  <c r="I10" i="46"/>
  <c r="H10" i="46"/>
  <c r="G10" i="46"/>
  <c r="N7" i="46"/>
  <c r="M7" i="46"/>
  <c r="K7" i="46"/>
  <c r="I7" i="46"/>
  <c r="H7" i="46"/>
  <c r="G7" i="46"/>
  <c r="H6" i="46"/>
  <c r="I6" i="46" s="1"/>
  <c r="G6" i="46"/>
  <c r="H5" i="46"/>
  <c r="G4" i="46"/>
  <c r="H4" i="46" s="1"/>
  <c r="I4" i="46" s="1"/>
  <c r="J4" i="46" s="1"/>
  <c r="K4" i="46" s="1"/>
  <c r="L4" i="46" s="1"/>
  <c r="M4" i="46" s="1"/>
  <c r="N4" i="46" s="1"/>
  <c r="N3" i="46"/>
  <c r="M3" i="46"/>
  <c r="L3" i="46"/>
  <c r="K3" i="46"/>
  <c r="J3" i="46"/>
  <c r="I3" i="46"/>
  <c r="H3" i="46"/>
  <c r="G3" i="46"/>
  <c r="L23" i="45"/>
  <c r="K23" i="45"/>
  <c r="J23" i="45"/>
  <c r="I23" i="45"/>
  <c r="I18" i="45" s="1"/>
  <c r="H23" i="45"/>
  <c r="G23" i="45"/>
  <c r="F23" i="45"/>
  <c r="E23" i="45"/>
  <c r="O23" i="45" s="1"/>
  <c r="P23" i="45" s="1"/>
  <c r="L22" i="45"/>
  <c r="L18" i="45" s="1"/>
  <c r="K22" i="45"/>
  <c r="J22" i="45"/>
  <c r="I22" i="45"/>
  <c r="H22" i="45"/>
  <c r="G22" i="45"/>
  <c r="F22" i="45"/>
  <c r="E22" i="45"/>
  <c r="O22" i="45" s="1"/>
  <c r="P22" i="45" s="1"/>
  <c r="L21" i="45"/>
  <c r="K21" i="45"/>
  <c r="J21" i="45"/>
  <c r="I21" i="45"/>
  <c r="H21" i="45"/>
  <c r="G21" i="45"/>
  <c r="G18" i="45" s="1"/>
  <c r="G34" i="45" s="1"/>
  <c r="F21" i="45"/>
  <c r="E21" i="45"/>
  <c r="O21" i="45" s="1"/>
  <c r="P21" i="45" s="1"/>
  <c r="L20" i="45"/>
  <c r="K20" i="45"/>
  <c r="J20" i="45"/>
  <c r="J18" i="45" s="1"/>
  <c r="J34" i="45" s="1"/>
  <c r="I20" i="45"/>
  <c r="H20" i="45"/>
  <c r="G20" i="45"/>
  <c r="F20" i="45"/>
  <c r="E20" i="45"/>
  <c r="O20" i="45" s="1"/>
  <c r="P20" i="45" s="1"/>
  <c r="L19" i="45"/>
  <c r="K19" i="45"/>
  <c r="J19" i="45"/>
  <c r="I19" i="45"/>
  <c r="H19" i="45"/>
  <c r="G19" i="45"/>
  <c r="F19" i="45"/>
  <c r="E19" i="45"/>
  <c r="E18" i="45" s="1"/>
  <c r="K18" i="45"/>
  <c r="K34" i="45" s="1"/>
  <c r="H18" i="45"/>
  <c r="F18" i="45"/>
  <c r="K15" i="45"/>
  <c r="K12" i="45" s="1"/>
  <c r="L14" i="45"/>
  <c r="K14" i="45"/>
  <c r="J14" i="45"/>
  <c r="I14" i="45"/>
  <c r="H14" i="45"/>
  <c r="G14" i="45"/>
  <c r="F14" i="45"/>
  <c r="E14" i="45"/>
  <c r="L13" i="45"/>
  <c r="L15" i="45" s="1"/>
  <c r="K13" i="45"/>
  <c r="J13" i="45"/>
  <c r="J15" i="45" s="1"/>
  <c r="J12" i="45" s="1"/>
  <c r="I13" i="45"/>
  <c r="I15" i="45" s="1"/>
  <c r="I12" i="45" s="1"/>
  <c r="H13" i="45"/>
  <c r="H15" i="45" s="1"/>
  <c r="H12" i="45" s="1"/>
  <c r="G13" i="45"/>
  <c r="G15" i="45" s="1"/>
  <c r="G12" i="45" s="1"/>
  <c r="F13" i="45"/>
  <c r="F15" i="45" s="1"/>
  <c r="F12" i="45" s="1"/>
  <c r="E13" i="45"/>
  <c r="E15" i="45" s="1"/>
  <c r="A6" i="45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5" i="45"/>
  <c r="F4" i="45"/>
  <c r="G4" i="45" s="1"/>
  <c r="H4" i="45" s="1"/>
  <c r="I4" i="45" s="1"/>
  <c r="J4" i="45" s="1"/>
  <c r="K4" i="45" s="1"/>
  <c r="L4" i="45" s="1"/>
  <c r="E4" i="45"/>
  <c r="J78" i="44"/>
  <c r="N78" i="44" s="1"/>
  <c r="N62" i="44"/>
  <c r="J62" i="44"/>
  <c r="M61" i="44"/>
  <c r="I61" i="44"/>
  <c r="I59" i="44" s="1"/>
  <c r="I11" i="44" s="1"/>
  <c r="O59" i="44"/>
  <c r="M59" i="44"/>
  <c r="L59" i="44"/>
  <c r="K59" i="44"/>
  <c r="J59" i="44"/>
  <c r="H59" i="44"/>
  <c r="G59" i="44"/>
  <c r="F59" i="44"/>
  <c r="O58" i="44"/>
  <c r="M58" i="44"/>
  <c r="K58" i="44"/>
  <c r="I58" i="44"/>
  <c r="G58" i="44"/>
  <c r="O57" i="44"/>
  <c r="N57" i="44"/>
  <c r="M57" i="44"/>
  <c r="L57" i="44"/>
  <c r="K57" i="44"/>
  <c r="J57" i="44"/>
  <c r="I57" i="44"/>
  <c r="H57" i="44"/>
  <c r="G57" i="44"/>
  <c r="F57" i="44"/>
  <c r="N56" i="44"/>
  <c r="N54" i="44" s="1"/>
  <c r="N10" i="44" s="1"/>
  <c r="M56" i="44"/>
  <c r="K56" i="44"/>
  <c r="J56" i="44"/>
  <c r="H56" i="44"/>
  <c r="G56" i="44"/>
  <c r="O54" i="44"/>
  <c r="M54" i="44"/>
  <c r="L54" i="44"/>
  <c r="K54" i="44"/>
  <c r="J54" i="44"/>
  <c r="I54" i="44"/>
  <c r="H54" i="44"/>
  <c r="G54" i="44"/>
  <c r="F54" i="44"/>
  <c r="O50" i="44"/>
  <c r="N50" i="44"/>
  <c r="M50" i="44"/>
  <c r="L50" i="44"/>
  <c r="K50" i="44"/>
  <c r="J50" i="44"/>
  <c r="I50" i="44"/>
  <c r="H50" i="44"/>
  <c r="G50" i="44"/>
  <c r="F50" i="44"/>
  <c r="D50" i="44"/>
  <c r="O49" i="44"/>
  <c r="N49" i="44"/>
  <c r="M49" i="44"/>
  <c r="L49" i="44"/>
  <c r="K49" i="44"/>
  <c r="J49" i="44"/>
  <c r="I49" i="44"/>
  <c r="H49" i="44"/>
  <c r="G49" i="44"/>
  <c r="F49" i="44"/>
  <c r="D49" i="44"/>
  <c r="O48" i="44"/>
  <c r="N48" i="44"/>
  <c r="M48" i="44"/>
  <c r="L48" i="44"/>
  <c r="K48" i="44"/>
  <c r="J48" i="44"/>
  <c r="I48" i="44"/>
  <c r="H48" i="44"/>
  <c r="G48" i="44"/>
  <c r="F48" i="44"/>
  <c r="D48" i="44"/>
  <c r="O47" i="44"/>
  <c r="N47" i="44"/>
  <c r="M47" i="44"/>
  <c r="L47" i="44"/>
  <c r="K47" i="44"/>
  <c r="J47" i="44"/>
  <c r="I47" i="44"/>
  <c r="H47" i="44"/>
  <c r="G47" i="44"/>
  <c r="F47" i="44"/>
  <c r="D47" i="44"/>
  <c r="O46" i="44"/>
  <c r="N46" i="44"/>
  <c r="M46" i="44"/>
  <c r="L46" i="44"/>
  <c r="K46" i="44"/>
  <c r="J46" i="44"/>
  <c r="I46" i="44"/>
  <c r="H46" i="44"/>
  <c r="G46" i="44"/>
  <c r="F46" i="44"/>
  <c r="D46" i="44"/>
  <c r="O45" i="44"/>
  <c r="N45" i="44"/>
  <c r="M45" i="44"/>
  <c r="L45" i="44"/>
  <c r="K45" i="44"/>
  <c r="J45" i="44"/>
  <c r="I45" i="44"/>
  <c r="H45" i="44"/>
  <c r="G45" i="44"/>
  <c r="F45" i="44"/>
  <c r="D45" i="44"/>
  <c r="O44" i="44"/>
  <c r="N44" i="44"/>
  <c r="M44" i="44"/>
  <c r="L44" i="44"/>
  <c r="K44" i="44"/>
  <c r="J44" i="44"/>
  <c r="I44" i="44"/>
  <c r="H44" i="44"/>
  <c r="G44" i="44"/>
  <c r="F44" i="44"/>
  <c r="D44" i="44"/>
  <c r="O43" i="44"/>
  <c r="N43" i="44"/>
  <c r="M43" i="44"/>
  <c r="L43" i="44"/>
  <c r="K43" i="44"/>
  <c r="J43" i="44"/>
  <c r="I43" i="44"/>
  <c r="H43" i="44"/>
  <c r="G43" i="44"/>
  <c r="F43" i="44"/>
  <c r="D43" i="44"/>
  <c r="O42" i="44"/>
  <c r="N42" i="44"/>
  <c r="M42" i="44"/>
  <c r="L42" i="44"/>
  <c r="K42" i="44"/>
  <c r="J42" i="44"/>
  <c r="I42" i="44"/>
  <c r="H42" i="44"/>
  <c r="G42" i="44"/>
  <c r="F42" i="44"/>
  <c r="D42" i="44"/>
  <c r="O41" i="44"/>
  <c r="N41" i="44"/>
  <c r="M41" i="44"/>
  <c r="L41" i="44"/>
  <c r="K41" i="44"/>
  <c r="J41" i="44"/>
  <c r="I41" i="44"/>
  <c r="H41" i="44"/>
  <c r="G41" i="44"/>
  <c r="F41" i="44"/>
  <c r="D41" i="44"/>
  <c r="O40" i="44"/>
  <c r="N40" i="44"/>
  <c r="M40" i="44"/>
  <c r="L40" i="44"/>
  <c r="K40" i="44"/>
  <c r="J40" i="44"/>
  <c r="I40" i="44"/>
  <c r="H40" i="44"/>
  <c r="G40" i="44"/>
  <c r="F40" i="44"/>
  <c r="D40" i="44"/>
  <c r="O39" i="44"/>
  <c r="N39" i="44"/>
  <c r="M39" i="44"/>
  <c r="L39" i="44"/>
  <c r="K39" i="44"/>
  <c r="J39" i="44"/>
  <c r="I39" i="44"/>
  <c r="H39" i="44"/>
  <c r="G39" i="44"/>
  <c r="F39" i="44"/>
  <c r="D39" i="44"/>
  <c r="D38" i="44"/>
  <c r="C38" i="44"/>
  <c r="O37" i="44"/>
  <c r="G37" i="44"/>
  <c r="D37" i="44"/>
  <c r="C37" i="44"/>
  <c r="K36" i="44"/>
  <c r="I36" i="44"/>
  <c r="D36" i="44"/>
  <c r="N35" i="44"/>
  <c r="L35" i="44"/>
  <c r="F35" i="44"/>
  <c r="D35" i="44"/>
  <c r="C35" i="44"/>
  <c r="J34" i="44"/>
  <c r="H34" i="44"/>
  <c r="D34" i="44"/>
  <c r="D33" i="44"/>
  <c r="N32" i="44"/>
  <c r="H32" i="44"/>
  <c r="F32" i="44"/>
  <c r="D32" i="44"/>
  <c r="O31" i="44"/>
  <c r="N31" i="44"/>
  <c r="M31" i="44"/>
  <c r="L31" i="44"/>
  <c r="K31" i="44"/>
  <c r="K29" i="44" s="1"/>
  <c r="J31" i="44"/>
  <c r="I31" i="44"/>
  <c r="H31" i="44"/>
  <c r="G31" i="44"/>
  <c r="F31" i="44"/>
  <c r="D31" i="44"/>
  <c r="D30" i="44"/>
  <c r="O24" i="44"/>
  <c r="O38" i="44" s="1"/>
  <c r="M24" i="44"/>
  <c r="M38" i="44" s="1"/>
  <c r="L24" i="44"/>
  <c r="L38" i="44" s="1"/>
  <c r="K24" i="44"/>
  <c r="K38" i="44" s="1"/>
  <c r="J24" i="44"/>
  <c r="J38" i="44" s="1"/>
  <c r="I24" i="44"/>
  <c r="I38" i="44" s="1"/>
  <c r="H24" i="44"/>
  <c r="H38" i="44" s="1"/>
  <c r="G24" i="44"/>
  <c r="G38" i="44" s="1"/>
  <c r="F24" i="44"/>
  <c r="F38" i="44" s="1"/>
  <c r="O23" i="44"/>
  <c r="N23" i="44"/>
  <c r="N37" i="44" s="1"/>
  <c r="M23" i="44"/>
  <c r="M37" i="44" s="1"/>
  <c r="L23" i="44"/>
  <c r="L37" i="44" s="1"/>
  <c r="K23" i="44"/>
  <c r="K37" i="44" s="1"/>
  <c r="J23" i="44"/>
  <c r="J37" i="44" s="1"/>
  <c r="I23" i="44"/>
  <c r="I37" i="44" s="1"/>
  <c r="H23" i="44"/>
  <c r="H37" i="44" s="1"/>
  <c r="G23" i="44"/>
  <c r="F23" i="44"/>
  <c r="F37" i="44" s="1"/>
  <c r="O22" i="44"/>
  <c r="O36" i="44" s="1"/>
  <c r="N22" i="44"/>
  <c r="N36" i="44" s="1"/>
  <c r="M22" i="44"/>
  <c r="M36" i="44" s="1"/>
  <c r="L22" i="44"/>
  <c r="L36" i="44" s="1"/>
  <c r="K22" i="44"/>
  <c r="J22" i="44"/>
  <c r="J36" i="44" s="1"/>
  <c r="I22" i="44"/>
  <c r="H22" i="44"/>
  <c r="H36" i="44" s="1"/>
  <c r="G22" i="44"/>
  <c r="G36" i="44" s="1"/>
  <c r="F22" i="44"/>
  <c r="F36" i="44" s="1"/>
  <c r="O21" i="44"/>
  <c r="O16" i="44" s="1"/>
  <c r="O8" i="44" s="1"/>
  <c r="N21" i="44"/>
  <c r="M21" i="44"/>
  <c r="M35" i="44" s="1"/>
  <c r="L21" i="44"/>
  <c r="K21" i="44"/>
  <c r="K35" i="44" s="1"/>
  <c r="J21" i="44"/>
  <c r="J35" i="44" s="1"/>
  <c r="I21" i="44"/>
  <c r="I35" i="44" s="1"/>
  <c r="H21" i="44"/>
  <c r="H35" i="44" s="1"/>
  <c r="G21" i="44"/>
  <c r="G16" i="44" s="1"/>
  <c r="G8" i="44" s="1"/>
  <c r="F21" i="44"/>
  <c r="O20" i="44"/>
  <c r="O34" i="44" s="1"/>
  <c r="N20" i="44"/>
  <c r="N34" i="44" s="1"/>
  <c r="M20" i="44"/>
  <c r="M34" i="44" s="1"/>
  <c r="L20" i="44"/>
  <c r="L16" i="44" s="1"/>
  <c r="L8" i="44" s="1"/>
  <c r="K20" i="44"/>
  <c r="K34" i="44" s="1"/>
  <c r="J20" i="44"/>
  <c r="I20" i="44"/>
  <c r="I34" i="44" s="1"/>
  <c r="H20" i="44"/>
  <c r="G20" i="44"/>
  <c r="G34" i="44" s="1"/>
  <c r="F20" i="44"/>
  <c r="F34" i="44" s="1"/>
  <c r="O19" i="44"/>
  <c r="O33" i="44" s="1"/>
  <c r="N19" i="44"/>
  <c r="N33" i="44" s="1"/>
  <c r="M19" i="44"/>
  <c r="M33" i="44" s="1"/>
  <c r="L19" i="44"/>
  <c r="L33" i="44" s="1"/>
  <c r="K19" i="44"/>
  <c r="K33" i="44" s="1"/>
  <c r="J19" i="44"/>
  <c r="J33" i="44" s="1"/>
  <c r="I19" i="44"/>
  <c r="I33" i="44" s="1"/>
  <c r="H19" i="44"/>
  <c r="H33" i="44" s="1"/>
  <c r="G19" i="44"/>
  <c r="G33" i="44" s="1"/>
  <c r="F19" i="44"/>
  <c r="F33" i="44" s="1"/>
  <c r="O18" i="44"/>
  <c r="O32" i="44" s="1"/>
  <c r="N18" i="44"/>
  <c r="M18" i="44"/>
  <c r="M32" i="44" s="1"/>
  <c r="L18" i="44"/>
  <c r="L32" i="44" s="1"/>
  <c r="K18" i="44"/>
  <c r="K32" i="44" s="1"/>
  <c r="K12" i="44" s="1"/>
  <c r="K9" i="44" s="1"/>
  <c r="J18" i="44"/>
  <c r="J32" i="44" s="1"/>
  <c r="I18" i="44"/>
  <c r="I32" i="44" s="1"/>
  <c r="H18" i="44"/>
  <c r="H16" i="44" s="1"/>
  <c r="H8" i="44" s="1"/>
  <c r="G18" i="44"/>
  <c r="G32" i="44" s="1"/>
  <c r="F18" i="44"/>
  <c r="F16" i="44" s="1"/>
  <c r="F8" i="44" s="1"/>
  <c r="J16" i="44"/>
  <c r="J8" i="44" s="1"/>
  <c r="F15" i="44"/>
  <c r="F28" i="44" s="1"/>
  <c r="O11" i="44"/>
  <c r="M11" i="44"/>
  <c r="L11" i="44"/>
  <c r="K11" i="44"/>
  <c r="J11" i="44"/>
  <c r="H11" i="44"/>
  <c r="G11" i="44"/>
  <c r="F11" i="44"/>
  <c r="O10" i="44"/>
  <c r="M10" i="44"/>
  <c r="L10" i="44"/>
  <c r="K10" i="44"/>
  <c r="J10" i="44"/>
  <c r="I10" i="44"/>
  <c r="H10" i="44"/>
  <c r="G10" i="44"/>
  <c r="F10" i="44"/>
  <c r="E6" i="44"/>
  <c r="F6" i="44" s="1"/>
  <c r="I4" i="44"/>
  <c r="J4" i="44" s="1"/>
  <c r="H4" i="44"/>
  <c r="H15" i="44" s="1"/>
  <c r="H28" i="44" s="1"/>
  <c r="G4" i="44"/>
  <c r="G15" i="44" s="1"/>
  <c r="G28" i="44" s="1"/>
  <c r="O3" i="44"/>
  <c r="N3" i="44"/>
  <c r="M3" i="44"/>
  <c r="L3" i="44"/>
  <c r="K3" i="44"/>
  <c r="J3" i="44"/>
  <c r="I3" i="44"/>
  <c r="H3" i="44"/>
  <c r="G3" i="44"/>
  <c r="F3" i="44"/>
  <c r="I71" i="43"/>
  <c r="E70" i="43"/>
  <c r="D70" i="43"/>
  <c r="M69" i="43"/>
  <c r="C69" i="43"/>
  <c r="E68" i="43"/>
  <c r="D68" i="43"/>
  <c r="J67" i="43"/>
  <c r="E66" i="43"/>
  <c r="D66" i="43"/>
  <c r="N65" i="43"/>
  <c r="F65" i="43"/>
  <c r="H64" i="43"/>
  <c r="J63" i="43"/>
  <c r="L62" i="43"/>
  <c r="N61" i="43"/>
  <c r="F61" i="43"/>
  <c r="H60" i="43"/>
  <c r="J59" i="43"/>
  <c r="L58" i="43"/>
  <c r="N57" i="43"/>
  <c r="F57" i="43"/>
  <c r="H56" i="43"/>
  <c r="J55" i="43"/>
  <c r="L54" i="43"/>
  <c r="C54" i="43"/>
  <c r="O53" i="43"/>
  <c r="J53" i="43"/>
  <c r="G53" i="43"/>
  <c r="I52" i="43"/>
  <c r="E51" i="43"/>
  <c r="D51" i="43"/>
  <c r="M50" i="43"/>
  <c r="H50" i="43"/>
  <c r="L48" i="43"/>
  <c r="I48" i="43"/>
  <c r="K47" i="43"/>
  <c r="M46" i="43"/>
  <c r="H46" i="43"/>
  <c r="L44" i="43"/>
  <c r="I44" i="43"/>
  <c r="K43" i="43"/>
  <c r="M42" i="43"/>
  <c r="H42" i="43"/>
  <c r="L40" i="43"/>
  <c r="I40" i="43"/>
  <c r="E39" i="43"/>
  <c r="D39" i="43"/>
  <c r="O38" i="43"/>
  <c r="N38" i="43"/>
  <c r="M38" i="43"/>
  <c r="L38" i="43"/>
  <c r="K38" i="43"/>
  <c r="J38" i="43"/>
  <c r="I38" i="43"/>
  <c r="H38" i="43"/>
  <c r="G38" i="43"/>
  <c r="E37" i="43"/>
  <c r="D37" i="43"/>
  <c r="O36" i="43"/>
  <c r="N36" i="43"/>
  <c r="M36" i="43"/>
  <c r="L36" i="43"/>
  <c r="K36" i="43"/>
  <c r="J36" i="43"/>
  <c r="I36" i="43"/>
  <c r="H36" i="43"/>
  <c r="G36" i="43"/>
  <c r="O35" i="43"/>
  <c r="N35" i="43"/>
  <c r="M35" i="43"/>
  <c r="L35" i="43"/>
  <c r="K35" i="43"/>
  <c r="J35" i="43"/>
  <c r="I35" i="43"/>
  <c r="H35" i="43"/>
  <c r="G35" i="43"/>
  <c r="O34" i="43"/>
  <c r="N34" i="43"/>
  <c r="M34" i="43"/>
  <c r="L34" i="43"/>
  <c r="K34" i="43"/>
  <c r="J34" i="43"/>
  <c r="I34" i="43"/>
  <c r="H34" i="43"/>
  <c r="G34" i="43"/>
  <c r="O33" i="43"/>
  <c r="N33" i="43"/>
  <c r="M33" i="43"/>
  <c r="L33" i="43"/>
  <c r="K33" i="43"/>
  <c r="J33" i="43"/>
  <c r="I33" i="43"/>
  <c r="H33" i="43"/>
  <c r="G33" i="43"/>
  <c r="O32" i="43"/>
  <c r="N32" i="43"/>
  <c r="M32" i="43"/>
  <c r="L32" i="43"/>
  <c r="K32" i="43"/>
  <c r="J32" i="43"/>
  <c r="I32" i="43"/>
  <c r="H32" i="43"/>
  <c r="G32" i="43"/>
  <c r="O31" i="43"/>
  <c r="N31" i="43"/>
  <c r="M31" i="43"/>
  <c r="L31" i="43"/>
  <c r="K31" i="43"/>
  <c r="J31" i="43"/>
  <c r="I31" i="43"/>
  <c r="H31" i="43"/>
  <c r="G31" i="43"/>
  <c r="F31" i="43"/>
  <c r="O30" i="43"/>
  <c r="N30" i="43"/>
  <c r="M30" i="43"/>
  <c r="L30" i="43"/>
  <c r="K30" i="43"/>
  <c r="J30" i="43"/>
  <c r="I30" i="43"/>
  <c r="H30" i="43"/>
  <c r="G30" i="43"/>
  <c r="O29" i="43"/>
  <c r="N29" i="43"/>
  <c r="M29" i="43"/>
  <c r="L29" i="43"/>
  <c r="K29" i="43"/>
  <c r="J29" i="43"/>
  <c r="I29" i="43"/>
  <c r="H29" i="43"/>
  <c r="G29" i="43"/>
  <c r="O28" i="43"/>
  <c r="N28" i="43"/>
  <c r="M28" i="43"/>
  <c r="L28" i="43"/>
  <c r="K28" i="43"/>
  <c r="J28" i="43"/>
  <c r="I28" i="43"/>
  <c r="H28" i="43"/>
  <c r="G28" i="43"/>
  <c r="O27" i="43"/>
  <c r="N27" i="43"/>
  <c r="M27" i="43"/>
  <c r="L27" i="43"/>
  <c r="K27" i="43"/>
  <c r="J27" i="43"/>
  <c r="I27" i="43"/>
  <c r="H27" i="43"/>
  <c r="G27" i="43"/>
  <c r="F27" i="43"/>
  <c r="O26" i="43"/>
  <c r="N26" i="43"/>
  <c r="M26" i="43"/>
  <c r="L26" i="43"/>
  <c r="K26" i="43"/>
  <c r="J26" i="43"/>
  <c r="I26" i="43"/>
  <c r="H26" i="43"/>
  <c r="G26" i="43"/>
  <c r="O25" i="43"/>
  <c r="N25" i="43"/>
  <c r="M25" i="43"/>
  <c r="L25" i="43"/>
  <c r="K25" i="43"/>
  <c r="J25" i="43"/>
  <c r="I25" i="43"/>
  <c r="H25" i="43"/>
  <c r="G25" i="43"/>
  <c r="O24" i="43"/>
  <c r="N24" i="43"/>
  <c r="M24" i="43"/>
  <c r="L24" i="43"/>
  <c r="K24" i="43"/>
  <c r="J24" i="43"/>
  <c r="I24" i="43"/>
  <c r="H24" i="43"/>
  <c r="G24" i="43"/>
  <c r="E24" i="43"/>
  <c r="D24" i="43"/>
  <c r="O20" i="43"/>
  <c r="O71" i="43" s="1"/>
  <c r="N20" i="43"/>
  <c r="N71" i="43" s="1"/>
  <c r="M20" i="43"/>
  <c r="M71" i="43" s="1"/>
  <c r="L20" i="43"/>
  <c r="L71" i="43" s="1"/>
  <c r="K20" i="43"/>
  <c r="K71" i="43" s="1"/>
  <c r="J20" i="43"/>
  <c r="J71" i="43" s="1"/>
  <c r="I20" i="43"/>
  <c r="H20" i="43"/>
  <c r="H71" i="43" s="1"/>
  <c r="G20" i="43"/>
  <c r="G71" i="43" s="1"/>
  <c r="F20" i="43"/>
  <c r="F71" i="43" s="1"/>
  <c r="O19" i="43"/>
  <c r="O69" i="43" s="1"/>
  <c r="N19" i="43"/>
  <c r="N69" i="43" s="1"/>
  <c r="M19" i="43"/>
  <c r="L19" i="43"/>
  <c r="L69" i="43" s="1"/>
  <c r="K19" i="43"/>
  <c r="K69" i="43" s="1"/>
  <c r="J19" i="43"/>
  <c r="J69" i="43" s="1"/>
  <c r="I19" i="43"/>
  <c r="I69" i="43" s="1"/>
  <c r="H19" i="43"/>
  <c r="H69" i="43" s="1"/>
  <c r="G19" i="43"/>
  <c r="G69" i="43" s="1"/>
  <c r="F19" i="43"/>
  <c r="F69" i="43" s="1"/>
  <c r="O18" i="43"/>
  <c r="O67" i="43" s="1"/>
  <c r="N18" i="43"/>
  <c r="N67" i="43" s="1"/>
  <c r="M18" i="43"/>
  <c r="M67" i="43" s="1"/>
  <c r="L18" i="43"/>
  <c r="L67" i="43" s="1"/>
  <c r="K18" i="43"/>
  <c r="K67" i="43" s="1"/>
  <c r="J18" i="43"/>
  <c r="I18" i="43"/>
  <c r="I67" i="43" s="1"/>
  <c r="H18" i="43"/>
  <c r="H67" i="43" s="1"/>
  <c r="G18" i="43"/>
  <c r="G67" i="43" s="1"/>
  <c r="F18" i="43"/>
  <c r="F36" i="43" s="1"/>
  <c r="O17" i="43"/>
  <c r="O52" i="43" s="1"/>
  <c r="N17" i="43"/>
  <c r="N64" i="43" s="1"/>
  <c r="M17" i="43"/>
  <c r="M53" i="43" s="1"/>
  <c r="L17" i="43"/>
  <c r="L65" i="43" s="1"/>
  <c r="K17" i="43"/>
  <c r="K65" i="43" s="1"/>
  <c r="J17" i="43"/>
  <c r="J62" i="43" s="1"/>
  <c r="I17" i="43"/>
  <c r="I62" i="43" s="1"/>
  <c r="H17" i="43"/>
  <c r="H63" i="43" s="1"/>
  <c r="G17" i="43"/>
  <c r="G52" i="43" s="1"/>
  <c r="F17" i="43"/>
  <c r="F64" i="43" s="1"/>
  <c r="O16" i="43"/>
  <c r="O48" i="43" s="1"/>
  <c r="N16" i="43"/>
  <c r="N48" i="43" s="1"/>
  <c r="M16" i="43"/>
  <c r="M49" i="43" s="1"/>
  <c r="L16" i="43"/>
  <c r="L49" i="43" s="1"/>
  <c r="K16" i="43"/>
  <c r="K50" i="43" s="1"/>
  <c r="J16" i="43"/>
  <c r="J13" i="43" s="1"/>
  <c r="J7" i="43" s="1"/>
  <c r="I16" i="43"/>
  <c r="I47" i="43" s="1"/>
  <c r="H16" i="43"/>
  <c r="H47" i="43" s="1"/>
  <c r="G16" i="43"/>
  <c r="G48" i="43" s="1"/>
  <c r="F16" i="43"/>
  <c r="F48" i="43" s="1"/>
  <c r="O15" i="43"/>
  <c r="N15" i="43"/>
  <c r="M15" i="43"/>
  <c r="M13" i="43" s="1"/>
  <c r="M7" i="43" s="1"/>
  <c r="L15" i="43"/>
  <c r="L10" i="43" s="1"/>
  <c r="K15" i="43"/>
  <c r="K10" i="43" s="1"/>
  <c r="J15" i="43"/>
  <c r="I15" i="43"/>
  <c r="I13" i="43" s="1"/>
  <c r="I7" i="43" s="1"/>
  <c r="H15" i="43"/>
  <c r="G15" i="43"/>
  <c r="F15" i="43"/>
  <c r="F14" i="43"/>
  <c r="F32" i="43" s="1"/>
  <c r="L13" i="43"/>
  <c r="L7" i="43" s="1"/>
  <c r="N10" i="43"/>
  <c r="F10" i="43"/>
  <c r="F6" i="43"/>
  <c r="G6" i="43" s="1"/>
  <c r="F4" i="43"/>
  <c r="G4" i="43" s="1"/>
  <c r="H4" i="43" s="1"/>
  <c r="I4" i="43" s="1"/>
  <c r="J4" i="43" s="1"/>
  <c r="K4" i="43" s="1"/>
  <c r="L4" i="43" s="1"/>
  <c r="M4" i="43" s="1"/>
  <c r="N4" i="43" s="1"/>
  <c r="O4" i="43" s="1"/>
  <c r="O3" i="43"/>
  <c r="N3" i="43"/>
  <c r="M3" i="43"/>
  <c r="L3" i="43"/>
  <c r="K3" i="43"/>
  <c r="J3" i="43"/>
  <c r="I3" i="43"/>
  <c r="H3" i="43"/>
  <c r="G3" i="43"/>
  <c r="F3" i="43"/>
  <c r="N23" i="42"/>
  <c r="M23" i="42"/>
  <c r="L23" i="42"/>
  <c r="K23" i="42"/>
  <c r="J23" i="42"/>
  <c r="I23" i="42"/>
  <c r="H23" i="42"/>
  <c r="G23" i="42"/>
  <c r="F23" i="42"/>
  <c r="E23" i="42"/>
  <c r="Q23" i="42" s="1"/>
  <c r="N22" i="42"/>
  <c r="M22" i="42"/>
  <c r="L22" i="42"/>
  <c r="K22" i="42"/>
  <c r="J22" i="42"/>
  <c r="I22" i="42"/>
  <c r="H22" i="42"/>
  <c r="G22" i="42"/>
  <c r="Q22" i="42" s="1"/>
  <c r="F22" i="42"/>
  <c r="E22" i="42"/>
  <c r="N21" i="42"/>
  <c r="M21" i="42"/>
  <c r="L21" i="42"/>
  <c r="K21" i="42"/>
  <c r="J21" i="42"/>
  <c r="I21" i="42"/>
  <c r="H21" i="42"/>
  <c r="H18" i="42" s="1"/>
  <c r="G21" i="42"/>
  <c r="Q21" i="42" s="1"/>
  <c r="F21" i="42"/>
  <c r="E21" i="42"/>
  <c r="N20" i="42"/>
  <c r="M20" i="42"/>
  <c r="M18" i="42" s="1"/>
  <c r="L20" i="42"/>
  <c r="L18" i="42" s="1"/>
  <c r="K20" i="42"/>
  <c r="J20" i="42"/>
  <c r="I20" i="42"/>
  <c r="H20" i="42"/>
  <c r="G20" i="42"/>
  <c r="Q20" i="42" s="1"/>
  <c r="F20" i="42"/>
  <c r="E20" i="42"/>
  <c r="E18" i="42" s="1"/>
  <c r="N19" i="42"/>
  <c r="N18" i="42" s="1"/>
  <c r="M19" i="42"/>
  <c r="L19" i="42"/>
  <c r="K19" i="42"/>
  <c r="J19" i="42"/>
  <c r="J18" i="42" s="1"/>
  <c r="I19" i="42"/>
  <c r="I18" i="42" s="1"/>
  <c r="I34" i="42" s="1"/>
  <c r="H19" i="42"/>
  <c r="G19" i="42"/>
  <c r="G18" i="42" s="1"/>
  <c r="F19" i="42"/>
  <c r="F18" i="42" s="1"/>
  <c r="E19" i="42"/>
  <c r="K18" i="42"/>
  <c r="H15" i="42"/>
  <c r="H12" i="42" s="1"/>
  <c r="N14" i="42"/>
  <c r="M14" i="42"/>
  <c r="L14" i="42"/>
  <c r="K14" i="42"/>
  <c r="K15" i="42" s="1"/>
  <c r="J14" i="42"/>
  <c r="I14" i="42"/>
  <c r="H14" i="42"/>
  <c r="G14" i="42"/>
  <c r="F14" i="42"/>
  <c r="E14" i="42"/>
  <c r="N13" i="42"/>
  <c r="N15" i="42" s="1"/>
  <c r="M13" i="42"/>
  <c r="M15" i="42" s="1"/>
  <c r="M12" i="42" s="1"/>
  <c r="L13" i="42"/>
  <c r="L15" i="42" s="1"/>
  <c r="L12" i="42" s="1"/>
  <c r="K13" i="42"/>
  <c r="J13" i="42"/>
  <c r="J15" i="42" s="1"/>
  <c r="J12" i="42" s="1"/>
  <c r="I13" i="42"/>
  <c r="I15" i="42" s="1"/>
  <c r="I12" i="42" s="1"/>
  <c r="H13" i="42"/>
  <c r="G13" i="42"/>
  <c r="G15" i="42" s="1"/>
  <c r="F13" i="42"/>
  <c r="F15" i="42" s="1"/>
  <c r="E13" i="42"/>
  <c r="E15" i="42" s="1"/>
  <c r="E12" i="42" s="1"/>
  <c r="A5" i="42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F4" i="42"/>
  <c r="G4" i="42" s="1"/>
  <c r="H4" i="42" s="1"/>
  <c r="I4" i="42" s="1"/>
  <c r="J4" i="42" s="1"/>
  <c r="K4" i="42" s="1"/>
  <c r="L4" i="42" s="1"/>
  <c r="M4" i="42" s="1"/>
  <c r="N4" i="42" s="1"/>
  <c r="E4" i="42"/>
  <c r="G5" i="50" l="1"/>
  <c r="G6" i="50"/>
  <c r="F12" i="50"/>
  <c r="J34" i="50"/>
  <c r="J10" i="50" s="1"/>
  <c r="I15" i="50"/>
  <c r="I24" i="50" s="1"/>
  <c r="J4" i="50"/>
  <c r="G36" i="50"/>
  <c r="G34" i="50" s="1"/>
  <c r="G10" i="50" s="1"/>
  <c r="D27" i="50"/>
  <c r="K12" i="50" s="1"/>
  <c r="M35" i="50"/>
  <c r="H36" i="50"/>
  <c r="H34" i="50" s="1"/>
  <c r="H10" i="50" s="1"/>
  <c r="P36" i="50"/>
  <c r="K37" i="50"/>
  <c r="D28" i="50"/>
  <c r="I36" i="50"/>
  <c r="Q36" i="50"/>
  <c r="Q34" i="50" s="1"/>
  <c r="Q10" i="50" s="1"/>
  <c r="O36" i="50"/>
  <c r="D29" i="50"/>
  <c r="O35" i="50"/>
  <c r="J36" i="50"/>
  <c r="M37" i="50"/>
  <c r="H15" i="50"/>
  <c r="H24" i="50" s="1"/>
  <c r="D30" i="50"/>
  <c r="P35" i="50"/>
  <c r="P34" i="50" s="1"/>
  <c r="P10" i="50" s="1"/>
  <c r="K36" i="50"/>
  <c r="K34" i="50" s="1"/>
  <c r="K10" i="50" s="1"/>
  <c r="F37" i="50"/>
  <c r="N37" i="50"/>
  <c r="N34" i="50" s="1"/>
  <c r="N10" i="50" s="1"/>
  <c r="I35" i="50"/>
  <c r="L36" i="50"/>
  <c r="L34" i="50" s="1"/>
  <c r="L10" i="50" s="1"/>
  <c r="G37" i="50"/>
  <c r="O37" i="50"/>
  <c r="M36" i="50"/>
  <c r="F36" i="50"/>
  <c r="F34" i="50" s="1"/>
  <c r="F10" i="50" s="1"/>
  <c r="F9" i="50" s="1"/>
  <c r="I37" i="50"/>
  <c r="P31" i="49"/>
  <c r="P29" i="49"/>
  <c r="P27" i="49"/>
  <c r="P25" i="49"/>
  <c r="P13" i="49"/>
  <c r="P7" i="49" s="1"/>
  <c r="P30" i="49"/>
  <c r="P28" i="49"/>
  <c r="P26" i="49"/>
  <c r="P24" i="49"/>
  <c r="P10" i="49"/>
  <c r="Q34" i="49"/>
  <c r="P37" i="49"/>
  <c r="P51" i="49"/>
  <c r="L68" i="49"/>
  <c r="O31" i="49"/>
  <c r="O29" i="49"/>
  <c r="O27" i="49"/>
  <c r="O25" i="49"/>
  <c r="L45" i="49"/>
  <c r="L44" i="49"/>
  <c r="L43" i="49"/>
  <c r="L42" i="49"/>
  <c r="L37" i="49"/>
  <c r="L34" i="49"/>
  <c r="L41" i="49"/>
  <c r="L40" i="49"/>
  <c r="L36" i="49"/>
  <c r="N28" i="49"/>
  <c r="Q31" i="49"/>
  <c r="Q29" i="49"/>
  <c r="Q27" i="49"/>
  <c r="Q25" i="49"/>
  <c r="Q13" i="49"/>
  <c r="Q7" i="49" s="1"/>
  <c r="Q30" i="49"/>
  <c r="Q28" i="49"/>
  <c r="Q26" i="49"/>
  <c r="Q24" i="49"/>
  <c r="O10" i="49"/>
  <c r="M14" i="49"/>
  <c r="L14" i="49"/>
  <c r="K14" i="49"/>
  <c r="R14" i="49"/>
  <c r="J14" i="49"/>
  <c r="P42" i="49"/>
  <c r="P41" i="49"/>
  <c r="P36" i="49"/>
  <c r="P40" i="49"/>
  <c r="P39" i="49"/>
  <c r="P35" i="49"/>
  <c r="P33" i="49"/>
  <c r="P46" i="49"/>
  <c r="P45" i="49"/>
  <c r="P38" i="49"/>
  <c r="R45" i="49"/>
  <c r="R43" i="49"/>
  <c r="R41" i="49"/>
  <c r="R39" i="49"/>
  <c r="R40" i="49"/>
  <c r="R35" i="49"/>
  <c r="R33" i="49"/>
  <c r="R46" i="49"/>
  <c r="R38" i="49"/>
  <c r="R44" i="49"/>
  <c r="R37" i="49"/>
  <c r="R34" i="49"/>
  <c r="N59" i="49"/>
  <c r="N58" i="49"/>
  <c r="N51" i="49"/>
  <c r="N50" i="49"/>
  <c r="N64" i="49"/>
  <c r="N57" i="49"/>
  <c r="N56" i="49"/>
  <c r="N49" i="49"/>
  <c r="N48" i="49"/>
  <c r="N63" i="49"/>
  <c r="N62" i="49"/>
  <c r="N55" i="49"/>
  <c r="N54" i="49"/>
  <c r="J83" i="49"/>
  <c r="J81" i="49"/>
  <c r="J79" i="49"/>
  <c r="J77" i="49"/>
  <c r="J75" i="49"/>
  <c r="J73" i="49"/>
  <c r="J71" i="49"/>
  <c r="J69" i="49"/>
  <c r="J67" i="49"/>
  <c r="J82" i="49"/>
  <c r="J80" i="49"/>
  <c r="J78" i="49"/>
  <c r="J76" i="49"/>
  <c r="J74" i="49"/>
  <c r="J72" i="49"/>
  <c r="J70" i="49"/>
  <c r="J68" i="49"/>
  <c r="J66" i="49"/>
  <c r="R83" i="49"/>
  <c r="R81" i="49"/>
  <c r="R79" i="49"/>
  <c r="R77" i="49"/>
  <c r="R75" i="49"/>
  <c r="R73" i="49"/>
  <c r="R71" i="49"/>
  <c r="R69" i="49"/>
  <c r="R67" i="49"/>
  <c r="R82" i="49"/>
  <c r="R80" i="49"/>
  <c r="R78" i="49"/>
  <c r="R76" i="49"/>
  <c r="R74" i="49"/>
  <c r="R72" i="49"/>
  <c r="R70" i="49"/>
  <c r="R68" i="49"/>
  <c r="R66" i="49"/>
  <c r="O26" i="49"/>
  <c r="N52" i="49"/>
  <c r="M63" i="49"/>
  <c r="M61" i="49"/>
  <c r="M59" i="49"/>
  <c r="M57" i="49"/>
  <c r="M55" i="49"/>
  <c r="M53" i="49"/>
  <c r="M51" i="49"/>
  <c r="M49" i="49"/>
  <c r="M58" i="49"/>
  <c r="M50" i="49"/>
  <c r="M64" i="49"/>
  <c r="M56" i="49"/>
  <c r="M48" i="49"/>
  <c r="M62" i="49"/>
  <c r="M54" i="49"/>
  <c r="N26" i="49"/>
  <c r="L35" i="49"/>
  <c r="Q41" i="49"/>
  <c r="M52" i="49"/>
  <c r="G14" i="49"/>
  <c r="G63" i="49"/>
  <c r="G62" i="49"/>
  <c r="G55" i="49"/>
  <c r="G54" i="49"/>
  <c r="G61" i="49"/>
  <c r="G60" i="49"/>
  <c r="G53" i="49"/>
  <c r="G52" i="49"/>
  <c r="G59" i="49"/>
  <c r="G58" i="49"/>
  <c r="G51" i="49"/>
  <c r="G50" i="49"/>
  <c r="O64" i="49"/>
  <c r="O57" i="49"/>
  <c r="O56" i="49"/>
  <c r="O49" i="49"/>
  <c r="O48" i="49"/>
  <c r="O63" i="49"/>
  <c r="O62" i="49"/>
  <c r="O55" i="49"/>
  <c r="O54" i="49"/>
  <c r="O61" i="49"/>
  <c r="O60" i="49"/>
  <c r="O53" i="49"/>
  <c r="O52" i="49"/>
  <c r="K82" i="49"/>
  <c r="K80" i="49"/>
  <c r="K78" i="49"/>
  <c r="K76" i="49"/>
  <c r="K74" i="49"/>
  <c r="K72" i="49"/>
  <c r="K70" i="49"/>
  <c r="K68" i="49"/>
  <c r="K66" i="49"/>
  <c r="K81" i="49"/>
  <c r="K77" i="49"/>
  <c r="K73" i="49"/>
  <c r="K69" i="49"/>
  <c r="K83" i="49"/>
  <c r="K79" i="49"/>
  <c r="K75" i="49"/>
  <c r="K71" i="49"/>
  <c r="K67" i="49"/>
  <c r="G85" i="49"/>
  <c r="G90" i="49"/>
  <c r="G88" i="49"/>
  <c r="G86" i="49"/>
  <c r="G87" i="49"/>
  <c r="O86" i="49"/>
  <c r="O89" i="49"/>
  <c r="O87" i="49"/>
  <c r="O85" i="49"/>
  <c r="O88" i="49"/>
  <c r="O97" i="49"/>
  <c r="O95" i="49"/>
  <c r="O93" i="49"/>
  <c r="O94" i="49"/>
  <c r="O96" i="49"/>
  <c r="O92" i="49"/>
  <c r="N24" i="49"/>
  <c r="L33" i="49"/>
  <c r="I36" i="49"/>
  <c r="G57" i="49"/>
  <c r="M60" i="49"/>
  <c r="G64" i="49"/>
  <c r="G89" i="49"/>
  <c r="I6" i="49"/>
  <c r="Q36" i="49"/>
  <c r="Q40" i="49"/>
  <c r="Q39" i="49"/>
  <c r="Q35" i="49"/>
  <c r="Q33" i="49"/>
  <c r="Q46" i="49"/>
  <c r="Q45" i="49"/>
  <c r="Q38" i="49"/>
  <c r="Q44" i="49"/>
  <c r="Q43" i="49"/>
  <c r="Q37" i="49"/>
  <c r="L38" i="49"/>
  <c r="Q10" i="49"/>
  <c r="H14" i="49"/>
  <c r="I46" i="49"/>
  <c r="I45" i="49"/>
  <c r="I38" i="49"/>
  <c r="I35" i="49"/>
  <c r="I33" i="49"/>
  <c r="I44" i="49"/>
  <c r="I43" i="49"/>
  <c r="I37" i="49"/>
  <c r="I42" i="49"/>
  <c r="I41" i="49"/>
  <c r="H64" i="49"/>
  <c r="H62" i="49"/>
  <c r="H60" i="49"/>
  <c r="H58" i="49"/>
  <c r="H56" i="49"/>
  <c r="H54" i="49"/>
  <c r="H52" i="49"/>
  <c r="H50" i="49"/>
  <c r="H48" i="49"/>
  <c r="H63" i="49"/>
  <c r="H55" i="49"/>
  <c r="H61" i="49"/>
  <c r="H53" i="49"/>
  <c r="H59" i="49"/>
  <c r="H51" i="49"/>
  <c r="P64" i="49"/>
  <c r="P62" i="49"/>
  <c r="P60" i="49"/>
  <c r="P58" i="49"/>
  <c r="P56" i="49"/>
  <c r="P54" i="49"/>
  <c r="P52" i="49"/>
  <c r="P50" i="49"/>
  <c r="P48" i="49"/>
  <c r="P57" i="49"/>
  <c r="P49" i="49"/>
  <c r="P63" i="49"/>
  <c r="P55" i="49"/>
  <c r="P61" i="49"/>
  <c r="P53" i="49"/>
  <c r="L81" i="49"/>
  <c r="L77" i="49"/>
  <c r="L73" i="49"/>
  <c r="L69" i="49"/>
  <c r="L82" i="49"/>
  <c r="L78" i="49"/>
  <c r="L74" i="49"/>
  <c r="L70" i="49"/>
  <c r="L66" i="49"/>
  <c r="L83" i="49"/>
  <c r="L79" i="49"/>
  <c r="L75" i="49"/>
  <c r="L71" i="49"/>
  <c r="L67" i="49"/>
  <c r="H90" i="49"/>
  <c r="H88" i="49"/>
  <c r="H86" i="49"/>
  <c r="H89" i="49"/>
  <c r="H85" i="49"/>
  <c r="P90" i="49"/>
  <c r="P88" i="49"/>
  <c r="P86" i="49"/>
  <c r="P89" i="49"/>
  <c r="P87" i="49"/>
  <c r="P85" i="49"/>
  <c r="Q97" i="49"/>
  <c r="Q95" i="49"/>
  <c r="Q93" i="49"/>
  <c r="Q96" i="49"/>
  <c r="Q94" i="49"/>
  <c r="Q92" i="49"/>
  <c r="O24" i="49"/>
  <c r="L39" i="49"/>
  <c r="R42" i="49"/>
  <c r="L46" i="49"/>
  <c r="N53" i="49"/>
  <c r="H57" i="49"/>
  <c r="N60" i="49"/>
  <c r="L72" i="49"/>
  <c r="L80" i="49"/>
  <c r="I31" i="49"/>
  <c r="I29" i="49"/>
  <c r="I27" i="49"/>
  <c r="I25" i="49"/>
  <c r="I13" i="49"/>
  <c r="I7" i="49" s="1"/>
  <c r="I30" i="49"/>
  <c r="I28" i="49"/>
  <c r="I26" i="49"/>
  <c r="I24" i="49"/>
  <c r="J45" i="49"/>
  <c r="J43" i="49"/>
  <c r="J41" i="49"/>
  <c r="J39" i="49"/>
  <c r="J46" i="49"/>
  <c r="J38" i="49"/>
  <c r="J35" i="49"/>
  <c r="J33" i="49"/>
  <c r="J44" i="49"/>
  <c r="J37" i="49"/>
  <c r="J42" i="49"/>
  <c r="J34" i="49"/>
  <c r="N31" i="49"/>
  <c r="N29" i="49"/>
  <c r="N27" i="49"/>
  <c r="N25" i="49"/>
  <c r="K45" i="49"/>
  <c r="K43" i="49"/>
  <c r="K41" i="49"/>
  <c r="K39" i="49"/>
  <c r="K37" i="49"/>
  <c r="K38" i="49"/>
  <c r="K35" i="49"/>
  <c r="K33" i="49"/>
  <c r="K44" i="49"/>
  <c r="K42" i="49"/>
  <c r="K34" i="49"/>
  <c r="K40" i="49"/>
  <c r="K36" i="49"/>
  <c r="Q66" i="49"/>
  <c r="I68" i="49"/>
  <c r="Q70" i="49"/>
  <c r="I72" i="49"/>
  <c r="Q74" i="49"/>
  <c r="I76" i="49"/>
  <c r="Q78" i="49"/>
  <c r="I80" i="49"/>
  <c r="Q82" i="49"/>
  <c r="R96" i="49"/>
  <c r="I64" i="49"/>
  <c r="I62" i="49"/>
  <c r="I60" i="49"/>
  <c r="I58" i="49"/>
  <c r="I56" i="49"/>
  <c r="I54" i="49"/>
  <c r="I52" i="49"/>
  <c r="I50" i="49"/>
  <c r="I48" i="49"/>
  <c r="Q64" i="49"/>
  <c r="Q62" i="49"/>
  <c r="Q60" i="49"/>
  <c r="Q58" i="49"/>
  <c r="Q56" i="49"/>
  <c r="Q54" i="49"/>
  <c r="Q52" i="49"/>
  <c r="Q50" i="49"/>
  <c r="Q48" i="49"/>
  <c r="M82" i="49"/>
  <c r="M80" i="49"/>
  <c r="M78" i="49"/>
  <c r="M76" i="49"/>
  <c r="M74" i="49"/>
  <c r="M72" i="49"/>
  <c r="M70" i="49"/>
  <c r="M68" i="49"/>
  <c r="M66" i="49"/>
  <c r="I90" i="49"/>
  <c r="I88" i="49"/>
  <c r="I86" i="49"/>
  <c r="I89" i="49"/>
  <c r="I87" i="49"/>
  <c r="I85" i="49"/>
  <c r="Q90" i="49"/>
  <c r="Q88" i="49"/>
  <c r="Q86" i="49"/>
  <c r="Q89" i="49"/>
  <c r="Q87" i="49"/>
  <c r="Q85" i="49"/>
  <c r="F32" i="49"/>
  <c r="H37" i="49"/>
  <c r="M39" i="49"/>
  <c r="M46" i="49"/>
  <c r="K48" i="49"/>
  <c r="I49" i="49"/>
  <c r="Q51" i="49"/>
  <c r="K55" i="49"/>
  <c r="K56" i="49"/>
  <c r="I57" i="49"/>
  <c r="Q59" i="49"/>
  <c r="K63" i="49"/>
  <c r="K64" i="49"/>
  <c r="G66" i="49"/>
  <c r="O68" i="49"/>
  <c r="G70" i="49"/>
  <c r="O72" i="49"/>
  <c r="G74" i="49"/>
  <c r="O76" i="49"/>
  <c r="G78" i="49"/>
  <c r="K87" i="49"/>
  <c r="R92" i="49"/>
  <c r="N15" i="49"/>
  <c r="N13" i="49" s="1"/>
  <c r="N7" i="49" s="1"/>
  <c r="N82" i="49"/>
  <c r="N80" i="49"/>
  <c r="N78" i="49"/>
  <c r="N76" i="49"/>
  <c r="N74" i="49"/>
  <c r="N72" i="49"/>
  <c r="N70" i="49"/>
  <c r="N68" i="49"/>
  <c r="N66" i="49"/>
  <c r="N83" i="49"/>
  <c r="N81" i="49"/>
  <c r="N79" i="49"/>
  <c r="N77" i="49"/>
  <c r="N75" i="49"/>
  <c r="N73" i="49"/>
  <c r="N71" i="49"/>
  <c r="N69" i="49"/>
  <c r="N67" i="49"/>
  <c r="J90" i="49"/>
  <c r="J88" i="49"/>
  <c r="J86" i="49"/>
  <c r="J89" i="49"/>
  <c r="J87" i="49"/>
  <c r="J85" i="49"/>
  <c r="R90" i="49"/>
  <c r="R88" i="49"/>
  <c r="R86" i="49"/>
  <c r="R89" i="49"/>
  <c r="R87" i="49"/>
  <c r="R85" i="49"/>
  <c r="H43" i="49"/>
  <c r="H44" i="49"/>
  <c r="L48" i="49"/>
  <c r="J49" i="49"/>
  <c r="J50" i="49"/>
  <c r="R51" i="49"/>
  <c r="R52" i="49"/>
  <c r="L56" i="49"/>
  <c r="J57" i="49"/>
  <c r="J58" i="49"/>
  <c r="R59" i="49"/>
  <c r="R60" i="49"/>
  <c r="H66" i="49"/>
  <c r="P68" i="49"/>
  <c r="H70" i="49"/>
  <c r="P72" i="49"/>
  <c r="H74" i="49"/>
  <c r="P76" i="49"/>
  <c r="H78" i="49"/>
  <c r="P80" i="49"/>
  <c r="H82" i="49"/>
  <c r="K89" i="49"/>
  <c r="J96" i="49"/>
  <c r="J97" i="49"/>
  <c r="G15" i="49"/>
  <c r="O15" i="49"/>
  <c r="O13" i="49" s="1"/>
  <c r="O7" i="49" s="1"/>
  <c r="G83" i="49"/>
  <c r="G81" i="49"/>
  <c r="G79" i="49"/>
  <c r="G77" i="49"/>
  <c r="G75" i="49"/>
  <c r="G73" i="49"/>
  <c r="G71" i="49"/>
  <c r="G69" i="49"/>
  <c r="G67" i="49"/>
  <c r="O83" i="49"/>
  <c r="O81" i="49"/>
  <c r="O79" i="49"/>
  <c r="O77" i="49"/>
  <c r="O75" i="49"/>
  <c r="O73" i="49"/>
  <c r="O71" i="49"/>
  <c r="O69" i="49"/>
  <c r="O67" i="49"/>
  <c r="H97" i="49"/>
  <c r="H95" i="49"/>
  <c r="H93" i="49"/>
  <c r="H96" i="49"/>
  <c r="H94" i="49"/>
  <c r="H92" i="49"/>
  <c r="H33" i="49"/>
  <c r="H35" i="49"/>
  <c r="M36" i="49"/>
  <c r="H38" i="49"/>
  <c r="M40" i="49"/>
  <c r="M41" i="49"/>
  <c r="K49" i="49"/>
  <c r="K50" i="49"/>
  <c r="I51" i="49"/>
  <c r="Q53" i="49"/>
  <c r="K57" i="49"/>
  <c r="K58" i="49"/>
  <c r="I59" i="49"/>
  <c r="Q61" i="49"/>
  <c r="I66" i="49"/>
  <c r="M67" i="49"/>
  <c r="Q68" i="49"/>
  <c r="I70" i="49"/>
  <c r="M71" i="49"/>
  <c r="Q72" i="49"/>
  <c r="I74" i="49"/>
  <c r="M75" i="49"/>
  <c r="Q76" i="49"/>
  <c r="I78" i="49"/>
  <c r="M79" i="49"/>
  <c r="M83" i="49"/>
  <c r="J94" i="49"/>
  <c r="J95" i="49"/>
  <c r="L63" i="49"/>
  <c r="L61" i="49"/>
  <c r="L59" i="49"/>
  <c r="L57" i="49"/>
  <c r="L55" i="49"/>
  <c r="L53" i="49"/>
  <c r="L51" i="49"/>
  <c r="L49" i="49"/>
  <c r="L89" i="49"/>
  <c r="L87" i="49"/>
  <c r="L85" i="49"/>
  <c r="M34" i="49"/>
  <c r="H45" i="49"/>
  <c r="H46" i="49"/>
  <c r="L50" i="49"/>
  <c r="J51" i="49"/>
  <c r="J52" i="49"/>
  <c r="R53" i="49"/>
  <c r="R54" i="49"/>
  <c r="L58" i="49"/>
  <c r="J59" i="49"/>
  <c r="J60" i="49"/>
  <c r="R61" i="49"/>
  <c r="R62" i="49"/>
  <c r="P67" i="49"/>
  <c r="H69" i="49"/>
  <c r="P71" i="49"/>
  <c r="H73" i="49"/>
  <c r="P75" i="49"/>
  <c r="H77" i="49"/>
  <c r="P79" i="49"/>
  <c r="H81" i="49"/>
  <c r="P83" i="49"/>
  <c r="K86" i="49"/>
  <c r="J92" i="49"/>
  <c r="I83" i="49"/>
  <c r="I81" i="49"/>
  <c r="I79" i="49"/>
  <c r="I77" i="49"/>
  <c r="I75" i="49"/>
  <c r="I73" i="49"/>
  <c r="I71" i="49"/>
  <c r="I69" i="49"/>
  <c r="I67" i="49"/>
  <c r="Q83" i="49"/>
  <c r="Q81" i="49"/>
  <c r="Q79" i="49"/>
  <c r="Q77" i="49"/>
  <c r="Q75" i="49"/>
  <c r="Q73" i="49"/>
  <c r="Q71" i="49"/>
  <c r="Q69" i="49"/>
  <c r="Q67" i="49"/>
  <c r="M89" i="49"/>
  <c r="M87" i="49"/>
  <c r="M85" i="49"/>
  <c r="M90" i="49"/>
  <c r="M88" i="49"/>
  <c r="M86" i="49"/>
  <c r="L96" i="49"/>
  <c r="L94" i="49"/>
  <c r="L92" i="49"/>
  <c r="L97" i="49"/>
  <c r="L95" i="49"/>
  <c r="L93" i="49"/>
  <c r="M37" i="49"/>
  <c r="M42" i="49"/>
  <c r="K51" i="49"/>
  <c r="K52" i="49"/>
  <c r="I53" i="49"/>
  <c r="Q55" i="49"/>
  <c r="K59" i="49"/>
  <c r="I61" i="49"/>
  <c r="Q63" i="49"/>
  <c r="O66" i="49"/>
  <c r="G68" i="49"/>
  <c r="O70" i="49"/>
  <c r="G72" i="49"/>
  <c r="O74" i="49"/>
  <c r="G76" i="49"/>
  <c r="O78" i="49"/>
  <c r="G80" i="49"/>
  <c r="O82" i="49"/>
  <c r="L86" i="49"/>
  <c r="K88" i="49"/>
  <c r="N89" i="49"/>
  <c r="N87" i="49"/>
  <c r="N85" i="49"/>
  <c r="N90" i="49"/>
  <c r="N88" i="49"/>
  <c r="N86" i="49"/>
  <c r="M96" i="49"/>
  <c r="M94" i="49"/>
  <c r="M92" i="49"/>
  <c r="M97" i="49"/>
  <c r="M95" i="49"/>
  <c r="M93" i="49"/>
  <c r="H36" i="49"/>
  <c r="H39" i="49"/>
  <c r="R48" i="49"/>
  <c r="L52" i="49"/>
  <c r="J53" i="49"/>
  <c r="J54" i="49"/>
  <c r="R55" i="49"/>
  <c r="R56" i="49"/>
  <c r="L60" i="49"/>
  <c r="J61" i="49"/>
  <c r="R63" i="49"/>
  <c r="P66" i="49"/>
  <c r="H68" i="49"/>
  <c r="P70" i="49"/>
  <c r="H72" i="49"/>
  <c r="P74" i="49"/>
  <c r="H76" i="49"/>
  <c r="P78" i="49"/>
  <c r="L88" i="49"/>
  <c r="F34" i="48"/>
  <c r="N34" i="48"/>
  <c r="T19" i="48"/>
  <c r="T21" i="48"/>
  <c r="P34" i="48"/>
  <c r="G34" i="48"/>
  <c r="O34" i="48"/>
  <c r="H12" i="48"/>
  <c r="H34" i="48" s="1"/>
  <c r="P12" i="48"/>
  <c r="E18" i="48"/>
  <c r="E15" i="48"/>
  <c r="E12" i="48" s="1"/>
  <c r="M15" i="48"/>
  <c r="M12" i="48" s="1"/>
  <c r="M34" i="48" s="1"/>
  <c r="S23" i="48"/>
  <c r="T23" i="48" s="1"/>
  <c r="G5" i="47"/>
  <c r="G6" i="47"/>
  <c r="J4" i="47"/>
  <c r="I15" i="47"/>
  <c r="I22" i="47" s="1"/>
  <c r="H15" i="47"/>
  <c r="H22" i="47" s="1"/>
  <c r="D24" i="47"/>
  <c r="J6" i="46"/>
  <c r="J5" i="46"/>
  <c r="J35" i="46"/>
  <c r="J36" i="46"/>
  <c r="J37" i="46"/>
  <c r="J38" i="46"/>
  <c r="J39" i="46"/>
  <c r="J40" i="46"/>
  <c r="J41" i="46"/>
  <c r="J42" i="46"/>
  <c r="H44" i="46"/>
  <c r="H45" i="46"/>
  <c r="H46" i="46"/>
  <c r="I5" i="46"/>
  <c r="G23" i="46"/>
  <c r="M26" i="46"/>
  <c r="M27" i="46"/>
  <c r="M28" i="46"/>
  <c r="M29" i="46"/>
  <c r="M30" i="46"/>
  <c r="M31" i="46"/>
  <c r="M32" i="46"/>
  <c r="K35" i="46"/>
  <c r="K36" i="46"/>
  <c r="K37" i="46"/>
  <c r="K38" i="46"/>
  <c r="K39" i="46"/>
  <c r="K40" i="46"/>
  <c r="K41" i="46"/>
  <c r="I44" i="46"/>
  <c r="I45" i="46"/>
  <c r="I46" i="46"/>
  <c r="G49" i="46"/>
  <c r="G50" i="46"/>
  <c r="G51" i="46"/>
  <c r="G52" i="46"/>
  <c r="G53" i="46"/>
  <c r="H23" i="46"/>
  <c r="L35" i="46"/>
  <c r="L36" i="46"/>
  <c r="L37" i="46"/>
  <c r="L38" i="46"/>
  <c r="L39" i="46"/>
  <c r="L40" i="46"/>
  <c r="L41" i="46"/>
  <c r="J44" i="46"/>
  <c r="J45" i="46"/>
  <c r="J46" i="46"/>
  <c r="H49" i="46"/>
  <c r="H50" i="46"/>
  <c r="H51" i="46"/>
  <c r="H52" i="46"/>
  <c r="H53" i="46"/>
  <c r="I23" i="46"/>
  <c r="G26" i="46"/>
  <c r="G27" i="46"/>
  <c r="G28" i="46"/>
  <c r="G29" i="46"/>
  <c r="G30" i="46"/>
  <c r="G31" i="46"/>
  <c r="G32" i="46"/>
  <c r="M35" i="46"/>
  <c r="M36" i="46"/>
  <c r="M21" i="46" s="1"/>
  <c r="M9" i="46" s="1"/>
  <c r="M8" i="46" s="1"/>
  <c r="M37" i="46"/>
  <c r="M38" i="46"/>
  <c r="M39" i="46"/>
  <c r="M40" i="46"/>
  <c r="M41" i="46"/>
  <c r="K44" i="46"/>
  <c r="K45" i="46"/>
  <c r="K46" i="46"/>
  <c r="I49" i="46"/>
  <c r="I50" i="46"/>
  <c r="I51" i="46"/>
  <c r="I52" i="46"/>
  <c r="I53" i="46"/>
  <c r="H26" i="46"/>
  <c r="L45" i="46"/>
  <c r="J49" i="46"/>
  <c r="J53" i="46"/>
  <c r="K23" i="46"/>
  <c r="I26" i="46"/>
  <c r="I27" i="46"/>
  <c r="I28" i="46"/>
  <c r="I29" i="46"/>
  <c r="I30" i="46"/>
  <c r="I31" i="46"/>
  <c r="I32" i="46"/>
  <c r="G35" i="46"/>
  <c r="G36" i="46"/>
  <c r="G37" i="46"/>
  <c r="G38" i="46"/>
  <c r="G39" i="46"/>
  <c r="G40" i="46"/>
  <c r="G41" i="46"/>
  <c r="M44" i="46"/>
  <c r="M45" i="46"/>
  <c r="M46" i="46"/>
  <c r="K49" i="46"/>
  <c r="K50" i="46"/>
  <c r="K51" i="46"/>
  <c r="K52" i="46"/>
  <c r="K53" i="46"/>
  <c r="J23" i="46"/>
  <c r="H27" i="46"/>
  <c r="H28" i="46"/>
  <c r="H29" i="46"/>
  <c r="H30" i="46"/>
  <c r="H31" i="46"/>
  <c r="H32" i="46"/>
  <c r="L44" i="46"/>
  <c r="L46" i="46"/>
  <c r="J50" i="46"/>
  <c r="J51" i="46"/>
  <c r="J52" i="46"/>
  <c r="L23" i="46"/>
  <c r="J26" i="46"/>
  <c r="J27" i="46"/>
  <c r="J28" i="46"/>
  <c r="J29" i="46"/>
  <c r="J30" i="46"/>
  <c r="J31" i="46"/>
  <c r="J32" i="46"/>
  <c r="H35" i="46"/>
  <c r="H36" i="46"/>
  <c r="H37" i="46"/>
  <c r="H38" i="46"/>
  <c r="H39" i="46"/>
  <c r="H40" i="46"/>
  <c r="H41" i="46"/>
  <c r="N44" i="46"/>
  <c r="N21" i="46" s="1"/>
  <c r="N9" i="46" s="1"/>
  <c r="N8" i="46" s="1"/>
  <c r="N45" i="46"/>
  <c r="N46" i="46"/>
  <c r="L49" i="46"/>
  <c r="L50" i="46"/>
  <c r="L51" i="46"/>
  <c r="L52" i="46"/>
  <c r="L53" i="46"/>
  <c r="G44" i="46"/>
  <c r="G45" i="46"/>
  <c r="G46" i="46"/>
  <c r="L12" i="45"/>
  <c r="L34" i="45" s="1"/>
  <c r="I34" i="45"/>
  <c r="O18" i="45"/>
  <c r="P18" i="45" s="1"/>
  <c r="F34" i="45"/>
  <c r="H34" i="45"/>
  <c r="E12" i="45"/>
  <c r="E34" i="45" s="1"/>
  <c r="M34" i="45" s="1"/>
  <c r="O19" i="45"/>
  <c r="P19" i="45" s="1"/>
  <c r="N24" i="44"/>
  <c r="N38" i="44" s="1"/>
  <c r="N29" i="44" s="1"/>
  <c r="N59" i="44"/>
  <c r="N11" i="44" s="1"/>
  <c r="M29" i="44"/>
  <c r="M12" i="44"/>
  <c r="M9" i="44" s="1"/>
  <c r="G5" i="44"/>
  <c r="G6" i="44"/>
  <c r="O29" i="44"/>
  <c r="I29" i="44"/>
  <c r="F29" i="44"/>
  <c r="J15" i="44"/>
  <c r="J28" i="44" s="1"/>
  <c r="K4" i="44"/>
  <c r="J29" i="44"/>
  <c r="H29" i="44"/>
  <c r="F12" i="44"/>
  <c r="F9" i="44" s="1"/>
  <c r="G35" i="44"/>
  <c r="G29" i="44" s="1"/>
  <c r="O35" i="44"/>
  <c r="G12" i="44"/>
  <c r="G9" i="44" s="1"/>
  <c r="O12" i="44"/>
  <c r="O9" i="44" s="1"/>
  <c r="K16" i="44"/>
  <c r="K8" i="44" s="1"/>
  <c r="L34" i="44"/>
  <c r="L12" i="44" s="1"/>
  <c r="L9" i="44" s="1"/>
  <c r="I15" i="44"/>
  <c r="I28" i="44" s="1"/>
  <c r="H12" i="44"/>
  <c r="H9" i="44" s="1"/>
  <c r="I12" i="44"/>
  <c r="I9" i="44" s="1"/>
  <c r="M16" i="44"/>
  <c r="M8" i="44" s="1"/>
  <c r="I16" i="44"/>
  <c r="I8" i="44" s="1"/>
  <c r="J12" i="44"/>
  <c r="J9" i="44" s="1"/>
  <c r="H6" i="43"/>
  <c r="H5" i="43"/>
  <c r="O41" i="43"/>
  <c r="G45" i="43"/>
  <c r="G49" i="43"/>
  <c r="G13" i="43"/>
  <c r="G7" i="43" s="1"/>
  <c r="G5" i="43"/>
  <c r="M10" i="43"/>
  <c r="K13" i="43"/>
  <c r="K7" i="43" s="1"/>
  <c r="F25" i="43"/>
  <c r="F29" i="43"/>
  <c r="F33" i="43"/>
  <c r="H40" i="43"/>
  <c r="F41" i="43"/>
  <c r="N41" i="43"/>
  <c r="L42" i="43"/>
  <c r="J43" i="43"/>
  <c r="H44" i="43"/>
  <c r="F45" i="43"/>
  <c r="N45" i="43"/>
  <c r="L46" i="43"/>
  <c r="J47" i="43"/>
  <c r="H48" i="43"/>
  <c r="F49" i="43"/>
  <c r="N49" i="43"/>
  <c r="L50" i="43"/>
  <c r="H52" i="43"/>
  <c r="F53" i="43"/>
  <c r="N53" i="43"/>
  <c r="K54" i="43"/>
  <c r="I55" i="43"/>
  <c r="G56" i="43"/>
  <c r="O56" i="43"/>
  <c r="M57" i="43"/>
  <c r="K58" i="43"/>
  <c r="I59" i="43"/>
  <c r="G60" i="43"/>
  <c r="O60" i="43"/>
  <c r="M61" i="43"/>
  <c r="K62" i="43"/>
  <c r="I63" i="43"/>
  <c r="G64" i="43"/>
  <c r="O64" i="43"/>
  <c r="M65" i="43"/>
  <c r="G10" i="43"/>
  <c r="O10" i="43"/>
  <c r="F26" i="43"/>
  <c r="F30" i="43"/>
  <c r="F34" i="43"/>
  <c r="F38" i="43"/>
  <c r="J40" i="43"/>
  <c r="J23" i="43" s="1"/>
  <c r="J9" i="43" s="1"/>
  <c r="J8" i="43" s="1"/>
  <c r="H41" i="43"/>
  <c r="F42" i="43"/>
  <c r="N42" i="43"/>
  <c r="L43" i="43"/>
  <c r="J44" i="43"/>
  <c r="H45" i="43"/>
  <c r="F46" i="43"/>
  <c r="N46" i="43"/>
  <c r="L47" i="43"/>
  <c r="J48" i="43"/>
  <c r="H49" i="43"/>
  <c r="F50" i="43"/>
  <c r="N50" i="43"/>
  <c r="J52" i="43"/>
  <c r="H53" i="43"/>
  <c r="M54" i="43"/>
  <c r="K55" i="43"/>
  <c r="I56" i="43"/>
  <c r="G57" i="43"/>
  <c r="O57" i="43"/>
  <c r="M58" i="43"/>
  <c r="K59" i="43"/>
  <c r="I60" i="43"/>
  <c r="G61" i="43"/>
  <c r="O61" i="43"/>
  <c r="M62" i="43"/>
  <c r="K63" i="43"/>
  <c r="I64" i="43"/>
  <c r="G65" i="43"/>
  <c r="O65" i="43"/>
  <c r="O49" i="43"/>
  <c r="H10" i="43"/>
  <c r="F13" i="43"/>
  <c r="F7" i="43" s="1"/>
  <c r="N13" i="43"/>
  <c r="N7" i="43" s="1"/>
  <c r="K40" i="43"/>
  <c r="K23" i="43" s="1"/>
  <c r="K9" i="43" s="1"/>
  <c r="K8" i="43" s="1"/>
  <c r="I41" i="43"/>
  <c r="G42" i="43"/>
  <c r="O42" i="43"/>
  <c r="M43" i="43"/>
  <c r="K44" i="43"/>
  <c r="I45" i="43"/>
  <c r="G46" i="43"/>
  <c r="O46" i="43"/>
  <c r="M47" i="43"/>
  <c r="K48" i="43"/>
  <c r="I49" i="43"/>
  <c r="G50" i="43"/>
  <c r="O50" i="43"/>
  <c r="K52" i="43"/>
  <c r="I53" i="43"/>
  <c r="F54" i="43"/>
  <c r="N54" i="43"/>
  <c r="L55" i="43"/>
  <c r="J56" i="43"/>
  <c r="H57" i="43"/>
  <c r="F58" i="43"/>
  <c r="N58" i="43"/>
  <c r="L59" i="43"/>
  <c r="J60" i="43"/>
  <c r="H61" i="43"/>
  <c r="F62" i="43"/>
  <c r="N62" i="43"/>
  <c r="L63" i="43"/>
  <c r="J64" i="43"/>
  <c r="H65" i="43"/>
  <c r="G41" i="43"/>
  <c r="F35" i="43"/>
  <c r="J41" i="43"/>
  <c r="F43" i="43"/>
  <c r="N43" i="43"/>
  <c r="J45" i="43"/>
  <c r="F47" i="43"/>
  <c r="N47" i="43"/>
  <c r="J49" i="43"/>
  <c r="L52" i="43"/>
  <c r="G54" i="43"/>
  <c r="O54" i="43"/>
  <c r="M55" i="43"/>
  <c r="K56" i="43"/>
  <c r="I57" i="43"/>
  <c r="G58" i="43"/>
  <c r="O58" i="43"/>
  <c r="M59" i="43"/>
  <c r="K60" i="43"/>
  <c r="I61" i="43"/>
  <c r="G62" i="43"/>
  <c r="O62" i="43"/>
  <c r="M63" i="43"/>
  <c r="K64" i="43"/>
  <c r="I65" i="43"/>
  <c r="O45" i="43"/>
  <c r="O13" i="43"/>
  <c r="O7" i="43" s="1"/>
  <c r="J10" i="43"/>
  <c r="H13" i="43"/>
  <c r="H7" i="43" s="1"/>
  <c r="M40" i="43"/>
  <c r="K41" i="43"/>
  <c r="I42" i="43"/>
  <c r="I23" i="43" s="1"/>
  <c r="I9" i="43" s="1"/>
  <c r="I8" i="43" s="1"/>
  <c r="G43" i="43"/>
  <c r="O43" i="43"/>
  <c r="M44" i="43"/>
  <c r="K45" i="43"/>
  <c r="I46" i="43"/>
  <c r="G47" i="43"/>
  <c r="O47" i="43"/>
  <c r="M48" i="43"/>
  <c r="K49" i="43"/>
  <c r="I50" i="43"/>
  <c r="M52" i="43"/>
  <c r="K53" i="43"/>
  <c r="H54" i="43"/>
  <c r="F55" i="43"/>
  <c r="N55" i="43"/>
  <c r="L56" i="43"/>
  <c r="J57" i="43"/>
  <c r="H58" i="43"/>
  <c r="F59" i="43"/>
  <c r="N59" i="43"/>
  <c r="L60" i="43"/>
  <c r="J61" i="43"/>
  <c r="H62" i="43"/>
  <c r="F63" i="43"/>
  <c r="N63" i="43"/>
  <c r="L64" i="43"/>
  <c r="J65" i="43"/>
  <c r="F67" i="43"/>
  <c r="I10" i="43"/>
  <c r="F24" i="43"/>
  <c r="F23" i="43" s="1"/>
  <c r="F9" i="43" s="1"/>
  <c r="F8" i="43" s="1"/>
  <c r="F28" i="43"/>
  <c r="F40" i="43"/>
  <c r="N40" i="43"/>
  <c r="L41" i="43"/>
  <c r="L23" i="43" s="1"/>
  <c r="L9" i="43" s="1"/>
  <c r="L8" i="43" s="1"/>
  <c r="J42" i="43"/>
  <c r="H43" i="43"/>
  <c r="F44" i="43"/>
  <c r="N44" i="43"/>
  <c r="N23" i="43" s="1"/>
  <c r="N9" i="43" s="1"/>
  <c r="N8" i="43" s="1"/>
  <c r="L45" i="43"/>
  <c r="J46" i="43"/>
  <c r="J50" i="43"/>
  <c r="F52" i="43"/>
  <c r="N52" i="43"/>
  <c r="L53" i="43"/>
  <c r="I54" i="43"/>
  <c r="G55" i="43"/>
  <c r="O55" i="43"/>
  <c r="M56" i="43"/>
  <c r="K57" i="43"/>
  <c r="I58" i="43"/>
  <c r="G59" i="43"/>
  <c r="O59" i="43"/>
  <c r="M60" i="43"/>
  <c r="K61" i="43"/>
  <c r="G63" i="43"/>
  <c r="O63" i="43"/>
  <c r="M64" i="43"/>
  <c r="G40" i="43"/>
  <c r="G23" i="43" s="1"/>
  <c r="G9" i="43" s="1"/>
  <c r="G8" i="43" s="1"/>
  <c r="O40" i="43"/>
  <c r="O23" i="43" s="1"/>
  <c r="O9" i="43" s="1"/>
  <c r="O8" i="43" s="1"/>
  <c r="M41" i="43"/>
  <c r="K42" i="43"/>
  <c r="I43" i="43"/>
  <c r="G44" i="43"/>
  <c r="O44" i="43"/>
  <c r="M45" i="43"/>
  <c r="K46" i="43"/>
  <c r="J54" i="43"/>
  <c r="H55" i="43"/>
  <c r="F56" i="43"/>
  <c r="N56" i="43"/>
  <c r="L57" i="43"/>
  <c r="J58" i="43"/>
  <c r="H59" i="43"/>
  <c r="F60" i="43"/>
  <c r="N60" i="43"/>
  <c r="L61" i="43"/>
  <c r="R20" i="42"/>
  <c r="J34" i="42"/>
  <c r="R21" i="42"/>
  <c r="M34" i="42"/>
  <c r="H34" i="42"/>
  <c r="E34" i="42"/>
  <c r="Q18" i="42"/>
  <c r="R18" i="42" s="1"/>
  <c r="R22" i="42"/>
  <c r="R23" i="42"/>
  <c r="F34" i="42"/>
  <c r="N34" i="42"/>
  <c r="L34" i="42"/>
  <c r="Q19" i="42"/>
  <c r="R19" i="42" s="1"/>
  <c r="K12" i="42"/>
  <c r="K34" i="42" s="1"/>
  <c r="F12" i="42"/>
  <c r="N12" i="42"/>
  <c r="G12" i="42"/>
  <c r="G34" i="42" s="1"/>
  <c r="M34" i="50" l="1"/>
  <c r="M10" i="50" s="1"/>
  <c r="M9" i="50" s="1"/>
  <c r="L12" i="50"/>
  <c r="L9" i="50" s="1"/>
  <c r="K9" i="50"/>
  <c r="P12" i="50"/>
  <c r="P9" i="50" s="1"/>
  <c r="M12" i="50"/>
  <c r="H12" i="50"/>
  <c r="I12" i="50"/>
  <c r="G12" i="50"/>
  <c r="G9" i="50" s="1"/>
  <c r="K4" i="50"/>
  <c r="J15" i="50"/>
  <c r="J24" i="50" s="1"/>
  <c r="Q12" i="50"/>
  <c r="Q9" i="50" s="1"/>
  <c r="O12" i="50"/>
  <c r="I34" i="50"/>
  <c r="I10" i="50" s="1"/>
  <c r="J12" i="50"/>
  <c r="J9" i="50" s="1"/>
  <c r="H5" i="50"/>
  <c r="H6" i="50"/>
  <c r="N12" i="50"/>
  <c r="N9" i="50" s="1"/>
  <c r="O34" i="50"/>
  <c r="O10" i="50" s="1"/>
  <c r="H9" i="50"/>
  <c r="M30" i="49"/>
  <c r="M28" i="49"/>
  <c r="M26" i="49"/>
  <c r="M24" i="49"/>
  <c r="M10" i="49"/>
  <c r="M31" i="49"/>
  <c r="M29" i="49"/>
  <c r="M27" i="49"/>
  <c r="M25" i="49"/>
  <c r="M13" i="49"/>
  <c r="M7" i="49" s="1"/>
  <c r="Q22" i="49"/>
  <c r="Q9" i="49" s="1"/>
  <c r="Q8" i="49" s="1"/>
  <c r="J5" i="49"/>
  <c r="J6" i="49"/>
  <c r="I22" i="49"/>
  <c r="I9" i="49" s="1"/>
  <c r="I8" i="49" s="1"/>
  <c r="J13" i="49"/>
  <c r="J7" i="49" s="1"/>
  <c r="J30" i="49"/>
  <c r="J28" i="49"/>
  <c r="J26" i="49"/>
  <c r="J24" i="49"/>
  <c r="J25" i="49"/>
  <c r="J29" i="49"/>
  <c r="J10" i="49"/>
  <c r="J27" i="49"/>
  <c r="J31" i="49"/>
  <c r="H31" i="49"/>
  <c r="H29" i="49"/>
  <c r="H27" i="49"/>
  <c r="H25" i="49"/>
  <c r="H13" i="49"/>
  <c r="H7" i="49" s="1"/>
  <c r="H30" i="49"/>
  <c r="H28" i="49"/>
  <c r="H26" i="49"/>
  <c r="H24" i="49"/>
  <c r="H10" i="49"/>
  <c r="R13" i="49"/>
  <c r="R7" i="49" s="1"/>
  <c r="R30" i="49"/>
  <c r="R28" i="49"/>
  <c r="R26" i="49"/>
  <c r="R24" i="49"/>
  <c r="R27" i="49"/>
  <c r="R10" i="49"/>
  <c r="R29" i="49"/>
  <c r="R25" i="49"/>
  <c r="R31" i="49"/>
  <c r="O46" i="49"/>
  <c r="O44" i="49"/>
  <c r="O42" i="49"/>
  <c r="O40" i="49"/>
  <c r="O38" i="49"/>
  <c r="O36" i="49"/>
  <c r="O34" i="49"/>
  <c r="O41" i="49"/>
  <c r="O39" i="49"/>
  <c r="O35" i="49"/>
  <c r="O33" i="49"/>
  <c r="O22" i="49" s="1"/>
  <c r="O9" i="49" s="1"/>
  <c r="O8" i="49" s="1"/>
  <c r="O45" i="49"/>
  <c r="O43" i="49"/>
  <c r="O37" i="49"/>
  <c r="N46" i="49"/>
  <c r="N44" i="49"/>
  <c r="N42" i="49"/>
  <c r="N40" i="49"/>
  <c r="N43" i="49"/>
  <c r="N37" i="49"/>
  <c r="N34" i="49"/>
  <c r="N41" i="49"/>
  <c r="N36" i="49"/>
  <c r="N39" i="49"/>
  <c r="N38" i="49"/>
  <c r="N35" i="49"/>
  <c r="N33" i="49"/>
  <c r="N22" i="49" s="1"/>
  <c r="N9" i="49" s="1"/>
  <c r="N8" i="49" s="1"/>
  <c r="N45" i="49"/>
  <c r="G31" i="49"/>
  <c r="G29" i="49"/>
  <c r="G27" i="49"/>
  <c r="G25" i="49"/>
  <c r="G13" i="49"/>
  <c r="G7" i="49" s="1"/>
  <c r="G28" i="49"/>
  <c r="G30" i="49"/>
  <c r="G24" i="49"/>
  <c r="G10" i="49"/>
  <c r="G26" i="49"/>
  <c r="K30" i="49"/>
  <c r="K28" i="49"/>
  <c r="K26" i="49"/>
  <c r="K24" i="49"/>
  <c r="K10" i="49"/>
  <c r="K25" i="49"/>
  <c r="K13" i="49"/>
  <c r="K7" i="49" s="1"/>
  <c r="K27" i="49"/>
  <c r="K29" i="49"/>
  <c r="K31" i="49"/>
  <c r="G46" i="49"/>
  <c r="G44" i="49"/>
  <c r="G42" i="49"/>
  <c r="G40" i="49"/>
  <c r="G38" i="49"/>
  <c r="G36" i="49"/>
  <c r="G34" i="49"/>
  <c r="G39" i="49"/>
  <c r="G45" i="49"/>
  <c r="G35" i="49"/>
  <c r="G33" i="49"/>
  <c r="G43" i="49"/>
  <c r="G37" i="49"/>
  <c r="G41" i="49"/>
  <c r="N10" i="49"/>
  <c r="L30" i="49"/>
  <c r="L28" i="49"/>
  <c r="L26" i="49"/>
  <c r="L24" i="49"/>
  <c r="L10" i="49"/>
  <c r="L31" i="49"/>
  <c r="L29" i="49"/>
  <c r="L27" i="49"/>
  <c r="L25" i="49"/>
  <c r="L13" i="49"/>
  <c r="L7" i="49" s="1"/>
  <c r="P22" i="49"/>
  <c r="P9" i="49" s="1"/>
  <c r="P8" i="49" s="1"/>
  <c r="S18" i="48"/>
  <c r="T18" i="48" s="1"/>
  <c r="E34" i="48"/>
  <c r="Q34" i="48" s="1"/>
  <c r="K4" i="47"/>
  <c r="J15" i="47"/>
  <c r="J22" i="47" s="1"/>
  <c r="F12" i="47"/>
  <c r="F9" i="47" s="1"/>
  <c r="M12" i="47"/>
  <c r="M9" i="47" s="1"/>
  <c r="L12" i="47"/>
  <c r="L9" i="47" s="1"/>
  <c r="K12" i="47"/>
  <c r="K9" i="47" s="1"/>
  <c r="J12" i="47"/>
  <c r="J9" i="47" s="1"/>
  <c r="I12" i="47"/>
  <c r="I9" i="47" s="1"/>
  <c r="G12" i="47"/>
  <c r="G9" i="47" s="1"/>
  <c r="H12" i="47"/>
  <c r="H9" i="47" s="1"/>
  <c r="H6" i="47"/>
  <c r="H5" i="47"/>
  <c r="G21" i="46"/>
  <c r="G9" i="46" s="1"/>
  <c r="G8" i="46" s="1"/>
  <c r="I21" i="46"/>
  <c r="I9" i="46" s="1"/>
  <c r="I8" i="46" s="1"/>
  <c r="H21" i="46"/>
  <c r="H9" i="46" s="1"/>
  <c r="H8" i="46" s="1"/>
  <c r="L21" i="46"/>
  <c r="L9" i="46" s="1"/>
  <c r="L8" i="46" s="1"/>
  <c r="K21" i="46"/>
  <c r="K9" i="46" s="1"/>
  <c r="K8" i="46" s="1"/>
  <c r="J21" i="46"/>
  <c r="J9" i="46" s="1"/>
  <c r="J8" i="46" s="1"/>
  <c r="K6" i="46"/>
  <c r="K5" i="46"/>
  <c r="L29" i="44"/>
  <c r="L4" i="44"/>
  <c r="K15" i="44"/>
  <c r="K28" i="44" s="1"/>
  <c r="N12" i="44"/>
  <c r="N9" i="44" s="1"/>
  <c r="N16" i="44"/>
  <c r="N8" i="44" s="1"/>
  <c r="H6" i="44"/>
  <c r="H5" i="44"/>
  <c r="I6" i="43"/>
  <c r="I5" i="43"/>
  <c r="M23" i="43"/>
  <c r="M9" i="43" s="1"/>
  <c r="M8" i="43" s="1"/>
  <c r="H23" i="43"/>
  <c r="H9" i="43" s="1"/>
  <c r="H8" i="43" s="1"/>
  <c r="O34" i="42"/>
  <c r="Z45" i="41"/>
  <c r="Z46" i="41"/>
  <c r="Z47" i="41"/>
  <c r="Z48" i="41"/>
  <c r="Z49" i="41"/>
  <c r="Z50" i="41"/>
  <c r="Z51" i="41"/>
  <c r="Z52" i="41"/>
  <c r="Z53" i="41"/>
  <c r="Z54" i="41"/>
  <c r="Z55" i="41"/>
  <c r="Z56" i="41"/>
  <c r="Z57" i="41"/>
  <c r="Z58" i="41"/>
  <c r="Z27" i="41"/>
  <c r="Z28" i="41"/>
  <c r="Z29" i="41"/>
  <c r="Z30" i="41"/>
  <c r="Z31" i="41"/>
  <c r="Z32" i="41"/>
  <c r="Z33" i="41"/>
  <c r="Z34" i="41"/>
  <c r="Z35" i="41"/>
  <c r="Z36" i="41"/>
  <c r="Z37" i="41"/>
  <c r="Z38" i="41"/>
  <c r="Z39" i="41"/>
  <c r="Z40" i="41"/>
  <c r="Z44" i="41"/>
  <c r="O9" i="50" l="1"/>
  <c r="I6" i="50"/>
  <c r="I5" i="50"/>
  <c r="K15" i="50"/>
  <c r="K24" i="50" s="1"/>
  <c r="L4" i="50"/>
  <c r="I9" i="50"/>
  <c r="K22" i="49"/>
  <c r="K9" i="49" s="1"/>
  <c r="K8" i="49" s="1"/>
  <c r="K6" i="49"/>
  <c r="K5" i="49"/>
  <c r="J22" i="49"/>
  <c r="J9" i="49" s="1"/>
  <c r="J8" i="49" s="1"/>
  <c r="M22" i="49"/>
  <c r="M9" i="49" s="1"/>
  <c r="M8" i="49" s="1"/>
  <c r="H22" i="49"/>
  <c r="H9" i="49" s="1"/>
  <c r="H8" i="49" s="1"/>
  <c r="G22" i="49"/>
  <c r="G9" i="49" s="1"/>
  <c r="G8" i="49" s="1"/>
  <c r="L22" i="49"/>
  <c r="L9" i="49" s="1"/>
  <c r="L8" i="49" s="1"/>
  <c r="R22" i="49"/>
  <c r="R9" i="49" s="1"/>
  <c r="R8" i="49" s="1"/>
  <c r="I5" i="47"/>
  <c r="I6" i="47"/>
  <c r="L4" i="47"/>
  <c r="K15" i="47"/>
  <c r="K22" i="47" s="1"/>
  <c r="L5" i="46"/>
  <c r="L6" i="46"/>
  <c r="I5" i="44"/>
  <c r="I6" i="44"/>
  <c r="M4" i="44"/>
  <c r="L15" i="44"/>
  <c r="L28" i="44" s="1"/>
  <c r="J6" i="43"/>
  <c r="J5" i="43"/>
  <c r="Z26" i="41"/>
  <c r="J19" i="41"/>
  <c r="I19" i="41"/>
  <c r="H19" i="41"/>
  <c r="G19" i="41"/>
  <c r="J18" i="41"/>
  <c r="I18" i="41"/>
  <c r="H18" i="41"/>
  <c r="G18" i="41"/>
  <c r="J17" i="41"/>
  <c r="I17" i="41"/>
  <c r="H17" i="41"/>
  <c r="G17" i="41"/>
  <c r="J16" i="41"/>
  <c r="I16" i="41"/>
  <c r="H16" i="41"/>
  <c r="G16" i="41"/>
  <c r="J15" i="41"/>
  <c r="I15" i="41"/>
  <c r="H15" i="41"/>
  <c r="G15" i="41"/>
  <c r="J14" i="41"/>
  <c r="I14" i="41"/>
  <c r="H14" i="41"/>
  <c r="G14" i="41"/>
  <c r="J13" i="41"/>
  <c r="I13" i="41"/>
  <c r="H13" i="41"/>
  <c r="G13" i="41"/>
  <c r="J12" i="41"/>
  <c r="I12" i="41"/>
  <c r="H12" i="41"/>
  <c r="G12" i="41"/>
  <c r="J11" i="41"/>
  <c r="I11" i="41"/>
  <c r="H11" i="41"/>
  <c r="G11" i="41"/>
  <c r="J10" i="41"/>
  <c r="I10" i="41"/>
  <c r="H10" i="41"/>
  <c r="G10" i="41"/>
  <c r="J9" i="41"/>
  <c r="I9" i="41"/>
  <c r="H9" i="41"/>
  <c r="G9" i="41"/>
  <c r="J8" i="41"/>
  <c r="I8" i="41"/>
  <c r="H8" i="41"/>
  <c r="G8" i="41"/>
  <c r="J7" i="41"/>
  <c r="I7" i="41"/>
  <c r="H7" i="41"/>
  <c r="G7" i="41"/>
  <c r="J6" i="41"/>
  <c r="I6" i="41"/>
  <c r="H6" i="41"/>
  <c r="G6" i="41"/>
  <c r="L15" i="50" l="1"/>
  <c r="L24" i="50" s="1"/>
  <c r="M4" i="50"/>
  <c r="J6" i="50"/>
  <c r="J5" i="50"/>
  <c r="L6" i="49"/>
  <c r="L5" i="49"/>
  <c r="M4" i="47"/>
  <c r="M15" i="47" s="1"/>
  <c r="M22" i="47" s="1"/>
  <c r="L15" i="47"/>
  <c r="L22" i="47" s="1"/>
  <c r="J6" i="47"/>
  <c r="J5" i="47"/>
  <c r="M6" i="46"/>
  <c r="M5" i="46"/>
  <c r="N4" i="44"/>
  <c r="M15" i="44"/>
  <c r="M28" i="44" s="1"/>
  <c r="J6" i="44"/>
  <c r="J5" i="44"/>
  <c r="K6" i="43"/>
  <c r="K5" i="43"/>
  <c r="Y62" i="32"/>
  <c r="E642" i="33"/>
  <c r="E646" i="33" s="1"/>
  <c r="E647" i="33" s="1"/>
  <c r="E648" i="33" s="1"/>
  <c r="E649" i="33" s="1"/>
  <c r="E650" i="33" s="1"/>
  <c r="E651" i="33" s="1"/>
  <c r="E652" i="33" s="1"/>
  <c r="B642" i="33"/>
  <c r="E640" i="33"/>
  <c r="E641" i="33" s="1"/>
  <c r="B640" i="33"/>
  <c r="E633" i="33"/>
  <c r="E634" i="33" s="1"/>
  <c r="E635" i="33" s="1"/>
  <c r="E636" i="33" s="1"/>
  <c r="E637" i="33" s="1"/>
  <c r="E638" i="33" s="1"/>
  <c r="E639" i="33" s="1"/>
  <c r="B632" i="33"/>
  <c r="D624" i="33"/>
  <c r="D627" i="33" s="1"/>
  <c r="D641" i="33" s="1"/>
  <c r="B641" i="33" s="1"/>
  <c r="F621" i="33"/>
  <c r="F620" i="33"/>
  <c r="F619" i="33"/>
  <c r="F618" i="33"/>
  <c r="F617" i="33"/>
  <c r="F616" i="33"/>
  <c r="F615" i="33"/>
  <c r="F614" i="33"/>
  <c r="D612" i="33"/>
  <c r="D621" i="33" s="1"/>
  <c r="D639" i="33" s="1"/>
  <c r="B639" i="33" s="1"/>
  <c r="D611" i="33"/>
  <c r="D620" i="33" s="1"/>
  <c r="D638" i="33" s="1"/>
  <c r="D610" i="33"/>
  <c r="D619" i="33" s="1"/>
  <c r="D637" i="33" s="1"/>
  <c r="D609" i="33"/>
  <c r="D618" i="33" s="1"/>
  <c r="D636" i="33" s="1"/>
  <c r="D608" i="33"/>
  <c r="D617" i="33" s="1"/>
  <c r="D635" i="33" s="1"/>
  <c r="D649" i="33" s="1"/>
  <c r="D607" i="33"/>
  <c r="D616" i="33" s="1"/>
  <c r="D634" i="33" s="1"/>
  <c r="D606" i="33"/>
  <c r="D615" i="33" s="1"/>
  <c r="D633" i="33" s="1"/>
  <c r="E604" i="33"/>
  <c r="Z601" i="33"/>
  <c r="Y601" i="33"/>
  <c r="X601" i="33"/>
  <c r="W601" i="33"/>
  <c r="V601" i="33"/>
  <c r="U601" i="33"/>
  <c r="T601" i="33"/>
  <c r="S601" i="33"/>
  <c r="R601" i="33"/>
  <c r="Q601" i="33"/>
  <c r="P601" i="33"/>
  <c r="O601" i="33"/>
  <c r="N601" i="33"/>
  <c r="M601" i="33"/>
  <c r="L601" i="33"/>
  <c r="K601" i="33"/>
  <c r="J601" i="33"/>
  <c r="I601" i="33"/>
  <c r="H601" i="33"/>
  <c r="G601" i="33"/>
  <c r="E601" i="33"/>
  <c r="E602" i="33" s="1"/>
  <c r="E599" i="33"/>
  <c r="E598" i="33"/>
  <c r="E597" i="33"/>
  <c r="E594" i="33"/>
  <c r="F593" i="33"/>
  <c r="F592" i="33"/>
  <c r="F591" i="33"/>
  <c r="E590" i="33"/>
  <c r="E591" i="33" s="1"/>
  <c r="E588" i="33"/>
  <c r="F587" i="33"/>
  <c r="G587" i="33" s="1"/>
  <c r="H587" i="33" s="1"/>
  <c r="I587" i="33" s="1"/>
  <c r="J587" i="33" s="1"/>
  <c r="K587" i="33" s="1"/>
  <c r="L587" i="33" s="1"/>
  <c r="M587" i="33" s="1"/>
  <c r="N587" i="33" s="1"/>
  <c r="O587" i="33" s="1"/>
  <c r="P587" i="33" s="1"/>
  <c r="Q587" i="33" s="1"/>
  <c r="R587" i="33" s="1"/>
  <c r="S587" i="33" s="1"/>
  <c r="T587" i="33" s="1"/>
  <c r="U587" i="33" s="1"/>
  <c r="V587" i="33" s="1"/>
  <c r="W587" i="33" s="1"/>
  <c r="X587" i="33" s="1"/>
  <c r="Y587" i="33" s="1"/>
  <c r="Z587" i="33" s="1"/>
  <c r="E583" i="33"/>
  <c r="E579" i="33"/>
  <c r="E574" i="33"/>
  <c r="C574" i="33"/>
  <c r="C588" i="33" s="1"/>
  <c r="F573" i="33"/>
  <c r="E570" i="33"/>
  <c r="E567" i="33"/>
  <c r="E565" i="33"/>
  <c r="D565" i="33"/>
  <c r="AF11" i="5"/>
  <c r="X10" i="5"/>
  <c r="E15" i="4"/>
  <c r="F15" i="4"/>
  <c r="G15" i="4"/>
  <c r="H15" i="4"/>
  <c r="I15" i="4"/>
  <c r="J15" i="4"/>
  <c r="M15" i="4"/>
  <c r="N15" i="4"/>
  <c r="O15" i="4"/>
  <c r="Y15" i="4"/>
  <c r="Z15" i="4"/>
  <c r="AA15" i="4"/>
  <c r="AB15" i="4"/>
  <c r="AC15" i="4"/>
  <c r="AD15" i="4"/>
  <c r="AO15" i="4"/>
  <c r="AB30" i="3"/>
  <c r="D563" i="2"/>
  <c r="A565" i="2" s="1"/>
  <c r="E642" i="2"/>
  <c r="E646" i="2" s="1"/>
  <c r="E647" i="2" s="1"/>
  <c r="E648" i="2" s="1"/>
  <c r="E649" i="2" s="1"/>
  <c r="E650" i="2" s="1"/>
  <c r="E651" i="2" s="1"/>
  <c r="E652" i="2" s="1"/>
  <c r="B642" i="2"/>
  <c r="E640" i="2"/>
  <c r="E641" i="2" s="1"/>
  <c r="B640" i="2"/>
  <c r="E633" i="2"/>
  <c r="E634" i="2" s="1"/>
  <c r="E635" i="2" s="1"/>
  <c r="E636" i="2" s="1"/>
  <c r="E637" i="2" s="1"/>
  <c r="E638" i="2" s="1"/>
  <c r="E639" i="2" s="1"/>
  <c r="B632" i="2"/>
  <c r="D624" i="2"/>
  <c r="D627" i="2" s="1"/>
  <c r="D641" i="2" s="1"/>
  <c r="B641" i="2" s="1"/>
  <c r="F621" i="2"/>
  <c r="F620" i="2"/>
  <c r="F619" i="2"/>
  <c r="F618" i="2"/>
  <c r="F617" i="2"/>
  <c r="F616" i="2"/>
  <c r="F615" i="2"/>
  <c r="F614" i="2"/>
  <c r="D612" i="2"/>
  <c r="D621" i="2" s="1"/>
  <c r="D639" i="2" s="1"/>
  <c r="B639" i="2" s="1"/>
  <c r="D611" i="2"/>
  <c r="D620" i="2" s="1"/>
  <c r="D638" i="2" s="1"/>
  <c r="D610" i="2"/>
  <c r="D619" i="2" s="1"/>
  <c r="D637" i="2" s="1"/>
  <c r="D609" i="2"/>
  <c r="D618" i="2" s="1"/>
  <c r="D636" i="2" s="1"/>
  <c r="D608" i="2"/>
  <c r="D617" i="2" s="1"/>
  <c r="D635" i="2" s="1"/>
  <c r="D607" i="2"/>
  <c r="D616" i="2" s="1"/>
  <c r="D634" i="2" s="1"/>
  <c r="D648" i="2" s="1"/>
  <c r="D606" i="2"/>
  <c r="D615" i="2" s="1"/>
  <c r="D633" i="2" s="1"/>
  <c r="E604" i="2"/>
  <c r="E629" i="2" s="1"/>
  <c r="E630" i="2" s="1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E601" i="2"/>
  <c r="E602" i="2" s="1"/>
  <c r="E599" i="2"/>
  <c r="E598" i="2"/>
  <c r="E597" i="2"/>
  <c r="E594" i="2"/>
  <c r="F593" i="2"/>
  <c r="F592" i="2"/>
  <c r="F591" i="2"/>
  <c r="E590" i="2"/>
  <c r="E592" i="2" s="1"/>
  <c r="E588" i="2"/>
  <c r="F587" i="2"/>
  <c r="G587" i="2" s="1"/>
  <c r="H587" i="2" s="1"/>
  <c r="I587" i="2" s="1"/>
  <c r="J587" i="2" s="1"/>
  <c r="K587" i="2" s="1"/>
  <c r="L587" i="2" s="1"/>
  <c r="M587" i="2" s="1"/>
  <c r="N587" i="2" s="1"/>
  <c r="O587" i="2" s="1"/>
  <c r="P587" i="2" s="1"/>
  <c r="Q587" i="2" s="1"/>
  <c r="R587" i="2" s="1"/>
  <c r="S587" i="2" s="1"/>
  <c r="T587" i="2" s="1"/>
  <c r="U587" i="2" s="1"/>
  <c r="V587" i="2" s="1"/>
  <c r="W587" i="2" s="1"/>
  <c r="X587" i="2" s="1"/>
  <c r="Y587" i="2" s="1"/>
  <c r="Z587" i="2" s="1"/>
  <c r="E583" i="2"/>
  <c r="E579" i="2"/>
  <c r="E574" i="2"/>
  <c r="C574" i="2"/>
  <c r="C588" i="2" s="1"/>
  <c r="F573" i="2"/>
  <c r="E570" i="2"/>
  <c r="E567" i="2"/>
  <c r="G565" i="2"/>
  <c r="E565" i="2"/>
  <c r="D565" i="2"/>
  <c r="F563" i="2"/>
  <c r="L41" i="1"/>
  <c r="L49" i="1" s="1"/>
  <c r="L66" i="1"/>
  <c r="L65" i="1" l="1"/>
  <c r="Z62" i="32"/>
  <c r="K11" i="41"/>
  <c r="E592" i="33"/>
  <c r="K6" i="50"/>
  <c r="K5" i="50"/>
  <c r="N4" i="50"/>
  <c r="M15" i="50"/>
  <c r="M24" i="50" s="1"/>
  <c r="M6" i="49"/>
  <c r="M5" i="49"/>
  <c r="K6" i="47"/>
  <c r="K5" i="47"/>
  <c r="N6" i="46"/>
  <c r="N5" i="46"/>
  <c r="K6" i="44"/>
  <c r="K5" i="44"/>
  <c r="O4" i="44"/>
  <c r="O15" i="44" s="1"/>
  <c r="O28" i="44" s="1"/>
  <c r="N15" i="44"/>
  <c r="N28" i="44" s="1"/>
  <c r="L6" i="43"/>
  <c r="L5" i="43"/>
  <c r="D651" i="33"/>
  <c r="B637" i="33"/>
  <c r="E623" i="33"/>
  <c r="E629" i="33"/>
  <c r="E630" i="33" s="1"/>
  <c r="E605" i="33"/>
  <c r="D650" i="33"/>
  <c r="B636" i="33"/>
  <c r="D647" i="33"/>
  <c r="B633" i="33"/>
  <c r="B634" i="33"/>
  <c r="D648" i="33"/>
  <c r="D652" i="33"/>
  <c r="B638" i="33"/>
  <c r="B635" i="33"/>
  <c r="E591" i="2"/>
  <c r="E605" i="2"/>
  <c r="E606" i="2" s="1"/>
  <c r="E623" i="2"/>
  <c r="E626" i="2" s="1"/>
  <c r="B634" i="2"/>
  <c r="A566" i="2"/>
  <c r="D651" i="2"/>
  <c r="B637" i="2"/>
  <c r="D647" i="2"/>
  <c r="B633" i="2"/>
  <c r="D649" i="2"/>
  <c r="B635" i="2"/>
  <c r="D652" i="2"/>
  <c r="B638" i="2"/>
  <c r="B636" i="2"/>
  <c r="D650" i="2"/>
  <c r="J2" i="26"/>
  <c r="I2" i="26"/>
  <c r="AB26" i="3"/>
  <c r="E67" i="30"/>
  <c r="E549" i="33"/>
  <c r="E553" i="33" s="1"/>
  <c r="E554" i="33" s="1"/>
  <c r="E555" i="33" s="1"/>
  <c r="E556" i="33" s="1"/>
  <c r="E557" i="33" s="1"/>
  <c r="E558" i="33" s="1"/>
  <c r="E559" i="33" s="1"/>
  <c r="B549" i="33"/>
  <c r="E547" i="33"/>
  <c r="E548" i="33" s="1"/>
  <c r="B547" i="33"/>
  <c r="E540" i="33"/>
  <c r="E541" i="33" s="1"/>
  <c r="E542" i="33" s="1"/>
  <c r="E543" i="33" s="1"/>
  <c r="E544" i="33" s="1"/>
  <c r="E545" i="33" s="1"/>
  <c r="E546" i="33" s="1"/>
  <c r="B539" i="33"/>
  <c r="D531" i="33"/>
  <c r="D534" i="33" s="1"/>
  <c r="D548" i="33" s="1"/>
  <c r="B548" i="33" s="1"/>
  <c r="F528" i="33"/>
  <c r="F527" i="33"/>
  <c r="F526" i="33"/>
  <c r="F525" i="33"/>
  <c r="F524" i="33"/>
  <c r="F523" i="33"/>
  <c r="F522" i="33"/>
  <c r="F521" i="33"/>
  <c r="D519" i="33"/>
  <c r="D528" i="33" s="1"/>
  <c r="D546" i="33" s="1"/>
  <c r="B546" i="33" s="1"/>
  <c r="D518" i="33"/>
  <c r="D527" i="33" s="1"/>
  <c r="D545" i="33" s="1"/>
  <c r="D517" i="33"/>
  <c r="D526" i="33" s="1"/>
  <c r="D544" i="33" s="1"/>
  <c r="D516" i="33"/>
  <c r="D525" i="33" s="1"/>
  <c r="D543" i="33" s="1"/>
  <c r="D515" i="33"/>
  <c r="D524" i="33" s="1"/>
  <c r="D542" i="33" s="1"/>
  <c r="D514" i="33"/>
  <c r="D523" i="33" s="1"/>
  <c r="D541" i="33" s="1"/>
  <c r="D513" i="33"/>
  <c r="D522" i="33" s="1"/>
  <c r="D540" i="33" s="1"/>
  <c r="E511" i="33"/>
  <c r="E536" i="33" s="1"/>
  <c r="E537" i="33" s="1"/>
  <c r="Z508" i="33"/>
  <c r="Y508" i="33"/>
  <c r="X508" i="33"/>
  <c r="W508" i="33"/>
  <c r="V508" i="33"/>
  <c r="U508" i="33"/>
  <c r="T508" i="33"/>
  <c r="S508" i="33"/>
  <c r="R508" i="33"/>
  <c r="Q508" i="33"/>
  <c r="P508" i="33"/>
  <c r="O508" i="33"/>
  <c r="N508" i="33"/>
  <c r="M508" i="33"/>
  <c r="L508" i="33"/>
  <c r="K508" i="33"/>
  <c r="J508" i="33"/>
  <c r="I508" i="33"/>
  <c r="H508" i="33"/>
  <c r="G508" i="33"/>
  <c r="E508" i="33"/>
  <c r="E509" i="33" s="1"/>
  <c r="E506" i="33"/>
  <c r="E505" i="33"/>
  <c r="E504" i="33"/>
  <c r="E501" i="33"/>
  <c r="F500" i="33"/>
  <c r="F499" i="33"/>
  <c r="F498" i="33"/>
  <c r="E497" i="33"/>
  <c r="E498" i="33" s="1"/>
  <c r="E495" i="33"/>
  <c r="F494" i="33"/>
  <c r="G494" i="33" s="1"/>
  <c r="H494" i="33" s="1"/>
  <c r="I494" i="33" s="1"/>
  <c r="J494" i="33" s="1"/>
  <c r="K494" i="33" s="1"/>
  <c r="L494" i="33" s="1"/>
  <c r="M494" i="33" s="1"/>
  <c r="N494" i="33" s="1"/>
  <c r="O494" i="33" s="1"/>
  <c r="P494" i="33" s="1"/>
  <c r="Q494" i="33" s="1"/>
  <c r="R494" i="33" s="1"/>
  <c r="S494" i="33" s="1"/>
  <c r="T494" i="33" s="1"/>
  <c r="U494" i="33" s="1"/>
  <c r="V494" i="33" s="1"/>
  <c r="W494" i="33" s="1"/>
  <c r="X494" i="33" s="1"/>
  <c r="Y494" i="33" s="1"/>
  <c r="Z494" i="33" s="1"/>
  <c r="E490" i="33"/>
  <c r="E486" i="33"/>
  <c r="E481" i="33"/>
  <c r="C481" i="33"/>
  <c r="C495" i="33" s="1"/>
  <c r="F480" i="33"/>
  <c r="E477" i="33"/>
  <c r="E474" i="33"/>
  <c r="E472" i="33"/>
  <c r="D472" i="33"/>
  <c r="D470" i="2"/>
  <c r="E549" i="2"/>
  <c r="E553" i="2" s="1"/>
  <c r="E554" i="2" s="1"/>
  <c r="E555" i="2" s="1"/>
  <c r="E556" i="2" s="1"/>
  <c r="E557" i="2" s="1"/>
  <c r="E558" i="2" s="1"/>
  <c r="E559" i="2" s="1"/>
  <c r="B549" i="2"/>
  <c r="E547" i="2"/>
  <c r="E548" i="2" s="1"/>
  <c r="B547" i="2"/>
  <c r="E540" i="2"/>
  <c r="E541" i="2" s="1"/>
  <c r="E542" i="2" s="1"/>
  <c r="E543" i="2" s="1"/>
  <c r="E544" i="2" s="1"/>
  <c r="E545" i="2" s="1"/>
  <c r="E546" i="2" s="1"/>
  <c r="B539" i="2"/>
  <c r="D531" i="2"/>
  <c r="D534" i="2" s="1"/>
  <c r="D548" i="2" s="1"/>
  <c r="B548" i="2" s="1"/>
  <c r="F528" i="2"/>
  <c r="F527" i="2"/>
  <c r="F526" i="2"/>
  <c r="F525" i="2"/>
  <c r="F524" i="2"/>
  <c r="F523" i="2"/>
  <c r="F522" i="2"/>
  <c r="F521" i="2"/>
  <c r="D519" i="2"/>
  <c r="D528" i="2" s="1"/>
  <c r="D546" i="2" s="1"/>
  <c r="B546" i="2" s="1"/>
  <c r="D518" i="2"/>
  <c r="D527" i="2" s="1"/>
  <c r="D545" i="2" s="1"/>
  <c r="D517" i="2"/>
  <c r="D526" i="2" s="1"/>
  <c r="D544" i="2" s="1"/>
  <c r="D516" i="2"/>
  <c r="D525" i="2" s="1"/>
  <c r="D543" i="2" s="1"/>
  <c r="D557" i="2" s="1"/>
  <c r="D515" i="2"/>
  <c r="D524" i="2" s="1"/>
  <c r="D542" i="2" s="1"/>
  <c r="D514" i="2"/>
  <c r="D523" i="2" s="1"/>
  <c r="D541" i="2" s="1"/>
  <c r="D513" i="2"/>
  <c r="D522" i="2" s="1"/>
  <c r="D540" i="2" s="1"/>
  <c r="B540" i="2" s="1"/>
  <c r="E511" i="2"/>
  <c r="E512" i="2" s="1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E508" i="2"/>
  <c r="E509" i="2" s="1"/>
  <c r="E506" i="2"/>
  <c r="E505" i="2"/>
  <c r="E504" i="2"/>
  <c r="E501" i="2"/>
  <c r="F500" i="2"/>
  <c r="F499" i="2"/>
  <c r="F498" i="2"/>
  <c r="E497" i="2"/>
  <c r="E499" i="2" s="1"/>
  <c r="E495" i="2"/>
  <c r="F494" i="2"/>
  <c r="G494" i="2" s="1"/>
  <c r="H494" i="2" s="1"/>
  <c r="I494" i="2" s="1"/>
  <c r="J494" i="2" s="1"/>
  <c r="K494" i="2" s="1"/>
  <c r="L494" i="2" s="1"/>
  <c r="M494" i="2" s="1"/>
  <c r="N494" i="2" s="1"/>
  <c r="O494" i="2" s="1"/>
  <c r="P494" i="2" s="1"/>
  <c r="Q494" i="2" s="1"/>
  <c r="R494" i="2" s="1"/>
  <c r="S494" i="2" s="1"/>
  <c r="T494" i="2" s="1"/>
  <c r="U494" i="2" s="1"/>
  <c r="V494" i="2" s="1"/>
  <c r="W494" i="2" s="1"/>
  <c r="X494" i="2" s="1"/>
  <c r="Y494" i="2" s="1"/>
  <c r="Z494" i="2" s="1"/>
  <c r="E490" i="2"/>
  <c r="E486" i="2"/>
  <c r="E481" i="2"/>
  <c r="C481" i="2"/>
  <c r="C495" i="2" s="1"/>
  <c r="F480" i="2"/>
  <c r="E477" i="2"/>
  <c r="E474" i="2"/>
  <c r="G472" i="2"/>
  <c r="E472" i="2"/>
  <c r="D472" i="2"/>
  <c r="F470" i="2"/>
  <c r="E614" i="2" l="1"/>
  <c r="E499" i="33"/>
  <c r="E512" i="33"/>
  <c r="E513" i="33" s="1"/>
  <c r="E514" i="33" s="1"/>
  <c r="E515" i="33" s="1"/>
  <c r="O4" i="50"/>
  <c r="N15" i="50"/>
  <c r="N24" i="50" s="1"/>
  <c r="L5" i="50"/>
  <c r="L6" i="50"/>
  <c r="N6" i="49"/>
  <c r="N5" i="49"/>
  <c r="L6" i="47"/>
  <c r="L5" i="47"/>
  <c r="L6" i="44"/>
  <c r="L5" i="44"/>
  <c r="M5" i="43"/>
  <c r="M6" i="43"/>
  <c r="E624" i="33"/>
  <c r="E627" i="33" s="1"/>
  <c r="E626" i="33"/>
  <c r="E606" i="33"/>
  <c r="E614" i="33"/>
  <c r="E624" i="2"/>
  <c r="E627" i="2" s="1"/>
  <c r="E615" i="2"/>
  <c r="E607" i="2"/>
  <c r="A567" i="2"/>
  <c r="B543" i="33"/>
  <c r="D557" i="33"/>
  <c r="D559" i="33"/>
  <c r="B545" i="33"/>
  <c r="B542" i="33"/>
  <c r="D556" i="33"/>
  <c r="D558" i="33"/>
  <c r="B544" i="33"/>
  <c r="E522" i="33"/>
  <c r="D554" i="33"/>
  <c r="B540" i="33"/>
  <c r="E523" i="33"/>
  <c r="D555" i="33"/>
  <c r="B541" i="33"/>
  <c r="E530" i="33"/>
  <c r="D554" i="2"/>
  <c r="A472" i="2"/>
  <c r="A473" i="2" s="1"/>
  <c r="B543" i="2"/>
  <c r="E521" i="2"/>
  <c r="E513" i="2"/>
  <c r="E498" i="2"/>
  <c r="D558" i="2"/>
  <c r="B544" i="2"/>
  <c r="D556" i="2"/>
  <c r="B542" i="2"/>
  <c r="B541" i="2"/>
  <c r="D555" i="2"/>
  <c r="E530" i="2"/>
  <c r="E536" i="2"/>
  <c r="E537" i="2" s="1"/>
  <c r="D559" i="2"/>
  <c r="B545" i="2"/>
  <c r="AF10" i="5"/>
  <c r="Y61" i="32"/>
  <c r="K10" i="41" s="1"/>
  <c r="E14" i="4"/>
  <c r="F14" i="4"/>
  <c r="G14" i="4"/>
  <c r="H14" i="4"/>
  <c r="I14" i="4"/>
  <c r="J14" i="4"/>
  <c r="M14" i="4"/>
  <c r="N14" i="4"/>
  <c r="O14" i="4"/>
  <c r="Y14" i="4"/>
  <c r="Z14" i="4"/>
  <c r="AA14" i="4"/>
  <c r="AB14" i="4"/>
  <c r="AC14" i="4"/>
  <c r="AD14" i="4"/>
  <c r="AB29" i="3"/>
  <c r="Z29" i="3"/>
  <c r="K37" i="34"/>
  <c r="K38" i="34"/>
  <c r="K39" i="34"/>
  <c r="K42" i="34"/>
  <c r="K43" i="34"/>
  <c r="K44" i="34"/>
  <c r="K45" i="34"/>
  <c r="K46" i="34"/>
  <c r="K41" i="34" s="1"/>
  <c r="K65" i="34" s="1"/>
  <c r="K41" i="1"/>
  <c r="K49" i="1" s="1"/>
  <c r="AA26" i="3"/>
  <c r="E516" i="33" l="1"/>
  <c r="E524" i="33"/>
  <c r="E521" i="33"/>
  <c r="M5" i="50"/>
  <c r="M6" i="50"/>
  <c r="P4" i="50"/>
  <c r="O15" i="50"/>
  <c r="O24" i="50" s="1"/>
  <c r="O5" i="49"/>
  <c r="O6" i="49"/>
  <c r="M6" i="47"/>
  <c r="M5" i="47"/>
  <c r="M5" i="44"/>
  <c r="M6" i="44"/>
  <c r="N5" i="43"/>
  <c r="N6" i="43"/>
  <c r="E607" i="33"/>
  <c r="E615" i="33"/>
  <c r="E616" i="2"/>
  <c r="E608" i="2"/>
  <c r="A568" i="2"/>
  <c r="E533" i="33"/>
  <c r="E531" i="33"/>
  <c r="E534" i="33" s="1"/>
  <c r="E531" i="2"/>
  <c r="E534" i="2" s="1"/>
  <c r="E533" i="2"/>
  <c r="A474" i="2"/>
  <c r="E522" i="2"/>
  <c r="E514" i="2"/>
  <c r="Z61" i="32"/>
  <c r="Y31" i="41" s="1"/>
  <c r="K49" i="34"/>
  <c r="B67" i="30"/>
  <c r="AF7" i="4"/>
  <c r="Z10" i="4"/>
  <c r="AA10" i="4"/>
  <c r="AB10" i="4"/>
  <c r="AC10" i="4"/>
  <c r="AD10" i="4"/>
  <c r="Z11" i="4"/>
  <c r="Z12" i="4"/>
  <c r="Z13" i="4"/>
  <c r="AA11" i="4"/>
  <c r="AA12" i="4"/>
  <c r="AA13" i="4"/>
  <c r="AB11" i="4"/>
  <c r="AB12" i="4"/>
  <c r="AB13" i="4"/>
  <c r="AC11" i="4"/>
  <c r="AD11" i="4"/>
  <c r="AC12" i="4"/>
  <c r="AC13" i="4"/>
  <c r="AD12" i="4"/>
  <c r="AD13" i="4"/>
  <c r="Y10" i="4"/>
  <c r="Y11" i="4"/>
  <c r="Y12" i="4"/>
  <c r="Y13" i="4"/>
  <c r="Q10" i="4"/>
  <c r="Q11" i="4" s="1"/>
  <c r="O10" i="4"/>
  <c r="O11" i="4"/>
  <c r="O12" i="4"/>
  <c r="O13" i="4"/>
  <c r="N10" i="4"/>
  <c r="N11" i="4"/>
  <c r="N12" i="4"/>
  <c r="N13" i="4"/>
  <c r="M10" i="4"/>
  <c r="M11" i="4"/>
  <c r="M12" i="4"/>
  <c r="M13" i="4"/>
  <c r="F10" i="4"/>
  <c r="F11" i="4"/>
  <c r="F12" i="4"/>
  <c r="F13" i="4"/>
  <c r="G10" i="4"/>
  <c r="H10" i="4"/>
  <c r="I10" i="4"/>
  <c r="I11" i="4"/>
  <c r="I12" i="4"/>
  <c r="I13" i="4"/>
  <c r="J10" i="4"/>
  <c r="G11" i="4"/>
  <c r="G12" i="4"/>
  <c r="G13" i="4"/>
  <c r="H11" i="4"/>
  <c r="H12" i="4"/>
  <c r="H13" i="4"/>
  <c r="J11" i="4"/>
  <c r="J12" i="4"/>
  <c r="J13" i="4"/>
  <c r="E11" i="4"/>
  <c r="E12" i="4"/>
  <c r="E13" i="4"/>
  <c r="E10" i="4"/>
  <c r="B11" i="4"/>
  <c r="B12" i="4" s="1"/>
  <c r="E153" i="3"/>
  <c r="E154" i="3" s="1"/>
  <c r="E155" i="3" s="1"/>
  <c r="E156" i="3" s="1"/>
  <c r="E157" i="3" s="1"/>
  <c r="E158" i="3" s="1"/>
  <c r="E158" i="32" s="1"/>
  <c r="L11" i="41" s="1"/>
  <c r="B80" i="31"/>
  <c r="B34" i="31"/>
  <c r="B2" i="31"/>
  <c r="B99" i="30"/>
  <c r="B31" i="30"/>
  <c r="B2" i="30"/>
  <c r="Z109" i="41"/>
  <c r="Z108" i="41"/>
  <c r="Z107" i="41"/>
  <c r="Y109" i="41"/>
  <c r="Y108" i="41"/>
  <c r="Y107" i="41"/>
  <c r="E58" i="41"/>
  <c r="E57" i="41"/>
  <c r="E56" i="41"/>
  <c r="E55" i="41"/>
  <c r="E54" i="41"/>
  <c r="E53" i="41"/>
  <c r="E52" i="41"/>
  <c r="Y51" i="41"/>
  <c r="E51" i="41"/>
  <c r="E50" i="41"/>
  <c r="E49" i="41"/>
  <c r="E45" i="41"/>
  <c r="E40" i="41"/>
  <c r="E39" i="41"/>
  <c r="E38" i="41"/>
  <c r="E37" i="41"/>
  <c r="E36" i="41"/>
  <c r="E35" i="41"/>
  <c r="E34" i="41"/>
  <c r="E33" i="41"/>
  <c r="Y32" i="41"/>
  <c r="E32" i="41"/>
  <c r="E31" i="41"/>
  <c r="E29" i="41"/>
  <c r="E28" i="41"/>
  <c r="E27" i="41"/>
  <c r="D27" i="41"/>
  <c r="D45" i="41" s="1"/>
  <c r="B86" i="41"/>
  <c r="B104" i="41"/>
  <c r="B41" i="41"/>
  <c r="B59" i="41"/>
  <c r="C109" i="41"/>
  <c r="C108" i="41"/>
  <c r="C107" i="41"/>
  <c r="Y88" i="41"/>
  <c r="Y106" i="41"/>
  <c r="Z88" i="41"/>
  <c r="Z106" i="41"/>
  <c r="D89" i="41"/>
  <c r="C388" i="2"/>
  <c r="C402" i="2" s="1"/>
  <c r="C295" i="2"/>
  <c r="C309" i="2" s="1"/>
  <c r="C202" i="2"/>
  <c r="C216" i="2" s="1"/>
  <c r="C109" i="2"/>
  <c r="C123" i="2" s="1"/>
  <c r="C16" i="2"/>
  <c r="C388" i="33"/>
  <c r="C402" i="33" s="1"/>
  <c r="C295" i="33"/>
  <c r="C309" i="33" s="1"/>
  <c r="C202" i="33"/>
  <c r="C216" i="33" s="1"/>
  <c r="C109" i="33"/>
  <c r="C123" i="33" s="1"/>
  <c r="C16" i="33"/>
  <c r="C30" i="33" s="1"/>
  <c r="F68" i="41"/>
  <c r="D72" i="41"/>
  <c r="D73" i="41"/>
  <c r="D107" i="41"/>
  <c r="D108" i="41"/>
  <c r="D109" i="41"/>
  <c r="D74" i="41"/>
  <c r="D91" i="41"/>
  <c r="D90" i="41"/>
  <c r="D75" i="41"/>
  <c r="D92" i="41"/>
  <c r="D76" i="41"/>
  <c r="D93" i="41"/>
  <c r="D77" i="41"/>
  <c r="D94" i="41"/>
  <c r="D78" i="41"/>
  <c r="D95" i="41"/>
  <c r="D79" i="41"/>
  <c r="D96" i="41"/>
  <c r="D80" i="41"/>
  <c r="D97" i="41"/>
  <c r="D81" i="41"/>
  <c r="D98" i="41"/>
  <c r="D82" i="41"/>
  <c r="D99" i="41"/>
  <c r="D83" i="41"/>
  <c r="D100" i="41"/>
  <c r="D84" i="41"/>
  <c r="D101" i="41"/>
  <c r="D85" i="41"/>
  <c r="D103" i="41"/>
  <c r="D102" i="41"/>
  <c r="Y43" i="41"/>
  <c r="Y61" i="41"/>
  <c r="E44" i="41"/>
  <c r="D26" i="41"/>
  <c r="D44" i="41" s="1"/>
  <c r="D62" i="41" s="1"/>
  <c r="D63" i="41" s="1"/>
  <c r="D64" i="41" s="1"/>
  <c r="E26" i="41"/>
  <c r="D25" i="41"/>
  <c r="D70" i="41" s="1"/>
  <c r="D88" i="41" s="1"/>
  <c r="D106" i="41" s="1"/>
  <c r="J5" i="41"/>
  <c r="I5" i="41"/>
  <c r="H5" i="41"/>
  <c r="G5" i="41"/>
  <c r="F5" i="3"/>
  <c r="G5" i="3" s="1"/>
  <c r="Q84" i="31"/>
  <c r="R88" i="31"/>
  <c r="G1" i="33"/>
  <c r="F2" i="33"/>
  <c r="F563" i="33" s="1"/>
  <c r="F166" i="32"/>
  <c r="E159" i="32"/>
  <c r="E160" i="32"/>
  <c r="L13" i="41" s="1"/>
  <c r="E161" i="32"/>
  <c r="L14" i="41" s="1"/>
  <c r="E162" i="32"/>
  <c r="L15" i="41" s="1"/>
  <c r="E163" i="32"/>
  <c r="L16" i="41" s="1"/>
  <c r="E164" i="32"/>
  <c r="L17" i="41" s="1"/>
  <c r="E165" i="32"/>
  <c r="L18" i="41" s="1"/>
  <c r="E166" i="32"/>
  <c r="L19" i="41" s="1"/>
  <c r="E47" i="32"/>
  <c r="E12" i="41" s="1"/>
  <c r="E48" i="32"/>
  <c r="E13" i="41" s="1"/>
  <c r="E49" i="32"/>
  <c r="E14" i="41" s="1"/>
  <c r="E50" i="32"/>
  <c r="E15" i="41" s="1"/>
  <c r="E51" i="32"/>
  <c r="E16" i="41" s="1"/>
  <c r="E52" i="32"/>
  <c r="E17" i="41" s="1"/>
  <c r="E53" i="32"/>
  <c r="E18" i="41" s="1"/>
  <c r="E54" i="32"/>
  <c r="E19" i="41" s="1"/>
  <c r="E31" i="32"/>
  <c r="E32" i="32"/>
  <c r="E33" i="32"/>
  <c r="E34" i="32"/>
  <c r="E35" i="32"/>
  <c r="E36" i="32"/>
  <c r="E37" i="32"/>
  <c r="F37" i="32" s="1"/>
  <c r="G37" i="32" s="1"/>
  <c r="E38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F5" i="32"/>
  <c r="F6" i="32" s="1"/>
  <c r="E7" i="32"/>
  <c r="E5" i="32"/>
  <c r="E116" i="41"/>
  <c r="F116" i="41"/>
  <c r="D116" i="41"/>
  <c r="AC7" i="5"/>
  <c r="AN11" i="4"/>
  <c r="AM11" i="4"/>
  <c r="E58" i="3"/>
  <c r="E46" i="41" s="1"/>
  <c r="H202" i="2"/>
  <c r="H203" i="2"/>
  <c r="I203" i="2"/>
  <c r="J203" i="2"/>
  <c r="K203" i="2"/>
  <c r="L203" i="2"/>
  <c r="M203" i="2"/>
  <c r="N203" i="2"/>
  <c r="O203" i="2"/>
  <c r="P203" i="2"/>
  <c r="Q203" i="2"/>
  <c r="R203" i="2"/>
  <c r="H204" i="2"/>
  <c r="I204" i="2"/>
  <c r="J204" i="2"/>
  <c r="K204" i="2"/>
  <c r="L204" i="2"/>
  <c r="M204" i="2"/>
  <c r="N204" i="2"/>
  <c r="O204" i="2"/>
  <c r="P204" i="2"/>
  <c r="Q204" i="2"/>
  <c r="R204" i="2"/>
  <c r="H205" i="2"/>
  <c r="I205" i="2"/>
  <c r="J205" i="2"/>
  <c r="K205" i="2"/>
  <c r="L205" i="2"/>
  <c r="M205" i="2"/>
  <c r="N205" i="2"/>
  <c r="O205" i="2"/>
  <c r="P205" i="2"/>
  <c r="Q205" i="2"/>
  <c r="R205" i="2"/>
  <c r="G205" i="2"/>
  <c r="G204" i="2"/>
  <c r="G203" i="2"/>
  <c r="H37" i="1"/>
  <c r="H38" i="1"/>
  <c r="H38" i="34" s="1"/>
  <c r="H39" i="1"/>
  <c r="H39" i="34" s="1"/>
  <c r="F10" i="40"/>
  <c r="Q34" i="38"/>
  <c r="F34" i="38"/>
  <c r="G34" i="38"/>
  <c r="H34" i="38"/>
  <c r="I34" i="38"/>
  <c r="J34" i="38"/>
  <c r="K34" i="38"/>
  <c r="L34" i="38"/>
  <c r="M34" i="38"/>
  <c r="N34" i="38"/>
  <c r="O34" i="38"/>
  <c r="P34" i="38"/>
  <c r="E34" i="38"/>
  <c r="T23" i="38"/>
  <c r="S23" i="38"/>
  <c r="S22" i="38"/>
  <c r="T22" i="38"/>
  <c r="T21" i="38"/>
  <c r="S21" i="38"/>
  <c r="T20" i="38"/>
  <c r="S20" i="38"/>
  <c r="T19" i="38"/>
  <c r="S19" i="38"/>
  <c r="T18" i="38"/>
  <c r="S18" i="38"/>
  <c r="G40" i="40"/>
  <c r="H40" i="40"/>
  <c r="I40" i="40"/>
  <c r="J40" i="40"/>
  <c r="K40" i="40"/>
  <c r="L40" i="40"/>
  <c r="M40" i="40"/>
  <c r="N40" i="40"/>
  <c r="O40" i="40"/>
  <c r="P40" i="40"/>
  <c r="Q40" i="40"/>
  <c r="F40" i="40"/>
  <c r="Q69" i="40"/>
  <c r="N69" i="40"/>
  <c r="M69" i="40"/>
  <c r="K69" i="40"/>
  <c r="J69" i="40"/>
  <c r="H69" i="40"/>
  <c r="G69" i="40"/>
  <c r="N68" i="40"/>
  <c r="K68" i="40"/>
  <c r="H68" i="40"/>
  <c r="N67" i="40"/>
  <c r="K67" i="40"/>
  <c r="H67" i="40"/>
  <c r="N66" i="40"/>
  <c r="K66" i="40"/>
  <c r="H66" i="40"/>
  <c r="N64" i="40"/>
  <c r="K64" i="40"/>
  <c r="H64" i="40"/>
  <c r="N63" i="40"/>
  <c r="J63" i="40"/>
  <c r="P62" i="40"/>
  <c r="L62" i="40"/>
  <c r="I62" i="40"/>
  <c r="P61" i="40"/>
  <c r="L61" i="40"/>
  <c r="I61" i="40"/>
  <c r="P60" i="40"/>
  <c r="N60" i="40"/>
  <c r="M60" i="40"/>
  <c r="L60" i="40"/>
  <c r="K60" i="40"/>
  <c r="I60" i="40"/>
  <c r="G60" i="40"/>
  <c r="P59" i="40"/>
  <c r="N59" i="40"/>
  <c r="L59" i="40"/>
  <c r="J59" i="40"/>
  <c r="H59" i="40"/>
  <c r="K58" i="40"/>
  <c r="H58" i="40"/>
  <c r="L57" i="40"/>
  <c r="I57" i="40"/>
  <c r="L56" i="40"/>
  <c r="I56" i="40"/>
  <c r="N55" i="40"/>
  <c r="M55" i="40"/>
  <c r="I55" i="40"/>
  <c r="N54" i="40"/>
  <c r="M54" i="40"/>
  <c r="I54" i="40"/>
  <c r="P49" i="40"/>
  <c r="L49" i="40"/>
  <c r="I49" i="40"/>
  <c r="M48" i="40"/>
  <c r="I48" i="40"/>
  <c r="Q47" i="40"/>
  <c r="K47" i="40"/>
  <c r="I47" i="40"/>
  <c r="M47" i="40"/>
  <c r="O47" i="40"/>
  <c r="G47" i="40"/>
  <c r="N46" i="40"/>
  <c r="K46" i="40"/>
  <c r="H46" i="40"/>
  <c r="H11" i="40"/>
  <c r="P45" i="40"/>
  <c r="P11" i="40"/>
  <c r="O21" i="38"/>
  <c r="N45" i="40"/>
  <c r="L45" i="40"/>
  <c r="J45" i="40"/>
  <c r="J11" i="40"/>
  <c r="I21" i="38"/>
  <c r="H45" i="40"/>
  <c r="O44" i="40"/>
  <c r="M44" i="40"/>
  <c r="K44" i="40"/>
  <c r="I44" i="40"/>
  <c r="I11" i="40"/>
  <c r="H21" i="38"/>
  <c r="G44" i="40"/>
  <c r="M43" i="40"/>
  <c r="I43" i="40"/>
  <c r="G43" i="40"/>
  <c r="C43" i="40"/>
  <c r="O43" i="40"/>
  <c r="N42" i="40"/>
  <c r="K42" i="40"/>
  <c r="H42" i="40"/>
  <c r="Q11" i="40"/>
  <c r="L11" i="40"/>
  <c r="K21" i="38"/>
  <c r="Q39" i="40"/>
  <c r="P39" i="40"/>
  <c r="O39" i="40"/>
  <c r="N39" i="40"/>
  <c r="M39" i="40"/>
  <c r="L39" i="40"/>
  <c r="K39" i="40"/>
  <c r="J39" i="40"/>
  <c r="I39" i="40"/>
  <c r="H39" i="40"/>
  <c r="G39" i="40"/>
  <c r="F39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P37" i="40"/>
  <c r="J37" i="40"/>
  <c r="H37" i="40"/>
  <c r="E37" i="40"/>
  <c r="Q37" i="40"/>
  <c r="G36" i="40"/>
  <c r="E36" i="40"/>
  <c r="O35" i="40"/>
  <c r="L35" i="40"/>
  <c r="J35" i="40"/>
  <c r="G35" i="40"/>
  <c r="E35" i="40"/>
  <c r="K35" i="40"/>
  <c r="D29" i="40"/>
  <c r="G12" i="40"/>
  <c r="D28" i="40"/>
  <c r="D27" i="40"/>
  <c r="O12" i="40"/>
  <c r="N23" i="38"/>
  <c r="B27" i="40"/>
  <c r="D26" i="40"/>
  <c r="M12" i="40"/>
  <c r="B26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F24" i="40"/>
  <c r="D23" i="40"/>
  <c r="D30" i="40"/>
  <c r="Q21" i="40"/>
  <c r="P21" i="40"/>
  <c r="N21" i="40"/>
  <c r="M21" i="40"/>
  <c r="L21" i="40"/>
  <c r="K21" i="40"/>
  <c r="J21" i="40"/>
  <c r="I21" i="40"/>
  <c r="H21" i="40"/>
  <c r="G21" i="40"/>
  <c r="F21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Q18" i="40"/>
  <c r="P18" i="40"/>
  <c r="O18" i="40"/>
  <c r="N18" i="40"/>
  <c r="N16" i="40"/>
  <c r="N8" i="40"/>
  <c r="M18" i="40"/>
  <c r="L18" i="40"/>
  <c r="K18" i="40"/>
  <c r="J18" i="40"/>
  <c r="I18" i="40"/>
  <c r="H18" i="40"/>
  <c r="H16" i="40"/>
  <c r="H8" i="40"/>
  <c r="G18" i="40"/>
  <c r="F18" i="40"/>
  <c r="F16" i="40"/>
  <c r="F8" i="40"/>
  <c r="Q17" i="40"/>
  <c r="P17" i="40"/>
  <c r="O17" i="40"/>
  <c r="O16" i="40"/>
  <c r="O8" i="40"/>
  <c r="N17" i="40"/>
  <c r="M17" i="40"/>
  <c r="M16" i="40"/>
  <c r="M8" i="40"/>
  <c r="L17" i="40"/>
  <c r="L16" i="40"/>
  <c r="L8" i="40"/>
  <c r="K17" i="40"/>
  <c r="J17" i="40"/>
  <c r="J16" i="40"/>
  <c r="J8" i="40"/>
  <c r="I17" i="40"/>
  <c r="H17" i="40"/>
  <c r="G17" i="40"/>
  <c r="G16" i="40"/>
  <c r="G8" i="40"/>
  <c r="F17" i="40"/>
  <c r="Q16" i="40"/>
  <c r="P16" i="40"/>
  <c r="P8" i="40"/>
  <c r="K16" i="40"/>
  <c r="I16" i="40"/>
  <c r="F15" i="40"/>
  <c r="P12" i="40"/>
  <c r="N12" i="40"/>
  <c r="M23" i="38"/>
  <c r="H12" i="40"/>
  <c r="F12" i="40"/>
  <c r="N11" i="40"/>
  <c r="F11" i="40"/>
  <c r="Q8" i="40"/>
  <c r="K8" i="40"/>
  <c r="I8" i="40"/>
  <c r="F6" i="40"/>
  <c r="G6" i="40"/>
  <c r="E6" i="40"/>
  <c r="G4" i="40"/>
  <c r="H4" i="40"/>
  <c r="P97" i="39"/>
  <c r="N97" i="39"/>
  <c r="K97" i="39"/>
  <c r="I97" i="39"/>
  <c r="G97" i="39"/>
  <c r="P96" i="39"/>
  <c r="N96" i="39"/>
  <c r="K96" i="39"/>
  <c r="I96" i="39"/>
  <c r="G96" i="39"/>
  <c r="P95" i="39"/>
  <c r="N95" i="39"/>
  <c r="K95" i="39"/>
  <c r="J95" i="39"/>
  <c r="I95" i="39"/>
  <c r="G95" i="39"/>
  <c r="P94" i="39"/>
  <c r="N94" i="39"/>
  <c r="K94" i="39"/>
  <c r="I94" i="39"/>
  <c r="G94" i="39"/>
  <c r="P93" i="39"/>
  <c r="N93" i="39"/>
  <c r="K93" i="39"/>
  <c r="J93" i="39"/>
  <c r="I93" i="39"/>
  <c r="G93" i="39"/>
  <c r="P92" i="39"/>
  <c r="N92" i="39"/>
  <c r="K92" i="39"/>
  <c r="I92" i="39"/>
  <c r="G92" i="39"/>
  <c r="E91" i="39"/>
  <c r="G88" i="39"/>
  <c r="L87" i="39"/>
  <c r="E84" i="39"/>
  <c r="J82" i="39"/>
  <c r="Q81" i="39"/>
  <c r="P80" i="39"/>
  <c r="N77" i="39"/>
  <c r="M76" i="39"/>
  <c r="P73" i="39"/>
  <c r="K73" i="39"/>
  <c r="J72" i="39"/>
  <c r="H69" i="39"/>
  <c r="F65" i="39"/>
  <c r="E65" i="39"/>
  <c r="M64" i="39"/>
  <c r="O63" i="39"/>
  <c r="N61" i="39"/>
  <c r="G61" i="39"/>
  <c r="L57" i="39"/>
  <c r="M56" i="39"/>
  <c r="L54" i="39"/>
  <c r="Q53" i="39"/>
  <c r="G53" i="39"/>
  <c r="R50" i="39"/>
  <c r="O48" i="39"/>
  <c r="J48" i="39"/>
  <c r="F47" i="39"/>
  <c r="E47" i="39"/>
  <c r="L37" i="39"/>
  <c r="E32" i="39"/>
  <c r="L26" i="39"/>
  <c r="K24" i="39"/>
  <c r="E23" i="39"/>
  <c r="R19" i="39"/>
  <c r="Q19" i="39"/>
  <c r="O19" i="39"/>
  <c r="M19" i="39"/>
  <c r="L19" i="39"/>
  <c r="J19" i="39"/>
  <c r="H19" i="39"/>
  <c r="R18" i="39"/>
  <c r="Q18" i="39"/>
  <c r="P18" i="39"/>
  <c r="O18" i="39"/>
  <c r="N18" i="39"/>
  <c r="M18" i="39"/>
  <c r="L18" i="39"/>
  <c r="K18" i="39"/>
  <c r="K89" i="39"/>
  <c r="J18" i="39"/>
  <c r="I18" i="39"/>
  <c r="H18" i="39"/>
  <c r="G18" i="39"/>
  <c r="R17" i="39"/>
  <c r="R82" i="39"/>
  <c r="Q17" i="39"/>
  <c r="P17" i="39"/>
  <c r="O17" i="39"/>
  <c r="O78" i="39"/>
  <c r="N17" i="39"/>
  <c r="M17" i="39"/>
  <c r="M70" i="39"/>
  <c r="L17" i="39"/>
  <c r="K17" i="39"/>
  <c r="K83" i="39"/>
  <c r="J17" i="39"/>
  <c r="J66" i="39"/>
  <c r="I17" i="39"/>
  <c r="H17" i="39"/>
  <c r="G17" i="39"/>
  <c r="R16" i="39"/>
  <c r="Q16" i="39"/>
  <c r="Q61" i="39"/>
  <c r="P16" i="39"/>
  <c r="O16" i="39"/>
  <c r="O55" i="39"/>
  <c r="N16" i="39"/>
  <c r="N51" i="39"/>
  <c r="M16" i="39"/>
  <c r="L16" i="39"/>
  <c r="K16" i="39"/>
  <c r="J16" i="39"/>
  <c r="I16" i="39"/>
  <c r="I59" i="39"/>
  <c r="H16" i="39"/>
  <c r="G16" i="39"/>
  <c r="G52" i="39"/>
  <c r="L15" i="39"/>
  <c r="L45" i="39"/>
  <c r="E15" i="39"/>
  <c r="Q14" i="39"/>
  <c r="Q25" i="39"/>
  <c r="L14" i="39"/>
  <c r="K14" i="39"/>
  <c r="I14" i="39"/>
  <c r="E14" i="39"/>
  <c r="R14" i="39"/>
  <c r="G6" i="39"/>
  <c r="H6" i="39"/>
  <c r="H5" i="39"/>
  <c r="G4" i="39"/>
  <c r="H4" i="39"/>
  <c r="I4" i="39"/>
  <c r="J4" i="39"/>
  <c r="K4" i="39"/>
  <c r="L4" i="39"/>
  <c r="M4" i="39"/>
  <c r="N4" i="39"/>
  <c r="O4" i="39"/>
  <c r="P4" i="39"/>
  <c r="Q4" i="39"/>
  <c r="R4" i="39"/>
  <c r="O23" i="38"/>
  <c r="L23" i="38"/>
  <c r="G23" i="38"/>
  <c r="F23" i="38"/>
  <c r="E23" i="38"/>
  <c r="P21" i="38"/>
  <c r="M21" i="38"/>
  <c r="G21" i="38"/>
  <c r="E21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A8" i="38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6" i="38"/>
  <c r="A7" i="38"/>
  <c r="A5" i="38"/>
  <c r="E4" i="38"/>
  <c r="F4" i="38"/>
  <c r="G4" i="38"/>
  <c r="H4" i="38"/>
  <c r="I4" i="38"/>
  <c r="J4" i="38"/>
  <c r="K4" i="38"/>
  <c r="L4" i="38"/>
  <c r="M4" i="38"/>
  <c r="N4" i="38"/>
  <c r="O4" i="38"/>
  <c r="P4" i="38"/>
  <c r="G11" i="40"/>
  <c r="F21" i="38"/>
  <c r="P89" i="39"/>
  <c r="P87" i="39"/>
  <c r="P85" i="39"/>
  <c r="P90" i="39"/>
  <c r="P86" i="39"/>
  <c r="P88" i="39"/>
  <c r="K31" i="39"/>
  <c r="K29" i="39"/>
  <c r="K27" i="39"/>
  <c r="K25" i="39"/>
  <c r="K10" i="39"/>
  <c r="I22" i="38"/>
  <c r="K26" i="39"/>
  <c r="K30" i="39"/>
  <c r="R30" i="39"/>
  <c r="R29" i="39"/>
  <c r="R28" i="39"/>
  <c r="R27" i="39"/>
  <c r="R25" i="39"/>
  <c r="R26" i="39"/>
  <c r="I29" i="39"/>
  <c r="I28" i="39"/>
  <c r="I27" i="39"/>
  <c r="I31" i="39"/>
  <c r="I26" i="39"/>
  <c r="I25" i="39"/>
  <c r="Q97" i="39"/>
  <c r="Q95" i="39"/>
  <c r="Q93" i="39"/>
  <c r="Q96" i="39"/>
  <c r="Q94" i="39"/>
  <c r="Q92" i="39"/>
  <c r="L10" i="39"/>
  <c r="J22" i="38"/>
  <c r="J58" i="39"/>
  <c r="J57" i="39"/>
  <c r="J51" i="39"/>
  <c r="J49" i="39"/>
  <c r="J62" i="39"/>
  <c r="J61" i="39"/>
  <c r="J54" i="39"/>
  <c r="J53" i="39"/>
  <c r="J60" i="39"/>
  <c r="J59" i="39"/>
  <c r="J64" i="39"/>
  <c r="J50" i="39"/>
  <c r="J63" i="39"/>
  <c r="J56" i="39"/>
  <c r="J52" i="39"/>
  <c r="J55" i="39"/>
  <c r="R60" i="39"/>
  <c r="R59" i="39"/>
  <c r="R52" i="39"/>
  <c r="R51" i="39"/>
  <c r="R49" i="39"/>
  <c r="R64" i="39"/>
  <c r="R63" i="39"/>
  <c r="R56" i="39"/>
  <c r="R55" i="39"/>
  <c r="R62" i="39"/>
  <c r="R61" i="39"/>
  <c r="R54" i="39"/>
  <c r="R53" i="39"/>
  <c r="R57" i="39"/>
  <c r="R58" i="39"/>
  <c r="R48" i="39"/>
  <c r="N82" i="39"/>
  <c r="N80" i="39"/>
  <c r="N78" i="39"/>
  <c r="N76" i="39"/>
  <c r="N74" i="39"/>
  <c r="N72" i="39"/>
  <c r="N70" i="39"/>
  <c r="N68" i="39"/>
  <c r="N66" i="39"/>
  <c r="N73" i="39"/>
  <c r="N75" i="39"/>
  <c r="N79" i="39"/>
  <c r="N81" i="39"/>
  <c r="N83" i="39"/>
  <c r="N67" i="39"/>
  <c r="N69" i="39"/>
  <c r="N71" i="39"/>
  <c r="J90" i="39"/>
  <c r="J88" i="39"/>
  <c r="J86" i="39"/>
  <c r="J89" i="39"/>
  <c r="J87" i="39"/>
  <c r="J85" i="39"/>
  <c r="R90" i="39"/>
  <c r="R88" i="39"/>
  <c r="R86" i="39"/>
  <c r="R89" i="39"/>
  <c r="R87" i="39"/>
  <c r="R85" i="39"/>
  <c r="R31" i="39"/>
  <c r="P61" i="39"/>
  <c r="P53" i="39"/>
  <c r="P60" i="39"/>
  <c r="P50" i="39"/>
  <c r="P48" i="39"/>
  <c r="P58" i="39"/>
  <c r="P57" i="39"/>
  <c r="P64" i="39"/>
  <c r="P56" i="39"/>
  <c r="P51" i="39"/>
  <c r="P49" i="39"/>
  <c r="P63" i="39"/>
  <c r="P55" i="39"/>
  <c r="P59" i="39"/>
  <c r="P52" i="39"/>
  <c r="P62" i="39"/>
  <c r="P54" i="39"/>
  <c r="H89" i="39"/>
  <c r="H87" i="39"/>
  <c r="H85" i="39"/>
  <c r="H88" i="39"/>
  <c r="H86" i="39"/>
  <c r="H90" i="39"/>
  <c r="R24" i="39"/>
  <c r="Q31" i="39"/>
  <c r="Q30" i="39"/>
  <c r="Q29" i="39"/>
  <c r="Q24" i="39"/>
  <c r="Q10" i="39"/>
  <c r="O22" i="38"/>
  <c r="Q28" i="39"/>
  <c r="Q27" i="39"/>
  <c r="Q26" i="39"/>
  <c r="H59" i="39"/>
  <c r="H58" i="39"/>
  <c r="H52" i="39"/>
  <c r="H50" i="39"/>
  <c r="H48" i="39"/>
  <c r="H64" i="39"/>
  <c r="H56" i="39"/>
  <c r="H63" i="39"/>
  <c r="H55" i="39"/>
  <c r="H62" i="39"/>
  <c r="H54" i="39"/>
  <c r="H51" i="39"/>
  <c r="H49" i="39"/>
  <c r="H61" i="39"/>
  <c r="H53" i="39"/>
  <c r="H57" i="39"/>
  <c r="H60" i="39"/>
  <c r="L71" i="39"/>
  <c r="L70" i="39"/>
  <c r="L73" i="39"/>
  <c r="L72" i="39"/>
  <c r="L77" i="39"/>
  <c r="L76" i="39"/>
  <c r="L79" i="39"/>
  <c r="L78" i="39"/>
  <c r="L81" i="39"/>
  <c r="L80" i="39"/>
  <c r="L83" i="39"/>
  <c r="L82" i="39"/>
  <c r="L67" i="39"/>
  <c r="L66" i="39"/>
  <c r="L68" i="39"/>
  <c r="L69" i="39"/>
  <c r="L75" i="39"/>
  <c r="L74" i="39"/>
  <c r="I30" i="39"/>
  <c r="I6" i="39"/>
  <c r="I5" i="39"/>
  <c r="M15" i="39"/>
  <c r="K15" i="39"/>
  <c r="O15" i="39"/>
  <c r="R15" i="39"/>
  <c r="J15" i="39"/>
  <c r="G15" i="39"/>
  <c r="Q15" i="39"/>
  <c r="Q13" i="39"/>
  <c r="Q7" i="39"/>
  <c r="O13" i="38"/>
  <c r="I15" i="39"/>
  <c r="F32" i="39"/>
  <c r="P15" i="39"/>
  <c r="H15" i="39"/>
  <c r="L46" i="39"/>
  <c r="L44" i="39"/>
  <c r="L42" i="39"/>
  <c r="L40" i="39"/>
  <c r="L38" i="39"/>
  <c r="L39" i="39"/>
  <c r="L33" i="39"/>
  <c r="L35" i="39"/>
  <c r="L34" i="39"/>
  <c r="L41" i="39"/>
  <c r="L36" i="39"/>
  <c r="L43" i="39"/>
  <c r="N15" i="39"/>
  <c r="I24" i="39"/>
  <c r="K28" i="39"/>
  <c r="K63" i="39"/>
  <c r="K61" i="39"/>
  <c r="K59" i="39"/>
  <c r="K57" i="39"/>
  <c r="K55" i="39"/>
  <c r="K53" i="39"/>
  <c r="K64" i="39"/>
  <c r="K56" i="39"/>
  <c r="K62" i="39"/>
  <c r="K54" i="39"/>
  <c r="K60" i="39"/>
  <c r="K52" i="39"/>
  <c r="K50" i="39"/>
  <c r="K48" i="39"/>
  <c r="M14" i="39"/>
  <c r="L64" i="39"/>
  <c r="L56" i="39"/>
  <c r="L63" i="39"/>
  <c r="L55" i="39"/>
  <c r="L51" i="39"/>
  <c r="L49" i="39"/>
  <c r="L61" i="39"/>
  <c r="L53" i="39"/>
  <c r="L60" i="39"/>
  <c r="L59" i="39"/>
  <c r="L52" i="39"/>
  <c r="L50" i="39"/>
  <c r="L48" i="39"/>
  <c r="L58" i="39"/>
  <c r="H82" i="39"/>
  <c r="H81" i="39"/>
  <c r="H66" i="39"/>
  <c r="H83" i="39"/>
  <c r="H68" i="39"/>
  <c r="H67" i="39"/>
  <c r="H72" i="39"/>
  <c r="H71" i="39"/>
  <c r="H74" i="39"/>
  <c r="H73" i="39"/>
  <c r="H76" i="39"/>
  <c r="H75" i="39"/>
  <c r="H78" i="39"/>
  <c r="H77" i="39"/>
  <c r="P76" i="39"/>
  <c r="P75" i="39"/>
  <c r="P78" i="39"/>
  <c r="P77" i="39"/>
  <c r="P82" i="39"/>
  <c r="P81" i="39"/>
  <c r="P66" i="39"/>
  <c r="P83" i="39"/>
  <c r="P68" i="39"/>
  <c r="P67" i="39"/>
  <c r="P70" i="39"/>
  <c r="P69" i="39"/>
  <c r="P72" i="39"/>
  <c r="P71" i="39"/>
  <c r="L90" i="39"/>
  <c r="L88" i="39"/>
  <c r="L86" i="39"/>
  <c r="L89" i="39"/>
  <c r="L85" i="39"/>
  <c r="J96" i="39"/>
  <c r="J94" i="39"/>
  <c r="J92" i="39"/>
  <c r="K58" i="39"/>
  <c r="H70" i="39"/>
  <c r="L30" i="39"/>
  <c r="L28" i="39"/>
  <c r="O83" i="39"/>
  <c r="O81" i="39"/>
  <c r="O79" i="39"/>
  <c r="O77" i="39"/>
  <c r="O75" i="39"/>
  <c r="O73" i="39"/>
  <c r="O71" i="39"/>
  <c r="O69" i="39"/>
  <c r="O67" i="39"/>
  <c r="O74" i="39"/>
  <c r="O76" i="39"/>
  <c r="O80" i="39"/>
  <c r="O82" i="39"/>
  <c r="O66" i="39"/>
  <c r="O68" i="39"/>
  <c r="O70" i="39"/>
  <c r="N14" i="39"/>
  <c r="M63" i="39"/>
  <c r="M61" i="39"/>
  <c r="M59" i="39"/>
  <c r="M57" i="39"/>
  <c r="M55" i="39"/>
  <c r="M53" i="39"/>
  <c r="M51" i="39"/>
  <c r="M49" i="39"/>
  <c r="M62" i="39"/>
  <c r="M54" i="39"/>
  <c r="M60" i="39"/>
  <c r="M52" i="39"/>
  <c r="M50" i="39"/>
  <c r="M48" i="39"/>
  <c r="M58" i="39"/>
  <c r="I82" i="39"/>
  <c r="I80" i="39"/>
  <c r="I78" i="39"/>
  <c r="I76" i="39"/>
  <c r="I74" i="39"/>
  <c r="I72" i="39"/>
  <c r="I70" i="39"/>
  <c r="I68" i="39"/>
  <c r="I66" i="39"/>
  <c r="I83" i="39"/>
  <c r="I67" i="39"/>
  <c r="I69" i="39"/>
  <c r="I73" i="39"/>
  <c r="I75" i="39"/>
  <c r="I77" i="39"/>
  <c r="I79" i="39"/>
  <c r="Q82" i="39"/>
  <c r="Q80" i="39"/>
  <c r="Q78" i="39"/>
  <c r="Q76" i="39"/>
  <c r="Q74" i="39"/>
  <c r="Q72" i="39"/>
  <c r="Q70" i="39"/>
  <c r="Q68" i="39"/>
  <c r="Q66" i="39"/>
  <c r="Q77" i="39"/>
  <c r="Q79" i="39"/>
  <c r="Q83" i="39"/>
  <c r="Q67" i="39"/>
  <c r="Q69" i="39"/>
  <c r="Q71" i="39"/>
  <c r="Q73" i="39"/>
  <c r="M89" i="39"/>
  <c r="M87" i="39"/>
  <c r="M85" i="39"/>
  <c r="M90" i="39"/>
  <c r="M86" i="39"/>
  <c r="M88" i="39"/>
  <c r="L96" i="39"/>
  <c r="L94" i="39"/>
  <c r="L92" i="39"/>
  <c r="L97" i="39"/>
  <c r="L95" i="39"/>
  <c r="L93" i="39"/>
  <c r="L25" i="39"/>
  <c r="L31" i="39"/>
  <c r="K49" i="39"/>
  <c r="L62" i="39"/>
  <c r="P74" i="39"/>
  <c r="H79" i="39"/>
  <c r="G83" i="39"/>
  <c r="G81" i="39"/>
  <c r="G79" i="39"/>
  <c r="G77" i="39"/>
  <c r="G75" i="39"/>
  <c r="G73" i="39"/>
  <c r="G71" i="39"/>
  <c r="G69" i="39"/>
  <c r="G67" i="39"/>
  <c r="G80" i="39"/>
  <c r="G82" i="39"/>
  <c r="G66" i="39"/>
  <c r="G70" i="39"/>
  <c r="G72" i="39"/>
  <c r="G74" i="39"/>
  <c r="G76" i="39"/>
  <c r="L29" i="39"/>
  <c r="K51" i="39"/>
  <c r="G78" i="39"/>
  <c r="L13" i="39"/>
  <c r="L7" i="39"/>
  <c r="J13" i="38"/>
  <c r="G14" i="39"/>
  <c r="O14" i="39"/>
  <c r="N63" i="39"/>
  <c r="N62" i="39"/>
  <c r="N55" i="39"/>
  <c r="N54" i="39"/>
  <c r="N52" i="39"/>
  <c r="N50" i="39"/>
  <c r="N48" i="39"/>
  <c r="N59" i="39"/>
  <c r="N58" i="39"/>
  <c r="N64" i="39"/>
  <c r="N57" i="39"/>
  <c r="N56" i="39"/>
  <c r="J83" i="39"/>
  <c r="J81" i="39"/>
  <c r="J79" i="39"/>
  <c r="J77" i="39"/>
  <c r="J75" i="39"/>
  <c r="J73" i="39"/>
  <c r="J71" i="39"/>
  <c r="J69" i="39"/>
  <c r="J67" i="39"/>
  <c r="J68" i="39"/>
  <c r="J70" i="39"/>
  <c r="J74" i="39"/>
  <c r="J76" i="39"/>
  <c r="J78" i="39"/>
  <c r="J80" i="39"/>
  <c r="R83" i="39"/>
  <c r="R81" i="39"/>
  <c r="R79" i="39"/>
  <c r="R77" i="39"/>
  <c r="R75" i="39"/>
  <c r="R73" i="39"/>
  <c r="R71" i="39"/>
  <c r="R69" i="39"/>
  <c r="R67" i="39"/>
  <c r="R78" i="39"/>
  <c r="R80" i="39"/>
  <c r="R68" i="39"/>
  <c r="R70" i="39"/>
  <c r="R72" i="39"/>
  <c r="R74" i="39"/>
  <c r="N89" i="39"/>
  <c r="N87" i="39"/>
  <c r="N85" i="39"/>
  <c r="N90" i="39"/>
  <c r="N88" i="39"/>
  <c r="N86" i="39"/>
  <c r="M96" i="39"/>
  <c r="M94" i="39"/>
  <c r="M92" i="39"/>
  <c r="M97" i="39"/>
  <c r="M95" i="39"/>
  <c r="M93" i="39"/>
  <c r="F23" i="39"/>
  <c r="N49" i="39"/>
  <c r="R66" i="39"/>
  <c r="I71" i="39"/>
  <c r="P79" i="39"/>
  <c r="J97" i="39"/>
  <c r="K90" i="39"/>
  <c r="K86" i="39"/>
  <c r="K87" i="39"/>
  <c r="K88" i="39"/>
  <c r="H97" i="39"/>
  <c r="H95" i="39"/>
  <c r="H93" i="39"/>
  <c r="H96" i="39"/>
  <c r="H94" i="39"/>
  <c r="H92" i="39"/>
  <c r="L24" i="39"/>
  <c r="I4" i="40"/>
  <c r="H15" i="40"/>
  <c r="H24" i="40"/>
  <c r="H14" i="39"/>
  <c r="P14" i="39"/>
  <c r="G64" i="39"/>
  <c r="G62" i="39"/>
  <c r="G60" i="39"/>
  <c r="G58" i="39"/>
  <c r="G56" i="39"/>
  <c r="G54" i="39"/>
  <c r="G59" i="39"/>
  <c r="G57" i="39"/>
  <c r="G63" i="39"/>
  <c r="G55" i="39"/>
  <c r="G51" i="39"/>
  <c r="G49" i="39"/>
  <c r="O64" i="39"/>
  <c r="O62" i="39"/>
  <c r="O60" i="39"/>
  <c r="O58" i="39"/>
  <c r="O56" i="39"/>
  <c r="O54" i="39"/>
  <c r="O52" i="39"/>
  <c r="O61" i="39"/>
  <c r="O53" i="39"/>
  <c r="O59" i="39"/>
  <c r="O57" i="39"/>
  <c r="O51" i="39"/>
  <c r="O49" i="39"/>
  <c r="K82" i="39"/>
  <c r="K80" i="39"/>
  <c r="K78" i="39"/>
  <c r="K76" i="39"/>
  <c r="K74" i="39"/>
  <c r="K72" i="39"/>
  <c r="K70" i="39"/>
  <c r="K68" i="39"/>
  <c r="K66" i="39"/>
  <c r="K69" i="39"/>
  <c r="K71" i="39"/>
  <c r="K75" i="39"/>
  <c r="K77" i="39"/>
  <c r="K79" i="39"/>
  <c r="K81" i="39"/>
  <c r="G89" i="39"/>
  <c r="G85" i="39"/>
  <c r="G90" i="39"/>
  <c r="G86" i="39"/>
  <c r="G87" i="39"/>
  <c r="O87" i="39"/>
  <c r="O88" i="39"/>
  <c r="O89" i="39"/>
  <c r="O85" i="39"/>
  <c r="O96" i="39"/>
  <c r="O94" i="39"/>
  <c r="O92" i="39"/>
  <c r="O97" i="39"/>
  <c r="O95" i="39"/>
  <c r="O93" i="39"/>
  <c r="G50" i="39"/>
  <c r="K67" i="39"/>
  <c r="Q75" i="39"/>
  <c r="H80" i="39"/>
  <c r="K85" i="39"/>
  <c r="O90" i="39"/>
  <c r="G68" i="39"/>
  <c r="J14" i="39"/>
  <c r="I64" i="39"/>
  <c r="I62" i="39"/>
  <c r="I60" i="39"/>
  <c r="I58" i="39"/>
  <c r="I56" i="39"/>
  <c r="I54" i="39"/>
  <c r="I52" i="39"/>
  <c r="I50" i="39"/>
  <c r="I48" i="39"/>
  <c r="I57" i="39"/>
  <c r="I63" i="39"/>
  <c r="I55" i="39"/>
  <c r="I51" i="39"/>
  <c r="I49" i="39"/>
  <c r="I61" i="39"/>
  <c r="I53" i="39"/>
  <c r="Q64" i="39"/>
  <c r="Q62" i="39"/>
  <c r="Q60" i="39"/>
  <c r="Q58" i="39"/>
  <c r="Q56" i="39"/>
  <c r="Q54" i="39"/>
  <c r="Q50" i="39"/>
  <c r="Q48" i="39"/>
  <c r="Q59" i="39"/>
  <c r="Q52" i="39"/>
  <c r="Q57" i="39"/>
  <c r="Q51" i="39"/>
  <c r="Q49" i="39"/>
  <c r="Q63" i="39"/>
  <c r="Q55" i="39"/>
  <c r="M83" i="39"/>
  <c r="M81" i="39"/>
  <c r="M79" i="39"/>
  <c r="M77" i="39"/>
  <c r="M75" i="39"/>
  <c r="M73" i="39"/>
  <c r="M71" i="39"/>
  <c r="M69" i="39"/>
  <c r="M67" i="39"/>
  <c r="M72" i="39"/>
  <c r="M74" i="39"/>
  <c r="M78" i="39"/>
  <c r="M80" i="39"/>
  <c r="M82" i="39"/>
  <c r="M66" i="39"/>
  <c r="M68" i="39"/>
  <c r="I90" i="39"/>
  <c r="I88" i="39"/>
  <c r="I86" i="39"/>
  <c r="I89" i="39"/>
  <c r="I85" i="39"/>
  <c r="I87" i="39"/>
  <c r="Q90" i="39"/>
  <c r="Q88" i="39"/>
  <c r="Q86" i="39"/>
  <c r="Q87" i="39"/>
  <c r="Q89" i="39"/>
  <c r="Q85" i="39"/>
  <c r="R97" i="39"/>
  <c r="R96" i="39"/>
  <c r="R95" i="39"/>
  <c r="R94" i="39"/>
  <c r="R93" i="39"/>
  <c r="R92" i="39"/>
  <c r="L27" i="39"/>
  <c r="G48" i="39"/>
  <c r="O50" i="39"/>
  <c r="N53" i="39"/>
  <c r="N60" i="39"/>
  <c r="O72" i="39"/>
  <c r="R76" i="39"/>
  <c r="I81" i="39"/>
  <c r="O86" i="39"/>
  <c r="J34" i="40"/>
  <c r="J10" i="40"/>
  <c r="H5" i="40"/>
  <c r="H6" i="40"/>
  <c r="L34" i="40"/>
  <c r="L10" i="40"/>
  <c r="O11" i="40"/>
  <c r="N21" i="38"/>
  <c r="G5" i="40"/>
  <c r="K12" i="40"/>
  <c r="J23" i="38"/>
  <c r="J12" i="40"/>
  <c r="I23" i="38"/>
  <c r="N36" i="40"/>
  <c r="F36" i="40"/>
  <c r="L36" i="40"/>
  <c r="K36" i="40"/>
  <c r="J36" i="40"/>
  <c r="Q36" i="40"/>
  <c r="I36" i="40"/>
  <c r="P36" i="40"/>
  <c r="H36" i="40"/>
  <c r="M36" i="40"/>
  <c r="M11" i="40"/>
  <c r="L21" i="38"/>
  <c r="K34" i="40"/>
  <c r="K10" i="40"/>
  <c r="O36" i="40"/>
  <c r="I12" i="40"/>
  <c r="H23" i="38"/>
  <c r="Q12" i="40"/>
  <c r="P23" i="38"/>
  <c r="M35" i="40"/>
  <c r="K37" i="40"/>
  <c r="F35" i="40"/>
  <c r="F34" i="40"/>
  <c r="N35" i="40"/>
  <c r="L37" i="40"/>
  <c r="K43" i="40"/>
  <c r="K11" i="40"/>
  <c r="J21" i="38"/>
  <c r="G15" i="40"/>
  <c r="G24" i="40"/>
  <c r="M37" i="40"/>
  <c r="L12" i="40"/>
  <c r="K23" i="38"/>
  <c r="H35" i="40"/>
  <c r="H34" i="40"/>
  <c r="H10" i="40"/>
  <c r="P35" i="40"/>
  <c r="P34" i="40"/>
  <c r="P10" i="40"/>
  <c r="F37" i="40"/>
  <c r="N37" i="40"/>
  <c r="I35" i="40"/>
  <c r="Q35" i="40"/>
  <c r="Q34" i="40"/>
  <c r="Q10" i="40"/>
  <c r="G37" i="40"/>
  <c r="G34" i="40"/>
  <c r="G10" i="40"/>
  <c r="O37" i="40"/>
  <c r="I37" i="40"/>
  <c r="G9" i="40"/>
  <c r="F20" i="38"/>
  <c r="O12" i="38"/>
  <c r="O15" i="38"/>
  <c r="P9" i="40"/>
  <c r="O20" i="38"/>
  <c r="H9" i="40"/>
  <c r="G20" i="38"/>
  <c r="J9" i="40"/>
  <c r="I20" i="38"/>
  <c r="M34" i="40"/>
  <c r="M10" i="40"/>
  <c r="R45" i="39"/>
  <c r="R43" i="39"/>
  <c r="R41" i="39"/>
  <c r="R39" i="39"/>
  <c r="R37" i="39"/>
  <c r="R35" i="39"/>
  <c r="R33" i="39"/>
  <c r="R46" i="39"/>
  <c r="R44" i="39"/>
  <c r="R42" i="39"/>
  <c r="R40" i="39"/>
  <c r="R38" i="39"/>
  <c r="R36" i="39"/>
  <c r="R34" i="39"/>
  <c r="F9" i="40"/>
  <c r="E20" i="38"/>
  <c r="P31" i="39"/>
  <c r="P29" i="39"/>
  <c r="P27" i="39"/>
  <c r="P25" i="39"/>
  <c r="P30" i="39"/>
  <c r="P26" i="39"/>
  <c r="P24" i="39"/>
  <c r="P10" i="39"/>
  <c r="N22" i="38"/>
  <c r="P28" i="39"/>
  <c r="P13" i="39"/>
  <c r="P7" i="39"/>
  <c r="N13" i="38"/>
  <c r="H45" i="39"/>
  <c r="H43" i="39"/>
  <c r="H41" i="39"/>
  <c r="H39" i="39"/>
  <c r="H42" i="39"/>
  <c r="H37" i="39"/>
  <c r="H44" i="39"/>
  <c r="H34" i="39"/>
  <c r="H33" i="39"/>
  <c r="H46" i="39"/>
  <c r="H38" i="39"/>
  <c r="H36" i="39"/>
  <c r="H35" i="39"/>
  <c r="H40" i="39"/>
  <c r="O46" i="39"/>
  <c r="O44" i="39"/>
  <c r="O42" i="39"/>
  <c r="O40" i="39"/>
  <c r="O38" i="39"/>
  <c r="O36" i="39"/>
  <c r="O45" i="39"/>
  <c r="O43" i="39"/>
  <c r="O41" i="39"/>
  <c r="O39" i="39"/>
  <c r="O37" i="39"/>
  <c r="O35" i="39"/>
  <c r="O33" i="39"/>
  <c r="O34" i="39"/>
  <c r="J28" i="39"/>
  <c r="J24" i="39"/>
  <c r="J27" i="39"/>
  <c r="J30" i="39"/>
  <c r="J26" i="39"/>
  <c r="J31" i="39"/>
  <c r="J25" i="39"/>
  <c r="J13" i="39"/>
  <c r="J7" i="39"/>
  <c r="H13" i="38"/>
  <c r="J29" i="39"/>
  <c r="J10" i="39"/>
  <c r="H22" i="38"/>
  <c r="H31" i="39"/>
  <c r="H29" i="39"/>
  <c r="H27" i="39"/>
  <c r="H30" i="39"/>
  <c r="H28" i="39"/>
  <c r="H24" i="39"/>
  <c r="H22" i="39"/>
  <c r="H9" i="39"/>
  <c r="H10" i="39"/>
  <c r="F22" i="38"/>
  <c r="H26" i="39"/>
  <c r="H13" i="39"/>
  <c r="H7" i="39"/>
  <c r="F13" i="38"/>
  <c r="H25" i="39"/>
  <c r="M26" i="39"/>
  <c r="M13" i="39"/>
  <c r="M7" i="39"/>
  <c r="K13" i="38"/>
  <c r="M28" i="39"/>
  <c r="M31" i="39"/>
  <c r="M25" i="39"/>
  <c r="M10" i="39"/>
  <c r="K22" i="38"/>
  <c r="M30" i="39"/>
  <c r="M29" i="39"/>
  <c r="M24" i="39"/>
  <c r="M27" i="39"/>
  <c r="P45" i="39"/>
  <c r="P43" i="39"/>
  <c r="P41" i="39"/>
  <c r="P39" i="39"/>
  <c r="P37" i="39"/>
  <c r="P35" i="39"/>
  <c r="P44" i="39"/>
  <c r="P36" i="39"/>
  <c r="P46" i="39"/>
  <c r="P38" i="39"/>
  <c r="P40" i="39"/>
  <c r="P34" i="39"/>
  <c r="P33" i="39"/>
  <c r="P42" i="39"/>
  <c r="K45" i="39"/>
  <c r="K43" i="39"/>
  <c r="K41" i="39"/>
  <c r="K39" i="39"/>
  <c r="K37" i="39"/>
  <c r="K46" i="39"/>
  <c r="K44" i="39"/>
  <c r="K42" i="39"/>
  <c r="K40" i="39"/>
  <c r="K38" i="39"/>
  <c r="K36" i="39"/>
  <c r="K34" i="39"/>
  <c r="K33" i="39"/>
  <c r="K22" i="39"/>
  <c r="K9" i="39"/>
  <c r="K35" i="39"/>
  <c r="R13" i="39"/>
  <c r="R7" i="39"/>
  <c r="P13" i="38"/>
  <c r="K13" i="39"/>
  <c r="K7" i="39"/>
  <c r="I13" i="38"/>
  <c r="K9" i="40"/>
  <c r="J20" i="38"/>
  <c r="J45" i="39"/>
  <c r="J43" i="39"/>
  <c r="J41" i="39"/>
  <c r="J39" i="39"/>
  <c r="J37" i="39"/>
  <c r="J35" i="39"/>
  <c r="J33" i="39"/>
  <c r="J46" i="39"/>
  <c r="J44" i="39"/>
  <c r="J42" i="39"/>
  <c r="J40" i="39"/>
  <c r="J38" i="39"/>
  <c r="J36" i="39"/>
  <c r="J34" i="39"/>
  <c r="Q9" i="40"/>
  <c r="P20" i="38"/>
  <c r="I34" i="40"/>
  <c r="I10" i="40"/>
  <c r="O34" i="40"/>
  <c r="O10" i="40"/>
  <c r="N31" i="39"/>
  <c r="N25" i="39"/>
  <c r="N30" i="39"/>
  <c r="N27" i="39"/>
  <c r="N29" i="39"/>
  <c r="N24" i="39"/>
  <c r="N28" i="39"/>
  <c r="N10" i="39"/>
  <c r="L22" i="38"/>
  <c r="N13" i="39"/>
  <c r="N7" i="39"/>
  <c r="L13" i="38"/>
  <c r="N26" i="39"/>
  <c r="N46" i="39"/>
  <c r="N44" i="39"/>
  <c r="N42" i="39"/>
  <c r="N40" i="39"/>
  <c r="N38" i="39"/>
  <c r="N36" i="39"/>
  <c r="N34" i="39"/>
  <c r="N45" i="39"/>
  <c r="N43" i="39"/>
  <c r="N41" i="39"/>
  <c r="N39" i="39"/>
  <c r="N37" i="39"/>
  <c r="N33" i="39"/>
  <c r="N35" i="39"/>
  <c r="M45" i="39"/>
  <c r="M43" i="39"/>
  <c r="M41" i="39"/>
  <c r="M39" i="39"/>
  <c r="M37" i="39"/>
  <c r="M35" i="39"/>
  <c r="M33" i="39"/>
  <c r="M42" i="39"/>
  <c r="M34" i="39"/>
  <c r="M44" i="39"/>
  <c r="M36" i="39"/>
  <c r="M40" i="39"/>
  <c r="M46" i="39"/>
  <c r="M38" i="39"/>
  <c r="R10" i="39"/>
  <c r="P22" i="38"/>
  <c r="K20" i="38"/>
  <c r="L9" i="40"/>
  <c r="O30" i="39"/>
  <c r="O28" i="39"/>
  <c r="O26" i="39"/>
  <c r="O24" i="39"/>
  <c r="O13" i="39"/>
  <c r="O7" i="39"/>
  <c r="M13" i="38"/>
  <c r="O31" i="39"/>
  <c r="O25" i="39"/>
  <c r="O29" i="39"/>
  <c r="O10" i="39"/>
  <c r="M22" i="38"/>
  <c r="O27" i="39"/>
  <c r="I15" i="40"/>
  <c r="I24" i="40"/>
  <c r="J4" i="40"/>
  <c r="I46" i="39"/>
  <c r="I44" i="39"/>
  <c r="I42" i="39"/>
  <c r="I40" i="39"/>
  <c r="I38" i="39"/>
  <c r="I36" i="39"/>
  <c r="I34" i="39"/>
  <c r="I45" i="39"/>
  <c r="I37" i="39"/>
  <c r="I39" i="39"/>
  <c r="I33" i="39"/>
  <c r="I22" i="39"/>
  <c r="I9" i="39"/>
  <c r="I43" i="39"/>
  <c r="I41" i="39"/>
  <c r="I35" i="39"/>
  <c r="R22" i="39"/>
  <c r="R9" i="39"/>
  <c r="I13" i="39"/>
  <c r="I7" i="39"/>
  <c r="G13" i="38"/>
  <c r="N34" i="40"/>
  <c r="N10" i="40"/>
  <c r="I6" i="40"/>
  <c r="I5" i="40"/>
  <c r="L22" i="39"/>
  <c r="L9" i="39"/>
  <c r="G30" i="39"/>
  <c r="G28" i="39"/>
  <c r="G26" i="39"/>
  <c r="G24" i="39"/>
  <c r="G25" i="39"/>
  <c r="G13" i="39"/>
  <c r="G7" i="39"/>
  <c r="E13" i="38"/>
  <c r="G29" i="39"/>
  <c r="G27" i="39"/>
  <c r="G10" i="39"/>
  <c r="E22" i="38"/>
  <c r="G31" i="39"/>
  <c r="Q46" i="39"/>
  <c r="Q44" i="39"/>
  <c r="Q42" i="39"/>
  <c r="Q40" i="39"/>
  <c r="Q38" i="39"/>
  <c r="Q36" i="39"/>
  <c r="Q34" i="39"/>
  <c r="Q39" i="39"/>
  <c r="Q41" i="39"/>
  <c r="Q37" i="39"/>
  <c r="Q33" i="39"/>
  <c r="Q22" i="39"/>
  <c r="Q9" i="39"/>
  <c r="Q45" i="39"/>
  <c r="Q43" i="39"/>
  <c r="Q35" i="39"/>
  <c r="J5" i="39"/>
  <c r="J6" i="39"/>
  <c r="I10" i="39"/>
  <c r="G22" i="38"/>
  <c r="J15" i="38"/>
  <c r="J12" i="38"/>
  <c r="G46" i="39"/>
  <c r="G44" i="39"/>
  <c r="G42" i="39"/>
  <c r="G40" i="39"/>
  <c r="G38" i="39"/>
  <c r="G45" i="39"/>
  <c r="G43" i="39"/>
  <c r="G41" i="39"/>
  <c r="G39" i="39"/>
  <c r="G37" i="39"/>
  <c r="G35" i="39"/>
  <c r="G33" i="39"/>
  <c r="G36" i="39"/>
  <c r="G34" i="39"/>
  <c r="K3" i="40"/>
  <c r="L3" i="39"/>
  <c r="Q8" i="39"/>
  <c r="O19" i="38"/>
  <c r="O18" i="38"/>
  <c r="K8" i="39"/>
  <c r="I19" i="38"/>
  <c r="I18" i="38"/>
  <c r="I8" i="39"/>
  <c r="G19" i="38"/>
  <c r="G18" i="38"/>
  <c r="P19" i="38"/>
  <c r="P18" i="38"/>
  <c r="R8" i="39"/>
  <c r="I15" i="38"/>
  <c r="I12" i="38"/>
  <c r="M22" i="39"/>
  <c r="M9" i="39"/>
  <c r="K6" i="39"/>
  <c r="K5" i="39"/>
  <c r="P15" i="38"/>
  <c r="P12" i="38"/>
  <c r="N15" i="38"/>
  <c r="N12" i="38"/>
  <c r="F15" i="38"/>
  <c r="F12" i="38"/>
  <c r="J19" i="38"/>
  <c r="J18" i="38"/>
  <c r="L8" i="39"/>
  <c r="L12" i="38"/>
  <c r="L15" i="38"/>
  <c r="J22" i="39"/>
  <c r="J9" i="39"/>
  <c r="M9" i="40"/>
  <c r="L20" i="38"/>
  <c r="O9" i="40"/>
  <c r="N20" i="38"/>
  <c r="P22" i="39"/>
  <c r="P9" i="39"/>
  <c r="P3" i="40"/>
  <c r="Q3" i="39"/>
  <c r="E15" i="38"/>
  <c r="E12" i="38"/>
  <c r="I9" i="40"/>
  <c r="H20" i="38"/>
  <c r="H8" i="39"/>
  <c r="F19" i="38"/>
  <c r="F18" i="38"/>
  <c r="H15" i="38"/>
  <c r="H12" i="38"/>
  <c r="J5" i="40"/>
  <c r="J6" i="40"/>
  <c r="N9" i="40"/>
  <c r="M20" i="38"/>
  <c r="M15" i="38"/>
  <c r="M12" i="38"/>
  <c r="N22" i="39"/>
  <c r="N9" i="39"/>
  <c r="G22" i="39"/>
  <c r="G9" i="39"/>
  <c r="G15" i="38"/>
  <c r="G12" i="38"/>
  <c r="K4" i="40"/>
  <c r="J15" i="40"/>
  <c r="J24" i="40"/>
  <c r="O22" i="39"/>
  <c r="O9" i="39"/>
  <c r="K15" i="38"/>
  <c r="K12" i="38"/>
  <c r="F3" i="40"/>
  <c r="G3" i="39"/>
  <c r="Q3" i="40"/>
  <c r="R3" i="39"/>
  <c r="I3" i="40"/>
  <c r="J3" i="39"/>
  <c r="L3" i="40"/>
  <c r="M3" i="39"/>
  <c r="H3" i="40"/>
  <c r="I3" i="39"/>
  <c r="J3" i="40"/>
  <c r="K3" i="39"/>
  <c r="G3" i="40"/>
  <c r="H3" i="39"/>
  <c r="N3" i="40"/>
  <c r="O3" i="39"/>
  <c r="N3" i="39"/>
  <c r="M3" i="40"/>
  <c r="N19" i="38"/>
  <c r="N18" i="38"/>
  <c r="P8" i="39"/>
  <c r="L19" i="38"/>
  <c r="L18" i="38"/>
  <c r="N8" i="39"/>
  <c r="L5" i="39"/>
  <c r="L6" i="39"/>
  <c r="M8" i="39"/>
  <c r="K19" i="38"/>
  <c r="K18" i="38"/>
  <c r="K6" i="40"/>
  <c r="K5" i="40"/>
  <c r="O3" i="40"/>
  <c r="P3" i="39"/>
  <c r="H19" i="38"/>
  <c r="H18" i="38"/>
  <c r="J8" i="39"/>
  <c r="O8" i="39"/>
  <c r="M19" i="38"/>
  <c r="M18" i="38"/>
  <c r="K15" i="40"/>
  <c r="K24" i="40"/>
  <c r="L4" i="40"/>
  <c r="G8" i="39"/>
  <c r="E19" i="38"/>
  <c r="E18" i="38"/>
  <c r="M5" i="39"/>
  <c r="M6" i="39"/>
  <c r="M4" i="40"/>
  <c r="L15" i="40"/>
  <c r="L24" i="40"/>
  <c r="L5" i="40"/>
  <c r="L6" i="40"/>
  <c r="M5" i="40"/>
  <c r="M6" i="40"/>
  <c r="M15" i="40"/>
  <c r="M24" i="40"/>
  <c r="N4" i="40"/>
  <c r="N6" i="39"/>
  <c r="N5" i="39"/>
  <c r="O5" i="39"/>
  <c r="O6" i="39"/>
  <c r="O4" i="40"/>
  <c r="N15" i="40"/>
  <c r="N24" i="40"/>
  <c r="N5" i="40"/>
  <c r="N6" i="40"/>
  <c r="O6" i="40"/>
  <c r="O5" i="40"/>
  <c r="P4" i="40"/>
  <c r="O15" i="40"/>
  <c r="O24" i="40"/>
  <c r="P6" i="39"/>
  <c r="P5" i="39"/>
  <c r="Q6" i="39"/>
  <c r="Q5" i="39"/>
  <c r="Q4" i="40"/>
  <c r="Q15" i="40"/>
  <c r="Q24" i="40"/>
  <c r="P15" i="40"/>
  <c r="P24" i="40"/>
  <c r="P5" i="40"/>
  <c r="P6" i="40"/>
  <c r="Q6" i="40"/>
  <c r="Q5" i="40"/>
  <c r="R5" i="39"/>
  <c r="R6" i="39"/>
  <c r="AC25" i="3"/>
  <c r="AC26" i="3"/>
  <c r="E26" i="3" s="1"/>
  <c r="AC29" i="3"/>
  <c r="AC31" i="3"/>
  <c r="AC32" i="3"/>
  <c r="AC33" i="3"/>
  <c r="AC34" i="3"/>
  <c r="AC35" i="3"/>
  <c r="AC36" i="3"/>
  <c r="AC37" i="3"/>
  <c r="AC38" i="3"/>
  <c r="AC24" i="3"/>
  <c r="E24" i="3" s="1"/>
  <c r="AB27" i="3"/>
  <c r="AA27" i="3"/>
  <c r="Z27" i="3"/>
  <c r="E111" i="30"/>
  <c r="E99" i="30" s="1"/>
  <c r="G48" i="33"/>
  <c r="F407" i="33"/>
  <c r="F406" i="33"/>
  <c r="F405" i="33"/>
  <c r="F314" i="33"/>
  <c r="F313" i="33"/>
  <c r="F312" i="33"/>
  <c r="F221" i="33"/>
  <c r="F220" i="33"/>
  <c r="F219" i="33"/>
  <c r="F128" i="33"/>
  <c r="F127" i="33"/>
  <c r="F126" i="33"/>
  <c r="F35" i="33"/>
  <c r="F34" i="33"/>
  <c r="F33" i="33"/>
  <c r="F407" i="2"/>
  <c r="F406" i="2"/>
  <c r="F405" i="2"/>
  <c r="F314" i="2"/>
  <c r="F313" i="2"/>
  <c r="F312" i="2"/>
  <c r="F221" i="2"/>
  <c r="F220" i="2"/>
  <c r="F219" i="2"/>
  <c r="F128" i="2"/>
  <c r="F127" i="2"/>
  <c r="F126" i="2"/>
  <c r="F35" i="2"/>
  <c r="F34" i="2"/>
  <c r="F33" i="2"/>
  <c r="D31" i="29"/>
  <c r="D30" i="29"/>
  <c r="P20" i="35"/>
  <c r="P21" i="35"/>
  <c r="P23" i="35"/>
  <c r="P19" i="35"/>
  <c r="AI16" i="4"/>
  <c r="AJ16" i="4"/>
  <c r="AK16" i="4"/>
  <c r="AI17" i="4"/>
  <c r="AJ17" i="4"/>
  <c r="AK17" i="4"/>
  <c r="AI18" i="4"/>
  <c r="AJ18" i="4"/>
  <c r="AK18" i="4"/>
  <c r="AI19" i="4"/>
  <c r="AJ19" i="4"/>
  <c r="AK19" i="4"/>
  <c r="AI20" i="4"/>
  <c r="AJ20" i="4"/>
  <c r="AK20" i="4"/>
  <c r="AI21" i="4"/>
  <c r="AJ21" i="4"/>
  <c r="AK21" i="4"/>
  <c r="AI22" i="4"/>
  <c r="AJ22" i="4"/>
  <c r="AK22" i="4"/>
  <c r="AI23" i="4"/>
  <c r="AJ23" i="4"/>
  <c r="AK23" i="4"/>
  <c r="AK9" i="4"/>
  <c r="AJ9" i="4"/>
  <c r="AI9" i="4"/>
  <c r="E111" i="3"/>
  <c r="E111" i="32" s="1"/>
  <c r="E112" i="3"/>
  <c r="E112" i="32" s="1"/>
  <c r="E113" i="3"/>
  <c r="E113" i="32" s="1"/>
  <c r="E114" i="3"/>
  <c r="E114" i="32" s="1"/>
  <c r="E115" i="3"/>
  <c r="E115" i="32" s="1"/>
  <c r="E116" i="3"/>
  <c r="E117" i="3"/>
  <c r="E117" i="32" s="1"/>
  <c r="E118" i="3"/>
  <c r="E118" i="32" s="1"/>
  <c r="E104" i="3"/>
  <c r="H296" i="2"/>
  <c r="I296" i="2"/>
  <c r="J296" i="2"/>
  <c r="K296" i="2"/>
  <c r="L296" i="2"/>
  <c r="M296" i="2"/>
  <c r="N296" i="2"/>
  <c r="H297" i="2"/>
  <c r="I297" i="2"/>
  <c r="J297" i="2"/>
  <c r="K297" i="2"/>
  <c r="L297" i="2"/>
  <c r="M297" i="2"/>
  <c r="N297" i="2"/>
  <c r="H298" i="2"/>
  <c r="I298" i="2"/>
  <c r="J298" i="2"/>
  <c r="K298" i="2"/>
  <c r="L298" i="2"/>
  <c r="M298" i="2"/>
  <c r="N298" i="2"/>
  <c r="G297" i="2"/>
  <c r="G296" i="2"/>
  <c r="O20" i="35"/>
  <c r="O21" i="35"/>
  <c r="O23" i="35"/>
  <c r="O19" i="35"/>
  <c r="G34" i="35"/>
  <c r="H34" i="35"/>
  <c r="I34" i="35"/>
  <c r="J34" i="35"/>
  <c r="K34" i="35"/>
  <c r="L34" i="35"/>
  <c r="R16" i="4"/>
  <c r="R17" i="4"/>
  <c r="R18" i="4"/>
  <c r="R19" i="4"/>
  <c r="R20" i="4"/>
  <c r="R21" i="4"/>
  <c r="R22" i="4"/>
  <c r="R23" i="4"/>
  <c r="U10" i="4"/>
  <c r="R8" i="4"/>
  <c r="V8" i="4"/>
  <c r="Q8" i="4"/>
  <c r="U8" i="4"/>
  <c r="Q7" i="4"/>
  <c r="U7" i="4"/>
  <c r="V19" i="4"/>
  <c r="W19" i="4"/>
  <c r="E59" i="3"/>
  <c r="E47" i="41" s="1"/>
  <c r="Z28" i="3"/>
  <c r="Z30" i="3" s="1"/>
  <c r="AC30" i="3" s="1"/>
  <c r="E30" i="3" s="1"/>
  <c r="AN12" i="4"/>
  <c r="AM12" i="4"/>
  <c r="I37" i="1"/>
  <c r="I38" i="1"/>
  <c r="I38" i="34" s="1"/>
  <c r="I39" i="1"/>
  <c r="I39" i="34" s="1"/>
  <c r="F12" i="37"/>
  <c r="E15" i="35"/>
  <c r="F17" i="37"/>
  <c r="K72" i="37"/>
  <c r="H72" i="37"/>
  <c r="K71" i="37"/>
  <c r="H71" i="37"/>
  <c r="M69" i="37"/>
  <c r="K69" i="37"/>
  <c r="I69" i="37"/>
  <c r="G69" i="37"/>
  <c r="M25" i="37"/>
  <c r="M23" i="37"/>
  <c r="K68" i="37"/>
  <c r="H68" i="37"/>
  <c r="K67" i="37"/>
  <c r="H67" i="37"/>
  <c r="M66" i="37"/>
  <c r="K66" i="37"/>
  <c r="I66" i="37"/>
  <c r="G66" i="37"/>
  <c r="G36" i="37"/>
  <c r="G11" i="37"/>
  <c r="F21" i="35"/>
  <c r="K65" i="37"/>
  <c r="H65" i="37"/>
  <c r="K64" i="37"/>
  <c r="H64" i="37"/>
  <c r="K63" i="37"/>
  <c r="H63" i="37"/>
  <c r="K62" i="37"/>
  <c r="H62" i="37"/>
  <c r="K61" i="37"/>
  <c r="H61" i="37"/>
  <c r="M60" i="37"/>
  <c r="K60" i="37"/>
  <c r="I60" i="37"/>
  <c r="G60" i="37"/>
  <c r="M58" i="37"/>
  <c r="K58" i="37"/>
  <c r="I58" i="37"/>
  <c r="G58" i="37"/>
  <c r="K57" i="37"/>
  <c r="H57" i="37"/>
  <c r="K56" i="37"/>
  <c r="H56" i="37"/>
  <c r="M55" i="37"/>
  <c r="K55" i="37"/>
  <c r="I55" i="37"/>
  <c r="G55" i="37"/>
  <c r="M54" i="37"/>
  <c r="K54" i="37"/>
  <c r="I54" i="37"/>
  <c r="G54" i="37"/>
  <c r="K53" i="37"/>
  <c r="H53" i="37"/>
  <c r="M52" i="37"/>
  <c r="L52" i="37"/>
  <c r="K52" i="37"/>
  <c r="J52" i="37"/>
  <c r="I52" i="37"/>
  <c r="H52" i="37"/>
  <c r="G52" i="37"/>
  <c r="F52" i="37"/>
  <c r="K51" i="37"/>
  <c r="H51" i="37"/>
  <c r="M50" i="37"/>
  <c r="K50" i="37"/>
  <c r="I50" i="37"/>
  <c r="G50" i="37"/>
  <c r="M48" i="37"/>
  <c r="K48" i="37"/>
  <c r="K36" i="37"/>
  <c r="K11" i="37"/>
  <c r="I48" i="37"/>
  <c r="G48" i="37"/>
  <c r="M47" i="37"/>
  <c r="K47" i="37"/>
  <c r="I47" i="37"/>
  <c r="G47" i="37"/>
  <c r="K46" i="37"/>
  <c r="H46" i="37"/>
  <c r="K45" i="37"/>
  <c r="H45" i="37"/>
  <c r="M44" i="37"/>
  <c r="K44" i="37"/>
  <c r="I44" i="37"/>
  <c r="G44" i="37"/>
  <c r="K43" i="37"/>
  <c r="H43" i="37"/>
  <c r="H36" i="37"/>
  <c r="H11" i="37"/>
  <c r="M42" i="37"/>
  <c r="L42" i="37"/>
  <c r="K42" i="37"/>
  <c r="J42" i="37"/>
  <c r="I42" i="37"/>
  <c r="H42" i="37"/>
  <c r="G42" i="37"/>
  <c r="F42" i="37"/>
  <c r="F36" i="37"/>
  <c r="F11" i="37"/>
  <c r="K41" i="37"/>
  <c r="H41" i="37"/>
  <c r="K40" i="37"/>
  <c r="H40" i="37"/>
  <c r="K38" i="37"/>
  <c r="H38" i="37"/>
  <c r="M36" i="37"/>
  <c r="L36" i="37"/>
  <c r="L11" i="37"/>
  <c r="K21" i="35"/>
  <c r="J36" i="37"/>
  <c r="I36" i="37"/>
  <c r="M35" i="37"/>
  <c r="L35" i="37"/>
  <c r="K35" i="37"/>
  <c r="J35" i="37"/>
  <c r="I35" i="37"/>
  <c r="H35" i="37"/>
  <c r="G35" i="37"/>
  <c r="F35" i="37"/>
  <c r="M34" i="37"/>
  <c r="L34" i="37"/>
  <c r="K34" i="37"/>
  <c r="J34" i="37"/>
  <c r="I34" i="37"/>
  <c r="H34" i="37"/>
  <c r="G34" i="37"/>
  <c r="F34" i="37"/>
  <c r="M33" i="37"/>
  <c r="L33" i="37"/>
  <c r="K33" i="37"/>
  <c r="J33" i="37"/>
  <c r="I33" i="37"/>
  <c r="H33" i="37"/>
  <c r="G33" i="37"/>
  <c r="F33" i="37"/>
  <c r="M32" i="37"/>
  <c r="L32" i="37"/>
  <c r="K32" i="37"/>
  <c r="J32" i="37"/>
  <c r="I32" i="37"/>
  <c r="H32" i="37"/>
  <c r="G32" i="37"/>
  <c r="F32" i="37"/>
  <c r="M31" i="37"/>
  <c r="L31" i="37"/>
  <c r="K31" i="37"/>
  <c r="J31" i="37"/>
  <c r="I31" i="37"/>
  <c r="H31" i="37"/>
  <c r="G31" i="37"/>
  <c r="F31" i="37"/>
  <c r="M30" i="37"/>
  <c r="L30" i="37"/>
  <c r="L10" i="37"/>
  <c r="K30" i="37"/>
  <c r="J30" i="37"/>
  <c r="I30" i="37"/>
  <c r="H30" i="37"/>
  <c r="G30" i="37"/>
  <c r="F30" i="37"/>
  <c r="K26" i="37"/>
  <c r="H26" i="37"/>
  <c r="H23" i="37"/>
  <c r="B26" i="37"/>
  <c r="B25" i="37"/>
  <c r="M24" i="37"/>
  <c r="L24" i="37"/>
  <c r="L23" i="37"/>
  <c r="K24" i="37"/>
  <c r="J24" i="37"/>
  <c r="I24" i="37"/>
  <c r="H24" i="37"/>
  <c r="G24" i="37"/>
  <c r="F24" i="37"/>
  <c r="F23" i="37"/>
  <c r="B24" i="37"/>
  <c r="J23" i="37"/>
  <c r="D21" i="37"/>
  <c r="D26" i="37"/>
  <c r="K19" i="37"/>
  <c r="H19" i="37"/>
  <c r="M18" i="37"/>
  <c r="K18" i="37"/>
  <c r="I18" i="37"/>
  <c r="I16" i="37"/>
  <c r="I8" i="37"/>
  <c r="H14" i="35"/>
  <c r="G18" i="37"/>
  <c r="M17" i="37"/>
  <c r="L17" i="37"/>
  <c r="K17" i="37"/>
  <c r="J17" i="37"/>
  <c r="I17" i="37"/>
  <c r="H17" i="37"/>
  <c r="G17" i="37"/>
  <c r="G16" i="37"/>
  <c r="G8" i="37"/>
  <c r="F14" i="35"/>
  <c r="F15" i="35"/>
  <c r="M16" i="37"/>
  <c r="L16" i="37"/>
  <c r="K16" i="37"/>
  <c r="J16" i="37"/>
  <c r="H16" i="37"/>
  <c r="F16" i="37"/>
  <c r="F15" i="37"/>
  <c r="F22" i="37"/>
  <c r="M11" i="37"/>
  <c r="J11" i="37"/>
  <c r="I11" i="37"/>
  <c r="M10" i="37"/>
  <c r="K10" i="37"/>
  <c r="J10" i="37"/>
  <c r="I10" i="37"/>
  <c r="H10" i="37"/>
  <c r="G10" i="37"/>
  <c r="F10" i="37"/>
  <c r="M8" i="37"/>
  <c r="L8" i="37"/>
  <c r="K8" i="37"/>
  <c r="J8" i="37"/>
  <c r="H8" i="37"/>
  <c r="F8" i="37"/>
  <c r="E6" i="37"/>
  <c r="F6" i="37"/>
  <c r="G4" i="37"/>
  <c r="G15" i="37"/>
  <c r="G22" i="37"/>
  <c r="G54" i="36"/>
  <c r="G53" i="36"/>
  <c r="G52" i="36"/>
  <c r="G51" i="36"/>
  <c r="G50" i="36"/>
  <c r="G49" i="36"/>
  <c r="F48" i="36"/>
  <c r="E48" i="36"/>
  <c r="F43" i="36"/>
  <c r="E43" i="36"/>
  <c r="K42" i="36"/>
  <c r="K41" i="36"/>
  <c r="K40" i="36"/>
  <c r="K39" i="36"/>
  <c r="K38" i="36"/>
  <c r="K37" i="36"/>
  <c r="K36" i="36"/>
  <c r="K35" i="36"/>
  <c r="J35" i="36"/>
  <c r="F34" i="36"/>
  <c r="E34" i="36"/>
  <c r="M33" i="36"/>
  <c r="M32" i="36"/>
  <c r="L32" i="36"/>
  <c r="M31" i="36"/>
  <c r="L31" i="36"/>
  <c r="M30" i="36"/>
  <c r="L30" i="36"/>
  <c r="M29" i="36"/>
  <c r="L29" i="36"/>
  <c r="J29" i="36"/>
  <c r="M28" i="36"/>
  <c r="L28" i="36"/>
  <c r="J28" i="36"/>
  <c r="M27" i="36"/>
  <c r="L27" i="36"/>
  <c r="J27" i="36"/>
  <c r="M26" i="36"/>
  <c r="L26" i="36"/>
  <c r="K26" i="36"/>
  <c r="J26" i="36"/>
  <c r="F25" i="36"/>
  <c r="E25" i="36"/>
  <c r="M24" i="36"/>
  <c r="L24" i="36"/>
  <c r="G24" i="36"/>
  <c r="M23" i="36"/>
  <c r="L23" i="36"/>
  <c r="G23" i="36"/>
  <c r="F22" i="36"/>
  <c r="E22" i="36"/>
  <c r="N18" i="36"/>
  <c r="N54" i="36"/>
  <c r="M18" i="36"/>
  <c r="M54" i="36"/>
  <c r="L18" i="36"/>
  <c r="L54" i="36"/>
  <c r="K18" i="36"/>
  <c r="K54" i="36"/>
  <c r="J18" i="36"/>
  <c r="J54" i="36"/>
  <c r="I18" i="36"/>
  <c r="I54" i="36"/>
  <c r="H18" i="36"/>
  <c r="H54" i="36"/>
  <c r="G18" i="36"/>
  <c r="N17" i="36"/>
  <c r="N47" i="36"/>
  <c r="M17" i="36"/>
  <c r="M47" i="36"/>
  <c r="L17" i="36"/>
  <c r="L47" i="36"/>
  <c r="K17" i="36"/>
  <c r="K47" i="36"/>
  <c r="J17" i="36"/>
  <c r="J47" i="36"/>
  <c r="I17" i="36"/>
  <c r="I47" i="36"/>
  <c r="H17" i="36"/>
  <c r="H47" i="36"/>
  <c r="G17" i="36"/>
  <c r="G47" i="36"/>
  <c r="N16" i="36"/>
  <c r="N42" i="36"/>
  <c r="M16" i="36"/>
  <c r="M42" i="36"/>
  <c r="L16" i="36"/>
  <c r="L42" i="36"/>
  <c r="K16" i="36"/>
  <c r="J16" i="36"/>
  <c r="J42" i="36"/>
  <c r="I16" i="36"/>
  <c r="I42" i="36"/>
  <c r="H16" i="36"/>
  <c r="H42" i="36"/>
  <c r="G16" i="36"/>
  <c r="G42" i="36"/>
  <c r="N15" i="36"/>
  <c r="N33" i="36"/>
  <c r="M15" i="36"/>
  <c r="L15" i="36"/>
  <c r="L33" i="36"/>
  <c r="K15" i="36"/>
  <c r="K33" i="36"/>
  <c r="J15" i="36"/>
  <c r="J33" i="36"/>
  <c r="I15" i="36"/>
  <c r="I33" i="36"/>
  <c r="H15" i="36"/>
  <c r="H33" i="36"/>
  <c r="G15" i="36"/>
  <c r="G33" i="36"/>
  <c r="N14" i="36"/>
  <c r="N24" i="36"/>
  <c r="M14" i="36"/>
  <c r="L14" i="36"/>
  <c r="K14" i="36"/>
  <c r="K24" i="36"/>
  <c r="J14" i="36"/>
  <c r="J24" i="36"/>
  <c r="I14" i="36"/>
  <c r="I24" i="36"/>
  <c r="H14" i="36"/>
  <c r="H24" i="36"/>
  <c r="G14" i="36"/>
  <c r="N13" i="36"/>
  <c r="M13" i="36"/>
  <c r="L13" i="36"/>
  <c r="K13" i="36"/>
  <c r="J13" i="36"/>
  <c r="I13" i="36"/>
  <c r="I7" i="36"/>
  <c r="G13" i="35"/>
  <c r="H13" i="36"/>
  <c r="G13" i="36"/>
  <c r="N10" i="36"/>
  <c r="M10" i="36"/>
  <c r="L10" i="36"/>
  <c r="J22" i="35"/>
  <c r="K10" i="36"/>
  <c r="J10" i="36"/>
  <c r="I10" i="36"/>
  <c r="G22" i="35"/>
  <c r="N7" i="36"/>
  <c r="M7" i="36"/>
  <c r="L7" i="36"/>
  <c r="J13" i="35"/>
  <c r="K7" i="36"/>
  <c r="J7" i="36"/>
  <c r="H7" i="36"/>
  <c r="G7" i="36"/>
  <c r="I6" i="36"/>
  <c r="J6" i="36"/>
  <c r="H6" i="36"/>
  <c r="G6" i="36"/>
  <c r="I5" i="36"/>
  <c r="H5" i="36"/>
  <c r="H4" i="36"/>
  <c r="I4" i="36"/>
  <c r="J4" i="36"/>
  <c r="K4" i="36"/>
  <c r="L4" i="36"/>
  <c r="M4" i="36"/>
  <c r="N4" i="36"/>
  <c r="G4" i="36"/>
  <c r="L22" i="35"/>
  <c r="K22" i="35"/>
  <c r="I22" i="35"/>
  <c r="H22" i="35"/>
  <c r="F22" i="35"/>
  <c r="E22" i="35"/>
  <c r="E18" i="35" s="1"/>
  <c r="L21" i="35"/>
  <c r="I21" i="35"/>
  <c r="H21" i="35"/>
  <c r="L20" i="35"/>
  <c r="J20" i="35"/>
  <c r="I20" i="35"/>
  <c r="H20" i="35"/>
  <c r="G20" i="35"/>
  <c r="E20" i="35"/>
  <c r="L15" i="35"/>
  <c r="I15" i="35"/>
  <c r="L14" i="35"/>
  <c r="K14" i="35"/>
  <c r="J14" i="35"/>
  <c r="I14" i="35"/>
  <c r="G14" i="35"/>
  <c r="E14" i="35"/>
  <c r="L13" i="35"/>
  <c r="K13" i="35"/>
  <c r="K15" i="35"/>
  <c r="I13" i="35"/>
  <c r="H13" i="35"/>
  <c r="F13" i="35"/>
  <c r="F12" i="35"/>
  <c r="E13" i="35"/>
  <c r="L12" i="35"/>
  <c r="M3" i="37"/>
  <c r="I12" i="35"/>
  <c r="K3" i="36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E4" i="35"/>
  <c r="F4" i="35"/>
  <c r="G4" i="35"/>
  <c r="H4" i="35"/>
  <c r="I4" i="35"/>
  <c r="J4" i="35"/>
  <c r="K4" i="35"/>
  <c r="L4" i="35"/>
  <c r="V18" i="4"/>
  <c r="W18" i="4"/>
  <c r="V16" i="4"/>
  <c r="W16" i="4"/>
  <c r="AI10" i="4"/>
  <c r="AJ10" i="4" s="1"/>
  <c r="AK10" i="4" s="1"/>
  <c r="V9" i="4"/>
  <c r="V17" i="4"/>
  <c r="W17" i="4"/>
  <c r="V23" i="4"/>
  <c r="W23" i="4"/>
  <c r="R9" i="4"/>
  <c r="V22" i="4"/>
  <c r="W22" i="4"/>
  <c r="V21" i="4"/>
  <c r="W21" i="4"/>
  <c r="V20" i="4"/>
  <c r="W20" i="4"/>
  <c r="J21" i="35"/>
  <c r="G5" i="37"/>
  <c r="G6" i="37"/>
  <c r="E21" i="35"/>
  <c r="G21" i="35"/>
  <c r="J15" i="35"/>
  <c r="J12" i="35"/>
  <c r="H3" i="36"/>
  <c r="G3" i="37"/>
  <c r="G23" i="37"/>
  <c r="K20" i="35"/>
  <c r="K6" i="36"/>
  <c r="K5" i="36"/>
  <c r="G15" i="35"/>
  <c r="G12" i="35"/>
  <c r="I46" i="36"/>
  <c r="J5" i="36"/>
  <c r="H23" i="36"/>
  <c r="N26" i="36"/>
  <c r="N27" i="36"/>
  <c r="N28" i="36"/>
  <c r="N29" i="36"/>
  <c r="N30" i="36"/>
  <c r="N31" i="36"/>
  <c r="N32" i="36"/>
  <c r="L35" i="36"/>
  <c r="L21" i="36"/>
  <c r="L9" i="36"/>
  <c r="L36" i="36"/>
  <c r="L37" i="36"/>
  <c r="L38" i="36"/>
  <c r="L39" i="36"/>
  <c r="L40" i="36"/>
  <c r="L41" i="36"/>
  <c r="J44" i="36"/>
  <c r="J45" i="36"/>
  <c r="J46" i="36"/>
  <c r="H49" i="36"/>
  <c r="H50" i="36"/>
  <c r="H51" i="36"/>
  <c r="H52" i="36"/>
  <c r="H53" i="36"/>
  <c r="H4" i="37"/>
  <c r="D25" i="37"/>
  <c r="I45" i="36"/>
  <c r="K12" i="35"/>
  <c r="H15" i="35"/>
  <c r="H12" i="35"/>
  <c r="I23" i="36"/>
  <c r="G26" i="36"/>
  <c r="G21" i="36"/>
  <c r="G9" i="36"/>
  <c r="G27" i="36"/>
  <c r="G28" i="36"/>
  <c r="G29" i="36"/>
  <c r="G30" i="36"/>
  <c r="G31" i="36"/>
  <c r="G32" i="36"/>
  <c r="M35" i="36"/>
  <c r="M21" i="36"/>
  <c r="M9" i="36"/>
  <c r="M36" i="36"/>
  <c r="M37" i="36"/>
  <c r="M38" i="36"/>
  <c r="M39" i="36"/>
  <c r="M40" i="36"/>
  <c r="M41" i="36"/>
  <c r="K44" i="36"/>
  <c r="K45" i="36"/>
  <c r="K46" i="36"/>
  <c r="I49" i="36"/>
  <c r="I50" i="36"/>
  <c r="I51" i="36"/>
  <c r="I52" i="36"/>
  <c r="I53" i="36"/>
  <c r="G25" i="37"/>
  <c r="J23" i="36"/>
  <c r="H26" i="36"/>
  <c r="H27" i="36"/>
  <c r="H28" i="36"/>
  <c r="H29" i="36"/>
  <c r="H30" i="36"/>
  <c r="H31" i="36"/>
  <c r="H32" i="36"/>
  <c r="N35" i="36"/>
  <c r="N36" i="36"/>
  <c r="N37" i="36"/>
  <c r="N38" i="36"/>
  <c r="N39" i="36"/>
  <c r="N40" i="36"/>
  <c r="N41" i="36"/>
  <c r="L44" i="36"/>
  <c r="L45" i="36"/>
  <c r="L46" i="36"/>
  <c r="J49" i="36"/>
  <c r="J50" i="36"/>
  <c r="J51" i="36"/>
  <c r="J52" i="36"/>
  <c r="J53" i="36"/>
  <c r="I25" i="37"/>
  <c r="I23" i="37"/>
  <c r="E12" i="35"/>
  <c r="K23" i="36"/>
  <c r="I26" i="36"/>
  <c r="I27" i="36"/>
  <c r="I28" i="36"/>
  <c r="I29" i="36"/>
  <c r="I30" i="36"/>
  <c r="I31" i="36"/>
  <c r="I32" i="36"/>
  <c r="G35" i="36"/>
  <c r="G36" i="36"/>
  <c r="G37" i="36"/>
  <c r="G38" i="36"/>
  <c r="G39" i="36"/>
  <c r="G40" i="36"/>
  <c r="G41" i="36"/>
  <c r="M44" i="36"/>
  <c r="M45" i="36"/>
  <c r="M46" i="36"/>
  <c r="K49" i="36"/>
  <c r="K50" i="36"/>
  <c r="K51" i="36"/>
  <c r="K52" i="36"/>
  <c r="K53" i="36"/>
  <c r="J3" i="37"/>
  <c r="K25" i="37"/>
  <c r="K23" i="37"/>
  <c r="F20" i="35"/>
  <c r="J30" i="36"/>
  <c r="J31" i="36"/>
  <c r="J32" i="36"/>
  <c r="H35" i="36"/>
  <c r="H36" i="36"/>
  <c r="H37" i="36"/>
  <c r="H38" i="36"/>
  <c r="H39" i="36"/>
  <c r="H40" i="36"/>
  <c r="H41" i="36"/>
  <c r="N44" i="36"/>
  <c r="N45" i="36"/>
  <c r="N46" i="36"/>
  <c r="L49" i="36"/>
  <c r="L50" i="36"/>
  <c r="L51" i="36"/>
  <c r="L52" i="36"/>
  <c r="L53" i="36"/>
  <c r="N3" i="36"/>
  <c r="K27" i="36"/>
  <c r="K28" i="36"/>
  <c r="K29" i="36"/>
  <c r="K30" i="36"/>
  <c r="K31" i="36"/>
  <c r="K32" i="36"/>
  <c r="I35" i="36"/>
  <c r="I36" i="36"/>
  <c r="I37" i="36"/>
  <c r="I38" i="36"/>
  <c r="I39" i="36"/>
  <c r="I40" i="36"/>
  <c r="I41" i="36"/>
  <c r="G44" i="36"/>
  <c r="G45" i="36"/>
  <c r="G46" i="36"/>
  <c r="M49" i="36"/>
  <c r="M50" i="36"/>
  <c r="M51" i="36"/>
  <c r="M52" i="36"/>
  <c r="M53" i="36"/>
  <c r="I44" i="36"/>
  <c r="N23" i="36"/>
  <c r="J36" i="36"/>
  <c r="J37" i="36"/>
  <c r="J38" i="36"/>
  <c r="J39" i="36"/>
  <c r="J40" i="36"/>
  <c r="J41" i="36"/>
  <c r="H44" i="36"/>
  <c r="H45" i="36"/>
  <c r="H46" i="36"/>
  <c r="N49" i="36"/>
  <c r="N50" i="36"/>
  <c r="N51" i="36"/>
  <c r="N52" i="36"/>
  <c r="N53" i="36"/>
  <c r="D24" i="37"/>
  <c r="W9" i="4"/>
  <c r="R10" i="4"/>
  <c r="J19" i="35"/>
  <c r="L8" i="36"/>
  <c r="K3" i="37"/>
  <c r="L3" i="36"/>
  <c r="G8" i="36"/>
  <c r="E19" i="35"/>
  <c r="H3" i="37"/>
  <c r="I3" i="36"/>
  <c r="M8" i="36"/>
  <c r="K19" i="35"/>
  <c r="I3" i="37"/>
  <c r="J3" i="36"/>
  <c r="G3" i="36"/>
  <c r="F3" i="37"/>
  <c r="J21" i="36"/>
  <c r="J9" i="36"/>
  <c r="I21" i="36"/>
  <c r="I9" i="36"/>
  <c r="K21" i="36"/>
  <c r="K9" i="36"/>
  <c r="L3" i="37"/>
  <c r="M3" i="36"/>
  <c r="H5" i="37"/>
  <c r="H6" i="37"/>
  <c r="N21" i="36"/>
  <c r="N9" i="36"/>
  <c r="H21" i="36"/>
  <c r="H9" i="36"/>
  <c r="L5" i="36"/>
  <c r="L6" i="36"/>
  <c r="M12" i="37"/>
  <c r="G12" i="37"/>
  <c r="L12" i="37"/>
  <c r="K12" i="37"/>
  <c r="J12" i="37"/>
  <c r="I12" i="37"/>
  <c r="H12" i="37"/>
  <c r="I4" i="37"/>
  <c r="H15" i="37"/>
  <c r="H22" i="37"/>
  <c r="I9" i="37"/>
  <c r="H23" i="35"/>
  <c r="I23" i="35"/>
  <c r="J9" i="37"/>
  <c r="H19" i="35"/>
  <c r="H18" i="35"/>
  <c r="J8" i="36"/>
  <c r="J23" i="35"/>
  <c r="J18" i="35"/>
  <c r="K9" i="37"/>
  <c r="N8" i="36"/>
  <c r="L19" i="35"/>
  <c r="G19" i="35"/>
  <c r="G18" i="35"/>
  <c r="I8" i="36"/>
  <c r="H8" i="36"/>
  <c r="F19" i="35"/>
  <c r="F18" i="35"/>
  <c r="F34" i="35" s="1"/>
  <c r="K23" i="35"/>
  <c r="K18" i="35"/>
  <c r="L9" i="37"/>
  <c r="I6" i="37"/>
  <c r="I5" i="37"/>
  <c r="J4" i="37"/>
  <c r="I15" i="37"/>
  <c r="I22" i="37"/>
  <c r="E23" i="35"/>
  <c r="F9" i="37"/>
  <c r="F23" i="35"/>
  <c r="G9" i="37"/>
  <c r="M9" i="37"/>
  <c r="L23" i="35"/>
  <c r="G23" i="35"/>
  <c r="H9" i="37"/>
  <c r="M6" i="36"/>
  <c r="M5" i="36"/>
  <c r="I19" i="35"/>
  <c r="K8" i="36"/>
  <c r="N6" i="36"/>
  <c r="N5" i="36"/>
  <c r="J6" i="37"/>
  <c r="J5" i="37"/>
  <c r="L18" i="35"/>
  <c r="K4" i="37"/>
  <c r="J15" i="37"/>
  <c r="J22" i="37"/>
  <c r="I18" i="35"/>
  <c r="L4" i="37"/>
  <c r="K15" i="37"/>
  <c r="K22" i="37"/>
  <c r="K6" i="37"/>
  <c r="K5" i="37"/>
  <c r="L6" i="37"/>
  <c r="L5" i="37"/>
  <c r="M4" i="37"/>
  <c r="M15" i="37"/>
  <c r="M22" i="37"/>
  <c r="L15" i="37"/>
  <c r="L22" i="37"/>
  <c r="M6" i="37"/>
  <c r="M5" i="37"/>
  <c r="G23" i="34"/>
  <c r="G66" i="34" s="1"/>
  <c r="H23" i="34"/>
  <c r="H66" i="34"/>
  <c r="I23" i="34"/>
  <c r="J23" i="34"/>
  <c r="K23" i="34"/>
  <c r="L23" i="34"/>
  <c r="M23" i="34"/>
  <c r="M66" i="34"/>
  <c r="N23" i="34"/>
  <c r="O23" i="34"/>
  <c r="O66" i="34" s="1"/>
  <c r="P23" i="34"/>
  <c r="Q23" i="34"/>
  <c r="R23" i="34"/>
  <c r="S23" i="34"/>
  <c r="S66" i="34" s="1"/>
  <c r="T23" i="34"/>
  <c r="C22" i="32" s="1"/>
  <c r="C38" i="32" s="1"/>
  <c r="G37" i="34"/>
  <c r="H37" i="34"/>
  <c r="I37" i="34"/>
  <c r="L37" i="34"/>
  <c r="M37" i="34"/>
  <c r="N37" i="34"/>
  <c r="O37" i="34"/>
  <c r="P37" i="34"/>
  <c r="Q37" i="34"/>
  <c r="R37" i="34"/>
  <c r="S37" i="34"/>
  <c r="T37" i="34"/>
  <c r="G38" i="34"/>
  <c r="L38" i="34"/>
  <c r="M38" i="34"/>
  <c r="N38" i="34"/>
  <c r="O38" i="34"/>
  <c r="P38" i="34"/>
  <c r="Q38" i="34"/>
  <c r="R38" i="34"/>
  <c r="S38" i="34"/>
  <c r="T38" i="34"/>
  <c r="G39" i="34"/>
  <c r="L39" i="34"/>
  <c r="M39" i="34"/>
  <c r="N39" i="34"/>
  <c r="O39" i="34"/>
  <c r="P39" i="34"/>
  <c r="Q39" i="34"/>
  <c r="R39" i="34"/>
  <c r="S39" i="34"/>
  <c r="T39" i="34"/>
  <c r="G42" i="34"/>
  <c r="H42" i="34"/>
  <c r="I42" i="34"/>
  <c r="J42" i="34"/>
  <c r="L42" i="34"/>
  <c r="M42" i="34"/>
  <c r="N42" i="34"/>
  <c r="O42" i="34"/>
  <c r="P42" i="34"/>
  <c r="Q42" i="34"/>
  <c r="R42" i="34"/>
  <c r="S42" i="34"/>
  <c r="T42" i="34"/>
  <c r="G43" i="34"/>
  <c r="H43" i="34"/>
  <c r="I43" i="34"/>
  <c r="J43" i="34"/>
  <c r="L43" i="34"/>
  <c r="M43" i="34"/>
  <c r="N43" i="34"/>
  <c r="O43" i="34"/>
  <c r="P43" i="34"/>
  <c r="Q43" i="34"/>
  <c r="R43" i="34"/>
  <c r="S43" i="34"/>
  <c r="T43" i="34"/>
  <c r="G44" i="34"/>
  <c r="H44" i="34"/>
  <c r="I44" i="34"/>
  <c r="J44" i="34"/>
  <c r="L44" i="34"/>
  <c r="M44" i="34"/>
  <c r="M41" i="34" s="1"/>
  <c r="N44" i="34"/>
  <c r="O44" i="34"/>
  <c r="P44" i="34"/>
  <c r="Q44" i="34"/>
  <c r="R44" i="34"/>
  <c r="S44" i="34"/>
  <c r="T44" i="34"/>
  <c r="T41" i="34" s="1"/>
  <c r="T49" i="34" s="1"/>
  <c r="G45" i="34"/>
  <c r="H45" i="34"/>
  <c r="H41" i="34" s="1"/>
  <c r="I45" i="34"/>
  <c r="J45" i="34"/>
  <c r="L45" i="34"/>
  <c r="M45" i="34"/>
  <c r="N45" i="34"/>
  <c r="O45" i="34"/>
  <c r="O41" i="34" s="1"/>
  <c r="P45" i="34"/>
  <c r="Q45" i="34"/>
  <c r="R45" i="34"/>
  <c r="S45" i="34"/>
  <c r="T45" i="34"/>
  <c r="G46" i="34"/>
  <c r="H46" i="34"/>
  <c r="I46" i="34"/>
  <c r="J46" i="34"/>
  <c r="L46" i="34"/>
  <c r="M46" i="34"/>
  <c r="N46" i="34"/>
  <c r="O46" i="34"/>
  <c r="P46" i="34"/>
  <c r="Q46" i="34"/>
  <c r="R46" i="34"/>
  <c r="S46" i="34"/>
  <c r="T46" i="34"/>
  <c r="J66" i="34"/>
  <c r="N66" i="34"/>
  <c r="Q66" i="34"/>
  <c r="R66" i="34"/>
  <c r="D62" i="34"/>
  <c r="A62" i="34"/>
  <c r="D61" i="34"/>
  <c r="D91" i="34" s="1"/>
  <c r="A61" i="34"/>
  <c r="E53" i="34"/>
  <c r="D53" i="34"/>
  <c r="D83" i="34" s="1"/>
  <c r="A53" i="34"/>
  <c r="F46" i="34"/>
  <c r="F45" i="34"/>
  <c r="F44" i="34"/>
  <c r="F43" i="34"/>
  <c r="F42" i="34"/>
  <c r="F38" i="34"/>
  <c r="F39" i="34"/>
  <c r="F37" i="34"/>
  <c r="G2" i="33"/>
  <c r="E1" i="32" s="1"/>
  <c r="D377" i="33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89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D191" i="33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3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D279" i="32"/>
  <c r="F47" i="32"/>
  <c r="G47" i="32" s="1"/>
  <c r="H47" i="32"/>
  <c r="I47" i="32" s="1"/>
  <c r="J47" i="32" s="1"/>
  <c r="K47" i="32" s="1"/>
  <c r="L47" i="32" s="1"/>
  <c r="M47" i="32" s="1"/>
  <c r="N47" i="32" s="1"/>
  <c r="O47" i="32" s="1"/>
  <c r="P47" i="32" s="1"/>
  <c r="Q47" i="32" s="1"/>
  <c r="R47" i="32" s="1"/>
  <c r="S47" i="32" s="1"/>
  <c r="T47" i="32" s="1"/>
  <c r="U47" i="32" s="1"/>
  <c r="V47" i="32" s="1"/>
  <c r="W47" i="32" s="1"/>
  <c r="X47" i="32" s="1"/>
  <c r="F48" i="32"/>
  <c r="G48" i="32"/>
  <c r="H48" i="32" s="1"/>
  <c r="I48" i="32" s="1"/>
  <c r="J48" i="32" s="1"/>
  <c r="K48" i="32" s="1"/>
  <c r="L48" i="32" s="1"/>
  <c r="M48" i="32" s="1"/>
  <c r="N48" i="32" s="1"/>
  <c r="O48" i="32" s="1"/>
  <c r="P48" i="32" s="1"/>
  <c r="Q48" i="32" s="1"/>
  <c r="R48" i="32" s="1"/>
  <c r="S48" i="32" s="1"/>
  <c r="T48" i="32" s="1"/>
  <c r="U48" i="32" s="1"/>
  <c r="V48" i="32" s="1"/>
  <c r="W48" i="32" s="1"/>
  <c r="X48" i="32" s="1"/>
  <c r="F49" i="32"/>
  <c r="G49" i="32" s="1"/>
  <c r="H49" i="32" s="1"/>
  <c r="I49" i="32" s="1"/>
  <c r="J49" i="32" s="1"/>
  <c r="K49" i="32" s="1"/>
  <c r="L49" i="32" s="1"/>
  <c r="M49" i="32" s="1"/>
  <c r="N49" i="32" s="1"/>
  <c r="O49" i="32" s="1"/>
  <c r="P49" i="32" s="1"/>
  <c r="Q49" i="32" s="1"/>
  <c r="R49" i="32" s="1"/>
  <c r="S49" i="32" s="1"/>
  <c r="T49" i="32" s="1"/>
  <c r="U49" i="32" s="1"/>
  <c r="V49" i="32" s="1"/>
  <c r="W49" i="32" s="1"/>
  <c r="X49" i="32" s="1"/>
  <c r="F51" i="32"/>
  <c r="G51" i="32"/>
  <c r="H51" i="32" s="1"/>
  <c r="I51" i="32" s="1"/>
  <c r="J51" i="32" s="1"/>
  <c r="K51" i="32" s="1"/>
  <c r="L51" i="32" s="1"/>
  <c r="M51" i="32" s="1"/>
  <c r="N51" i="32" s="1"/>
  <c r="O51" i="32" s="1"/>
  <c r="P51" i="32" s="1"/>
  <c r="Q51" i="32" s="1"/>
  <c r="R51" i="32" s="1"/>
  <c r="S51" i="32" s="1"/>
  <c r="T51" i="32" s="1"/>
  <c r="U51" i="32" s="1"/>
  <c r="V51" i="32" s="1"/>
  <c r="W51" i="32" s="1"/>
  <c r="X51" i="32" s="1"/>
  <c r="F53" i="32"/>
  <c r="G53" i="32" s="1"/>
  <c r="H53" i="32" s="1"/>
  <c r="I53" i="32" s="1"/>
  <c r="J53" i="32" s="1"/>
  <c r="K53" i="32" s="1"/>
  <c r="L53" i="32" s="1"/>
  <c r="M53" i="32" s="1"/>
  <c r="N53" i="32" s="1"/>
  <c r="O53" i="32" s="1"/>
  <c r="P53" i="32" s="1"/>
  <c r="Q53" i="32" s="1"/>
  <c r="R53" i="32" s="1"/>
  <c r="S53" i="32" s="1"/>
  <c r="T53" i="32" s="1"/>
  <c r="U53" i="32" s="1"/>
  <c r="V53" i="32" s="1"/>
  <c r="W53" i="32" s="1"/>
  <c r="X53" i="32" s="1"/>
  <c r="F31" i="32"/>
  <c r="F32" i="32"/>
  <c r="G32" i="32"/>
  <c r="H32" i="32" s="1"/>
  <c r="I32" i="32" s="1"/>
  <c r="J32" i="32" s="1"/>
  <c r="K32" i="32" s="1"/>
  <c r="L32" i="32" s="1"/>
  <c r="M32" i="32" s="1"/>
  <c r="N32" i="32" s="1"/>
  <c r="O32" i="32" s="1"/>
  <c r="P32" i="32" s="1"/>
  <c r="Q32" i="32" s="1"/>
  <c r="R32" i="32" s="1"/>
  <c r="S32" i="32" s="1"/>
  <c r="T32" i="32" s="1"/>
  <c r="U32" i="32" s="1"/>
  <c r="V32" i="32" s="1"/>
  <c r="W32" i="32" s="1"/>
  <c r="X32" i="32" s="1"/>
  <c r="F33" i="32"/>
  <c r="G33" i="32" s="1"/>
  <c r="F35" i="32"/>
  <c r="F38" i="32"/>
  <c r="G38" i="32" s="1"/>
  <c r="E6" i="32"/>
  <c r="C21" i="32"/>
  <c r="C37" i="32" s="1"/>
  <c r="C18" i="41" s="1"/>
  <c r="C39" i="41" s="1"/>
  <c r="C57" i="41" s="1"/>
  <c r="C20" i="32"/>
  <c r="C36" i="32"/>
  <c r="C19" i="32"/>
  <c r="C35" i="32" s="1"/>
  <c r="C16" i="32"/>
  <c r="C32" i="32" s="1"/>
  <c r="C15" i="32"/>
  <c r="C31" i="32"/>
  <c r="C47" i="32" s="1"/>
  <c r="C63" i="32" s="1"/>
  <c r="C79" i="32" s="1"/>
  <c r="C95" i="32" s="1"/>
  <c r="C111" i="32" s="1"/>
  <c r="C127" i="32" s="1"/>
  <c r="C143" i="32" s="1"/>
  <c r="C159" i="32" s="1"/>
  <c r="C175" i="32" s="1"/>
  <c r="C191" i="32" s="1"/>
  <c r="C207" i="32" s="1"/>
  <c r="C223" i="32" s="1"/>
  <c r="C239" i="32" s="1"/>
  <c r="C255" i="32" s="1"/>
  <c r="C271" i="32" s="1"/>
  <c r="C287" i="32" s="1"/>
  <c r="C12" i="32"/>
  <c r="C10" i="32"/>
  <c r="C26" i="32" s="1"/>
  <c r="C7" i="41" s="1"/>
  <c r="C42" i="32"/>
  <c r="C58" i="32" s="1"/>
  <c r="C74" i="32" s="1"/>
  <c r="C90" i="32" s="1"/>
  <c r="C106" i="32" s="1"/>
  <c r="C122" i="32" s="1"/>
  <c r="C138" i="32" s="1"/>
  <c r="C154" i="32" s="1"/>
  <c r="C170" i="32" s="1"/>
  <c r="C186" i="32" s="1"/>
  <c r="C202" i="32" s="1"/>
  <c r="C218" i="32" s="1"/>
  <c r="C234" i="32" s="1"/>
  <c r="C250" i="32" s="1"/>
  <c r="C266" i="32" s="1"/>
  <c r="C282" i="32" s="1"/>
  <c r="F23" i="34"/>
  <c r="C8" i="32" s="1"/>
  <c r="C24" i="32" s="1"/>
  <c r="C40" i="32" s="1"/>
  <c r="C56" i="32" s="1"/>
  <c r="C72" i="32" s="1"/>
  <c r="C88" i="32" s="1"/>
  <c r="C104" i="32" s="1"/>
  <c r="C120" i="32" s="1"/>
  <c r="C136" i="32" s="1"/>
  <c r="C152" i="32" s="1"/>
  <c r="C168" i="32" s="1"/>
  <c r="C184" i="32" s="1"/>
  <c r="C200" i="32" s="1"/>
  <c r="C216" i="32" s="1"/>
  <c r="C232" i="32" s="1"/>
  <c r="C248" i="32" s="1"/>
  <c r="C264" i="32" s="1"/>
  <c r="C280" i="32" s="1"/>
  <c r="F66" i="34"/>
  <c r="A66" i="34"/>
  <c r="D65" i="34"/>
  <c r="A65" i="34"/>
  <c r="E49" i="34"/>
  <c r="E46" i="34"/>
  <c r="E45" i="34"/>
  <c r="E44" i="34"/>
  <c r="E38" i="34"/>
  <c r="E39" i="34" s="1"/>
  <c r="E34" i="34"/>
  <c r="E33" i="34"/>
  <c r="E29" i="34"/>
  <c r="E28" i="34"/>
  <c r="C25" i="34"/>
  <c r="C26" i="34" s="1"/>
  <c r="C7" i="34"/>
  <c r="G7" i="34"/>
  <c r="G6" i="34"/>
  <c r="H5" i="34"/>
  <c r="G5" i="34"/>
  <c r="E456" i="33"/>
  <c r="E460" i="33" s="1"/>
  <c r="E461" i="33" s="1"/>
  <c r="E462" i="33" s="1"/>
  <c r="E463" i="33" s="1"/>
  <c r="E464" i="33" s="1"/>
  <c r="E465" i="33" s="1"/>
  <c r="E466" i="33" s="1"/>
  <c r="B456" i="33"/>
  <c r="E454" i="33"/>
  <c r="E455" i="33" s="1"/>
  <c r="B454" i="33"/>
  <c r="E447" i="33"/>
  <c r="E448" i="33" s="1"/>
  <c r="E449" i="33" s="1"/>
  <c r="E450" i="33" s="1"/>
  <c r="E451" i="33" s="1"/>
  <c r="E452" i="33" s="1"/>
  <c r="E453" i="33" s="1"/>
  <c r="B446" i="33"/>
  <c r="D438" i="33"/>
  <c r="D441" i="33" s="1"/>
  <c r="D455" i="33" s="1"/>
  <c r="B455" i="33" s="1"/>
  <c r="F435" i="33"/>
  <c r="F434" i="33"/>
  <c r="F433" i="33"/>
  <c r="F432" i="33"/>
  <c r="F431" i="33"/>
  <c r="F430" i="33"/>
  <c r="F429" i="33"/>
  <c r="F428" i="33"/>
  <c r="D426" i="33"/>
  <c r="D435" i="33" s="1"/>
  <c r="D453" i="33"/>
  <c r="B453" i="33" s="1"/>
  <c r="D425" i="33"/>
  <c r="D434" i="33" s="1"/>
  <c r="D452" i="33" s="1"/>
  <c r="B452" i="33" s="1"/>
  <c r="D424" i="33"/>
  <c r="D433" i="33" s="1"/>
  <c r="D451" i="33" s="1"/>
  <c r="D423" i="33"/>
  <c r="D432" i="33" s="1"/>
  <c r="D450" i="33" s="1"/>
  <c r="D422" i="33"/>
  <c r="D431" i="33" s="1"/>
  <c r="D449" i="33" s="1"/>
  <c r="D421" i="33"/>
  <c r="D430" i="33" s="1"/>
  <c r="D448" i="33" s="1"/>
  <c r="D420" i="33"/>
  <c r="D429" i="33" s="1"/>
  <c r="D447" i="33" s="1"/>
  <c r="B447" i="33" s="1"/>
  <c r="E418" i="33"/>
  <c r="E443" i="33" s="1"/>
  <c r="E444" i="33" s="1"/>
  <c r="Z415" i="33"/>
  <c r="Y415" i="33"/>
  <c r="X415" i="33"/>
  <c r="W415" i="33"/>
  <c r="V415" i="33"/>
  <c r="U415" i="33"/>
  <c r="T415" i="33"/>
  <c r="S415" i="33"/>
  <c r="R415" i="33"/>
  <c r="Q415" i="33"/>
  <c r="P415" i="33"/>
  <c r="O415" i="33"/>
  <c r="N415" i="33"/>
  <c r="M415" i="33"/>
  <c r="L415" i="33"/>
  <c r="K415" i="33"/>
  <c r="J415" i="33"/>
  <c r="I415" i="33"/>
  <c r="H415" i="33"/>
  <c r="G415" i="33"/>
  <c r="E415" i="33"/>
  <c r="E416" i="33" s="1"/>
  <c r="E413" i="33"/>
  <c r="E412" i="33"/>
  <c r="E411" i="33"/>
  <c r="E408" i="33"/>
  <c r="E404" i="33"/>
  <c r="E406" i="33" s="1"/>
  <c r="E402" i="33"/>
  <c r="E397" i="33"/>
  <c r="E393" i="33"/>
  <c r="E388" i="33"/>
  <c r="F387" i="33"/>
  <c r="E384" i="33"/>
  <c r="E381" i="33"/>
  <c r="E379" i="33"/>
  <c r="D379" i="33"/>
  <c r="E363" i="33"/>
  <c r="E367" i="33" s="1"/>
  <c r="E368" i="33" s="1"/>
  <c r="E369" i="33" s="1"/>
  <c r="E370" i="33" s="1"/>
  <c r="E371" i="33" s="1"/>
  <c r="E372" i="33" s="1"/>
  <c r="E373" i="33" s="1"/>
  <c r="B363" i="33"/>
  <c r="E361" i="33"/>
  <c r="E362" i="33"/>
  <c r="B361" i="33"/>
  <c r="E354" i="33"/>
  <c r="E355" i="33" s="1"/>
  <c r="E356" i="33" s="1"/>
  <c r="E357" i="33" s="1"/>
  <c r="E358" i="33" s="1"/>
  <c r="E359" i="33" s="1"/>
  <c r="E360" i="33" s="1"/>
  <c r="B353" i="33"/>
  <c r="D345" i="33"/>
  <c r="D348" i="33" s="1"/>
  <c r="D362" i="33" s="1"/>
  <c r="B362" i="33" s="1"/>
  <c r="F342" i="33"/>
  <c r="F341" i="33"/>
  <c r="F340" i="33"/>
  <c r="F339" i="33"/>
  <c r="F338" i="33"/>
  <c r="F337" i="33"/>
  <c r="F336" i="33"/>
  <c r="F335" i="33"/>
  <c r="D333" i="33"/>
  <c r="D342" i="33" s="1"/>
  <c r="D360" i="33" s="1"/>
  <c r="B360" i="33" s="1"/>
  <c r="D332" i="33"/>
  <c r="D341" i="33" s="1"/>
  <c r="D359" i="33" s="1"/>
  <c r="D331" i="33"/>
  <c r="D340" i="33" s="1"/>
  <c r="D358" i="33" s="1"/>
  <c r="D330" i="33"/>
  <c r="D339" i="33" s="1"/>
  <c r="D357" i="33" s="1"/>
  <c r="D329" i="33"/>
  <c r="D338" i="33" s="1"/>
  <c r="D356" i="33" s="1"/>
  <c r="D370" i="33" s="1"/>
  <c r="D328" i="33"/>
  <c r="D337" i="33" s="1"/>
  <c r="D355" i="33" s="1"/>
  <c r="D369" i="33" s="1"/>
  <c r="D327" i="33"/>
  <c r="D336" i="33" s="1"/>
  <c r="D354" i="33" s="1"/>
  <c r="E325" i="33"/>
  <c r="E326" i="33" s="1"/>
  <c r="E335" i="33" s="1"/>
  <c r="Z322" i="33"/>
  <c r="Y322" i="33"/>
  <c r="X322" i="33"/>
  <c r="W322" i="33"/>
  <c r="V322" i="33"/>
  <c r="U322" i="33"/>
  <c r="T322" i="33"/>
  <c r="S322" i="33"/>
  <c r="R322" i="33"/>
  <c r="Q322" i="33"/>
  <c r="P322" i="33"/>
  <c r="O322" i="33"/>
  <c r="N322" i="33"/>
  <c r="M322" i="33"/>
  <c r="L322" i="33"/>
  <c r="K322" i="33"/>
  <c r="J322" i="33"/>
  <c r="I322" i="33"/>
  <c r="H322" i="33"/>
  <c r="G322" i="33"/>
  <c r="G344" i="33" s="1"/>
  <c r="G346" i="33" s="1"/>
  <c r="E322" i="33"/>
  <c r="E323" i="33" s="1"/>
  <c r="E320" i="33"/>
  <c r="E319" i="33"/>
  <c r="E318" i="33"/>
  <c r="E315" i="33"/>
  <c r="E311" i="33"/>
  <c r="E309" i="33"/>
  <c r="E304" i="33"/>
  <c r="E300" i="33"/>
  <c r="E295" i="33"/>
  <c r="F294" i="33"/>
  <c r="E291" i="33"/>
  <c r="E288" i="33"/>
  <c r="E286" i="33"/>
  <c r="D286" i="33"/>
  <c r="E270" i="33"/>
  <c r="E274" i="33" s="1"/>
  <c r="E275" i="33" s="1"/>
  <c r="E276" i="33" s="1"/>
  <c r="E277" i="33" s="1"/>
  <c r="E278" i="33" s="1"/>
  <c r="E279" i="33" s="1"/>
  <c r="E280" i="33" s="1"/>
  <c r="B270" i="33"/>
  <c r="E268" i="33"/>
  <c r="E269" i="33" s="1"/>
  <c r="B268" i="33"/>
  <c r="E261" i="33"/>
  <c r="E262" i="33" s="1"/>
  <c r="E263" i="33" s="1"/>
  <c r="E264" i="33" s="1"/>
  <c r="E265" i="33" s="1"/>
  <c r="E266" i="33" s="1"/>
  <c r="E267" i="33" s="1"/>
  <c r="B260" i="33"/>
  <c r="D252" i="33"/>
  <c r="D255" i="33" s="1"/>
  <c r="D269" i="33" s="1"/>
  <c r="B269" i="33" s="1"/>
  <c r="F249" i="33"/>
  <c r="F248" i="33"/>
  <c r="F247" i="33"/>
  <c r="F246" i="33"/>
  <c r="F245" i="33"/>
  <c r="F244" i="33"/>
  <c r="F243" i="33"/>
  <c r="F242" i="33"/>
  <c r="D240" i="33"/>
  <c r="D249" i="33" s="1"/>
  <c r="D267" i="33" s="1"/>
  <c r="B267" i="33" s="1"/>
  <c r="D239" i="33"/>
  <c r="D248" i="33" s="1"/>
  <c r="D266" i="33" s="1"/>
  <c r="D238" i="33"/>
  <c r="D247" i="33" s="1"/>
  <c r="D265" i="33" s="1"/>
  <c r="D237" i="33"/>
  <c r="D246" i="33" s="1"/>
  <c r="D264" i="33" s="1"/>
  <c r="D236" i="33"/>
  <c r="D245" i="33" s="1"/>
  <c r="D263" i="33" s="1"/>
  <c r="D235" i="33"/>
  <c r="D244" i="33" s="1"/>
  <c r="D262" i="33" s="1"/>
  <c r="B262" i="33" s="1"/>
  <c r="D234" i="33"/>
  <c r="D243" i="33" s="1"/>
  <c r="D261" i="33" s="1"/>
  <c r="E232" i="33"/>
  <c r="E233" i="33" s="1"/>
  <c r="Z229" i="33"/>
  <c r="Y229" i="33"/>
  <c r="X229" i="33"/>
  <c r="W229" i="33"/>
  <c r="V229" i="33"/>
  <c r="U229" i="33"/>
  <c r="T229" i="33"/>
  <c r="S229" i="33"/>
  <c r="R229" i="33"/>
  <c r="Q229" i="33"/>
  <c r="P229" i="33"/>
  <c r="O229" i="33"/>
  <c r="N229" i="33"/>
  <c r="M229" i="33"/>
  <c r="L229" i="33"/>
  <c r="K229" i="33"/>
  <c r="J229" i="33"/>
  <c r="I229" i="33"/>
  <c r="H229" i="33"/>
  <c r="H251" i="33" s="1"/>
  <c r="H253" i="33" s="1"/>
  <c r="G229" i="33"/>
  <c r="E229" i="33"/>
  <c r="E230" i="33" s="1"/>
  <c r="E227" i="33"/>
  <c r="E226" i="33"/>
  <c r="E225" i="33"/>
  <c r="E222" i="33"/>
  <c r="E218" i="33"/>
  <c r="E220" i="33" s="1"/>
  <c r="E216" i="33"/>
  <c r="E211" i="33"/>
  <c r="E207" i="33"/>
  <c r="E202" i="33"/>
  <c r="F201" i="33"/>
  <c r="E198" i="33"/>
  <c r="E195" i="33"/>
  <c r="E193" i="33"/>
  <c r="D193" i="33"/>
  <c r="E177" i="33"/>
  <c r="E181" i="33" s="1"/>
  <c r="E182" i="33" s="1"/>
  <c r="E183" i="33" s="1"/>
  <c r="E184" i="33" s="1"/>
  <c r="E185" i="33" s="1"/>
  <c r="E186" i="33" s="1"/>
  <c r="E187" i="33" s="1"/>
  <c r="B177" i="33"/>
  <c r="E175" i="33"/>
  <c r="E176" i="33" s="1"/>
  <c r="B175" i="33"/>
  <c r="E168" i="33"/>
  <c r="E169" i="33" s="1"/>
  <c r="E170" i="33" s="1"/>
  <c r="E171" i="33" s="1"/>
  <c r="E172" i="33" s="1"/>
  <c r="E173" i="33" s="1"/>
  <c r="E174" i="33" s="1"/>
  <c r="B167" i="33"/>
  <c r="D159" i="33"/>
  <c r="D162" i="33" s="1"/>
  <c r="D176" i="33" s="1"/>
  <c r="B176" i="33" s="1"/>
  <c r="F156" i="33"/>
  <c r="F155" i="33"/>
  <c r="F154" i="33"/>
  <c r="F153" i="33"/>
  <c r="F152" i="33"/>
  <c r="F151" i="33"/>
  <c r="F150" i="33"/>
  <c r="F149" i="33"/>
  <c r="D147" i="33"/>
  <c r="D156" i="33" s="1"/>
  <c r="D174" i="33" s="1"/>
  <c r="B174" i="33" s="1"/>
  <c r="D146" i="33"/>
  <c r="D155" i="33" s="1"/>
  <c r="D173" i="33" s="1"/>
  <c r="D145" i="33"/>
  <c r="D154" i="33" s="1"/>
  <c r="D172" i="33" s="1"/>
  <c r="D144" i="33"/>
  <c r="D153" i="33" s="1"/>
  <c r="D171" i="33" s="1"/>
  <c r="D143" i="33"/>
  <c r="D152" i="33" s="1"/>
  <c r="D170" i="33" s="1"/>
  <c r="D142" i="33"/>
  <c r="D151" i="33" s="1"/>
  <c r="D169" i="33" s="1"/>
  <c r="D141" i="33"/>
  <c r="D150" i="33" s="1"/>
  <c r="D168" i="33" s="1"/>
  <c r="E139" i="33"/>
  <c r="E158" i="33" s="1"/>
  <c r="E161" i="33" s="1"/>
  <c r="Z136" i="33"/>
  <c r="Y136" i="33"/>
  <c r="X136" i="33"/>
  <c r="W136" i="33"/>
  <c r="V136" i="33"/>
  <c r="U136" i="33"/>
  <c r="T136" i="33"/>
  <c r="S136" i="33"/>
  <c r="R136" i="33"/>
  <c r="Q136" i="33"/>
  <c r="P136" i="33"/>
  <c r="O136" i="33"/>
  <c r="N136" i="33"/>
  <c r="M136" i="33"/>
  <c r="L136" i="33"/>
  <c r="K136" i="33"/>
  <c r="J136" i="33"/>
  <c r="I136" i="33"/>
  <c r="H136" i="33"/>
  <c r="G136" i="33"/>
  <c r="E136" i="33"/>
  <c r="E137" i="33" s="1"/>
  <c r="E134" i="33"/>
  <c r="E133" i="33"/>
  <c r="E132" i="33"/>
  <c r="E129" i="33"/>
  <c r="E125" i="33"/>
  <c r="E126" i="33" s="1"/>
  <c r="E123" i="33"/>
  <c r="E118" i="33"/>
  <c r="E114" i="33"/>
  <c r="E109" i="33"/>
  <c r="F108" i="33"/>
  <c r="E105" i="33"/>
  <c r="E102" i="33"/>
  <c r="E100" i="33"/>
  <c r="D100" i="33"/>
  <c r="E84" i="33"/>
  <c r="E88" i="33" s="1"/>
  <c r="E89" i="33" s="1"/>
  <c r="E90" i="33" s="1"/>
  <c r="E91" i="33" s="1"/>
  <c r="E92" i="33" s="1"/>
  <c r="E93" i="33" s="1"/>
  <c r="E94" i="33" s="1"/>
  <c r="B84" i="33"/>
  <c r="E82" i="33"/>
  <c r="B82" i="33"/>
  <c r="E75" i="33"/>
  <c r="E76" i="33" s="1"/>
  <c r="E55" i="34" s="1"/>
  <c r="B74" i="33"/>
  <c r="D66" i="33"/>
  <c r="D69" i="33" s="1"/>
  <c r="D83" i="33" s="1"/>
  <c r="B83" i="33" s="1"/>
  <c r="F63" i="33"/>
  <c r="F62" i="33"/>
  <c r="F61" i="33"/>
  <c r="F60" i="33"/>
  <c r="F59" i="33"/>
  <c r="F58" i="33"/>
  <c r="F57" i="33"/>
  <c r="F56" i="33"/>
  <c r="D54" i="33"/>
  <c r="D63" i="33" s="1"/>
  <c r="D81" i="33" s="1"/>
  <c r="D53" i="33"/>
  <c r="D62" i="33" s="1"/>
  <c r="D80" i="33" s="1"/>
  <c r="D52" i="33"/>
  <c r="D61" i="33" s="1"/>
  <c r="D79" i="33" s="1"/>
  <c r="D51" i="33"/>
  <c r="D60" i="33" s="1"/>
  <c r="D78" i="33" s="1"/>
  <c r="B78" i="33" s="1"/>
  <c r="D50" i="33"/>
  <c r="D59" i="33" s="1"/>
  <c r="D77" i="33" s="1"/>
  <c r="A56" i="34" s="1"/>
  <c r="D49" i="33"/>
  <c r="D58" i="33" s="1"/>
  <c r="D76" i="33" s="1"/>
  <c r="D55" i="34" s="1"/>
  <c r="D85" i="34" s="1"/>
  <c r="D48" i="33"/>
  <c r="D57" i="33" s="1"/>
  <c r="D75" i="33" s="1"/>
  <c r="D89" i="33" s="1"/>
  <c r="E46" i="33"/>
  <c r="Z43" i="33"/>
  <c r="Y43" i="33"/>
  <c r="X43" i="33"/>
  <c r="W43" i="33"/>
  <c r="V43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I43" i="33"/>
  <c r="H43" i="33"/>
  <c r="G43" i="33"/>
  <c r="E43" i="33"/>
  <c r="E44" i="33" s="1"/>
  <c r="E41" i="33"/>
  <c r="E40" i="33"/>
  <c r="E39" i="33"/>
  <c r="E36" i="33"/>
  <c r="E32" i="33"/>
  <c r="E30" i="33"/>
  <c r="E25" i="33"/>
  <c r="E21" i="33"/>
  <c r="E16" i="33"/>
  <c r="F15" i="33"/>
  <c r="E12" i="33"/>
  <c r="E9" i="33"/>
  <c r="E7" i="33"/>
  <c r="D7" i="33"/>
  <c r="D281" i="32"/>
  <c r="D282" i="32" s="1"/>
  <c r="D283" i="32"/>
  <c r="D284" i="32" s="1"/>
  <c r="D285" i="32" s="1"/>
  <c r="D286" i="32" s="1"/>
  <c r="D287" i="32" s="1"/>
  <c r="D288" i="32"/>
  <c r="D289" i="32" s="1"/>
  <c r="D290" i="32" s="1"/>
  <c r="D291" i="32" s="1"/>
  <c r="D292" i="32" s="1"/>
  <c r="D293" i="32" s="1"/>
  <c r="D294" i="32" s="1"/>
  <c r="D265" i="32"/>
  <c r="D266" i="32"/>
  <c r="D267" i="32" s="1"/>
  <c r="D268" i="32" s="1"/>
  <c r="D269" i="32" s="1"/>
  <c r="D270" i="32" s="1"/>
  <c r="D271" i="32" s="1"/>
  <c r="D272" i="32" s="1"/>
  <c r="D273" i="32" s="1"/>
  <c r="D274" i="32" s="1"/>
  <c r="D275" i="32" s="1"/>
  <c r="D276" i="32" s="1"/>
  <c r="D277" i="32" s="1"/>
  <c r="D278" i="32" s="1"/>
  <c r="D249" i="32"/>
  <c r="D250" i="32" s="1"/>
  <c r="D251" i="32" s="1"/>
  <c r="D252" i="32"/>
  <c r="D253" i="32" s="1"/>
  <c r="D254" i="32" s="1"/>
  <c r="D255" i="32" s="1"/>
  <c r="D256" i="32" s="1"/>
  <c r="D257" i="32" s="1"/>
  <c r="D258" i="32" s="1"/>
  <c r="D259" i="32" s="1"/>
  <c r="D260" i="32" s="1"/>
  <c r="D261" i="32" s="1"/>
  <c r="D262" i="32" s="1"/>
  <c r="D233" i="32"/>
  <c r="D234" i="32" s="1"/>
  <c r="D235" i="32" s="1"/>
  <c r="D236" i="32" s="1"/>
  <c r="D237" i="32" s="1"/>
  <c r="D238" i="32" s="1"/>
  <c r="D239" i="32" s="1"/>
  <c r="D240" i="32" s="1"/>
  <c r="D241" i="32" s="1"/>
  <c r="D242" i="32" s="1"/>
  <c r="D243" i="32" s="1"/>
  <c r="D244" i="32" s="1"/>
  <c r="D245" i="32" s="1"/>
  <c r="D246" i="32" s="1"/>
  <c r="D217" i="32"/>
  <c r="D218" i="32" s="1"/>
  <c r="D219" i="32"/>
  <c r="D220" i="32" s="1"/>
  <c r="D221" i="32" s="1"/>
  <c r="D222" i="32" s="1"/>
  <c r="D223" i="32" s="1"/>
  <c r="D224" i="32" s="1"/>
  <c r="D225" i="32" s="1"/>
  <c r="D226" i="32" s="1"/>
  <c r="D227" i="32" s="1"/>
  <c r="D228" i="32" s="1"/>
  <c r="D229" i="32" s="1"/>
  <c r="D230" i="32" s="1"/>
  <c r="D201" i="32"/>
  <c r="D202" i="32"/>
  <c r="D203" i="32" s="1"/>
  <c r="D204" i="32" s="1"/>
  <c r="D205" i="32"/>
  <c r="D206" i="32" s="1"/>
  <c r="D207" i="32" s="1"/>
  <c r="D208" i="32" s="1"/>
  <c r="D209" i="32" s="1"/>
  <c r="D210" i="32" s="1"/>
  <c r="D211" i="32" s="1"/>
  <c r="D212" i="32" s="1"/>
  <c r="D213" i="32" s="1"/>
  <c r="D214" i="32" s="1"/>
  <c r="D185" i="32"/>
  <c r="D186" i="32" s="1"/>
  <c r="D187" i="32" s="1"/>
  <c r="D188" i="32" s="1"/>
  <c r="D189" i="32" s="1"/>
  <c r="D190" i="32" s="1"/>
  <c r="D191" i="32" s="1"/>
  <c r="D192" i="32" s="1"/>
  <c r="D193" i="32" s="1"/>
  <c r="D194" i="32" s="1"/>
  <c r="D195" i="32" s="1"/>
  <c r="D196" i="32" s="1"/>
  <c r="D197" i="32" s="1"/>
  <c r="D198" i="32" s="1"/>
  <c r="D169" i="32"/>
  <c r="D170" i="32" s="1"/>
  <c r="D171" i="32" s="1"/>
  <c r="D172" i="32" s="1"/>
  <c r="D173" i="32" s="1"/>
  <c r="D174" i="32"/>
  <c r="D175" i="32" s="1"/>
  <c r="D176" i="32" s="1"/>
  <c r="D177" i="32" s="1"/>
  <c r="D178" i="32" s="1"/>
  <c r="D179" i="32" s="1"/>
  <c r="D180" i="32" s="1"/>
  <c r="D181" i="32" s="1"/>
  <c r="D182" i="32" s="1"/>
  <c r="D153" i="32"/>
  <c r="D154" i="32" s="1"/>
  <c r="D155" i="32" s="1"/>
  <c r="D156" i="32" s="1"/>
  <c r="D157" i="32" s="1"/>
  <c r="D158" i="32" s="1"/>
  <c r="D159" i="32" s="1"/>
  <c r="D160" i="32" s="1"/>
  <c r="D161" i="32" s="1"/>
  <c r="D162" i="32" s="1"/>
  <c r="D163" i="32"/>
  <c r="D164" i="32" s="1"/>
  <c r="D165" i="32" s="1"/>
  <c r="D166" i="32" s="1"/>
  <c r="D137" i="32"/>
  <c r="D138" i="32"/>
  <c r="D139" i="32" s="1"/>
  <c r="D140" i="32" s="1"/>
  <c r="D141" i="32" s="1"/>
  <c r="D142" i="32" s="1"/>
  <c r="D143" i="32" s="1"/>
  <c r="D144" i="32" s="1"/>
  <c r="D145" i="32" s="1"/>
  <c r="D146" i="32" s="1"/>
  <c r="D147" i="32" s="1"/>
  <c r="D148" i="32" s="1"/>
  <c r="D149" i="32"/>
  <c r="D150" i="32" s="1"/>
  <c r="D121" i="32"/>
  <c r="D122" i="32" s="1"/>
  <c r="D123" i="32" s="1"/>
  <c r="D124" i="32"/>
  <c r="D125" i="32" s="1"/>
  <c r="D126" i="32" s="1"/>
  <c r="D127" i="32"/>
  <c r="D128" i="32" s="1"/>
  <c r="D129" i="32" s="1"/>
  <c r="D130" i="32" s="1"/>
  <c r="D131" i="32" s="1"/>
  <c r="D132" i="32" s="1"/>
  <c r="D133" i="32" s="1"/>
  <c r="D134" i="32" s="1"/>
  <c r="D105" i="32"/>
  <c r="D106" i="32" s="1"/>
  <c r="D107" i="32" s="1"/>
  <c r="D108" i="32" s="1"/>
  <c r="D109" i="32" s="1"/>
  <c r="D110" i="32" s="1"/>
  <c r="D111" i="32" s="1"/>
  <c r="D112" i="32" s="1"/>
  <c r="D113" i="32" s="1"/>
  <c r="D114" i="32" s="1"/>
  <c r="D115" i="32" s="1"/>
  <c r="D116" i="32" s="1"/>
  <c r="D117" i="32" s="1"/>
  <c r="D118" i="32"/>
  <c r="D89" i="32"/>
  <c r="D90" i="32" s="1"/>
  <c r="D91" i="32"/>
  <c r="D92" i="32" s="1"/>
  <c r="D93" i="32" s="1"/>
  <c r="D94" i="32" s="1"/>
  <c r="D95" i="32" s="1"/>
  <c r="D96" i="32"/>
  <c r="D97" i="32" s="1"/>
  <c r="D98" i="32" s="1"/>
  <c r="D99" i="32" s="1"/>
  <c r="D100" i="32" s="1"/>
  <c r="D101" i="32" s="1"/>
  <c r="D102" i="32" s="1"/>
  <c r="D73" i="32"/>
  <c r="D74" i="32"/>
  <c r="D75" i="32" s="1"/>
  <c r="D76" i="32" s="1"/>
  <c r="D77" i="32"/>
  <c r="D78" i="32" s="1"/>
  <c r="D79" i="32" s="1"/>
  <c r="D80" i="32" s="1"/>
  <c r="D81" i="32" s="1"/>
  <c r="D82" i="32"/>
  <c r="D83" i="32" s="1"/>
  <c r="D84" i="32" s="1"/>
  <c r="D85" i="32" s="1"/>
  <c r="D86" i="32" s="1"/>
  <c r="Y70" i="32"/>
  <c r="K19" i="41" s="1"/>
  <c r="Y69" i="32"/>
  <c r="K18" i="41" s="1"/>
  <c r="Y68" i="32"/>
  <c r="Y67" i="32"/>
  <c r="K16" i="41" s="1"/>
  <c r="Y66" i="32"/>
  <c r="K15" i="41" s="1"/>
  <c r="Y65" i="32"/>
  <c r="K14" i="41" s="1"/>
  <c r="Y64" i="32"/>
  <c r="K13" i="41" s="1"/>
  <c r="Y63" i="32"/>
  <c r="K12" i="41" s="1"/>
  <c r="D57" i="32"/>
  <c r="D58" i="32"/>
  <c r="D28" i="41" s="1"/>
  <c r="D46" i="41" s="1"/>
  <c r="F54" i="32"/>
  <c r="G54" i="32" s="1"/>
  <c r="H54" i="32" s="1"/>
  <c r="I54" i="32" s="1"/>
  <c r="J54" i="32" s="1"/>
  <c r="K54" i="32" s="1"/>
  <c r="L54" i="32" s="1"/>
  <c r="M54" i="32" s="1"/>
  <c r="N54" i="32" s="1"/>
  <c r="O54" i="32" s="1"/>
  <c r="P54" i="32" s="1"/>
  <c r="Q54" i="32" s="1"/>
  <c r="R54" i="32" s="1"/>
  <c r="S54" i="32" s="1"/>
  <c r="T54" i="32" s="1"/>
  <c r="U54" i="32" s="1"/>
  <c r="V54" i="32" s="1"/>
  <c r="W54" i="32" s="1"/>
  <c r="X54" i="32" s="1"/>
  <c r="F52" i="32"/>
  <c r="G52" i="32" s="1"/>
  <c r="H52" i="32" s="1"/>
  <c r="I52" i="32"/>
  <c r="J52" i="32" s="1"/>
  <c r="K52" i="32" s="1"/>
  <c r="L52" i="32" s="1"/>
  <c r="M52" i="32" s="1"/>
  <c r="N52" i="32" s="1"/>
  <c r="O52" i="32" s="1"/>
  <c r="P52" i="32" s="1"/>
  <c r="Q52" i="32" s="1"/>
  <c r="R52" i="32" s="1"/>
  <c r="S52" i="32" s="1"/>
  <c r="T52" i="32" s="1"/>
  <c r="U52" i="32" s="1"/>
  <c r="V52" i="32" s="1"/>
  <c r="W52" i="32" s="1"/>
  <c r="X52" i="32" s="1"/>
  <c r="D41" i="32"/>
  <c r="D42" i="32" s="1"/>
  <c r="D43" i="32" s="1"/>
  <c r="D44" i="32"/>
  <c r="D45" i="32" s="1"/>
  <c r="D46" i="32" s="1"/>
  <c r="D47" i="32" s="1"/>
  <c r="D48" i="32" s="1"/>
  <c r="D49" i="32" s="1"/>
  <c r="D50" i="32" s="1"/>
  <c r="D51" i="32" s="1"/>
  <c r="D52" i="32" s="1"/>
  <c r="D53" i="32" s="1"/>
  <c r="D54" i="32" s="1"/>
  <c r="A39" i="32"/>
  <c r="A55" i="32" s="1"/>
  <c r="A71" i="32" s="1"/>
  <c r="A87" i="32" s="1"/>
  <c r="A103" i="32" s="1"/>
  <c r="A119" i="32" s="1"/>
  <c r="A135" i="32" s="1"/>
  <c r="A151" i="32" s="1"/>
  <c r="A167" i="32"/>
  <c r="A183" i="32" s="1"/>
  <c r="A199" i="32" s="1"/>
  <c r="A215" i="32" s="1"/>
  <c r="A231" i="32" s="1"/>
  <c r="A247" i="32" s="1"/>
  <c r="A263" i="32" s="1"/>
  <c r="A279" i="32" s="1"/>
  <c r="F36" i="32"/>
  <c r="G36" i="32"/>
  <c r="H36" i="32" s="1"/>
  <c r="D25" i="32"/>
  <c r="D26" i="32"/>
  <c r="D27" i="32"/>
  <c r="D28" i="32" s="1"/>
  <c r="D29" i="32" s="1"/>
  <c r="D30" i="32" s="1"/>
  <c r="D31" i="32" s="1"/>
  <c r="D32" i="32" s="1"/>
  <c r="D33" i="32" s="1"/>
  <c r="D34" i="32" s="1"/>
  <c r="D35" i="32" s="1"/>
  <c r="D36" i="32" s="1"/>
  <c r="D37" i="32" s="1"/>
  <c r="D38" i="32" s="1"/>
  <c r="B23" i="32"/>
  <c r="B39" i="32" s="1"/>
  <c r="B55" i="32" s="1"/>
  <c r="B87" i="32"/>
  <c r="B103" i="32" s="1"/>
  <c r="B119" i="32" s="1"/>
  <c r="B151" i="32" s="1"/>
  <c r="B167" i="32" s="1"/>
  <c r="C28" i="32"/>
  <c r="C9" i="41" s="1"/>
  <c r="B9" i="41" s="1"/>
  <c r="B30" i="41" s="1"/>
  <c r="B48" i="41" s="1"/>
  <c r="D8" i="32"/>
  <c r="D9" i="32"/>
  <c r="D10" i="32" s="1"/>
  <c r="D11" i="32" s="1"/>
  <c r="D12" i="32" s="1"/>
  <c r="D13" i="32" s="1"/>
  <c r="D14" i="32" s="1"/>
  <c r="D15" i="32" s="1"/>
  <c r="D16" i="32" s="1"/>
  <c r="D17" i="32" s="1"/>
  <c r="D18" i="32" s="1"/>
  <c r="D19" i="32" s="1"/>
  <c r="D20" i="32" s="1"/>
  <c r="D21" i="32" s="1"/>
  <c r="D22" i="32" s="1"/>
  <c r="A7" i="32"/>
  <c r="Y56" i="32"/>
  <c r="K5" i="41" s="1"/>
  <c r="E405" i="33"/>
  <c r="Y59" i="32"/>
  <c r="K8" i="41" s="1"/>
  <c r="Y58" i="32"/>
  <c r="K7" i="41" s="1"/>
  <c r="Y57" i="32"/>
  <c r="K6" i="41" s="1"/>
  <c r="H37" i="32"/>
  <c r="I37" i="32" s="1"/>
  <c r="J37" i="32" s="1"/>
  <c r="K37" i="32" s="1"/>
  <c r="L37" i="32" s="1"/>
  <c r="M37" i="32" s="1"/>
  <c r="N37" i="32" s="1"/>
  <c r="O37" i="32" s="1"/>
  <c r="P37" i="32" s="1"/>
  <c r="Q37" i="32" s="1"/>
  <c r="R37" i="32" s="1"/>
  <c r="S37" i="32" s="1"/>
  <c r="T37" i="32" s="1"/>
  <c r="U37" i="32" s="1"/>
  <c r="V37" i="32" s="1"/>
  <c r="W37" i="32" s="1"/>
  <c r="X37" i="32" s="1"/>
  <c r="C8" i="34"/>
  <c r="C9" i="34" s="1"/>
  <c r="D466" i="33"/>
  <c r="Z64" i="32"/>
  <c r="Y34" i="41" s="1"/>
  <c r="F81" i="32"/>
  <c r="G35" i="32"/>
  <c r="E72" i="32"/>
  <c r="Z65" i="32"/>
  <c r="Y35" i="41" s="1"/>
  <c r="Z66" i="32"/>
  <c r="Y36" i="41" s="1"/>
  <c r="Z70" i="32"/>
  <c r="Y40" i="41" s="1"/>
  <c r="F83" i="32"/>
  <c r="F82" i="32"/>
  <c r="F78" i="32"/>
  <c r="G8" i="34"/>
  <c r="AC9" i="5"/>
  <c r="AO10" i="4"/>
  <c r="AO11" i="4"/>
  <c r="AO12" i="4"/>
  <c r="AO14" i="4"/>
  <c r="AO16" i="4"/>
  <c r="AO17" i="4"/>
  <c r="AO18" i="4"/>
  <c r="AO19" i="4"/>
  <c r="AO20" i="4"/>
  <c r="AO21" i="4"/>
  <c r="AO22" i="4"/>
  <c r="AO23" i="4"/>
  <c r="AO9" i="4"/>
  <c r="AN13" i="4"/>
  <c r="AM13" i="4"/>
  <c r="F18" i="29"/>
  <c r="F32" i="29"/>
  <c r="F21" i="29"/>
  <c r="F35" i="29"/>
  <c r="F20" i="29"/>
  <c r="F34" i="29"/>
  <c r="F19" i="29"/>
  <c r="F33" i="29"/>
  <c r="H22" i="29"/>
  <c r="H16" i="29"/>
  <c r="H8" i="29"/>
  <c r="G14" i="27"/>
  <c r="O24" i="29"/>
  <c r="O23" i="29"/>
  <c r="O37" i="29"/>
  <c r="O22" i="29"/>
  <c r="O36" i="29"/>
  <c r="O21" i="29"/>
  <c r="O35" i="29"/>
  <c r="O20" i="29"/>
  <c r="O34" i="29"/>
  <c r="O19" i="29"/>
  <c r="O33" i="29"/>
  <c r="O18" i="29"/>
  <c r="O32" i="29"/>
  <c r="G13" i="28"/>
  <c r="G7" i="28"/>
  <c r="F13" i="27"/>
  <c r="H13" i="28"/>
  <c r="I13" i="28"/>
  <c r="J13" i="28"/>
  <c r="K13" i="28"/>
  <c r="L13" i="28"/>
  <c r="M13" i="28"/>
  <c r="N13" i="28"/>
  <c r="O13" i="28"/>
  <c r="F13" i="28"/>
  <c r="F7" i="28"/>
  <c r="E24" i="32"/>
  <c r="J37" i="1"/>
  <c r="J37" i="34"/>
  <c r="J38" i="34"/>
  <c r="J39" i="34"/>
  <c r="J78" i="29"/>
  <c r="N78" i="29"/>
  <c r="N62" i="29"/>
  <c r="J62" i="29"/>
  <c r="M61" i="29"/>
  <c r="I61" i="29"/>
  <c r="I59" i="29"/>
  <c r="I11" i="29"/>
  <c r="O59" i="29"/>
  <c r="O11" i="29"/>
  <c r="M59" i="29"/>
  <c r="L59" i="29"/>
  <c r="K59" i="29"/>
  <c r="H59" i="29"/>
  <c r="G59" i="29"/>
  <c r="G11" i="29"/>
  <c r="F59" i="29"/>
  <c r="O58" i="29"/>
  <c r="O54" i="29"/>
  <c r="O10" i="29"/>
  <c r="M58" i="29"/>
  <c r="K58" i="29"/>
  <c r="I58" i="29"/>
  <c r="G58" i="29"/>
  <c r="O57" i="29"/>
  <c r="N57" i="29"/>
  <c r="N54" i="29"/>
  <c r="N10" i="29"/>
  <c r="M57" i="29"/>
  <c r="L57" i="29"/>
  <c r="K57" i="29"/>
  <c r="J57" i="29"/>
  <c r="I57" i="29"/>
  <c r="H57" i="29"/>
  <c r="G57" i="29"/>
  <c r="F57" i="29"/>
  <c r="F54" i="29"/>
  <c r="F10" i="29"/>
  <c r="N56" i="29"/>
  <c r="M56" i="29"/>
  <c r="M54" i="29"/>
  <c r="M10" i="29"/>
  <c r="K56" i="29"/>
  <c r="J56" i="29"/>
  <c r="H56" i="29"/>
  <c r="G56" i="29"/>
  <c r="L54" i="29"/>
  <c r="K54" i="29"/>
  <c r="J54" i="29"/>
  <c r="I54" i="29"/>
  <c r="H54" i="29"/>
  <c r="G54" i="29"/>
  <c r="O50" i="29"/>
  <c r="N50" i="29"/>
  <c r="M50" i="29"/>
  <c r="L50" i="29"/>
  <c r="K50" i="29"/>
  <c r="J50" i="29"/>
  <c r="I50" i="29"/>
  <c r="H50" i="29"/>
  <c r="G50" i="29"/>
  <c r="F50" i="29"/>
  <c r="D50" i="29"/>
  <c r="O49" i="29"/>
  <c r="N49" i="29"/>
  <c r="M49" i="29"/>
  <c r="L49" i="29"/>
  <c r="K49" i="29"/>
  <c r="J49" i="29"/>
  <c r="I49" i="29"/>
  <c r="H49" i="29"/>
  <c r="G49" i="29"/>
  <c r="F49" i="29"/>
  <c r="D49" i="29"/>
  <c r="O48" i="29"/>
  <c r="N48" i="29"/>
  <c r="M48" i="29"/>
  <c r="L48" i="29"/>
  <c r="K48" i="29"/>
  <c r="J48" i="29"/>
  <c r="I48" i="29"/>
  <c r="H48" i="29"/>
  <c r="G48" i="29"/>
  <c r="F48" i="29"/>
  <c r="D48" i="29"/>
  <c r="O47" i="29"/>
  <c r="N47" i="29"/>
  <c r="M47" i="29"/>
  <c r="L47" i="29"/>
  <c r="K47" i="29"/>
  <c r="J47" i="29"/>
  <c r="I47" i="29"/>
  <c r="H47" i="29"/>
  <c r="G47" i="29"/>
  <c r="F47" i="29"/>
  <c r="D47" i="29"/>
  <c r="O46" i="29"/>
  <c r="N46" i="29"/>
  <c r="M46" i="29"/>
  <c r="L46" i="29"/>
  <c r="K46" i="29"/>
  <c r="J46" i="29"/>
  <c r="I46" i="29"/>
  <c r="H46" i="29"/>
  <c r="G46" i="29"/>
  <c r="F46" i="29"/>
  <c r="D46" i="29"/>
  <c r="O45" i="29"/>
  <c r="N45" i="29"/>
  <c r="M45" i="29"/>
  <c r="L45" i="29"/>
  <c r="K45" i="29"/>
  <c r="J45" i="29"/>
  <c r="I45" i="29"/>
  <c r="H45" i="29"/>
  <c r="G45" i="29"/>
  <c r="F45" i="29"/>
  <c r="D45" i="29"/>
  <c r="O44" i="29"/>
  <c r="N44" i="29"/>
  <c r="M44" i="29"/>
  <c r="L44" i="29"/>
  <c r="K44" i="29"/>
  <c r="J44" i="29"/>
  <c r="I44" i="29"/>
  <c r="H44" i="29"/>
  <c r="G44" i="29"/>
  <c r="F44" i="29"/>
  <c r="D44" i="29"/>
  <c r="O43" i="29"/>
  <c r="N43" i="29"/>
  <c r="M43" i="29"/>
  <c r="L43" i="29"/>
  <c r="K43" i="29"/>
  <c r="J43" i="29"/>
  <c r="I43" i="29"/>
  <c r="H43" i="29"/>
  <c r="G43" i="29"/>
  <c r="F43" i="29"/>
  <c r="D43" i="29"/>
  <c r="O42" i="29"/>
  <c r="N42" i="29"/>
  <c r="M42" i="29"/>
  <c r="L42" i="29"/>
  <c r="K42" i="29"/>
  <c r="J42" i="29"/>
  <c r="I42" i="29"/>
  <c r="H42" i="29"/>
  <c r="G42" i="29"/>
  <c r="F42" i="29"/>
  <c r="D42" i="29"/>
  <c r="O41" i="29"/>
  <c r="N41" i="29"/>
  <c r="M41" i="29"/>
  <c r="L41" i="29"/>
  <c r="K41" i="29"/>
  <c r="J41" i="29"/>
  <c r="I41" i="29"/>
  <c r="H41" i="29"/>
  <c r="G41" i="29"/>
  <c r="F41" i="29"/>
  <c r="D41" i="29"/>
  <c r="O40" i="29"/>
  <c r="N40" i="29"/>
  <c r="M40" i="29"/>
  <c r="L40" i="29"/>
  <c r="K40" i="29"/>
  <c r="J40" i="29"/>
  <c r="I40" i="29"/>
  <c r="H40" i="29"/>
  <c r="G40" i="29"/>
  <c r="F40" i="29"/>
  <c r="D40" i="29"/>
  <c r="O39" i="29"/>
  <c r="N39" i="29"/>
  <c r="M39" i="29"/>
  <c r="L39" i="29"/>
  <c r="K39" i="29"/>
  <c r="J39" i="29"/>
  <c r="I39" i="29"/>
  <c r="H39" i="29"/>
  <c r="G39" i="29"/>
  <c r="F39" i="29"/>
  <c r="D39" i="29"/>
  <c r="D38" i="29"/>
  <c r="C38" i="29"/>
  <c r="M37" i="29"/>
  <c r="H37" i="29"/>
  <c r="D37" i="29"/>
  <c r="C37" i="29"/>
  <c r="L36" i="29"/>
  <c r="J36" i="29"/>
  <c r="I36" i="29"/>
  <c r="D36" i="29"/>
  <c r="G35" i="29"/>
  <c r="D35" i="29"/>
  <c r="C35" i="29"/>
  <c r="K34" i="29"/>
  <c r="D34" i="29"/>
  <c r="D33" i="29"/>
  <c r="I32" i="29"/>
  <c r="D32" i="29"/>
  <c r="O31" i="29"/>
  <c r="N31" i="29"/>
  <c r="M31" i="29"/>
  <c r="L31" i="29"/>
  <c r="K31" i="29"/>
  <c r="J31" i="29"/>
  <c r="I31" i="29"/>
  <c r="H31" i="29"/>
  <c r="G31" i="29"/>
  <c r="F31" i="29"/>
  <c r="O38" i="29"/>
  <c r="M24" i="29"/>
  <c r="M38" i="29"/>
  <c r="L24" i="29"/>
  <c r="L38" i="29"/>
  <c r="K24" i="29"/>
  <c r="K38" i="29"/>
  <c r="J24" i="29"/>
  <c r="I24" i="29"/>
  <c r="I38" i="29"/>
  <c r="H24" i="29"/>
  <c r="H38" i="29"/>
  <c r="G24" i="29"/>
  <c r="G38" i="29"/>
  <c r="F24" i="29"/>
  <c r="F38" i="29"/>
  <c r="N23" i="29"/>
  <c r="N37" i="29"/>
  <c r="M23" i="29"/>
  <c r="L23" i="29"/>
  <c r="L37" i="29"/>
  <c r="K23" i="29"/>
  <c r="K37" i="29"/>
  <c r="J23" i="29"/>
  <c r="J37" i="29"/>
  <c r="I23" i="29"/>
  <c r="I37" i="29"/>
  <c r="H23" i="29"/>
  <c r="G23" i="29"/>
  <c r="G37" i="29"/>
  <c r="F23" i="29"/>
  <c r="F37" i="29"/>
  <c r="N22" i="29"/>
  <c r="N36" i="29"/>
  <c r="M22" i="29"/>
  <c r="M36" i="29"/>
  <c r="L22" i="29"/>
  <c r="K22" i="29"/>
  <c r="K36" i="29"/>
  <c r="J22" i="29"/>
  <c r="I22" i="29"/>
  <c r="H36" i="29"/>
  <c r="G22" i="29"/>
  <c r="G36" i="29"/>
  <c r="F22" i="29"/>
  <c r="F36" i="29"/>
  <c r="N21" i="29"/>
  <c r="N35" i="29"/>
  <c r="M21" i="29"/>
  <c r="M35" i="29"/>
  <c r="L21" i="29"/>
  <c r="L35" i="29"/>
  <c r="K21" i="29"/>
  <c r="K35" i="29"/>
  <c r="J21" i="29"/>
  <c r="J35" i="29"/>
  <c r="I21" i="29"/>
  <c r="I35" i="29"/>
  <c r="H21" i="29"/>
  <c r="H35" i="29"/>
  <c r="G21" i="29"/>
  <c r="N20" i="29"/>
  <c r="N34" i="29"/>
  <c r="M20" i="29"/>
  <c r="M34" i="29"/>
  <c r="L20" i="29"/>
  <c r="L34" i="29"/>
  <c r="K20" i="29"/>
  <c r="J20" i="29"/>
  <c r="J34" i="29"/>
  <c r="I20" i="29"/>
  <c r="I34" i="29"/>
  <c r="H20" i="29"/>
  <c r="H34" i="29"/>
  <c r="G20" i="29"/>
  <c r="G34" i="29"/>
  <c r="N19" i="29"/>
  <c r="N33" i="29"/>
  <c r="M19" i="29"/>
  <c r="M33" i="29"/>
  <c r="L19" i="29"/>
  <c r="L33" i="29"/>
  <c r="K19" i="29"/>
  <c r="K33" i="29"/>
  <c r="J19" i="29"/>
  <c r="J33" i="29"/>
  <c r="I19" i="29"/>
  <c r="I33" i="29"/>
  <c r="H19" i="29"/>
  <c r="H33" i="29"/>
  <c r="G19" i="29"/>
  <c r="G33" i="29"/>
  <c r="N18" i="29"/>
  <c r="N32" i="29"/>
  <c r="M18" i="29"/>
  <c r="M32" i="29"/>
  <c r="L18" i="29"/>
  <c r="L32" i="29"/>
  <c r="K18" i="29"/>
  <c r="K32" i="29"/>
  <c r="K29" i="29"/>
  <c r="J18" i="29"/>
  <c r="J32" i="29"/>
  <c r="I18" i="29"/>
  <c r="H18" i="29"/>
  <c r="H32" i="29"/>
  <c r="G18" i="29"/>
  <c r="G32" i="29"/>
  <c r="G29" i="29"/>
  <c r="G16" i="29"/>
  <c r="G8" i="29"/>
  <c r="F15" i="29"/>
  <c r="F28" i="29"/>
  <c r="M11" i="29"/>
  <c r="L11" i="29"/>
  <c r="K11" i="29"/>
  <c r="H11" i="29"/>
  <c r="G21" i="27"/>
  <c r="F11" i="29"/>
  <c r="L10" i="29"/>
  <c r="K10" i="29"/>
  <c r="J10" i="29"/>
  <c r="I10" i="29"/>
  <c r="H10" i="29"/>
  <c r="G10" i="29"/>
  <c r="E6" i="29"/>
  <c r="F6" i="29"/>
  <c r="I4" i="29"/>
  <c r="I15" i="29"/>
  <c r="I28" i="29"/>
  <c r="H4" i="29"/>
  <c r="H15" i="29"/>
  <c r="H28" i="29"/>
  <c r="G4" i="29"/>
  <c r="G15" i="29"/>
  <c r="G28" i="29"/>
  <c r="O71" i="28"/>
  <c r="L71" i="28"/>
  <c r="G71" i="28"/>
  <c r="E70" i="28"/>
  <c r="D70" i="28"/>
  <c r="K69" i="28"/>
  <c r="I69" i="28"/>
  <c r="H69" i="28"/>
  <c r="C69" i="28"/>
  <c r="E68" i="28"/>
  <c r="D68" i="28"/>
  <c r="M67" i="28"/>
  <c r="H67" i="28"/>
  <c r="E66" i="28"/>
  <c r="D66" i="28"/>
  <c r="L65" i="28"/>
  <c r="J65" i="28"/>
  <c r="I65" i="28"/>
  <c r="N64" i="28"/>
  <c r="L64" i="28"/>
  <c r="K64" i="28"/>
  <c r="F64" i="28"/>
  <c r="N63" i="28"/>
  <c r="M63" i="28"/>
  <c r="F63" i="28"/>
  <c r="O62" i="28"/>
  <c r="J62" i="28"/>
  <c r="G62" i="28"/>
  <c r="L61" i="28"/>
  <c r="J61" i="28"/>
  <c r="N60" i="28"/>
  <c r="L60" i="28"/>
  <c r="F60" i="28"/>
  <c r="N59" i="28"/>
  <c r="M59" i="28"/>
  <c r="F59" i="28"/>
  <c r="O58" i="28"/>
  <c r="J58" i="28"/>
  <c r="G58" i="28"/>
  <c r="L57" i="28"/>
  <c r="J57" i="28"/>
  <c r="N56" i="28"/>
  <c r="L56" i="28"/>
  <c r="F56" i="28"/>
  <c r="N55" i="28"/>
  <c r="M55" i="28"/>
  <c r="F55" i="28"/>
  <c r="O54" i="28"/>
  <c r="J54" i="28"/>
  <c r="G54" i="28"/>
  <c r="C54" i="28"/>
  <c r="M53" i="28"/>
  <c r="J53" i="28"/>
  <c r="O52" i="28"/>
  <c r="M52" i="28"/>
  <c r="L52" i="28"/>
  <c r="G52" i="28"/>
  <c r="E51" i="28"/>
  <c r="D51" i="28"/>
  <c r="I50" i="28"/>
  <c r="H50" i="28"/>
  <c r="M49" i="28"/>
  <c r="O48" i="28"/>
  <c r="M48" i="28"/>
  <c r="L48" i="28"/>
  <c r="G48" i="28"/>
  <c r="O47" i="28"/>
  <c r="N47" i="28"/>
  <c r="I47" i="28"/>
  <c r="G47" i="28"/>
  <c r="F47" i="28"/>
  <c r="K46" i="28"/>
  <c r="I46" i="28"/>
  <c r="H46" i="28"/>
  <c r="M45" i="28"/>
  <c r="K45" i="28"/>
  <c r="O44" i="28"/>
  <c r="M44" i="28"/>
  <c r="L44" i="28"/>
  <c r="G44" i="28"/>
  <c r="O43" i="28"/>
  <c r="N43" i="28"/>
  <c r="I43" i="28"/>
  <c r="G43" i="28"/>
  <c r="F43" i="28"/>
  <c r="I42" i="28"/>
  <c r="H42" i="28"/>
  <c r="O40" i="28"/>
  <c r="L40" i="28"/>
  <c r="G40" i="28"/>
  <c r="E39" i="28"/>
  <c r="D39" i="28"/>
  <c r="O38" i="28"/>
  <c r="N38" i="28"/>
  <c r="M38" i="28"/>
  <c r="L38" i="28"/>
  <c r="K38" i="28"/>
  <c r="J38" i="28"/>
  <c r="I38" i="28"/>
  <c r="H38" i="28"/>
  <c r="G38" i="28"/>
  <c r="E37" i="28"/>
  <c r="D37" i="28"/>
  <c r="O36" i="28"/>
  <c r="N36" i="28"/>
  <c r="M36" i="28"/>
  <c r="L36" i="28"/>
  <c r="K36" i="28"/>
  <c r="J36" i="28"/>
  <c r="I36" i="28"/>
  <c r="H36" i="28"/>
  <c r="G36" i="28"/>
  <c r="O35" i="28"/>
  <c r="N35" i="28"/>
  <c r="M35" i="28"/>
  <c r="L35" i="28"/>
  <c r="K35" i="28"/>
  <c r="J35" i="28"/>
  <c r="I35" i="28"/>
  <c r="H35" i="28"/>
  <c r="G35" i="28"/>
  <c r="O34" i="28"/>
  <c r="N34" i="28"/>
  <c r="M34" i="28"/>
  <c r="L34" i="28"/>
  <c r="K34" i="28"/>
  <c r="J34" i="28"/>
  <c r="I34" i="28"/>
  <c r="H34" i="28"/>
  <c r="G34" i="28"/>
  <c r="O33" i="28"/>
  <c r="N33" i="28"/>
  <c r="M33" i="28"/>
  <c r="L33" i="28"/>
  <c r="K33" i="28"/>
  <c r="J33" i="28"/>
  <c r="I33" i="28"/>
  <c r="H33" i="28"/>
  <c r="G33" i="28"/>
  <c r="O32" i="28"/>
  <c r="N32" i="28"/>
  <c r="M32" i="28"/>
  <c r="L32" i="28"/>
  <c r="K32" i="28"/>
  <c r="J32" i="28"/>
  <c r="I32" i="28"/>
  <c r="H32" i="28"/>
  <c r="G32" i="28"/>
  <c r="O31" i="28"/>
  <c r="N31" i="28"/>
  <c r="M31" i="28"/>
  <c r="L31" i="28"/>
  <c r="K31" i="28"/>
  <c r="J31" i="28"/>
  <c r="I31" i="28"/>
  <c r="H31" i="28"/>
  <c r="G31" i="28"/>
  <c r="O30" i="28"/>
  <c r="N30" i="28"/>
  <c r="M30" i="28"/>
  <c r="L30" i="28"/>
  <c r="K30" i="28"/>
  <c r="J30" i="28"/>
  <c r="I30" i="28"/>
  <c r="H30" i="28"/>
  <c r="G30" i="28"/>
  <c r="O29" i="28"/>
  <c r="N29" i="28"/>
  <c r="M29" i="28"/>
  <c r="L29" i="28"/>
  <c r="K29" i="28"/>
  <c r="J29" i="28"/>
  <c r="I29" i="28"/>
  <c r="H29" i="28"/>
  <c r="G29" i="28"/>
  <c r="O28" i="28"/>
  <c r="N28" i="28"/>
  <c r="M28" i="28"/>
  <c r="L28" i="28"/>
  <c r="K28" i="28"/>
  <c r="J28" i="28"/>
  <c r="I28" i="28"/>
  <c r="H28" i="28"/>
  <c r="G28" i="28"/>
  <c r="O27" i="28"/>
  <c r="N27" i="28"/>
  <c r="M27" i="28"/>
  <c r="L27" i="28"/>
  <c r="K27" i="28"/>
  <c r="J27" i="28"/>
  <c r="I27" i="28"/>
  <c r="H27" i="28"/>
  <c r="G27" i="28"/>
  <c r="O26" i="28"/>
  <c r="N26" i="28"/>
  <c r="M26" i="28"/>
  <c r="L26" i="28"/>
  <c r="K26" i="28"/>
  <c r="J26" i="28"/>
  <c r="I26" i="28"/>
  <c r="H26" i="28"/>
  <c r="G26" i="28"/>
  <c r="O25" i="28"/>
  <c r="N25" i="28"/>
  <c r="M25" i="28"/>
  <c r="L25" i="28"/>
  <c r="K25" i="28"/>
  <c r="J25" i="28"/>
  <c r="I25" i="28"/>
  <c r="H25" i="28"/>
  <c r="G25" i="28"/>
  <c r="O24" i="28"/>
  <c r="N24" i="28"/>
  <c r="M24" i="28"/>
  <c r="L24" i="28"/>
  <c r="K24" i="28"/>
  <c r="J24" i="28"/>
  <c r="I24" i="28"/>
  <c r="H24" i="28"/>
  <c r="G24" i="28"/>
  <c r="E24" i="28"/>
  <c r="D24" i="28"/>
  <c r="O20" i="28"/>
  <c r="N20" i="28"/>
  <c r="N71" i="28"/>
  <c r="M20" i="28"/>
  <c r="M71" i="28"/>
  <c r="L20" i="28"/>
  <c r="K20" i="28"/>
  <c r="K71" i="28"/>
  <c r="J20" i="28"/>
  <c r="J71" i="28"/>
  <c r="I20" i="28"/>
  <c r="I71" i="28"/>
  <c r="H20" i="28"/>
  <c r="H71" i="28"/>
  <c r="G20" i="28"/>
  <c r="F20" i="28"/>
  <c r="F71" i="28"/>
  <c r="O19" i="28"/>
  <c r="O69" i="28"/>
  <c r="N19" i="28"/>
  <c r="N69" i="28"/>
  <c r="M19" i="28"/>
  <c r="M69" i="28"/>
  <c r="L19" i="28"/>
  <c r="L69" i="28"/>
  <c r="K19" i="28"/>
  <c r="J19" i="28"/>
  <c r="J69" i="28"/>
  <c r="I19" i="28"/>
  <c r="H19" i="28"/>
  <c r="G19" i="28"/>
  <c r="G69" i="28"/>
  <c r="F19" i="28"/>
  <c r="F69" i="28"/>
  <c r="O18" i="28"/>
  <c r="O67" i="28"/>
  <c r="N18" i="28"/>
  <c r="M22" i="27"/>
  <c r="M18" i="28"/>
  <c r="L18" i="28"/>
  <c r="L67" i="28"/>
  <c r="K18" i="28"/>
  <c r="K67" i="28"/>
  <c r="J18" i="28"/>
  <c r="J67" i="28"/>
  <c r="I18" i="28"/>
  <c r="I67" i="28"/>
  <c r="H18" i="28"/>
  <c r="G18" i="28"/>
  <c r="G67" i="28"/>
  <c r="F18" i="28"/>
  <c r="F36" i="28"/>
  <c r="O17" i="28"/>
  <c r="O65" i="28"/>
  <c r="N17" i="28"/>
  <c r="N62" i="28"/>
  <c r="M17" i="28"/>
  <c r="M62" i="28"/>
  <c r="L17" i="28"/>
  <c r="L63" i="28"/>
  <c r="K17" i="28"/>
  <c r="K60" i="28"/>
  <c r="J17" i="28"/>
  <c r="J64" i="28"/>
  <c r="I17" i="28"/>
  <c r="I61" i="28"/>
  <c r="H17" i="28"/>
  <c r="H55" i="28"/>
  <c r="G17" i="28"/>
  <c r="G65" i="28"/>
  <c r="F17" i="28"/>
  <c r="F62" i="28"/>
  <c r="O16" i="28"/>
  <c r="O50" i="28"/>
  <c r="N16" i="28"/>
  <c r="N50" i="28"/>
  <c r="M16" i="28"/>
  <c r="M40" i="28"/>
  <c r="L16" i="28"/>
  <c r="L47" i="28"/>
  <c r="K16" i="28"/>
  <c r="K42" i="28"/>
  <c r="J16" i="28"/>
  <c r="J7" i="28"/>
  <c r="I13" i="27"/>
  <c r="I16" i="28"/>
  <c r="I49" i="28"/>
  <c r="H16" i="28"/>
  <c r="H49" i="28"/>
  <c r="G16" i="28"/>
  <c r="G50" i="28"/>
  <c r="F16" i="28"/>
  <c r="F50" i="28"/>
  <c r="O15" i="28"/>
  <c r="N15" i="28"/>
  <c r="M15" i="28"/>
  <c r="L15" i="28"/>
  <c r="L7" i="28"/>
  <c r="K13" i="27"/>
  <c r="K15" i="28"/>
  <c r="J15" i="28"/>
  <c r="I15" i="28"/>
  <c r="H15" i="28"/>
  <c r="G15" i="28"/>
  <c r="F15" i="28"/>
  <c r="F14" i="28"/>
  <c r="F27" i="28"/>
  <c r="O7" i="28"/>
  <c r="N13" i="27"/>
  <c r="H22" i="27"/>
  <c r="F6" i="28"/>
  <c r="G6" i="28"/>
  <c r="H5" i="28"/>
  <c r="G4" i="28"/>
  <c r="H4" i="28"/>
  <c r="I4" i="28"/>
  <c r="J4" i="28"/>
  <c r="K4" i="28"/>
  <c r="L4" i="28"/>
  <c r="M4" i="28"/>
  <c r="N4" i="28"/>
  <c r="O4" i="28"/>
  <c r="F4" i="28"/>
  <c r="N21" i="27"/>
  <c r="L21" i="27"/>
  <c r="K21" i="27"/>
  <c r="J21" i="27"/>
  <c r="F21" i="27"/>
  <c r="E21" i="27"/>
  <c r="K20" i="27"/>
  <c r="J20" i="27"/>
  <c r="I20" i="27"/>
  <c r="H20" i="27"/>
  <c r="G20" i="27"/>
  <c r="F14" i="27"/>
  <c r="A5" i="27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E4" i="27"/>
  <c r="F4" i="27" s="1"/>
  <c r="G4" i="27" s="1"/>
  <c r="H4" i="27" s="1"/>
  <c r="I4" i="27" s="1"/>
  <c r="J4" i="27" s="1"/>
  <c r="K4" i="27" s="1"/>
  <c r="L4" i="27" s="1"/>
  <c r="M4" i="27" s="1"/>
  <c r="N4" i="27" s="1"/>
  <c r="I390" i="2"/>
  <c r="M390" i="2"/>
  <c r="L390" i="2"/>
  <c r="F24" i="32"/>
  <c r="G24" i="32"/>
  <c r="H24" i="32"/>
  <c r="I24" i="32" s="1"/>
  <c r="J24" i="32" s="1"/>
  <c r="K24" i="32" s="1"/>
  <c r="AO13" i="4"/>
  <c r="H29" i="29"/>
  <c r="O29" i="29"/>
  <c r="O16" i="29"/>
  <c r="O8" i="29"/>
  <c r="N14" i="27"/>
  <c r="G5" i="29"/>
  <c r="G6" i="29"/>
  <c r="E20" i="27"/>
  <c r="M20" i="27"/>
  <c r="N12" i="29"/>
  <c r="M23" i="27"/>
  <c r="N20" i="27"/>
  <c r="F15" i="27"/>
  <c r="J41" i="28"/>
  <c r="N67" i="28"/>
  <c r="H7" i="28"/>
  <c r="G13" i="27"/>
  <c r="F12" i="29"/>
  <c r="E23" i="27"/>
  <c r="H21" i="27"/>
  <c r="M41" i="28"/>
  <c r="I57" i="28"/>
  <c r="H59" i="28"/>
  <c r="L12" i="29"/>
  <c r="M29" i="29"/>
  <c r="K12" i="29"/>
  <c r="I12" i="29"/>
  <c r="H23" i="27"/>
  <c r="H12" i="29"/>
  <c r="G23" i="27"/>
  <c r="O12" i="29"/>
  <c r="N23" i="27"/>
  <c r="G12" i="29"/>
  <c r="F23" i="27"/>
  <c r="M12" i="29"/>
  <c r="L23" i="27"/>
  <c r="L29" i="29"/>
  <c r="I7" i="28"/>
  <c r="H13" i="27"/>
  <c r="K41" i="28"/>
  <c r="H63" i="28"/>
  <c r="J16" i="29"/>
  <c r="J8" i="29"/>
  <c r="I14" i="27"/>
  <c r="G22" i="27"/>
  <c r="N7" i="28"/>
  <c r="M13" i="27"/>
  <c r="K7" i="28"/>
  <c r="J13" i="27"/>
  <c r="J22" i="27"/>
  <c r="K50" i="28"/>
  <c r="K53" i="28"/>
  <c r="J4" i="29"/>
  <c r="F29" i="29"/>
  <c r="J38" i="29"/>
  <c r="J12" i="29"/>
  <c r="I23" i="27"/>
  <c r="F35" i="28"/>
  <c r="L20" i="27"/>
  <c r="M7" i="28"/>
  <c r="L13" i="27"/>
  <c r="L22" i="27"/>
  <c r="F67" i="28"/>
  <c r="J48" i="28"/>
  <c r="J44" i="28"/>
  <c r="J40" i="28"/>
  <c r="J23" i="28"/>
  <c r="J9" i="28"/>
  <c r="J47" i="28"/>
  <c r="J43" i="28"/>
  <c r="J50" i="28"/>
  <c r="J46" i="28"/>
  <c r="J42" i="28"/>
  <c r="H65" i="28"/>
  <c r="H61" i="28"/>
  <c r="H57" i="28"/>
  <c r="H53" i="28"/>
  <c r="H64" i="28"/>
  <c r="H60" i="28"/>
  <c r="H56" i="28"/>
  <c r="H52" i="28"/>
  <c r="F38" i="28"/>
  <c r="F34" i="28"/>
  <c r="F30" i="28"/>
  <c r="F26" i="28"/>
  <c r="E22" i="27"/>
  <c r="F33" i="28"/>
  <c r="F29" i="28"/>
  <c r="F25" i="28"/>
  <c r="F32" i="28"/>
  <c r="F28" i="28"/>
  <c r="F24" i="28"/>
  <c r="K48" i="28"/>
  <c r="K44" i="28"/>
  <c r="K40" i="28"/>
  <c r="K47" i="28"/>
  <c r="K43" i="28"/>
  <c r="I53" i="28"/>
  <c r="I64" i="28"/>
  <c r="I60" i="28"/>
  <c r="I56" i="28"/>
  <c r="I52" i="28"/>
  <c r="I63" i="28"/>
  <c r="I59" i="28"/>
  <c r="I55" i="28"/>
  <c r="I62" i="28"/>
  <c r="I58" i="28"/>
  <c r="I54" i="28"/>
  <c r="K22" i="27"/>
  <c r="J49" i="28"/>
  <c r="H58" i="28"/>
  <c r="F20" i="27"/>
  <c r="I22" i="27"/>
  <c r="H62" i="28"/>
  <c r="H6" i="28"/>
  <c r="E13" i="27"/>
  <c r="F22" i="27"/>
  <c r="N22" i="27"/>
  <c r="M47" i="28"/>
  <c r="M43" i="28"/>
  <c r="M50" i="28"/>
  <c r="M46" i="28"/>
  <c r="M42" i="28"/>
  <c r="M23" i="28"/>
  <c r="M9" i="28"/>
  <c r="K52" i="28"/>
  <c r="K63" i="28"/>
  <c r="K59" i="28"/>
  <c r="K55" i="28"/>
  <c r="K62" i="28"/>
  <c r="K58" i="28"/>
  <c r="K54" i="28"/>
  <c r="K65" i="28"/>
  <c r="K61" i="28"/>
  <c r="K57" i="28"/>
  <c r="F31" i="28"/>
  <c r="J45" i="28"/>
  <c r="K49" i="28"/>
  <c r="H54" i="28"/>
  <c r="K56" i="28"/>
  <c r="I29" i="29"/>
  <c r="J29" i="29"/>
  <c r="N24" i="29"/>
  <c r="N38" i="29"/>
  <c r="N29" i="29"/>
  <c r="N59" i="29"/>
  <c r="N11" i="29"/>
  <c r="M21" i="27"/>
  <c r="F40" i="28"/>
  <c r="N40" i="28"/>
  <c r="N23" i="28"/>
  <c r="N9" i="28"/>
  <c r="L41" i="28"/>
  <c r="L23" i="28"/>
  <c r="L9" i="28"/>
  <c r="H43" i="28"/>
  <c r="F44" i="28"/>
  <c r="N44" i="28"/>
  <c r="L45" i="28"/>
  <c r="H47" i="28"/>
  <c r="F48" i="28"/>
  <c r="N48" i="28"/>
  <c r="L49" i="28"/>
  <c r="F52" i="28"/>
  <c r="N52" i="28"/>
  <c r="L53" i="28"/>
  <c r="G55" i="28"/>
  <c r="O55" i="28"/>
  <c r="M56" i="28"/>
  <c r="G59" i="28"/>
  <c r="O59" i="28"/>
  <c r="M60" i="28"/>
  <c r="G63" i="28"/>
  <c r="O63" i="28"/>
  <c r="M64" i="28"/>
  <c r="I16" i="29"/>
  <c r="I8" i="29"/>
  <c r="H14" i="27"/>
  <c r="G5" i="28"/>
  <c r="H40" i="28"/>
  <c r="H23" i="28"/>
  <c r="H9" i="28"/>
  <c r="F41" i="28"/>
  <c r="N41" i="28"/>
  <c r="L42" i="28"/>
  <c r="H44" i="28"/>
  <c r="F45" i="28"/>
  <c r="N45" i="28"/>
  <c r="L46" i="28"/>
  <c r="H48" i="28"/>
  <c r="F49" i="28"/>
  <c r="N49" i="28"/>
  <c r="L50" i="28"/>
  <c r="F53" i="28"/>
  <c r="N53" i="28"/>
  <c r="G56" i="28"/>
  <c r="O56" i="28"/>
  <c r="M57" i="28"/>
  <c r="G60" i="28"/>
  <c r="O60" i="28"/>
  <c r="M61" i="28"/>
  <c r="G64" i="28"/>
  <c r="O64" i="28"/>
  <c r="M65" i="28"/>
  <c r="K16" i="29"/>
  <c r="K8" i="29"/>
  <c r="J14" i="27"/>
  <c r="I40" i="28"/>
  <c r="I23" i="28"/>
  <c r="I9" i="28"/>
  <c r="G41" i="28"/>
  <c r="O41" i="28"/>
  <c r="I44" i="28"/>
  <c r="G45" i="28"/>
  <c r="G23" i="28"/>
  <c r="G9" i="28"/>
  <c r="O45" i="28"/>
  <c r="I48" i="28"/>
  <c r="G49" i="28"/>
  <c r="O49" i="28"/>
  <c r="G53" i="28"/>
  <c r="O53" i="28"/>
  <c r="L54" i="28"/>
  <c r="J55" i="28"/>
  <c r="F57" i="28"/>
  <c r="N57" i="28"/>
  <c r="L58" i="28"/>
  <c r="J59" i="28"/>
  <c r="F61" i="28"/>
  <c r="N61" i="28"/>
  <c r="L62" i="28"/>
  <c r="J63" i="28"/>
  <c r="F65" i="28"/>
  <c r="N65" i="28"/>
  <c r="L16" i="29"/>
  <c r="L8" i="29"/>
  <c r="K14" i="27"/>
  <c r="H41" i="28"/>
  <c r="F42" i="28"/>
  <c r="N42" i="28"/>
  <c r="L43" i="28"/>
  <c r="H45" i="28"/>
  <c r="F46" i="28"/>
  <c r="N46" i="28"/>
  <c r="J52" i="28"/>
  <c r="M54" i="28"/>
  <c r="G57" i="28"/>
  <c r="O57" i="28"/>
  <c r="M58" i="28"/>
  <c r="G61" i="28"/>
  <c r="O61" i="28"/>
  <c r="M16" i="29"/>
  <c r="M8" i="29"/>
  <c r="L14" i="27"/>
  <c r="J59" i="29"/>
  <c r="J11" i="29"/>
  <c r="I41" i="28"/>
  <c r="G42" i="28"/>
  <c r="O42" i="28"/>
  <c r="I45" i="28"/>
  <c r="G46" i="28"/>
  <c r="O46" i="28"/>
  <c r="O23" i="28"/>
  <c r="O9" i="28"/>
  <c r="F54" i="28"/>
  <c r="N54" i="28"/>
  <c r="L55" i="28"/>
  <c r="J56" i="28"/>
  <c r="F58" i="28"/>
  <c r="N58" i="28"/>
  <c r="L59" i="28"/>
  <c r="J60" i="28"/>
  <c r="F16" i="29"/>
  <c r="F8" i="29"/>
  <c r="E14" i="27"/>
  <c r="N16" i="29"/>
  <c r="N8" i="29"/>
  <c r="M14" i="27"/>
  <c r="G9" i="29"/>
  <c r="I9" i="29"/>
  <c r="K15" i="27"/>
  <c r="N390" i="2"/>
  <c r="F12" i="27"/>
  <c r="N15" i="27"/>
  <c r="K391" i="2"/>
  <c r="P390" i="2"/>
  <c r="J390" i="2"/>
  <c r="O391" i="2"/>
  <c r="J391" i="2"/>
  <c r="H390" i="2"/>
  <c r="P391" i="2"/>
  <c r="I391" i="2"/>
  <c r="O390" i="2"/>
  <c r="I15" i="27"/>
  <c r="Q20" i="27"/>
  <c r="R20" i="27" s="1"/>
  <c r="G390" i="2"/>
  <c r="N391" i="2"/>
  <c r="H391" i="2"/>
  <c r="Q22" i="27"/>
  <c r="R22" i="27" s="1"/>
  <c r="G391" i="2"/>
  <c r="H9" i="29"/>
  <c r="F9" i="29"/>
  <c r="N12" i="27"/>
  <c r="G19" i="27"/>
  <c r="H8" i="28"/>
  <c r="M19" i="27"/>
  <c r="N8" i="28"/>
  <c r="O8" i="28"/>
  <c r="N19" i="27"/>
  <c r="G8" i="28"/>
  <c r="F19" i="27"/>
  <c r="I8" i="28"/>
  <c r="H19" i="27"/>
  <c r="M8" i="28"/>
  <c r="L19" i="27"/>
  <c r="I19" i="27"/>
  <c r="J8" i="28"/>
  <c r="L8" i="28"/>
  <c r="K19" i="27"/>
  <c r="I21" i="27"/>
  <c r="J9" i="29"/>
  <c r="F23" i="28"/>
  <c r="F9" i="28"/>
  <c r="M9" i="29"/>
  <c r="H15" i="27"/>
  <c r="K9" i="29"/>
  <c r="J23" i="27"/>
  <c r="G15" i="27"/>
  <c r="N9" i="29"/>
  <c r="O9" i="29"/>
  <c r="K23" i="27"/>
  <c r="L9" i="29"/>
  <c r="M15" i="27"/>
  <c r="E15" i="27"/>
  <c r="L15" i="27"/>
  <c r="K4" i="29"/>
  <c r="J15" i="29"/>
  <c r="J28" i="29"/>
  <c r="H5" i="29"/>
  <c r="H6" i="29"/>
  <c r="J15" i="27"/>
  <c r="K23" i="28"/>
  <c r="K9" i="28"/>
  <c r="G3" i="29"/>
  <c r="G3" i="28"/>
  <c r="I5" i="28"/>
  <c r="I6" i="28"/>
  <c r="K12" i="27"/>
  <c r="K390" i="2"/>
  <c r="M391" i="2"/>
  <c r="G12" i="27"/>
  <c r="I12" i="27"/>
  <c r="L12" i="27"/>
  <c r="E12" i="27"/>
  <c r="F3" i="29" s="1"/>
  <c r="L391" i="2"/>
  <c r="M12" i="27"/>
  <c r="H12" i="27"/>
  <c r="J12" i="27"/>
  <c r="K18" i="27"/>
  <c r="M389" i="2"/>
  <c r="F18" i="27"/>
  <c r="H389" i="2"/>
  <c r="M18" i="27"/>
  <c r="O389" i="2"/>
  <c r="G18" i="27"/>
  <c r="I389" i="2"/>
  <c r="Q23" i="27"/>
  <c r="N18" i="27"/>
  <c r="P389" i="2"/>
  <c r="I18" i="27"/>
  <c r="K389" i="2"/>
  <c r="L18" i="27"/>
  <c r="N389" i="2"/>
  <c r="Q21" i="27"/>
  <c r="J3" i="29"/>
  <c r="H18" i="27"/>
  <c r="J389" i="2"/>
  <c r="O3" i="29"/>
  <c r="O3" i="28"/>
  <c r="I3" i="29"/>
  <c r="N3" i="28"/>
  <c r="F3" i="28"/>
  <c r="H3" i="29"/>
  <c r="H3" i="28"/>
  <c r="K8" i="28"/>
  <c r="J19" i="27"/>
  <c r="J6" i="28"/>
  <c r="J5" i="28"/>
  <c r="I6" i="29"/>
  <c r="I5" i="29"/>
  <c r="L3" i="28"/>
  <c r="L3" i="29"/>
  <c r="M3" i="29"/>
  <c r="M3" i="28"/>
  <c r="E19" i="27"/>
  <c r="F8" i="28"/>
  <c r="K15" i="29"/>
  <c r="K28" i="29"/>
  <c r="L4" i="29"/>
  <c r="K3" i="28"/>
  <c r="N3" i="29"/>
  <c r="K3" i="29"/>
  <c r="I3" i="28"/>
  <c r="N34" i="27"/>
  <c r="K34" i="27"/>
  <c r="L34" i="27"/>
  <c r="G34" i="27"/>
  <c r="J3" i="28"/>
  <c r="E60" i="3"/>
  <c r="E48" i="41" s="1"/>
  <c r="M34" i="27"/>
  <c r="I34" i="27"/>
  <c r="H34" i="27"/>
  <c r="F34" i="27"/>
  <c r="E18" i="27"/>
  <c r="E34" i="27" s="1"/>
  <c r="O34" i="27" s="1"/>
  <c r="Q19" i="27"/>
  <c r="R19" i="27" s="1"/>
  <c r="G389" i="2"/>
  <c r="J18" i="27"/>
  <c r="L389" i="2"/>
  <c r="J6" i="29"/>
  <c r="J5" i="29"/>
  <c r="K6" i="28"/>
  <c r="K5" i="28"/>
  <c r="M4" i="29"/>
  <c r="L15" i="29"/>
  <c r="L28" i="29"/>
  <c r="Q18" i="27"/>
  <c r="R18" i="27" s="1"/>
  <c r="J34" i="27"/>
  <c r="N4" i="29"/>
  <c r="M15" i="29"/>
  <c r="M28" i="29"/>
  <c r="L5" i="28"/>
  <c r="L6" i="28"/>
  <c r="K6" i="29"/>
  <c r="K5" i="29"/>
  <c r="L6" i="29"/>
  <c r="L5" i="29"/>
  <c r="M6" i="28"/>
  <c r="M5" i="28"/>
  <c r="O4" i="29"/>
  <c r="O15" i="29"/>
  <c r="O28" i="29"/>
  <c r="N15" i="29"/>
  <c r="N28" i="29"/>
  <c r="N6" i="28"/>
  <c r="N5" i="28"/>
  <c r="M5" i="29"/>
  <c r="M6" i="29"/>
  <c r="N5" i="29"/>
  <c r="N6" i="29"/>
  <c r="O6" i="28"/>
  <c r="O5" i="28"/>
  <c r="O5" i="29"/>
  <c r="O6" i="29"/>
  <c r="C13" i="5"/>
  <c r="E2" i="26"/>
  <c r="F2" i="26"/>
  <c r="G2" i="26"/>
  <c r="H2" i="26"/>
  <c r="D2" i="26"/>
  <c r="AE16" i="4"/>
  <c r="AE17" i="4"/>
  <c r="AE18" i="4"/>
  <c r="AE19" i="4"/>
  <c r="AE20" i="4"/>
  <c r="AE21" i="4"/>
  <c r="AE22" i="4"/>
  <c r="AE23" i="4"/>
  <c r="G41" i="1"/>
  <c r="G49" i="1" s="1"/>
  <c r="H41" i="1"/>
  <c r="H65" i="1"/>
  <c r="I41" i="1"/>
  <c r="I65" i="1" s="1"/>
  <c r="J41" i="1"/>
  <c r="M41" i="1"/>
  <c r="M49" i="1"/>
  <c r="N41" i="1"/>
  <c r="O41" i="1"/>
  <c r="O49" i="1"/>
  <c r="P41" i="1"/>
  <c r="Q41" i="1"/>
  <c r="Q65" i="1" s="1"/>
  <c r="R41" i="1"/>
  <c r="S41" i="1"/>
  <c r="S49" i="1" s="1"/>
  <c r="T41" i="1"/>
  <c r="T65" i="1" s="1"/>
  <c r="F41" i="1"/>
  <c r="F49" i="1"/>
  <c r="B5" i="5"/>
  <c r="J65" i="1"/>
  <c r="G66" i="1"/>
  <c r="H66" i="1"/>
  <c r="I66" i="1"/>
  <c r="J66" i="1"/>
  <c r="K66" i="1"/>
  <c r="M66" i="1"/>
  <c r="N66" i="1"/>
  <c r="O66" i="1"/>
  <c r="P66" i="1"/>
  <c r="Q66" i="1"/>
  <c r="R66" i="1"/>
  <c r="S66" i="1"/>
  <c r="T66" i="1"/>
  <c r="F66" i="1"/>
  <c r="H49" i="1"/>
  <c r="J49" i="1"/>
  <c r="T49" i="1"/>
  <c r="C25" i="1"/>
  <c r="M65" i="1"/>
  <c r="O65" i="1"/>
  <c r="P65" i="1"/>
  <c r="B74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D377" i="2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E456" i="2"/>
  <c r="E460" i="2" s="1"/>
  <c r="E461" i="2" s="1"/>
  <c r="E462" i="2" s="1"/>
  <c r="E463" i="2" s="1"/>
  <c r="E464" i="2" s="1"/>
  <c r="E465" i="2" s="1"/>
  <c r="E466" i="2" s="1"/>
  <c r="B456" i="2"/>
  <c r="E454" i="2"/>
  <c r="E455" i="2" s="1"/>
  <c r="B454" i="2"/>
  <c r="E447" i="2"/>
  <c r="E448" i="2" s="1"/>
  <c r="E449" i="2" s="1"/>
  <c r="E450" i="2" s="1"/>
  <c r="E451" i="2" s="1"/>
  <c r="E452" i="2" s="1"/>
  <c r="E453" i="2" s="1"/>
  <c r="B446" i="2"/>
  <c r="D438" i="2"/>
  <c r="D441" i="2" s="1"/>
  <c r="D455" i="2" s="1"/>
  <c r="B455" i="2" s="1"/>
  <c r="F435" i="2"/>
  <c r="F434" i="2"/>
  <c r="F433" i="2"/>
  <c r="F432" i="2"/>
  <c r="F431" i="2"/>
  <c r="F430" i="2"/>
  <c r="F429" i="2"/>
  <c r="F428" i="2"/>
  <c r="D426" i="2"/>
  <c r="D435" i="2" s="1"/>
  <c r="D453" i="2" s="1"/>
  <c r="B453" i="2" s="1"/>
  <c r="D425" i="2"/>
  <c r="D434" i="2" s="1"/>
  <c r="D452" i="2" s="1"/>
  <c r="D466" i="2" s="1"/>
  <c r="D424" i="2"/>
  <c r="D433" i="2" s="1"/>
  <c r="D451" i="2" s="1"/>
  <c r="D423" i="2"/>
  <c r="D432" i="2" s="1"/>
  <c r="D450" i="2" s="1"/>
  <c r="D422" i="2"/>
  <c r="D431" i="2" s="1"/>
  <c r="D449" i="2" s="1"/>
  <c r="D421" i="2"/>
  <c r="D430" i="2" s="1"/>
  <c r="D448" i="2" s="1"/>
  <c r="D420" i="2"/>
  <c r="D429" i="2" s="1"/>
  <c r="D447" i="2" s="1"/>
  <c r="E418" i="2"/>
  <c r="E419" i="2" s="1"/>
  <c r="I415" i="2"/>
  <c r="H415" i="2"/>
  <c r="G415" i="2"/>
  <c r="E415" i="2"/>
  <c r="E416" i="2" s="1"/>
  <c r="E413" i="2"/>
  <c r="E412" i="2"/>
  <c r="E411" i="2"/>
  <c r="E408" i="2"/>
  <c r="E404" i="2"/>
  <c r="E405" i="2" s="1"/>
  <c r="E402" i="2"/>
  <c r="E397" i="2"/>
  <c r="E393" i="2"/>
  <c r="E388" i="2"/>
  <c r="F387" i="2"/>
  <c r="E384" i="2"/>
  <c r="E381" i="2"/>
  <c r="G379" i="2"/>
  <c r="E379" i="2"/>
  <c r="D379" i="2"/>
  <c r="F377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D284" i="2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D191" i="2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D98" i="2"/>
  <c r="D5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F15" i="2"/>
  <c r="G7" i="2"/>
  <c r="AK13" i="5"/>
  <c r="AK11" i="5"/>
  <c r="AL11" i="5" s="1"/>
  <c r="AM11" i="5" s="1"/>
  <c r="AN11" i="5" s="1"/>
  <c r="AO11" i="5"/>
  <c r="AP11" i="5" s="1"/>
  <c r="AQ11" i="5" s="1"/>
  <c r="AR11" i="5" s="1"/>
  <c r="AS11" i="5" s="1"/>
  <c r="AT11" i="5" s="1"/>
  <c r="AU11" i="5" s="1"/>
  <c r="AV11" i="5" s="1"/>
  <c r="AW11" i="5" s="1"/>
  <c r="AX11" i="5"/>
  <c r="AY11" i="5" s="1"/>
  <c r="AZ11" i="5" s="1"/>
  <c r="BA11" i="5" s="1"/>
  <c r="BB11" i="5" s="1"/>
  <c r="BC11" i="5" s="1"/>
  <c r="BD11" i="5" s="1"/>
  <c r="AK5" i="5"/>
  <c r="R43" i="5"/>
  <c r="Q43" i="5"/>
  <c r="Q46" i="5"/>
  <c r="Q47" i="5"/>
  <c r="R31" i="5"/>
  <c r="Q31" i="5"/>
  <c r="AF9" i="5"/>
  <c r="AG9" i="5"/>
  <c r="AF8" i="5"/>
  <c r="AG8" i="5"/>
  <c r="AF7" i="5"/>
  <c r="AF6" i="5"/>
  <c r="AG10" i="5"/>
  <c r="AG11" i="5"/>
  <c r="AG12" i="5"/>
  <c r="Z18" i="5"/>
  <c r="Z17" i="5"/>
  <c r="Z16" i="5"/>
  <c r="Z15" i="5"/>
  <c r="Z14" i="5"/>
  <c r="Z13" i="5"/>
  <c r="Z12" i="5"/>
  <c r="Z11" i="5"/>
  <c r="Z10" i="5"/>
  <c r="G2" i="5"/>
  <c r="E205" i="3"/>
  <c r="E206" i="3"/>
  <c r="E206" i="32" s="1"/>
  <c r="F206" i="32" s="1"/>
  <c r="G206" i="32" s="1"/>
  <c r="H206" i="32" s="1"/>
  <c r="I206" i="32" s="1"/>
  <c r="J206" i="32" s="1"/>
  <c r="K206" i="32" s="1"/>
  <c r="L206" i="32" s="1"/>
  <c r="M206" i="32" s="1"/>
  <c r="N206" i="32" s="1"/>
  <c r="O206" i="32" s="1"/>
  <c r="P206" i="32" s="1"/>
  <c r="Q206" i="32" s="1"/>
  <c r="R206" i="32" s="1"/>
  <c r="S206" i="32" s="1"/>
  <c r="T206" i="32" s="1"/>
  <c r="U206" i="32" s="1"/>
  <c r="V206" i="32" s="1"/>
  <c r="W206" i="32" s="1"/>
  <c r="X206" i="32" s="1"/>
  <c r="E207" i="3"/>
  <c r="E207" i="32" s="1"/>
  <c r="F207" i="32" s="1"/>
  <c r="G207" i="32" s="1"/>
  <c r="H207" i="32" s="1"/>
  <c r="I207" i="32" s="1"/>
  <c r="J207" i="32" s="1"/>
  <c r="K207" i="32" s="1"/>
  <c r="L207" i="32" s="1"/>
  <c r="M207" i="32" s="1"/>
  <c r="N207" i="32" s="1"/>
  <c r="O207" i="32" s="1"/>
  <c r="P207" i="32" s="1"/>
  <c r="Q207" i="32" s="1"/>
  <c r="R207" i="32" s="1"/>
  <c r="S207" i="32" s="1"/>
  <c r="T207" i="32" s="1"/>
  <c r="U207" i="32" s="1"/>
  <c r="V207" i="32" s="1"/>
  <c r="W207" i="32" s="1"/>
  <c r="X207" i="32" s="1"/>
  <c r="E208" i="3"/>
  <c r="E208" i="32" s="1"/>
  <c r="F208" i="32" s="1"/>
  <c r="G208" i="32" s="1"/>
  <c r="H208" i="32" s="1"/>
  <c r="I208" i="32" s="1"/>
  <c r="J208" i="32" s="1"/>
  <c r="E209" i="3"/>
  <c r="E209" i="32" s="1"/>
  <c r="F209" i="32" s="1"/>
  <c r="G209" i="32" s="1"/>
  <c r="H209" i="32" s="1"/>
  <c r="I209" i="32" s="1"/>
  <c r="J209" i="32" s="1"/>
  <c r="K209" i="32" s="1"/>
  <c r="L209" i="32" s="1"/>
  <c r="M209" i="32" s="1"/>
  <c r="N209" i="32" s="1"/>
  <c r="O209" i="32" s="1"/>
  <c r="P209" i="32" s="1"/>
  <c r="Q209" i="32" s="1"/>
  <c r="R209" i="32" s="1"/>
  <c r="S209" i="32" s="1"/>
  <c r="T209" i="32" s="1"/>
  <c r="U209" i="32" s="1"/>
  <c r="V209" i="32" s="1"/>
  <c r="W209" i="32" s="1"/>
  <c r="X209" i="32" s="1"/>
  <c r="E210" i="3"/>
  <c r="E210" i="32" s="1"/>
  <c r="F210" i="32" s="1"/>
  <c r="G210" i="32" s="1"/>
  <c r="H210" i="32" s="1"/>
  <c r="I210" i="32" s="1"/>
  <c r="J210" i="32" s="1"/>
  <c r="K210" i="32" s="1"/>
  <c r="L210" i="32" s="1"/>
  <c r="M210" i="32" s="1"/>
  <c r="N210" i="32" s="1"/>
  <c r="O210" i="32" s="1"/>
  <c r="P210" i="32" s="1"/>
  <c r="Q210" i="32" s="1"/>
  <c r="R210" i="32" s="1"/>
  <c r="S210" i="32" s="1"/>
  <c r="T210" i="32" s="1"/>
  <c r="U210" i="32" s="1"/>
  <c r="V210" i="32" s="1"/>
  <c r="W210" i="32" s="1"/>
  <c r="X210" i="32" s="1"/>
  <c r="E211" i="3"/>
  <c r="E211" i="32" s="1"/>
  <c r="F211" i="32" s="1"/>
  <c r="G211" i="32" s="1"/>
  <c r="H211" i="32" s="1"/>
  <c r="I211" i="32" s="1"/>
  <c r="J211" i="32" s="1"/>
  <c r="K211" i="32" s="1"/>
  <c r="L211" i="32" s="1"/>
  <c r="M211" i="32" s="1"/>
  <c r="N211" i="32" s="1"/>
  <c r="O211" i="32" s="1"/>
  <c r="P211" i="32" s="1"/>
  <c r="Q211" i="32" s="1"/>
  <c r="R211" i="32" s="1"/>
  <c r="S211" i="32" s="1"/>
  <c r="T211" i="32" s="1"/>
  <c r="U211" i="32" s="1"/>
  <c r="V211" i="32" s="1"/>
  <c r="W211" i="32" s="1"/>
  <c r="X211" i="32" s="1"/>
  <c r="E212" i="3"/>
  <c r="E212" i="32" s="1"/>
  <c r="F212" i="32" s="1"/>
  <c r="G212" i="32" s="1"/>
  <c r="H212" i="32" s="1"/>
  <c r="I212" i="32" s="1"/>
  <c r="J212" i="32" s="1"/>
  <c r="K212" i="32" s="1"/>
  <c r="L212" i="32" s="1"/>
  <c r="M212" i="32" s="1"/>
  <c r="N212" i="32" s="1"/>
  <c r="O212" i="32" s="1"/>
  <c r="P212" i="32" s="1"/>
  <c r="Q212" i="32" s="1"/>
  <c r="R212" i="32" s="1"/>
  <c r="S212" i="32" s="1"/>
  <c r="T212" i="32" s="1"/>
  <c r="U212" i="32" s="1"/>
  <c r="V212" i="32" s="1"/>
  <c r="W212" i="32" s="1"/>
  <c r="X212" i="32" s="1"/>
  <c r="E213" i="3"/>
  <c r="E213" i="32" s="1"/>
  <c r="F213" i="32" s="1"/>
  <c r="G213" i="32" s="1"/>
  <c r="H213" i="32" s="1"/>
  <c r="I213" i="32" s="1"/>
  <c r="J213" i="32" s="1"/>
  <c r="K213" i="32" s="1"/>
  <c r="L213" i="32" s="1"/>
  <c r="E214" i="3"/>
  <c r="E214" i="32" s="1"/>
  <c r="F214" i="32" s="1"/>
  <c r="G214" i="32" s="1"/>
  <c r="H214" i="32" s="1"/>
  <c r="I214" i="32" s="1"/>
  <c r="J214" i="32" s="1"/>
  <c r="K214" i="32" s="1"/>
  <c r="L214" i="32" s="1"/>
  <c r="M214" i="32" s="1"/>
  <c r="N214" i="32" s="1"/>
  <c r="O214" i="32" s="1"/>
  <c r="P214" i="32" s="1"/>
  <c r="Q214" i="32" s="1"/>
  <c r="R214" i="32" s="1"/>
  <c r="S214" i="32" s="1"/>
  <c r="T214" i="32" s="1"/>
  <c r="U214" i="32" s="1"/>
  <c r="V214" i="32" s="1"/>
  <c r="W214" i="32" s="1"/>
  <c r="X214" i="32" s="1"/>
  <c r="E189" i="3"/>
  <c r="F189" i="3" s="1"/>
  <c r="G189" i="3" s="1"/>
  <c r="H189" i="3" s="1"/>
  <c r="I189" i="3" s="1"/>
  <c r="J189" i="3" s="1"/>
  <c r="K189" i="3" s="1"/>
  <c r="L189" i="3" s="1"/>
  <c r="M189" i="3" s="1"/>
  <c r="N189" i="3" s="1"/>
  <c r="E190" i="3"/>
  <c r="E190" i="32" s="1"/>
  <c r="F190" i="32" s="1"/>
  <c r="G190" i="32" s="1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E191" i="3"/>
  <c r="E191" i="32" s="1"/>
  <c r="F191" i="32" s="1"/>
  <c r="G191" i="32" s="1"/>
  <c r="E192" i="3"/>
  <c r="E192" i="32" s="1"/>
  <c r="F192" i="32" s="1"/>
  <c r="G192" i="32" s="1"/>
  <c r="H192" i="32" s="1"/>
  <c r="E193" i="3"/>
  <c r="E194" i="3"/>
  <c r="E194" i="32" s="1"/>
  <c r="F194" i="32" s="1"/>
  <c r="G194" i="32" s="1"/>
  <c r="E195" i="3"/>
  <c r="E195" i="32" s="1"/>
  <c r="F195" i="32" s="1"/>
  <c r="G195" i="32" s="1"/>
  <c r="H195" i="32" s="1"/>
  <c r="E196" i="3"/>
  <c r="E196" i="32" s="1"/>
  <c r="F196" i="32" s="1"/>
  <c r="G196" i="32" s="1"/>
  <c r="H196" i="32" s="1"/>
  <c r="E197" i="3"/>
  <c r="E197" i="32" s="1"/>
  <c r="F197" i="32" s="1"/>
  <c r="G197" i="32" s="1"/>
  <c r="H197" i="32" s="1"/>
  <c r="E198" i="3"/>
  <c r="E198" i="32" s="1"/>
  <c r="F198" i="32" s="1"/>
  <c r="G198" i="32" s="1"/>
  <c r="E184" i="3"/>
  <c r="F157" i="3"/>
  <c r="F157" i="32" s="1"/>
  <c r="F158" i="3"/>
  <c r="F158" i="32" s="1"/>
  <c r="F159" i="3"/>
  <c r="F160" i="3"/>
  <c r="F161" i="3"/>
  <c r="F161" i="32" s="1"/>
  <c r="F162" i="3"/>
  <c r="F162" i="32" s="1"/>
  <c r="G162" i="3"/>
  <c r="F163" i="3"/>
  <c r="G163" i="3" s="1"/>
  <c r="F164" i="3"/>
  <c r="F164" i="32" s="1"/>
  <c r="G164" i="3"/>
  <c r="F165" i="3"/>
  <c r="F165" i="32" s="1"/>
  <c r="G165" i="3"/>
  <c r="F166" i="3"/>
  <c r="G166" i="3" s="1"/>
  <c r="F152" i="3"/>
  <c r="F152" i="32" s="1"/>
  <c r="E152" i="32"/>
  <c r="L5" i="41" s="1"/>
  <c r="E93" i="3"/>
  <c r="E94" i="3"/>
  <c r="E94" i="32" s="1"/>
  <c r="E95" i="3"/>
  <c r="E95" i="32" s="1"/>
  <c r="E96" i="3"/>
  <c r="E96" i="32" s="1"/>
  <c r="E97" i="3"/>
  <c r="E97" i="32" s="1"/>
  <c r="E98" i="3"/>
  <c r="E99" i="3"/>
  <c r="E99" i="32" s="1"/>
  <c r="E100" i="3"/>
  <c r="E100" i="32" s="1"/>
  <c r="E101" i="3"/>
  <c r="E101" i="32" s="1"/>
  <c r="E102" i="3"/>
  <c r="E102" i="32" s="1"/>
  <c r="E88" i="3"/>
  <c r="C16" i="4"/>
  <c r="S16" i="4"/>
  <c r="C17" i="4"/>
  <c r="S17" i="4"/>
  <c r="C18" i="4"/>
  <c r="S18" i="4"/>
  <c r="C19" i="4"/>
  <c r="S19" i="4"/>
  <c r="C20" i="4"/>
  <c r="S20" i="4"/>
  <c r="C21" i="4"/>
  <c r="S21" i="4"/>
  <c r="C22" i="4"/>
  <c r="S22" i="4"/>
  <c r="C23" i="4"/>
  <c r="S23" i="4"/>
  <c r="C10" i="4"/>
  <c r="E105" i="3" s="1"/>
  <c r="C9" i="4"/>
  <c r="S9" i="4"/>
  <c r="Y61" i="3"/>
  <c r="Z61" i="3" s="1"/>
  <c r="Y49" i="41" s="1"/>
  <c r="Y62" i="3"/>
  <c r="Z62" i="3" s="1"/>
  <c r="Y63" i="3"/>
  <c r="Z63" i="3" s="1"/>
  <c r="Y64" i="3"/>
  <c r="Z64" i="3" s="1"/>
  <c r="Y52" i="41" s="1"/>
  <c r="Y65" i="3"/>
  <c r="Z65" i="3"/>
  <c r="Y53" i="41" s="1"/>
  <c r="Y66" i="3"/>
  <c r="Z66" i="3"/>
  <c r="Y54" i="41" s="1"/>
  <c r="Y67" i="3"/>
  <c r="Z67" i="3" s="1"/>
  <c r="Y55" i="41" s="1"/>
  <c r="Y68" i="3"/>
  <c r="Z68" i="3" s="1"/>
  <c r="Y56" i="41" s="1"/>
  <c r="Y69" i="3"/>
  <c r="Z69" i="3"/>
  <c r="Y57" i="41" s="1"/>
  <c r="Y70" i="3"/>
  <c r="Z70" i="3"/>
  <c r="Y58" i="41" s="1"/>
  <c r="Y57" i="3"/>
  <c r="Z57" i="3" s="1"/>
  <c r="Y45" i="41" s="1"/>
  <c r="Y56" i="3"/>
  <c r="F47" i="3"/>
  <c r="G47" i="3"/>
  <c r="H47" i="3" s="1"/>
  <c r="I47" i="3"/>
  <c r="J47" i="3"/>
  <c r="K47" i="3" s="1"/>
  <c r="L47" i="3" s="1"/>
  <c r="M47" i="3" s="1"/>
  <c r="N47" i="3" s="1"/>
  <c r="O47" i="3" s="1"/>
  <c r="P47" i="3" s="1"/>
  <c r="Q47" i="3" s="1"/>
  <c r="R47" i="3" s="1"/>
  <c r="S47" i="3" s="1"/>
  <c r="T47" i="3" s="1"/>
  <c r="U47" i="3" s="1"/>
  <c r="V47" i="3" s="1"/>
  <c r="W47" i="3" s="1"/>
  <c r="X47" i="3" s="1"/>
  <c r="F48" i="3"/>
  <c r="G48" i="3"/>
  <c r="H48" i="3" s="1"/>
  <c r="I48" i="3" s="1"/>
  <c r="J48" i="3" s="1"/>
  <c r="K48" i="3" s="1"/>
  <c r="L48" i="3" s="1"/>
  <c r="M48" i="3" s="1"/>
  <c r="N48" i="3" s="1"/>
  <c r="O48" i="3"/>
  <c r="P48" i="3"/>
  <c r="Q48" i="3" s="1"/>
  <c r="R48" i="3" s="1"/>
  <c r="S48" i="3" s="1"/>
  <c r="T48" i="3" s="1"/>
  <c r="U48" i="3" s="1"/>
  <c r="V48" i="3" s="1"/>
  <c r="W48" i="3" s="1"/>
  <c r="X48" i="3" s="1"/>
  <c r="F49" i="3"/>
  <c r="G49" i="3" s="1"/>
  <c r="H49" i="3" s="1"/>
  <c r="I49" i="3" s="1"/>
  <c r="J49" i="3" s="1"/>
  <c r="K49" i="3"/>
  <c r="L49" i="3" s="1"/>
  <c r="M49" i="3" s="1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X49" i="3" s="1"/>
  <c r="F50" i="3"/>
  <c r="G50" i="3" s="1"/>
  <c r="H50" i="3"/>
  <c r="I50" i="3"/>
  <c r="J50" i="3" s="1"/>
  <c r="K50" i="3" s="1"/>
  <c r="L50" i="3" s="1"/>
  <c r="M50" i="3" s="1"/>
  <c r="N50" i="3" s="1"/>
  <c r="O50" i="3" s="1"/>
  <c r="P50" i="3" s="1"/>
  <c r="Q50" i="3" s="1"/>
  <c r="R50" i="3" s="1"/>
  <c r="S50" i="3" s="1"/>
  <c r="T50" i="3" s="1"/>
  <c r="U50" i="3"/>
  <c r="V50" i="3"/>
  <c r="W50" i="3" s="1"/>
  <c r="X50" i="3" s="1"/>
  <c r="F51" i="3"/>
  <c r="G51" i="3"/>
  <c r="H51" i="3" s="1"/>
  <c r="I51" i="3" s="1"/>
  <c r="J51" i="3" s="1"/>
  <c r="K51" i="3" s="1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F52" i="3"/>
  <c r="G52" i="3" s="1"/>
  <c r="H52" i="3" s="1"/>
  <c r="I52" i="3" s="1"/>
  <c r="J52" i="3"/>
  <c r="K52" i="3"/>
  <c r="L52" i="3" s="1"/>
  <c r="M52" i="3" s="1"/>
  <c r="N52" i="3" s="1"/>
  <c r="O52" i="3" s="1"/>
  <c r="P52" i="3" s="1"/>
  <c r="Q52" i="3" s="1"/>
  <c r="R52" i="3"/>
  <c r="S52" i="3" s="1"/>
  <c r="T52" i="3" s="1"/>
  <c r="U52" i="3" s="1"/>
  <c r="V52" i="3" s="1"/>
  <c r="W52" i="3" s="1"/>
  <c r="X52" i="3" s="1"/>
  <c r="F53" i="3"/>
  <c r="G53" i="3"/>
  <c r="H53" i="3"/>
  <c r="I53" i="3" s="1"/>
  <c r="J53" i="3" s="1"/>
  <c r="K53" i="3" s="1"/>
  <c r="L53" i="3" s="1"/>
  <c r="M53" i="3" s="1"/>
  <c r="N53" i="3" s="1"/>
  <c r="O53" i="3"/>
  <c r="P53" i="3"/>
  <c r="Q53" i="3" s="1"/>
  <c r="R53" i="3" s="1"/>
  <c r="S53" i="3" s="1"/>
  <c r="T53" i="3" s="1"/>
  <c r="U53" i="3" s="1"/>
  <c r="V53" i="3" s="1"/>
  <c r="W53" i="3"/>
  <c r="X53" i="3"/>
  <c r="F54" i="3"/>
  <c r="G54" i="3"/>
  <c r="H54" i="3"/>
  <c r="I54" i="3" s="1"/>
  <c r="J54" i="3" s="1"/>
  <c r="K54" i="3" s="1"/>
  <c r="L54" i="3"/>
  <c r="M54" i="3"/>
  <c r="N54" i="3" s="1"/>
  <c r="O54" i="3" s="1"/>
  <c r="P54" i="3" s="1"/>
  <c r="Q54" i="3" s="1"/>
  <c r="R54" i="3" s="1"/>
  <c r="S54" i="3" s="1"/>
  <c r="T54" i="3"/>
  <c r="U54" i="3"/>
  <c r="V54" i="3" s="1"/>
  <c r="W54" i="3" s="1"/>
  <c r="X54" i="3" s="1"/>
  <c r="C4" i="24"/>
  <c r="F31" i="3"/>
  <c r="G31" i="3" s="1"/>
  <c r="H31" i="3" s="1"/>
  <c r="I31" i="3" s="1"/>
  <c r="J31" i="3" s="1"/>
  <c r="K31" i="3" s="1"/>
  <c r="L31" i="3" s="1"/>
  <c r="M31" i="3" s="1"/>
  <c r="N31" i="3" s="1"/>
  <c r="F32" i="3"/>
  <c r="G32" i="3" s="1"/>
  <c r="H32" i="3" s="1"/>
  <c r="F33" i="3"/>
  <c r="G33" i="3"/>
  <c r="H33" i="3"/>
  <c r="I33" i="3" s="1"/>
  <c r="F34" i="3"/>
  <c r="G34" i="3"/>
  <c r="H34" i="3" s="1"/>
  <c r="I34" i="3" s="1"/>
  <c r="J34" i="3" s="1"/>
  <c r="K34" i="3"/>
  <c r="L34" i="3" s="1"/>
  <c r="F35" i="3"/>
  <c r="G35" i="3"/>
  <c r="F36" i="3"/>
  <c r="G36" i="3" s="1"/>
  <c r="H36" i="3" s="1"/>
  <c r="F37" i="3"/>
  <c r="G37" i="3"/>
  <c r="F38" i="3"/>
  <c r="G38" i="3"/>
  <c r="H38" i="3"/>
  <c r="I38" i="3" s="1"/>
  <c r="F24" i="3"/>
  <c r="G24" i="3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G6" i="1"/>
  <c r="E1" i="3"/>
  <c r="AG19" i="5"/>
  <c r="Z19" i="5"/>
  <c r="AG18" i="5"/>
  <c r="AG17" i="5"/>
  <c r="AG16" i="5"/>
  <c r="AG15" i="5"/>
  <c r="AG14" i="5"/>
  <c r="AG13" i="5"/>
  <c r="AJ8" i="5"/>
  <c r="AJ7" i="5"/>
  <c r="AK7" i="5"/>
  <c r="AG6" i="5"/>
  <c r="Z6" i="5"/>
  <c r="AF5" i="5"/>
  <c r="AG5" i="5"/>
  <c r="Z5" i="5"/>
  <c r="D281" i="3"/>
  <c r="D282" i="3"/>
  <c r="D283" i="3"/>
  <c r="D284" i="3" s="1"/>
  <c r="D285" i="3" s="1"/>
  <c r="D286" i="3" s="1"/>
  <c r="D287" i="3"/>
  <c r="D288" i="3"/>
  <c r="D289" i="3" s="1"/>
  <c r="D290" i="3" s="1"/>
  <c r="D291" i="3" s="1"/>
  <c r="D292" i="3" s="1"/>
  <c r="D293" i="3" s="1"/>
  <c r="D294" i="3" s="1"/>
  <c r="D265" i="3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49" i="3"/>
  <c r="D250" i="3" s="1"/>
  <c r="D251" i="3"/>
  <c r="D252" i="3"/>
  <c r="D253" i="3" s="1"/>
  <c r="D254" i="3" s="1"/>
  <c r="D255" i="3" s="1"/>
  <c r="D256" i="3" s="1"/>
  <c r="D257" i="3" s="1"/>
  <c r="D258" i="3" s="1"/>
  <c r="D259" i="3"/>
  <c r="D260" i="3"/>
  <c r="D261" i="3" s="1"/>
  <c r="D262" i="3" s="1"/>
  <c r="D233" i="3"/>
  <c r="D234" i="3" s="1"/>
  <c r="D235" i="3" s="1"/>
  <c r="D236" i="3" s="1"/>
  <c r="D237" i="3"/>
  <c r="D238" i="3" s="1"/>
  <c r="D239" i="3" s="1"/>
  <c r="D240" i="3" s="1"/>
  <c r="D241" i="3" s="1"/>
  <c r="D242" i="3" s="1"/>
  <c r="D243" i="3" s="1"/>
  <c r="D244" i="3" s="1"/>
  <c r="D245" i="3" s="1"/>
  <c r="D246" i="3" s="1"/>
  <c r="D217" i="3"/>
  <c r="D218" i="3"/>
  <c r="D219" i="3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01" i="3"/>
  <c r="D202" i="3"/>
  <c r="D203" i="3" s="1"/>
  <c r="D204" i="3" s="1"/>
  <c r="D205" i="3" s="1"/>
  <c r="D206" i="3" s="1"/>
  <c r="D207" i="3" s="1"/>
  <c r="D208" i="3" s="1"/>
  <c r="D209" i="3"/>
  <c r="D210" i="3"/>
  <c r="D211" i="3" s="1"/>
  <c r="D212" i="3" s="1"/>
  <c r="D213" i="3" s="1"/>
  <c r="D214" i="3" s="1"/>
  <c r="E200" i="3"/>
  <c r="E200" i="32" s="1"/>
  <c r="F200" i="32" s="1"/>
  <c r="G200" i="32" s="1"/>
  <c r="H200" i="32" s="1"/>
  <c r="I200" i="32" s="1"/>
  <c r="J200" i="32" s="1"/>
  <c r="K200" i="32" s="1"/>
  <c r="L200" i="32" s="1"/>
  <c r="M200" i="32" s="1"/>
  <c r="N200" i="32" s="1"/>
  <c r="O200" i="32" s="1"/>
  <c r="P200" i="32" s="1"/>
  <c r="Q200" i="32" s="1"/>
  <c r="R200" i="32" s="1"/>
  <c r="S200" i="32" s="1"/>
  <c r="T200" i="32" s="1"/>
  <c r="U200" i="32" s="1"/>
  <c r="V200" i="32" s="1"/>
  <c r="W200" i="32" s="1"/>
  <c r="X200" i="32" s="1"/>
  <c r="D185" i="3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69" i="3"/>
  <c r="D170" i="3"/>
  <c r="D171" i="3"/>
  <c r="D172" i="3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53" i="3"/>
  <c r="D154" i="3" s="1"/>
  <c r="D155" i="3" s="1"/>
  <c r="D156" i="3"/>
  <c r="D157" i="3"/>
  <c r="D158" i="3"/>
  <c r="D159" i="3" s="1"/>
  <c r="D160" i="3" s="1"/>
  <c r="D161" i="3" s="1"/>
  <c r="D162" i="3" s="1"/>
  <c r="D163" i="3" s="1"/>
  <c r="D164" i="3"/>
  <c r="D165" i="3"/>
  <c r="D166" i="3" s="1"/>
  <c r="D137" i="3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21" i="3"/>
  <c r="D122" i="3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05" i="3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89" i="3"/>
  <c r="D90" i="3"/>
  <c r="D91" i="3"/>
  <c r="D92" i="3" s="1"/>
  <c r="D93" i="3" s="1"/>
  <c r="D94" i="3" s="1"/>
  <c r="D95" i="3" s="1"/>
  <c r="D96" i="3" s="1"/>
  <c r="D97" i="3"/>
  <c r="D98" i="3" s="1"/>
  <c r="D99" i="3" s="1"/>
  <c r="D100" i="3" s="1"/>
  <c r="D101" i="3" s="1"/>
  <c r="D102" i="3" s="1"/>
  <c r="D73" i="3"/>
  <c r="D74" i="3" s="1"/>
  <c r="D75" i="3"/>
  <c r="D76" i="3"/>
  <c r="D77" i="3"/>
  <c r="D78" i="3" s="1"/>
  <c r="D79" i="3" s="1"/>
  <c r="D80" i="3" s="1"/>
  <c r="D81" i="3" s="1"/>
  <c r="D82" i="3" s="1"/>
  <c r="D83" i="3"/>
  <c r="D84" i="3" s="1"/>
  <c r="D85" i="3" s="1"/>
  <c r="D86" i="3" s="1"/>
  <c r="D57" i="3"/>
  <c r="D58" i="3"/>
  <c r="D59" i="3"/>
  <c r="D60" i="3" s="1"/>
  <c r="D61" i="3"/>
  <c r="D62" i="3"/>
  <c r="D63" i="3"/>
  <c r="D64" i="3" s="1"/>
  <c r="D65" i="3" s="1"/>
  <c r="D66" i="3" s="1"/>
  <c r="D67" i="3" s="1"/>
  <c r="D68" i="3" s="1"/>
  <c r="D69" i="3"/>
  <c r="D70" i="3" s="1"/>
  <c r="D41" i="3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A39" i="3"/>
  <c r="A55" i="3"/>
  <c r="A71" i="3" s="1"/>
  <c r="A87" i="3" s="1"/>
  <c r="A103" i="3" s="1"/>
  <c r="A119" i="3" s="1"/>
  <c r="A135" i="3" s="1"/>
  <c r="A151" i="3" s="1"/>
  <c r="A167" i="3" s="1"/>
  <c r="A183" i="3" s="1"/>
  <c r="A199" i="3" s="1"/>
  <c r="A215" i="3" s="1"/>
  <c r="A231" i="3" s="1"/>
  <c r="A247" i="3" s="1"/>
  <c r="A263" i="3" s="1"/>
  <c r="A279" i="3" s="1"/>
  <c r="D25" i="3"/>
  <c r="D26" i="3"/>
  <c r="D27" i="3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B23" i="3"/>
  <c r="B39" i="3" s="1"/>
  <c r="B55" i="3"/>
  <c r="B87" i="3"/>
  <c r="B103" i="3" s="1"/>
  <c r="B119" i="3" s="1"/>
  <c r="B151" i="3" s="1"/>
  <c r="B167" i="3" s="1"/>
  <c r="C16" i="3"/>
  <c r="C32" i="3"/>
  <c r="C48" i="3" s="1"/>
  <c r="C64" i="3" s="1"/>
  <c r="C80" i="3" s="1"/>
  <c r="C96" i="3" s="1"/>
  <c r="C112" i="3" s="1"/>
  <c r="C128" i="3" s="1"/>
  <c r="C144" i="3" s="1"/>
  <c r="C160" i="3" s="1"/>
  <c r="C176" i="3" s="1"/>
  <c r="C192" i="3" s="1"/>
  <c r="C208" i="3" s="1"/>
  <c r="C224" i="3" s="1"/>
  <c r="C240" i="3" s="1"/>
  <c r="C256" i="3" s="1"/>
  <c r="C272" i="3" s="1"/>
  <c r="C288" i="3" s="1"/>
  <c r="C15" i="3"/>
  <c r="C14" i="3"/>
  <c r="C30" i="3" s="1"/>
  <c r="C46" i="3" s="1"/>
  <c r="C62" i="3" s="1"/>
  <c r="C78" i="3" s="1"/>
  <c r="C94" i="3" s="1"/>
  <c r="C110" i="3" s="1"/>
  <c r="C126" i="3" s="1"/>
  <c r="C142" i="3" s="1"/>
  <c r="C158" i="3" s="1"/>
  <c r="C174" i="3" s="1"/>
  <c r="C190" i="3" s="1"/>
  <c r="C206" i="3" s="1"/>
  <c r="C222" i="3" s="1"/>
  <c r="C238" i="3" s="1"/>
  <c r="C254" i="3" s="1"/>
  <c r="C270" i="3" s="1"/>
  <c r="C286" i="3" s="1"/>
  <c r="C13" i="3"/>
  <c r="C29" i="3" s="1"/>
  <c r="C12" i="3"/>
  <c r="C11" i="3"/>
  <c r="C10" i="3"/>
  <c r="C9" i="3"/>
  <c r="C25" i="3" s="1"/>
  <c r="C41" i="3" s="1"/>
  <c r="C57" i="3" s="1"/>
  <c r="C73" i="3" s="1"/>
  <c r="C89" i="3" s="1"/>
  <c r="C105" i="3" s="1"/>
  <c r="C121" i="3" s="1"/>
  <c r="C137" i="3" s="1"/>
  <c r="C153" i="3" s="1"/>
  <c r="C169" i="3" s="1"/>
  <c r="C185" i="3" s="1"/>
  <c r="C201" i="3" s="1"/>
  <c r="C217" i="3" s="1"/>
  <c r="C233" i="3" s="1"/>
  <c r="C249" i="3" s="1"/>
  <c r="C265" i="3" s="1"/>
  <c r="C281" i="3" s="1"/>
  <c r="D8" i="3"/>
  <c r="D9" i="3"/>
  <c r="D10" i="3"/>
  <c r="D11" i="3"/>
  <c r="D12" i="3" s="1"/>
  <c r="D13" i="3" s="1"/>
  <c r="D14" i="3" s="1"/>
  <c r="D15" i="3"/>
  <c r="D16" i="3" s="1"/>
  <c r="D17" i="3" s="1"/>
  <c r="D18" i="3" s="1"/>
  <c r="D19" i="3" s="1"/>
  <c r="D20" i="3" s="1"/>
  <c r="D21" i="3" s="1"/>
  <c r="D22" i="3" s="1"/>
  <c r="C8" i="3"/>
  <c r="C24" i="3" s="1"/>
  <c r="C40" i="3" s="1"/>
  <c r="C56" i="3" s="1"/>
  <c r="C72" i="3"/>
  <c r="C88" i="3" s="1"/>
  <c r="C104" i="3" s="1"/>
  <c r="C120" i="3" s="1"/>
  <c r="C136" i="3" s="1"/>
  <c r="C152" i="3" s="1"/>
  <c r="C168" i="3" s="1"/>
  <c r="C184" i="3" s="1"/>
  <c r="C200" i="3" s="1"/>
  <c r="C216" i="3" s="1"/>
  <c r="C232" i="3" s="1"/>
  <c r="C248" i="3" s="1"/>
  <c r="C264" i="3" s="1"/>
  <c r="C280" i="3" s="1"/>
  <c r="A7" i="3"/>
  <c r="E6" i="3"/>
  <c r="F6" i="3"/>
  <c r="E4" i="3"/>
  <c r="S86" i="31" s="1"/>
  <c r="E363" i="2"/>
  <c r="E367" i="2" s="1"/>
  <c r="E368" i="2" s="1"/>
  <c r="E369" i="2" s="1"/>
  <c r="E370" i="2" s="1"/>
  <c r="E371" i="2" s="1"/>
  <c r="E372" i="2" s="1"/>
  <c r="E373" i="2" s="1"/>
  <c r="B363" i="2"/>
  <c r="E361" i="2"/>
  <c r="E362" i="2" s="1"/>
  <c r="B361" i="2"/>
  <c r="E354" i="2"/>
  <c r="E355" i="2" s="1"/>
  <c r="E356" i="2" s="1"/>
  <c r="E357" i="2" s="1"/>
  <c r="E358" i="2" s="1"/>
  <c r="E359" i="2" s="1"/>
  <c r="E360" i="2" s="1"/>
  <c r="B353" i="2"/>
  <c r="D345" i="2"/>
  <c r="D348" i="2" s="1"/>
  <c r="D362" i="2" s="1"/>
  <c r="B362" i="2" s="1"/>
  <c r="F342" i="2"/>
  <c r="F341" i="2"/>
  <c r="F340" i="2"/>
  <c r="F339" i="2"/>
  <c r="F338" i="2"/>
  <c r="F337" i="2"/>
  <c r="F336" i="2"/>
  <c r="F335" i="2"/>
  <c r="D333" i="2"/>
  <c r="D342" i="2" s="1"/>
  <c r="D360" i="2" s="1"/>
  <c r="B360" i="2" s="1"/>
  <c r="D332" i="2"/>
  <c r="D341" i="2" s="1"/>
  <c r="D359" i="2" s="1"/>
  <c r="D331" i="2"/>
  <c r="D340" i="2" s="1"/>
  <c r="D358" i="2" s="1"/>
  <c r="D330" i="2"/>
  <c r="D339" i="2" s="1"/>
  <c r="D357" i="2" s="1"/>
  <c r="D329" i="2"/>
  <c r="D338" i="2" s="1"/>
  <c r="D356" i="2" s="1"/>
  <c r="D328" i="2"/>
  <c r="D337" i="2" s="1"/>
  <c r="D355" i="2" s="1"/>
  <c r="D327" i="2"/>
  <c r="D336" i="2" s="1"/>
  <c r="D354" i="2" s="1"/>
  <c r="E325" i="2"/>
  <c r="E326" i="2" s="1"/>
  <c r="E327" i="2" s="1"/>
  <c r="E328" i="2" s="1"/>
  <c r="I322" i="2"/>
  <c r="H322" i="2"/>
  <c r="G322" i="2"/>
  <c r="G344" i="2" s="1"/>
  <c r="E322" i="2"/>
  <c r="E323" i="2" s="1"/>
  <c r="E320" i="2"/>
  <c r="E319" i="2"/>
  <c r="E318" i="2"/>
  <c r="E315" i="2"/>
  <c r="E311" i="2"/>
  <c r="E312" i="2" s="1"/>
  <c r="E309" i="2"/>
  <c r="E304" i="2"/>
  <c r="E300" i="2"/>
  <c r="E295" i="2"/>
  <c r="F294" i="2"/>
  <c r="E291" i="2"/>
  <c r="E288" i="2"/>
  <c r="G286" i="2"/>
  <c r="E286" i="2"/>
  <c r="D286" i="2"/>
  <c r="F284" i="2"/>
  <c r="E270" i="2"/>
  <c r="E274" i="2" s="1"/>
  <c r="E275" i="2" s="1"/>
  <c r="E276" i="2" s="1"/>
  <c r="E277" i="2" s="1"/>
  <c r="E278" i="2" s="1"/>
  <c r="E279" i="2" s="1"/>
  <c r="E280" i="2" s="1"/>
  <c r="B270" i="2"/>
  <c r="E268" i="2"/>
  <c r="E269" i="2" s="1"/>
  <c r="B268" i="2"/>
  <c r="E261" i="2"/>
  <c r="E262" i="2" s="1"/>
  <c r="E263" i="2" s="1"/>
  <c r="E264" i="2" s="1"/>
  <c r="E265" i="2" s="1"/>
  <c r="E266" i="2" s="1"/>
  <c r="E267" i="2" s="1"/>
  <c r="B260" i="2"/>
  <c r="D252" i="2"/>
  <c r="D255" i="2" s="1"/>
  <c r="D269" i="2" s="1"/>
  <c r="B269" i="2" s="1"/>
  <c r="F249" i="2"/>
  <c r="F248" i="2"/>
  <c r="F247" i="2"/>
  <c r="F246" i="2"/>
  <c r="F245" i="2"/>
  <c r="F244" i="2"/>
  <c r="F243" i="2"/>
  <c r="F242" i="2"/>
  <c r="D240" i="2"/>
  <c r="D249" i="2" s="1"/>
  <c r="D267" i="2" s="1"/>
  <c r="B267" i="2" s="1"/>
  <c r="D239" i="2"/>
  <c r="D248" i="2" s="1"/>
  <c r="D266" i="2" s="1"/>
  <c r="D238" i="2"/>
  <c r="D247" i="2" s="1"/>
  <c r="D265" i="2" s="1"/>
  <c r="D237" i="2"/>
  <c r="D246" i="2" s="1"/>
  <c r="D264" i="2" s="1"/>
  <c r="D236" i="2"/>
  <c r="D245" i="2" s="1"/>
  <c r="D263" i="2" s="1"/>
  <c r="D235" i="2"/>
  <c r="D244" i="2" s="1"/>
  <c r="D262" i="2" s="1"/>
  <c r="D234" i="2"/>
  <c r="D243" i="2" s="1"/>
  <c r="D261" i="2" s="1"/>
  <c r="E232" i="2"/>
  <c r="E257" i="2" s="1"/>
  <c r="E258" i="2" s="1"/>
  <c r="I229" i="2"/>
  <c r="H229" i="2"/>
  <c r="H251" i="2" s="1"/>
  <c r="G229" i="2"/>
  <c r="E229" i="2"/>
  <c r="E230" i="2" s="1"/>
  <c r="E227" i="2"/>
  <c r="E226" i="2"/>
  <c r="E225" i="2"/>
  <c r="E222" i="2"/>
  <c r="E218" i="2"/>
  <c r="E220" i="2" s="1"/>
  <c r="E216" i="2"/>
  <c r="E211" i="2"/>
  <c r="E207" i="2"/>
  <c r="E202" i="2"/>
  <c r="F201" i="2"/>
  <c r="E198" i="2"/>
  <c r="E195" i="2"/>
  <c r="G193" i="2"/>
  <c r="E193" i="2"/>
  <c r="D193" i="2"/>
  <c r="F191" i="2"/>
  <c r="E177" i="2"/>
  <c r="E181" i="2" s="1"/>
  <c r="E182" i="2" s="1"/>
  <c r="E183" i="2" s="1"/>
  <c r="E184" i="2" s="1"/>
  <c r="E185" i="2" s="1"/>
  <c r="E186" i="2" s="1"/>
  <c r="E187" i="2" s="1"/>
  <c r="B177" i="2"/>
  <c r="E175" i="2"/>
  <c r="E176" i="2" s="1"/>
  <c r="B175" i="2"/>
  <c r="E168" i="2"/>
  <c r="E169" i="2" s="1"/>
  <c r="E170" i="2" s="1"/>
  <c r="E171" i="2" s="1"/>
  <c r="E172" i="2" s="1"/>
  <c r="E173" i="2" s="1"/>
  <c r="E174" i="2" s="1"/>
  <c r="B167" i="2"/>
  <c r="D159" i="2"/>
  <c r="D162" i="2" s="1"/>
  <c r="D176" i="2" s="1"/>
  <c r="B176" i="2" s="1"/>
  <c r="F156" i="2"/>
  <c r="F155" i="2"/>
  <c r="F154" i="2"/>
  <c r="F153" i="2"/>
  <c r="F152" i="2"/>
  <c r="F151" i="2"/>
  <c r="F150" i="2"/>
  <c r="F149" i="2"/>
  <c r="D147" i="2"/>
  <c r="D156" i="2" s="1"/>
  <c r="D174" i="2" s="1"/>
  <c r="B174" i="2" s="1"/>
  <c r="D146" i="2"/>
  <c r="D155" i="2" s="1"/>
  <c r="D173" i="2" s="1"/>
  <c r="D145" i="2"/>
  <c r="D154" i="2" s="1"/>
  <c r="D172" i="2" s="1"/>
  <c r="D144" i="2"/>
  <c r="D153" i="2" s="1"/>
  <c r="D171" i="2" s="1"/>
  <c r="D185" i="2" s="1"/>
  <c r="D143" i="2"/>
  <c r="D152" i="2" s="1"/>
  <c r="D170" i="2" s="1"/>
  <c r="D142" i="2"/>
  <c r="D151" i="2" s="1"/>
  <c r="D169" i="2" s="1"/>
  <c r="B169" i="2" s="1"/>
  <c r="D141" i="2"/>
  <c r="D150" i="2" s="1"/>
  <c r="D168" i="2" s="1"/>
  <c r="E139" i="2"/>
  <c r="E140" i="2" s="1"/>
  <c r="E141" i="2" s="1"/>
  <c r="H136" i="2"/>
  <c r="G136" i="2"/>
  <c r="G158" i="2" s="1"/>
  <c r="E136" i="2"/>
  <c r="E137" i="2" s="1"/>
  <c r="E134" i="2"/>
  <c r="E133" i="2"/>
  <c r="E132" i="2"/>
  <c r="E129" i="2"/>
  <c r="E125" i="2"/>
  <c r="E126" i="2" s="1"/>
  <c r="E123" i="2"/>
  <c r="E118" i="2"/>
  <c r="E114" i="2"/>
  <c r="E109" i="2"/>
  <c r="F108" i="2"/>
  <c r="E105" i="2"/>
  <c r="E102" i="2"/>
  <c r="G100" i="2"/>
  <c r="E100" i="2"/>
  <c r="D100" i="2"/>
  <c r="F98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E84" i="2"/>
  <c r="E62" i="1" s="1"/>
  <c r="B84" i="2"/>
  <c r="E82" i="2"/>
  <c r="E61" i="1" s="1"/>
  <c r="B82" i="2"/>
  <c r="E75" i="2"/>
  <c r="E76" i="2" s="1"/>
  <c r="D66" i="2"/>
  <c r="D69" i="2" s="1"/>
  <c r="D83" i="2" s="1"/>
  <c r="B83" i="2" s="1"/>
  <c r="F63" i="2"/>
  <c r="F62" i="2"/>
  <c r="F61" i="2"/>
  <c r="F60" i="2"/>
  <c r="F59" i="2"/>
  <c r="F58" i="2"/>
  <c r="F57" i="2"/>
  <c r="F56" i="2"/>
  <c r="D54" i="2"/>
  <c r="D63" i="2" s="1"/>
  <c r="D81" i="2" s="1"/>
  <c r="D60" i="1" s="1"/>
  <c r="D90" i="1" s="1"/>
  <c r="D53" i="2"/>
  <c r="D62" i="2" s="1"/>
  <c r="D80" i="2" s="1"/>
  <c r="D52" i="2"/>
  <c r="D61" i="2" s="1"/>
  <c r="D79" i="2" s="1"/>
  <c r="D51" i="2"/>
  <c r="D60" i="2" s="1"/>
  <c r="D78" i="2" s="1"/>
  <c r="D50" i="2"/>
  <c r="D59" i="2" s="1"/>
  <c r="D77" i="2" s="1"/>
  <c r="D56" i="1" s="1"/>
  <c r="D86" i="1" s="1"/>
  <c r="D49" i="2"/>
  <c r="D58" i="2" s="1"/>
  <c r="D76" i="2" s="1"/>
  <c r="D48" i="2"/>
  <c r="D57" i="2" s="1"/>
  <c r="D75" i="2" s="1"/>
  <c r="E46" i="2"/>
  <c r="G43" i="2"/>
  <c r="G65" i="2" s="1"/>
  <c r="E43" i="2"/>
  <c r="E44" i="2" s="1"/>
  <c r="E41" i="2"/>
  <c r="E40" i="2"/>
  <c r="E39" i="2"/>
  <c r="E36" i="2"/>
  <c r="E32" i="2"/>
  <c r="E33" i="2" s="1"/>
  <c r="E30" i="2"/>
  <c r="E25" i="2"/>
  <c r="E21" i="2"/>
  <c r="E16" i="2"/>
  <c r="E12" i="2"/>
  <c r="E9" i="2"/>
  <c r="E7" i="2"/>
  <c r="D7" i="2"/>
  <c r="F5" i="2"/>
  <c r="A7" i="2"/>
  <c r="H2" i="2"/>
  <c r="H2" i="33" s="1"/>
  <c r="F1" i="32" s="1"/>
  <c r="H1" i="2"/>
  <c r="F1" i="2"/>
  <c r="F100" i="2" s="1"/>
  <c r="A66" i="1"/>
  <c r="D65" i="1"/>
  <c r="A65" i="1"/>
  <c r="D62" i="1"/>
  <c r="D92" i="1" s="1"/>
  <c r="A62" i="1"/>
  <c r="D61" i="1"/>
  <c r="D91" i="1" s="1"/>
  <c r="A61" i="1"/>
  <c r="E53" i="1"/>
  <c r="D53" i="1"/>
  <c r="D83" i="1" s="1"/>
  <c r="A53" i="1"/>
  <c r="E49" i="1"/>
  <c r="E46" i="1"/>
  <c r="E45" i="1"/>
  <c r="E44" i="1"/>
  <c r="E38" i="1"/>
  <c r="E39" i="1"/>
  <c r="E34" i="1"/>
  <c r="E33" i="1"/>
  <c r="E29" i="1"/>
  <c r="E28" i="1"/>
  <c r="C17" i="3"/>
  <c r="C33" i="3" s="1"/>
  <c r="C49" i="3"/>
  <c r="C65" i="3" s="1"/>
  <c r="C81" i="3" s="1"/>
  <c r="C97" i="3" s="1"/>
  <c r="C113" i="3" s="1"/>
  <c r="C129" i="3" s="1"/>
  <c r="C145" i="3" s="1"/>
  <c r="C161" i="3" s="1"/>
  <c r="C177" i="3" s="1"/>
  <c r="C193" i="3" s="1"/>
  <c r="C209" i="3" s="1"/>
  <c r="C225" i="3" s="1"/>
  <c r="C241" i="3" s="1"/>
  <c r="C257" i="3" s="1"/>
  <c r="C273" i="3" s="1"/>
  <c r="C289" i="3" s="1"/>
  <c r="C7" i="1"/>
  <c r="C8" i="1" s="1"/>
  <c r="C9" i="1" s="1"/>
  <c r="G7" i="1"/>
  <c r="H5" i="1"/>
  <c r="G5" i="1"/>
  <c r="E73" i="3"/>
  <c r="E81" i="3"/>
  <c r="E80" i="3"/>
  <c r="E74" i="3"/>
  <c r="E82" i="3"/>
  <c r="E72" i="3"/>
  <c r="E75" i="3"/>
  <c r="E83" i="3"/>
  <c r="E79" i="3"/>
  <c r="E76" i="3"/>
  <c r="E84" i="3"/>
  <c r="E77" i="3"/>
  <c r="E85" i="3"/>
  <c r="E133" i="3" s="1"/>
  <c r="E149" i="3" s="1"/>
  <c r="E78" i="3"/>
  <c r="E86" i="3"/>
  <c r="F200" i="3"/>
  <c r="G200" i="3" s="1"/>
  <c r="H200" i="3" s="1"/>
  <c r="W5" i="5"/>
  <c r="A9" i="4"/>
  <c r="N5" i="5"/>
  <c r="F80" i="3"/>
  <c r="F83" i="3"/>
  <c r="C18" i="3"/>
  <c r="C19" i="3"/>
  <c r="N16" i="5" s="1"/>
  <c r="C20" i="3"/>
  <c r="C21" i="3"/>
  <c r="C22" i="3"/>
  <c r="G6" i="3"/>
  <c r="G73" i="3" s="1"/>
  <c r="H35" i="3"/>
  <c r="G74" i="3"/>
  <c r="F308" i="2"/>
  <c r="G308" i="2"/>
  <c r="H308" i="2" s="1"/>
  <c r="I308" i="2" s="1"/>
  <c r="J308" i="2" s="1"/>
  <c r="K308" i="2" s="1"/>
  <c r="L308" i="2" s="1"/>
  <c r="M308" i="2" s="1"/>
  <c r="N308" i="2" s="1"/>
  <c r="O308" i="2" s="1"/>
  <c r="P308" i="2" s="1"/>
  <c r="Q308" i="2" s="1"/>
  <c r="R308" i="2" s="1"/>
  <c r="S308" i="2" s="1"/>
  <c r="T308" i="2" s="1"/>
  <c r="U308" i="2" s="1"/>
  <c r="V308" i="2" s="1"/>
  <c r="W308" i="2" s="1"/>
  <c r="X308" i="2" s="1"/>
  <c r="Y308" i="2" s="1"/>
  <c r="Z308" i="2" s="1"/>
  <c r="F29" i="2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Z7" i="5"/>
  <c r="Z9" i="5"/>
  <c r="Z8" i="5"/>
  <c r="Z56" i="3"/>
  <c r="Y59" i="3"/>
  <c r="Z59" i="3" s="1"/>
  <c r="Y47" i="41" s="1"/>
  <c r="Y58" i="3"/>
  <c r="Z58" i="3" s="1"/>
  <c r="Y46" i="41" s="1"/>
  <c r="S65" i="1"/>
  <c r="K65" i="1"/>
  <c r="P49" i="1"/>
  <c r="AL13" i="5"/>
  <c r="H345" i="2"/>
  <c r="Q33" i="5"/>
  <c r="Q45" i="5"/>
  <c r="G48" i="2"/>
  <c r="AG7" i="5"/>
  <c r="I35" i="3"/>
  <c r="J35" i="3"/>
  <c r="F82" i="3"/>
  <c r="F81" i="3"/>
  <c r="F78" i="3"/>
  <c r="F73" i="3"/>
  <c r="F72" i="3"/>
  <c r="F85" i="3"/>
  <c r="F74" i="3"/>
  <c r="F86" i="3"/>
  <c r="F84" i="3"/>
  <c r="E134" i="3"/>
  <c r="E150" i="3" s="1"/>
  <c r="G152" i="3"/>
  <c r="E7" i="24"/>
  <c r="D7" i="24"/>
  <c r="E40" i="3" s="1"/>
  <c r="E41" i="3" s="1"/>
  <c r="E42" i="3" s="1"/>
  <c r="E43" i="3" s="1"/>
  <c r="E44" i="3" s="1"/>
  <c r="E45" i="3" s="1"/>
  <c r="E45" i="32" s="1"/>
  <c r="E10" i="41" s="1"/>
  <c r="R44" i="5"/>
  <c r="R32" i="5"/>
  <c r="F401" i="2"/>
  <c r="G401" i="2"/>
  <c r="H401" i="2" s="1"/>
  <c r="I401" i="2" s="1"/>
  <c r="J401" i="2" s="1"/>
  <c r="K401" i="2" s="1"/>
  <c r="L401" i="2" s="1"/>
  <c r="M401" i="2" s="1"/>
  <c r="N401" i="2" s="1"/>
  <c r="O401" i="2" s="1"/>
  <c r="P401" i="2" s="1"/>
  <c r="Q401" i="2" s="1"/>
  <c r="R401" i="2" s="1"/>
  <c r="S401" i="2" s="1"/>
  <c r="T401" i="2" s="1"/>
  <c r="U401" i="2" s="1"/>
  <c r="V401" i="2" s="1"/>
  <c r="W401" i="2" s="1"/>
  <c r="X401" i="2" s="1"/>
  <c r="Y401" i="2" s="1"/>
  <c r="Z401" i="2" s="1"/>
  <c r="F29" i="33"/>
  <c r="G29" i="33" s="1"/>
  <c r="H29" i="33" s="1"/>
  <c r="I29" i="33" s="1"/>
  <c r="J29" i="33" s="1"/>
  <c r="K29" i="33" s="1"/>
  <c r="L29" i="33" s="1"/>
  <c r="M29" i="33" s="1"/>
  <c r="N29" i="33" s="1"/>
  <c r="O29" i="33" s="1"/>
  <c r="P29" i="33" s="1"/>
  <c r="Q29" i="33" s="1"/>
  <c r="R29" i="33" s="1"/>
  <c r="S29" i="33" s="1"/>
  <c r="T29" i="33" s="1"/>
  <c r="U29" i="33" s="1"/>
  <c r="V29" i="33" s="1"/>
  <c r="W29" i="33" s="1"/>
  <c r="X29" i="33" s="1"/>
  <c r="Y29" i="33" s="1"/>
  <c r="Z29" i="33" s="1"/>
  <c r="F401" i="33"/>
  <c r="G401" i="33" s="1"/>
  <c r="H401" i="33" s="1"/>
  <c r="I401" i="33" s="1"/>
  <c r="J401" i="33" s="1"/>
  <c r="K401" i="33" s="1"/>
  <c r="L401" i="33" s="1"/>
  <c r="M401" i="33" s="1"/>
  <c r="N401" i="33" s="1"/>
  <c r="O401" i="33" s="1"/>
  <c r="P401" i="33" s="1"/>
  <c r="Q401" i="33" s="1"/>
  <c r="R401" i="33" s="1"/>
  <c r="S401" i="33" s="1"/>
  <c r="T401" i="33" s="1"/>
  <c r="U401" i="33" s="1"/>
  <c r="V401" i="33" s="1"/>
  <c r="W401" i="33" s="1"/>
  <c r="X401" i="33" s="1"/>
  <c r="Y401" i="33" s="1"/>
  <c r="Z401" i="33" s="1"/>
  <c r="F215" i="33"/>
  <c r="G215" i="33" s="1"/>
  <c r="H215" i="33" s="1"/>
  <c r="I215" i="33" s="1"/>
  <c r="J215" i="33" s="1"/>
  <c r="K215" i="33" s="1"/>
  <c r="L215" i="33" s="1"/>
  <c r="M215" i="33" s="1"/>
  <c r="N215" i="33" s="1"/>
  <c r="O215" i="33" s="1"/>
  <c r="P215" i="33" s="1"/>
  <c r="Q215" i="33" s="1"/>
  <c r="R215" i="33" s="1"/>
  <c r="S215" i="33" s="1"/>
  <c r="T215" i="33" s="1"/>
  <c r="U215" i="33" s="1"/>
  <c r="V215" i="33" s="1"/>
  <c r="W215" i="33" s="1"/>
  <c r="X215" i="33" s="1"/>
  <c r="Y215" i="33" s="1"/>
  <c r="Z215" i="33" s="1"/>
  <c r="F122" i="33"/>
  <c r="G122" i="33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F308" i="33"/>
  <c r="G308" i="33"/>
  <c r="H308" i="33" s="1"/>
  <c r="I308" i="33" s="1"/>
  <c r="J308" i="33" s="1"/>
  <c r="K308" i="33" s="1"/>
  <c r="L308" i="33" s="1"/>
  <c r="M308" i="33" s="1"/>
  <c r="N308" i="33" s="1"/>
  <c r="O308" i="33" s="1"/>
  <c r="P308" i="33" s="1"/>
  <c r="Q308" i="33" s="1"/>
  <c r="R308" i="33" s="1"/>
  <c r="S308" i="33" s="1"/>
  <c r="T308" i="33" s="1"/>
  <c r="U308" i="33" s="1"/>
  <c r="V308" i="33" s="1"/>
  <c r="W308" i="33" s="1"/>
  <c r="X308" i="33" s="1"/>
  <c r="Y308" i="33" s="1"/>
  <c r="Z308" i="33" s="1"/>
  <c r="Q49" i="1"/>
  <c r="I49" i="1"/>
  <c r="F65" i="1"/>
  <c r="C10" i="1"/>
  <c r="G8" i="1"/>
  <c r="AL7" i="5"/>
  <c r="H159" i="2"/>
  <c r="H159" i="33"/>
  <c r="H144" i="33"/>
  <c r="H438" i="33"/>
  <c r="H423" i="33"/>
  <c r="H66" i="33"/>
  <c r="H252" i="33"/>
  <c r="H345" i="33"/>
  <c r="H330" i="33"/>
  <c r="H51" i="33"/>
  <c r="H237" i="33"/>
  <c r="H65" i="33"/>
  <c r="H344" i="33"/>
  <c r="H158" i="33"/>
  <c r="H160" i="33" s="1"/>
  <c r="H437" i="33"/>
  <c r="H439" i="33" s="1"/>
  <c r="AA26" i="5"/>
  <c r="AA9" i="5" s="1"/>
  <c r="AA25" i="5"/>
  <c r="AA10" i="5" s="1"/>
  <c r="H141" i="2"/>
  <c r="G252" i="33"/>
  <c r="G237" i="33"/>
  <c r="G246" i="33" s="1"/>
  <c r="H246" i="33" s="1"/>
  <c r="G141" i="33"/>
  <c r="G150" i="33" s="1"/>
  <c r="G159" i="33"/>
  <c r="G144" i="33"/>
  <c r="G438" i="33"/>
  <c r="G423" i="33"/>
  <c r="G51" i="33"/>
  <c r="G60" i="33" s="1"/>
  <c r="G345" i="33"/>
  <c r="G330" i="33"/>
  <c r="G66" i="33"/>
  <c r="G158" i="33"/>
  <c r="G437" i="33"/>
  <c r="G439" i="33" s="1"/>
  <c r="G251" i="33"/>
  <c r="G65" i="33"/>
  <c r="F97" i="3"/>
  <c r="G97" i="3" s="1"/>
  <c r="H97" i="3" s="1"/>
  <c r="E201" i="3"/>
  <c r="E201" i="32"/>
  <c r="F201" i="32" s="1"/>
  <c r="G201" i="32" s="1"/>
  <c r="H201" i="32" s="1"/>
  <c r="I201" i="32" s="1"/>
  <c r="J201" i="32" s="1"/>
  <c r="K201" i="32" s="1"/>
  <c r="L201" i="32" s="1"/>
  <c r="M201" i="32" s="1"/>
  <c r="N201" i="32" s="1"/>
  <c r="O201" i="32" s="1"/>
  <c r="P201" i="32" s="1"/>
  <c r="Q201" i="32" s="1"/>
  <c r="R201" i="32" s="1"/>
  <c r="S201" i="32"/>
  <c r="T201" i="32" s="1"/>
  <c r="U201" i="32" s="1"/>
  <c r="V201" i="32" s="1"/>
  <c r="W201" i="32" s="1"/>
  <c r="X201" i="32" s="1"/>
  <c r="AF19" i="4"/>
  <c r="AG19" i="4" s="1"/>
  <c r="E89" i="3"/>
  <c r="O31" i="3"/>
  <c r="P31" i="3"/>
  <c r="Q31" i="3" s="1"/>
  <c r="R31" i="3" s="1"/>
  <c r="S31" i="3" s="1"/>
  <c r="T31" i="3" s="1"/>
  <c r="U31" i="3" s="1"/>
  <c r="V31" i="3" s="1"/>
  <c r="W31" i="3" s="1"/>
  <c r="X31" i="3" s="1"/>
  <c r="A35" i="3"/>
  <c r="K35" i="3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/>
  <c r="I32" i="3"/>
  <c r="J32" i="3"/>
  <c r="K32" i="3" s="1"/>
  <c r="L32" i="3" s="1"/>
  <c r="M32" i="3" s="1"/>
  <c r="N32" i="3" s="1"/>
  <c r="O32" i="3" s="1"/>
  <c r="P32" i="3" s="1"/>
  <c r="Q32" i="3" s="1"/>
  <c r="R32" i="3" s="1"/>
  <c r="S32" i="3" s="1"/>
  <c r="T32" i="3" s="1"/>
  <c r="U32" i="3" s="1"/>
  <c r="V32" i="3" s="1"/>
  <c r="W32" i="3" s="1"/>
  <c r="X32" i="3" s="1"/>
  <c r="G79" i="3"/>
  <c r="G83" i="3"/>
  <c r="J33" i="3"/>
  <c r="K33" i="3" s="1"/>
  <c r="L33" i="3" s="1"/>
  <c r="M33" i="3" s="1"/>
  <c r="N33" i="3" s="1"/>
  <c r="F112" i="3"/>
  <c r="F112" i="32" s="1"/>
  <c r="F111" i="3"/>
  <c r="N7" i="5"/>
  <c r="A11" i="4"/>
  <c r="C26" i="3"/>
  <c r="C42" i="3" s="1"/>
  <c r="C58" i="3" s="1"/>
  <c r="C74" i="3" s="1"/>
  <c r="C90" i="3" s="1"/>
  <c r="C106" i="3" s="1"/>
  <c r="C122" i="3" s="1"/>
  <c r="C138" i="3" s="1"/>
  <c r="C154" i="3" s="1"/>
  <c r="C170" i="3" s="1"/>
  <c r="C186" i="3" s="1"/>
  <c r="C202" i="3" s="1"/>
  <c r="C218" i="3" s="1"/>
  <c r="C234" i="3" s="1"/>
  <c r="C250" i="3" s="1"/>
  <c r="C266" i="3" s="1"/>
  <c r="W7" i="5"/>
  <c r="G72" i="3"/>
  <c r="I36" i="3"/>
  <c r="W16" i="5"/>
  <c r="A20" i="4"/>
  <c r="F194" i="3"/>
  <c r="G194" i="3" s="1"/>
  <c r="F212" i="3"/>
  <c r="G212" i="3" s="1"/>
  <c r="N15" i="5"/>
  <c r="A19" i="4"/>
  <c r="W15" i="5"/>
  <c r="A18" i="4"/>
  <c r="F117" i="3"/>
  <c r="F117" i="32" s="1"/>
  <c r="F102" i="3"/>
  <c r="G102" i="3" s="1"/>
  <c r="F94" i="3"/>
  <c r="F94" i="32" s="1"/>
  <c r="N11" i="5"/>
  <c r="A15" i="4"/>
  <c r="W11" i="5"/>
  <c r="C34" i="3"/>
  <c r="C50" i="3" s="1"/>
  <c r="C66" i="3" s="1"/>
  <c r="C82" i="3" s="1"/>
  <c r="C98" i="3" s="1"/>
  <c r="C114" i="3" s="1"/>
  <c r="C130" i="3" s="1"/>
  <c r="C146" i="3" s="1"/>
  <c r="C162" i="3" s="1"/>
  <c r="C178" i="3" s="1"/>
  <c r="C194" i="3" s="1"/>
  <c r="C210" i="3" s="1"/>
  <c r="C226" i="3" s="1"/>
  <c r="C242" i="3" s="1"/>
  <c r="C258" i="3" s="1"/>
  <c r="C274" i="3" s="1"/>
  <c r="C290" i="3" s="1"/>
  <c r="N14" i="5"/>
  <c r="W14" i="5"/>
  <c r="F100" i="3"/>
  <c r="F100" i="32" s="1"/>
  <c r="E153" i="32"/>
  <c r="L6" i="41" s="1"/>
  <c r="F96" i="3"/>
  <c r="F96" i="32" s="1"/>
  <c r="F192" i="3"/>
  <c r="G192" i="3"/>
  <c r="H192" i="3" s="1"/>
  <c r="I192" i="3" s="1"/>
  <c r="J192" i="3" s="1"/>
  <c r="K192" i="3" s="1"/>
  <c r="L192" i="3" s="1"/>
  <c r="M192" i="3" s="1"/>
  <c r="N192" i="3" s="1"/>
  <c r="O192" i="3"/>
  <c r="P192" i="3" s="1"/>
  <c r="Q192" i="3" s="1"/>
  <c r="R192" i="3" s="1"/>
  <c r="F210" i="3"/>
  <c r="G210" i="3" s="1"/>
  <c r="H210" i="3" s="1"/>
  <c r="I210" i="3" s="1"/>
  <c r="J210" i="3" s="1"/>
  <c r="F114" i="3"/>
  <c r="F114" i="32" s="1"/>
  <c r="F88" i="3"/>
  <c r="F88" i="32" s="1"/>
  <c r="E88" i="32"/>
  <c r="F95" i="3"/>
  <c r="F95" i="32" s="1"/>
  <c r="G95" i="3"/>
  <c r="G95" i="32" s="1"/>
  <c r="F184" i="3"/>
  <c r="G184" i="3" s="1"/>
  <c r="H184" i="3" s="1"/>
  <c r="I184" i="3" s="1"/>
  <c r="J184" i="3"/>
  <c r="E184" i="32"/>
  <c r="F184" i="32" s="1"/>
  <c r="G184" i="32" s="1"/>
  <c r="H184" i="32"/>
  <c r="F191" i="3"/>
  <c r="G191" i="3" s="1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F209" i="3"/>
  <c r="F198" i="3"/>
  <c r="F190" i="3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F208" i="3"/>
  <c r="G208" i="3"/>
  <c r="H208" i="3" s="1"/>
  <c r="I208" i="3" s="1"/>
  <c r="K208" i="32"/>
  <c r="L208" i="32" s="1"/>
  <c r="M208" i="32" s="1"/>
  <c r="N208" i="32" s="1"/>
  <c r="O208" i="32" s="1"/>
  <c r="P208" i="32" s="1"/>
  <c r="Q208" i="32" s="1"/>
  <c r="R208" i="32" s="1"/>
  <c r="S208" i="32" s="1"/>
  <c r="T208" i="32" s="1"/>
  <c r="U208" i="32" s="1"/>
  <c r="V208" i="32" s="1"/>
  <c r="W208" i="32" s="1"/>
  <c r="X208" i="32" s="1"/>
  <c r="F101" i="3"/>
  <c r="G101" i="3" s="1"/>
  <c r="F197" i="3"/>
  <c r="G197" i="3"/>
  <c r="F207" i="3"/>
  <c r="F118" i="3"/>
  <c r="F196" i="3"/>
  <c r="G196" i="3" s="1"/>
  <c r="H196" i="3" s="1"/>
  <c r="F214" i="3"/>
  <c r="G214" i="3"/>
  <c r="H214" i="3"/>
  <c r="I214" i="3" s="1"/>
  <c r="J214" i="3" s="1"/>
  <c r="K214" i="3" s="1"/>
  <c r="L214" i="3" s="1"/>
  <c r="M214" i="3" s="1"/>
  <c r="N214" i="3" s="1"/>
  <c r="O214" i="3" s="1"/>
  <c r="P214" i="3" s="1"/>
  <c r="Q214" i="3" s="1"/>
  <c r="R214" i="3" s="1"/>
  <c r="S214" i="3" s="1"/>
  <c r="T214" i="3" s="1"/>
  <c r="U214" i="3" s="1"/>
  <c r="V214" i="3" s="1"/>
  <c r="W214" i="3" s="1"/>
  <c r="X214" i="3" s="1"/>
  <c r="F206" i="3"/>
  <c r="G206" i="3" s="1"/>
  <c r="H206" i="3" s="1"/>
  <c r="I206" i="3" s="1"/>
  <c r="J206" i="3" s="1"/>
  <c r="K206" i="3" s="1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X206" i="3" s="1"/>
  <c r="F99" i="3"/>
  <c r="F99" i="32" s="1"/>
  <c r="F195" i="3"/>
  <c r="F213" i="3"/>
  <c r="G213" i="3" s="1"/>
  <c r="H213" i="3" s="1"/>
  <c r="M213" i="32"/>
  <c r="N213" i="32" s="1"/>
  <c r="O213" i="32" s="1"/>
  <c r="P213" i="32" s="1"/>
  <c r="Q213" i="32" s="1"/>
  <c r="R213" i="32" s="1"/>
  <c r="S213" i="32" s="1"/>
  <c r="T213" i="32" s="1"/>
  <c r="U213" i="32" s="1"/>
  <c r="V213" i="32" s="1"/>
  <c r="W213" i="32" s="1"/>
  <c r="X213" i="32" s="1"/>
  <c r="E127" i="3"/>
  <c r="E143" i="3" s="1"/>
  <c r="G88" i="3"/>
  <c r="E202" i="3"/>
  <c r="E128" i="3"/>
  <c r="E144" i="3" s="1"/>
  <c r="G207" i="3"/>
  <c r="H207" i="3" s="1"/>
  <c r="I207" i="3" s="1"/>
  <c r="E185" i="3"/>
  <c r="E185" i="32" s="1"/>
  <c r="F185" i="32" s="1"/>
  <c r="G185" i="32" s="1"/>
  <c r="G100" i="3"/>
  <c r="I213" i="3"/>
  <c r="J213" i="3" s="1"/>
  <c r="K213" i="3" s="1"/>
  <c r="L213" i="3" s="1"/>
  <c r="F211" i="3"/>
  <c r="AF22" i="4"/>
  <c r="AG22" i="4" s="1"/>
  <c r="AF20" i="4"/>
  <c r="AG20" i="4" s="1"/>
  <c r="AF18" i="4"/>
  <c r="AG18" i="4" s="1"/>
  <c r="AF23" i="4"/>
  <c r="AG23" i="4" s="1"/>
  <c r="AF17" i="4"/>
  <c r="AG17" i="4" s="1"/>
  <c r="G209" i="3"/>
  <c r="H209" i="3" s="1"/>
  <c r="I209" i="3" s="1"/>
  <c r="J209" i="3" s="1"/>
  <c r="K209" i="3" s="1"/>
  <c r="L209" i="3" s="1"/>
  <c r="M209" i="3" s="1"/>
  <c r="N209" i="3" s="1"/>
  <c r="O209" i="3" s="1"/>
  <c r="P209" i="3" s="1"/>
  <c r="Q209" i="3" s="1"/>
  <c r="R209" i="3" s="1"/>
  <c r="S209" i="3" s="1"/>
  <c r="T209" i="3" s="1"/>
  <c r="U209" i="3" s="1"/>
  <c r="V209" i="3" s="1"/>
  <c r="W209" i="3" s="1"/>
  <c r="X209" i="3" s="1"/>
  <c r="E90" i="3"/>
  <c r="E90" i="32" s="1"/>
  <c r="AF16" i="4"/>
  <c r="AG16" i="4" s="1"/>
  <c r="AF21" i="4"/>
  <c r="AG21" i="4" s="1"/>
  <c r="F98" i="3"/>
  <c r="H48" i="2"/>
  <c r="H66" i="2"/>
  <c r="AM13" i="5"/>
  <c r="I330" i="2" s="1"/>
  <c r="G423" i="2"/>
  <c r="F215" i="2"/>
  <c r="G215" i="2"/>
  <c r="H215" i="2" s="1"/>
  <c r="I215" i="2" s="1"/>
  <c r="J215" i="2" s="1"/>
  <c r="K215" i="2" s="1"/>
  <c r="L215" i="2" s="1"/>
  <c r="M215" i="2" s="1"/>
  <c r="N215" i="2" s="1"/>
  <c r="O215" i="2" s="1"/>
  <c r="P215" i="2" s="1"/>
  <c r="Q215" i="2" s="1"/>
  <c r="R215" i="2" s="1"/>
  <c r="S215" i="2" s="1"/>
  <c r="T215" i="2" s="1"/>
  <c r="U215" i="2" s="1"/>
  <c r="V215" i="2" s="1"/>
  <c r="W215" i="2" s="1"/>
  <c r="X215" i="2" s="1"/>
  <c r="Y215" i="2" s="1"/>
  <c r="Z215" i="2" s="1"/>
  <c r="G144" i="2"/>
  <c r="G51" i="2"/>
  <c r="G251" i="2"/>
  <c r="G345" i="2"/>
  <c r="H252" i="2"/>
  <c r="H51" i="2"/>
  <c r="G330" i="2"/>
  <c r="H330" i="2"/>
  <c r="G252" i="2"/>
  <c r="AK14" i="5"/>
  <c r="AL14" i="5"/>
  <c r="H423" i="2"/>
  <c r="Q34" i="5"/>
  <c r="Q35" i="5"/>
  <c r="H237" i="2"/>
  <c r="G66" i="2"/>
  <c r="H144" i="2"/>
  <c r="H438" i="2"/>
  <c r="G141" i="2"/>
  <c r="G150" i="2" s="1"/>
  <c r="F122" i="2"/>
  <c r="G122" i="2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G237" i="2"/>
  <c r="G159" i="2"/>
  <c r="G438" i="2"/>
  <c r="A24" i="3"/>
  <c r="F201" i="3"/>
  <c r="G201" i="3"/>
  <c r="H201" i="3" s="1"/>
  <c r="I201" i="3" s="1"/>
  <c r="J201" i="3" s="1"/>
  <c r="K201" i="3" s="1"/>
  <c r="L201" i="3" s="1"/>
  <c r="M201" i="3" s="1"/>
  <c r="N201" i="3" s="1"/>
  <c r="O201" i="3"/>
  <c r="P201" i="3" s="1"/>
  <c r="Q201" i="3" s="1"/>
  <c r="R201" i="3" s="1"/>
  <c r="S201" i="3" s="1"/>
  <c r="T201" i="3" s="1"/>
  <c r="U201" i="3" s="1"/>
  <c r="V201" i="3" s="1"/>
  <c r="W201" i="3" s="1"/>
  <c r="X201" i="3" s="1"/>
  <c r="H152" i="3"/>
  <c r="G152" i="32"/>
  <c r="E40" i="32"/>
  <c r="F40" i="32" s="1"/>
  <c r="G40" i="32" s="1"/>
  <c r="H40" i="32" s="1"/>
  <c r="I40" i="32" s="1"/>
  <c r="J40" i="32" s="1"/>
  <c r="K40" i="32" s="1"/>
  <c r="L40" i="32" s="1"/>
  <c r="M40" i="32" s="1"/>
  <c r="N40" i="32" s="1"/>
  <c r="O40" i="32" s="1"/>
  <c r="P40" i="32" s="1"/>
  <c r="Q40" i="32" s="1"/>
  <c r="R40" i="32" s="1"/>
  <c r="S40" i="32" s="1"/>
  <c r="T40" i="32" s="1"/>
  <c r="U40" i="32" s="1"/>
  <c r="V40" i="32" s="1"/>
  <c r="W40" i="32" s="1"/>
  <c r="X40" i="32" s="1"/>
  <c r="F40" i="3"/>
  <c r="G40" i="3" s="1"/>
  <c r="H40" i="3"/>
  <c r="I40" i="3"/>
  <c r="J40" i="3"/>
  <c r="K40" i="3" s="1"/>
  <c r="L40" i="3"/>
  <c r="M40" i="3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AE9" i="4"/>
  <c r="AF9" i="4" s="1"/>
  <c r="AG9" i="4" s="1"/>
  <c r="E41" i="32"/>
  <c r="E6" i="41" s="1"/>
  <c r="G160" i="33"/>
  <c r="AA7" i="5"/>
  <c r="AA6" i="5"/>
  <c r="H388" i="2"/>
  <c r="H420" i="2" s="1"/>
  <c r="AM7" i="5"/>
  <c r="I388" i="2" s="1"/>
  <c r="G112" i="3"/>
  <c r="G112" i="32" s="1"/>
  <c r="G117" i="3"/>
  <c r="G117" i="32" s="1"/>
  <c r="F128" i="3"/>
  <c r="F144" i="3" s="1"/>
  <c r="F133" i="3"/>
  <c r="F149" i="3" s="1"/>
  <c r="G96" i="3"/>
  <c r="E104" i="32"/>
  <c r="F104" i="3"/>
  <c r="F115" i="3"/>
  <c r="F115" i="32" s="1"/>
  <c r="F153" i="3"/>
  <c r="E154" i="32"/>
  <c r="L7" i="41" s="1"/>
  <c r="F113" i="3"/>
  <c r="F113" i="32" s="1"/>
  <c r="G94" i="3"/>
  <c r="G94" i="32" s="1"/>
  <c r="A31" i="3"/>
  <c r="F185" i="3"/>
  <c r="G185" i="3"/>
  <c r="H185" i="3"/>
  <c r="I185" i="3" s="1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E131" i="3"/>
  <c r="E147" i="3" s="1"/>
  <c r="C11" i="4"/>
  <c r="E188" i="3"/>
  <c r="E120" i="3"/>
  <c r="E204" i="3"/>
  <c r="E204" i="32"/>
  <c r="F204" i="32" s="1"/>
  <c r="G204" i="32" s="1"/>
  <c r="H204" i="32" s="1"/>
  <c r="I204" i="32" s="1"/>
  <c r="J204" i="32" s="1"/>
  <c r="K204" i="32" s="1"/>
  <c r="L204" i="32" s="1"/>
  <c r="M204" i="32" s="1"/>
  <c r="N204" i="32" s="1"/>
  <c r="O204" i="32" s="1"/>
  <c r="P204" i="32" s="1"/>
  <c r="Q204" i="32" s="1"/>
  <c r="R204" i="32" s="1"/>
  <c r="S204" i="32" s="1"/>
  <c r="T204" i="32" s="1"/>
  <c r="U204" i="32" s="1"/>
  <c r="V204" i="32" s="1"/>
  <c r="W204" i="32" s="1"/>
  <c r="X204" i="32" s="1"/>
  <c r="E203" i="3"/>
  <c r="E203" i="32"/>
  <c r="F203" i="32" s="1"/>
  <c r="G203" i="32" s="1"/>
  <c r="H203" i="32" s="1"/>
  <c r="I203" i="32" s="1"/>
  <c r="J203" i="32" s="1"/>
  <c r="K203" i="32" s="1"/>
  <c r="L203" i="32" s="1"/>
  <c r="M203" i="32" s="1"/>
  <c r="N203" i="32" s="1"/>
  <c r="O203" i="32" s="1"/>
  <c r="P203" i="32" s="1"/>
  <c r="Q203" i="32" s="1"/>
  <c r="R203" i="32" s="1"/>
  <c r="S203" i="32" s="1"/>
  <c r="T203" i="32" s="1"/>
  <c r="U203" i="32" s="1"/>
  <c r="V203" i="32" s="1"/>
  <c r="W203" i="32" s="1"/>
  <c r="X203" i="32" s="1"/>
  <c r="G211" i="3"/>
  <c r="F90" i="3"/>
  <c r="F90" i="32"/>
  <c r="E91" i="3"/>
  <c r="F91" i="3" s="1"/>
  <c r="F91" i="32" s="1"/>
  <c r="E92" i="3"/>
  <c r="F92" i="3" s="1"/>
  <c r="F92" i="32" s="1"/>
  <c r="E129" i="3"/>
  <c r="E186" i="3"/>
  <c r="F186" i="3" s="1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E187" i="3"/>
  <c r="E187" i="32"/>
  <c r="F187" i="32" s="1"/>
  <c r="G187" i="32" s="1"/>
  <c r="H187" i="32" s="1"/>
  <c r="I187" i="32" s="1"/>
  <c r="J187" i="32" s="1"/>
  <c r="I141" i="2"/>
  <c r="A40" i="3"/>
  <c r="A56" i="3"/>
  <c r="A72" i="3" s="1"/>
  <c r="A88" i="3" s="1"/>
  <c r="A104" i="3" s="1"/>
  <c r="A120" i="3" s="1"/>
  <c r="A136" i="3" s="1"/>
  <c r="A152" i="3" s="1"/>
  <c r="A168" i="3" s="1"/>
  <c r="A184" i="3" s="1"/>
  <c r="A200" i="3" s="1"/>
  <c r="A216" i="3" s="1"/>
  <c r="A232" i="3" s="1"/>
  <c r="A248" i="3" s="1"/>
  <c r="A264" i="3" s="1"/>
  <c r="A280" i="3" s="1"/>
  <c r="A8" i="3"/>
  <c r="E8" i="3" s="1"/>
  <c r="E216" i="3" s="1"/>
  <c r="E168" i="3" s="1"/>
  <c r="F41" i="3"/>
  <c r="G41" i="3"/>
  <c r="H41" i="3"/>
  <c r="I41" i="3" s="1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G153" i="3"/>
  <c r="H153" i="3" s="1"/>
  <c r="I153" i="3" s="1"/>
  <c r="F153" i="32"/>
  <c r="I152" i="3"/>
  <c r="H152" i="32"/>
  <c r="F41" i="32"/>
  <c r="G41" i="32" s="1"/>
  <c r="H41" i="32" s="1"/>
  <c r="I41" i="32" s="1"/>
  <c r="J41" i="32" s="1"/>
  <c r="K41" i="32" s="1"/>
  <c r="L41" i="32" s="1"/>
  <c r="M41" i="32" s="1"/>
  <c r="N41" i="32" s="1"/>
  <c r="O41" i="32" s="1"/>
  <c r="P41" i="32" s="1"/>
  <c r="Q41" i="32" s="1"/>
  <c r="R41" i="32" s="1"/>
  <c r="S41" i="32" s="1"/>
  <c r="T41" i="32" s="1"/>
  <c r="U41" i="32" s="1"/>
  <c r="V41" i="32" s="1"/>
  <c r="W41" i="32" s="1"/>
  <c r="X41" i="32" s="1"/>
  <c r="E42" i="32"/>
  <c r="E7" i="41" s="1"/>
  <c r="AI11" i="4"/>
  <c r="AJ11" i="4" s="1"/>
  <c r="AK11" i="4" s="1"/>
  <c r="E106" i="3"/>
  <c r="E106" i="32" s="1"/>
  <c r="G115" i="3"/>
  <c r="G115" i="32" s="1"/>
  <c r="I295" i="2"/>
  <c r="G113" i="3"/>
  <c r="H112" i="3"/>
  <c r="H112" i="32" s="1"/>
  <c r="F187" i="3"/>
  <c r="G187" i="3" s="1"/>
  <c r="H187" i="3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H94" i="3"/>
  <c r="H94" i="32" s="1"/>
  <c r="E155" i="32"/>
  <c r="L8" i="41" s="1"/>
  <c r="F154" i="3"/>
  <c r="F154" i="32" s="1"/>
  <c r="F131" i="3"/>
  <c r="F147" i="3" s="1"/>
  <c r="F203" i="3"/>
  <c r="G203" i="3" s="1"/>
  <c r="H203" i="3" s="1"/>
  <c r="I203" i="3" s="1"/>
  <c r="J203" i="3" s="1"/>
  <c r="K203" i="3" s="1"/>
  <c r="L203" i="3" s="1"/>
  <c r="M203" i="3" s="1"/>
  <c r="N203" i="3" s="1"/>
  <c r="O203" i="3" s="1"/>
  <c r="P203" i="3" s="1"/>
  <c r="Q203" i="3" s="1"/>
  <c r="R203" i="3" s="1"/>
  <c r="S203" i="3" s="1"/>
  <c r="T203" i="3" s="1"/>
  <c r="U203" i="3" s="1"/>
  <c r="V203" i="3" s="1"/>
  <c r="W203" i="3" s="1"/>
  <c r="X203" i="3" s="1"/>
  <c r="F204" i="3"/>
  <c r="G204" i="3" s="1"/>
  <c r="H204" i="3" s="1"/>
  <c r="I204" i="3" s="1"/>
  <c r="J204" i="3" s="1"/>
  <c r="K204" i="3" s="1"/>
  <c r="L204" i="3" s="1"/>
  <c r="M204" i="3" s="1"/>
  <c r="N204" i="3" s="1"/>
  <c r="O204" i="3" s="1"/>
  <c r="P204" i="3" s="1"/>
  <c r="Q204" i="3" s="1"/>
  <c r="R204" i="3" s="1"/>
  <c r="S204" i="3" s="1"/>
  <c r="T204" i="3" s="1"/>
  <c r="U204" i="3" s="1"/>
  <c r="V204" i="3" s="1"/>
  <c r="W204" i="3" s="1"/>
  <c r="X204" i="3" s="1"/>
  <c r="E136" i="3"/>
  <c r="G90" i="3"/>
  <c r="H90" i="3" s="1"/>
  <c r="E145" i="3"/>
  <c r="F129" i="3"/>
  <c r="F145" i="3" s="1"/>
  <c r="H211" i="3"/>
  <c r="I211" i="3" s="1"/>
  <c r="J211" i="3" s="1"/>
  <c r="K211" i="3" s="1"/>
  <c r="L211" i="3" s="1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K210" i="3"/>
  <c r="L210" i="3" s="1"/>
  <c r="S8" i="3"/>
  <c r="R8" i="3"/>
  <c r="L8" i="3"/>
  <c r="O8" i="3"/>
  <c r="G8" i="3"/>
  <c r="G216" i="3" s="1"/>
  <c r="G168" i="3" s="1"/>
  <c r="W8" i="3"/>
  <c r="K8" i="3"/>
  <c r="I8" i="3"/>
  <c r="U8" i="3"/>
  <c r="Q8" i="3"/>
  <c r="X8" i="3"/>
  <c r="V8" i="3"/>
  <c r="F8" i="3"/>
  <c r="F216" i="3" s="1"/>
  <c r="F168" i="3" s="1"/>
  <c r="F42" i="3"/>
  <c r="G42" i="3" s="1"/>
  <c r="H42" i="3" s="1"/>
  <c r="I42" i="3" s="1"/>
  <c r="J42" i="3" s="1"/>
  <c r="K42" i="3" s="1"/>
  <c r="L42" i="3" s="1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E43" i="32"/>
  <c r="I112" i="3"/>
  <c r="J112" i="3" s="1"/>
  <c r="J112" i="32" s="1"/>
  <c r="I94" i="3"/>
  <c r="H198" i="32"/>
  <c r="F155" i="3"/>
  <c r="F155" i="32" s="1"/>
  <c r="E156" i="32"/>
  <c r="L9" i="41" s="1"/>
  <c r="E122" i="3"/>
  <c r="O189" i="3"/>
  <c r="P189" i="3" s="1"/>
  <c r="Q189" i="3" s="1"/>
  <c r="R189" i="3" s="1"/>
  <c r="S189" i="3" s="1"/>
  <c r="T189" i="3" s="1"/>
  <c r="U189" i="3" s="1"/>
  <c r="V189" i="3" s="1"/>
  <c r="W189" i="3" s="1"/>
  <c r="X189" i="3" s="1"/>
  <c r="J207" i="3"/>
  <c r="K207" i="3" s="1"/>
  <c r="G91" i="3"/>
  <c r="G91" i="32" s="1"/>
  <c r="S192" i="3"/>
  <c r="T192" i="3" s="1"/>
  <c r="U192" i="3" s="1"/>
  <c r="V192" i="3" s="1"/>
  <c r="W192" i="3" s="1"/>
  <c r="X192" i="3" s="1"/>
  <c r="G92" i="3"/>
  <c r="F43" i="3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G155" i="3"/>
  <c r="E44" i="32"/>
  <c r="I112" i="32"/>
  <c r="F156" i="3"/>
  <c r="G156" i="3" s="1"/>
  <c r="E138" i="3"/>
  <c r="M213" i="3"/>
  <c r="N213" i="3" s="1"/>
  <c r="O213" i="3" s="1"/>
  <c r="P213" i="3" s="1"/>
  <c r="Q213" i="3" s="1"/>
  <c r="R213" i="3" s="1"/>
  <c r="S213" i="3" s="1"/>
  <c r="H91" i="3"/>
  <c r="M210" i="3"/>
  <c r="F44" i="3"/>
  <c r="K112" i="3"/>
  <c r="K187" i="32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N210" i="3"/>
  <c r="O210" i="3" s="1"/>
  <c r="C282" i="3"/>
  <c r="P210" i="3"/>
  <c r="Q210" i="3" s="1"/>
  <c r="R210" i="3" s="1"/>
  <c r="S210" i="3" s="1"/>
  <c r="T210" i="3" s="1"/>
  <c r="U210" i="3" s="1"/>
  <c r="V210" i="3" s="1"/>
  <c r="W210" i="3" s="1"/>
  <c r="X210" i="3" s="1"/>
  <c r="T213" i="3"/>
  <c r="U213" i="3" s="1"/>
  <c r="V213" i="3" s="1"/>
  <c r="W213" i="3" s="1"/>
  <c r="X213" i="3"/>
  <c r="H346" i="33" l="1"/>
  <c r="E437" i="33"/>
  <c r="E419" i="33"/>
  <c r="E428" i="33" s="1"/>
  <c r="G67" i="33"/>
  <c r="Z56" i="32"/>
  <c r="Y26" i="41" s="1"/>
  <c r="E25" i="3"/>
  <c r="G253" i="2"/>
  <c r="I2" i="2"/>
  <c r="I2" i="33" s="1"/>
  <c r="G1" i="32" s="1"/>
  <c r="AL5" i="5"/>
  <c r="E54" i="1"/>
  <c r="A10" i="4"/>
  <c r="N6" i="5"/>
  <c r="W6" i="5"/>
  <c r="M49" i="34"/>
  <c r="M65" i="34"/>
  <c r="C11" i="1"/>
  <c r="G10" i="1"/>
  <c r="I624" i="2"/>
  <c r="I609" i="2"/>
  <c r="I624" i="33"/>
  <c r="I609" i="33"/>
  <c r="I623" i="2"/>
  <c r="I623" i="33"/>
  <c r="I625" i="33" s="1"/>
  <c r="I531" i="33"/>
  <c r="I531" i="2"/>
  <c r="I516" i="2"/>
  <c r="I516" i="33"/>
  <c r="I530" i="2"/>
  <c r="I513" i="33"/>
  <c r="I513" i="2"/>
  <c r="I530" i="33"/>
  <c r="I141" i="33"/>
  <c r="I438" i="33"/>
  <c r="I344" i="33"/>
  <c r="I423" i="2"/>
  <c r="I159" i="2"/>
  <c r="I423" i="33"/>
  <c r="I158" i="33"/>
  <c r="I144" i="2"/>
  <c r="AM14" i="5"/>
  <c r="I345" i="33"/>
  <c r="I251" i="33"/>
  <c r="I252" i="2"/>
  <c r="I330" i="33"/>
  <c r="I65" i="33"/>
  <c r="AN13" i="5"/>
  <c r="I66" i="2"/>
  <c r="I66" i="33"/>
  <c r="I48" i="2"/>
  <c r="I159" i="33"/>
  <c r="I438" i="2"/>
  <c r="I144" i="33"/>
  <c r="I237" i="2"/>
  <c r="I51" i="33"/>
  <c r="I252" i="33"/>
  <c r="I237" i="33"/>
  <c r="I246" i="33" s="1"/>
  <c r="I51" i="2"/>
  <c r="I345" i="2"/>
  <c r="N13" i="5"/>
  <c r="W13" i="5"/>
  <c r="A17" i="4"/>
  <c r="I158" i="2"/>
  <c r="I437" i="2"/>
  <c r="J251" i="2"/>
  <c r="G65" i="1"/>
  <c r="K9" i="1" s="1"/>
  <c r="H9" i="1" s="1"/>
  <c r="A22" i="4"/>
  <c r="N18" i="5"/>
  <c r="W18" i="5"/>
  <c r="C37" i="3"/>
  <c r="C53" i="3" s="1"/>
  <c r="C69" i="3" s="1"/>
  <c r="C85" i="3" s="1"/>
  <c r="C101" i="3" s="1"/>
  <c r="C117" i="3" s="1"/>
  <c r="C133" i="3" s="1"/>
  <c r="C149" i="3" s="1"/>
  <c r="C165" i="3" s="1"/>
  <c r="C181" i="3" s="1"/>
  <c r="C197" i="3" s="1"/>
  <c r="C213" i="3" s="1"/>
  <c r="C229" i="3" s="1"/>
  <c r="C245" i="3" s="1"/>
  <c r="C261" i="3" s="1"/>
  <c r="C277" i="3" s="1"/>
  <c r="C293" i="3" s="1"/>
  <c r="N65" i="1"/>
  <c r="N49" i="1"/>
  <c r="C18" i="32"/>
  <c r="C34" i="32" s="1"/>
  <c r="P66" i="34"/>
  <c r="I66" i="34"/>
  <c r="C11" i="32"/>
  <c r="C27" i="32" s="1"/>
  <c r="C43" i="32" s="1"/>
  <c r="C59" i="32" s="1"/>
  <c r="C75" i="32" s="1"/>
  <c r="C91" i="32" s="1"/>
  <c r="C107" i="32" s="1"/>
  <c r="C123" i="32" s="1"/>
  <c r="C139" i="32" s="1"/>
  <c r="C155" i="32" s="1"/>
  <c r="C171" i="32" s="1"/>
  <c r="C187" i="32" s="1"/>
  <c r="C203" i="32" s="1"/>
  <c r="C219" i="32" s="1"/>
  <c r="C235" i="32" s="1"/>
  <c r="C251" i="32" s="1"/>
  <c r="C267" i="32" s="1"/>
  <c r="C283" i="32" s="1"/>
  <c r="D284" i="33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N17" i="5"/>
  <c r="W17" i="5"/>
  <c r="A21" i="4"/>
  <c r="C36" i="3"/>
  <c r="C52" i="3" s="1"/>
  <c r="C68" i="3" s="1"/>
  <c r="C84" i="3" s="1"/>
  <c r="C100" i="3" s="1"/>
  <c r="C116" i="3" s="1"/>
  <c r="C132" i="3" s="1"/>
  <c r="C148" i="3" s="1"/>
  <c r="C164" i="3" s="1"/>
  <c r="C180" i="3" s="1"/>
  <c r="C196" i="3" s="1"/>
  <c r="C212" i="3" s="1"/>
  <c r="C228" i="3" s="1"/>
  <c r="C244" i="3" s="1"/>
  <c r="C260" i="3" s="1"/>
  <c r="C276" i="3" s="1"/>
  <c r="C292" i="3" s="1"/>
  <c r="S41" i="34"/>
  <c r="AA27" i="5"/>
  <c r="AK8" i="5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BD8" i="5" s="1"/>
  <c r="AA5" i="5"/>
  <c r="C35" i="3"/>
  <c r="C51" i="3" s="1"/>
  <c r="C67" i="3" s="1"/>
  <c r="C83" i="3" s="1"/>
  <c r="C99" i="3" s="1"/>
  <c r="C115" i="3" s="1"/>
  <c r="C131" i="3" s="1"/>
  <c r="C147" i="3" s="1"/>
  <c r="C163" i="3" s="1"/>
  <c r="C179" i="3" s="1"/>
  <c r="C195" i="3" s="1"/>
  <c r="C211" i="3" s="1"/>
  <c r="C227" i="3" s="1"/>
  <c r="C243" i="3" s="1"/>
  <c r="C259" i="3" s="1"/>
  <c r="C275" i="3" s="1"/>
  <c r="C291" i="3" s="1"/>
  <c r="G9" i="1"/>
  <c r="C31" i="3"/>
  <c r="C47" i="3" s="1"/>
  <c r="C63" i="3" s="1"/>
  <c r="C79" i="3" s="1"/>
  <c r="C95" i="3" s="1"/>
  <c r="C111" i="3" s="1"/>
  <c r="C127" i="3" s="1"/>
  <c r="C143" i="3" s="1"/>
  <c r="C159" i="3" s="1"/>
  <c r="C175" i="3" s="1"/>
  <c r="C191" i="3" s="1"/>
  <c r="C207" i="3" s="1"/>
  <c r="C223" i="3" s="1"/>
  <c r="C239" i="3" s="1"/>
  <c r="C255" i="3" s="1"/>
  <c r="C271" i="3" s="1"/>
  <c r="C287" i="3" s="1"/>
  <c r="N12" i="5"/>
  <c r="A16" i="4"/>
  <c r="W12" i="5"/>
  <c r="C26" i="1"/>
  <c r="R65" i="1"/>
  <c r="K6" i="1" s="1"/>
  <c r="H6" i="1" s="1"/>
  <c r="R49" i="1"/>
  <c r="F41" i="34"/>
  <c r="F65" i="34" s="1"/>
  <c r="H67" i="33"/>
  <c r="H624" i="2"/>
  <c r="H609" i="2"/>
  <c r="H624" i="33"/>
  <c r="H609" i="33"/>
  <c r="H531" i="33"/>
  <c r="H516" i="33"/>
  <c r="H623" i="33"/>
  <c r="H623" i="2"/>
  <c r="H531" i="2"/>
  <c r="H516" i="2"/>
  <c r="H513" i="33"/>
  <c r="H513" i="2"/>
  <c r="H530" i="2"/>
  <c r="H530" i="33"/>
  <c r="I251" i="2"/>
  <c r="I65" i="2"/>
  <c r="I67" i="2" s="1"/>
  <c r="H295" i="2"/>
  <c r="H327" i="2" s="1"/>
  <c r="AN7" i="5"/>
  <c r="J202" i="2" s="1"/>
  <c r="J234" i="2" s="1"/>
  <c r="G574" i="33"/>
  <c r="G606" i="33" s="1"/>
  <c r="G615" i="33" s="1"/>
  <c r="G574" i="2"/>
  <c r="G606" i="2" s="1"/>
  <c r="G615" i="2" s="1"/>
  <c r="G388" i="33"/>
  <c r="G295" i="33"/>
  <c r="G202" i="33"/>
  <c r="G234" i="33" s="1"/>
  <c r="G243" i="33" s="1"/>
  <c r="H65" i="2"/>
  <c r="H67" i="2" s="1"/>
  <c r="J344" i="2"/>
  <c r="I41" i="34"/>
  <c r="G202" i="2"/>
  <c r="E68" i="41"/>
  <c r="H344" i="2"/>
  <c r="H346" i="2" s="1"/>
  <c r="I437" i="33"/>
  <c r="Q41" i="34"/>
  <c r="I327" i="2"/>
  <c r="I574" i="33"/>
  <c r="I606" i="33" s="1"/>
  <c r="I574" i="2"/>
  <c r="I606" i="2" s="1"/>
  <c r="I202" i="33"/>
  <c r="I234" i="33" s="1"/>
  <c r="I388" i="33"/>
  <c r="I295" i="33"/>
  <c r="I327" i="33" s="1"/>
  <c r="G253" i="33"/>
  <c r="I344" i="2"/>
  <c r="G437" i="2"/>
  <c r="G439" i="2" s="1"/>
  <c r="J437" i="33"/>
  <c r="J41" i="34"/>
  <c r="P41" i="34"/>
  <c r="G41" i="34"/>
  <c r="I202" i="2"/>
  <c r="I234" i="2" s="1"/>
  <c r="H574" i="33"/>
  <c r="H606" i="33" s="1"/>
  <c r="H574" i="2"/>
  <c r="H606" i="2" s="1"/>
  <c r="H295" i="33"/>
  <c r="H327" i="33" s="1"/>
  <c r="H388" i="33"/>
  <c r="H420" i="33" s="1"/>
  <c r="H202" i="33"/>
  <c r="H234" i="33" s="1"/>
  <c r="H158" i="2"/>
  <c r="G624" i="2"/>
  <c r="G609" i="2"/>
  <c r="G618" i="2" s="1"/>
  <c r="H618" i="2" s="1"/>
  <c r="G624" i="33"/>
  <c r="G609" i="33"/>
  <c r="G618" i="33" s="1"/>
  <c r="H618" i="33" s="1"/>
  <c r="I618" i="33" s="1"/>
  <c r="G531" i="33"/>
  <c r="G516" i="33"/>
  <c r="G525" i="33" s="1"/>
  <c r="G513" i="2"/>
  <c r="G522" i="2" s="1"/>
  <c r="G513" i="33"/>
  <c r="G522" i="33" s="1"/>
  <c r="G623" i="33"/>
  <c r="G625" i="33" s="1"/>
  <c r="G623" i="2"/>
  <c r="G531" i="2"/>
  <c r="G516" i="2"/>
  <c r="G525" i="2" s="1"/>
  <c r="H525" i="2" s="1"/>
  <c r="G530" i="2"/>
  <c r="G530" i="33"/>
  <c r="J158" i="2"/>
  <c r="H437" i="2"/>
  <c r="H439" i="2" s="1"/>
  <c r="G339" i="33"/>
  <c r="H339" i="33" s="1"/>
  <c r="I339" i="33" s="1"/>
  <c r="R41" i="34"/>
  <c r="H141" i="33"/>
  <c r="H150" i="33" s="1"/>
  <c r="L41" i="34"/>
  <c r="L49" i="34" s="1"/>
  <c r="N41" i="34"/>
  <c r="G68" i="41"/>
  <c r="G234" i="2"/>
  <c r="G243" i="2" s="1"/>
  <c r="H234" i="2"/>
  <c r="E83" i="2"/>
  <c r="E233" i="2"/>
  <c r="E242" i="2" s="1"/>
  <c r="G388" i="2"/>
  <c r="G420" i="2" s="1"/>
  <c r="G429" i="2" s="1"/>
  <c r="H429" i="2" s="1"/>
  <c r="J153" i="3"/>
  <c r="I153" i="32"/>
  <c r="A47" i="3"/>
  <c r="A63" i="3" s="1"/>
  <c r="A79" i="3" s="1"/>
  <c r="A95" i="3" s="1"/>
  <c r="A111" i="3" s="1"/>
  <c r="A127" i="3" s="1"/>
  <c r="A143" i="3" s="1"/>
  <c r="A159" i="3" s="1"/>
  <c r="A175" i="3" s="1"/>
  <c r="A191" i="3" s="1"/>
  <c r="A207" i="3" s="1"/>
  <c r="A223" i="3" s="1"/>
  <c r="A239" i="3" s="1"/>
  <c r="A255" i="3" s="1"/>
  <c r="A271" i="3" s="1"/>
  <c r="A287" i="3" s="1"/>
  <c r="A15" i="3"/>
  <c r="O33" i="3"/>
  <c r="P33" i="3" s="1"/>
  <c r="Q33" i="3" s="1"/>
  <c r="R33" i="3" s="1"/>
  <c r="S33" i="3" s="1"/>
  <c r="T33" i="3" s="1"/>
  <c r="U33" i="3" s="1"/>
  <c r="V33" i="3" s="1"/>
  <c r="W33" i="3" s="1"/>
  <c r="X33" i="3" s="1"/>
  <c r="G92" i="32"/>
  <c r="H92" i="3"/>
  <c r="H113" i="3"/>
  <c r="G113" i="32"/>
  <c r="J152" i="3"/>
  <c r="I152" i="32"/>
  <c r="G198" i="3"/>
  <c r="K112" i="32"/>
  <c r="L112" i="3"/>
  <c r="E92" i="32"/>
  <c r="A32" i="3"/>
  <c r="H197" i="3"/>
  <c r="H212" i="3"/>
  <c r="I212" i="3" s="1"/>
  <c r="J212" i="3" s="1"/>
  <c r="K212" i="3" s="1"/>
  <c r="L212" i="3" s="1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A51" i="3"/>
  <c r="A67" i="3" s="1"/>
  <c r="A83" i="3" s="1"/>
  <c r="A99" i="3" s="1"/>
  <c r="A115" i="3" s="1"/>
  <c r="A131" i="3" s="1"/>
  <c r="A147" i="3" s="1"/>
  <c r="A163" i="3" s="1"/>
  <c r="A179" i="3" s="1"/>
  <c r="A195" i="3" s="1"/>
  <c r="A211" i="3" s="1"/>
  <c r="A227" i="3" s="1"/>
  <c r="A243" i="3" s="1"/>
  <c r="A259" i="3" s="1"/>
  <c r="A275" i="3" s="1"/>
  <c r="A291" i="3" s="1"/>
  <c r="A19" i="3"/>
  <c r="A34" i="3"/>
  <c r="M34" i="3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I91" i="3"/>
  <c r="H91" i="32"/>
  <c r="H153" i="32"/>
  <c r="I216" i="3"/>
  <c r="G100" i="32"/>
  <c r="H100" i="3"/>
  <c r="E89" i="32"/>
  <c r="F89" i="3"/>
  <c r="E188" i="32"/>
  <c r="F188" i="32" s="1"/>
  <c r="G188" i="32" s="1"/>
  <c r="H188" i="32" s="1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F188" i="3"/>
  <c r="G188" i="3" s="1"/>
  <c r="H188" i="3" s="1"/>
  <c r="I188" i="3" s="1"/>
  <c r="J188" i="3" s="1"/>
  <c r="K188" i="3" s="1"/>
  <c r="L188" i="3" s="1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E186" i="32"/>
  <c r="F186" i="32" s="1"/>
  <c r="G186" i="32" s="1"/>
  <c r="H186" i="32" s="1"/>
  <c r="I186" i="32" s="1"/>
  <c r="J186" i="32" s="1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G96" i="32"/>
  <c r="H96" i="3"/>
  <c r="I196" i="3"/>
  <c r="E232" i="3"/>
  <c r="J8" i="3"/>
  <c r="J216" i="3" s="1"/>
  <c r="H8" i="3"/>
  <c r="H216" i="3" s="1"/>
  <c r="H168" i="3" s="1"/>
  <c r="E5" i="41"/>
  <c r="E91" i="32"/>
  <c r="H117" i="3"/>
  <c r="G82" i="3"/>
  <c r="G85" i="3"/>
  <c r="G133" i="3" s="1"/>
  <c r="G75" i="3"/>
  <c r="G86" i="3"/>
  <c r="G84" i="3"/>
  <c r="G77" i="3"/>
  <c r="G78" i="3"/>
  <c r="G80" i="3"/>
  <c r="G128" i="3" s="1"/>
  <c r="G144" i="3" s="1"/>
  <c r="C27" i="3"/>
  <c r="C43" i="3" s="1"/>
  <c r="C59" i="3" s="1"/>
  <c r="C75" i="3" s="1"/>
  <c r="C91" i="3" s="1"/>
  <c r="C107" i="3" s="1"/>
  <c r="C123" i="3" s="1"/>
  <c r="C139" i="3" s="1"/>
  <c r="C155" i="3" s="1"/>
  <c r="C171" i="3" s="1"/>
  <c r="C187" i="3" s="1"/>
  <c r="C203" i="3" s="1"/>
  <c r="C219" i="3" s="1"/>
  <c r="C235" i="3" s="1"/>
  <c r="C251" i="3" s="1"/>
  <c r="C267" i="3" s="1"/>
  <c r="C283" i="3" s="1"/>
  <c r="N8" i="5"/>
  <c r="A12" i="4"/>
  <c r="H37" i="3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A37" i="3"/>
  <c r="W19" i="5"/>
  <c r="C38" i="3"/>
  <c r="C54" i="3" s="1"/>
  <c r="C70" i="3" s="1"/>
  <c r="C86" i="3" s="1"/>
  <c r="C102" i="3" s="1"/>
  <c r="C118" i="3" s="1"/>
  <c r="C134" i="3" s="1"/>
  <c r="C150" i="3" s="1"/>
  <c r="C166" i="3" s="1"/>
  <c r="C182" i="3" s="1"/>
  <c r="C198" i="3" s="1"/>
  <c r="C214" i="3" s="1"/>
  <c r="C230" i="3" s="1"/>
  <c r="C246" i="3" s="1"/>
  <c r="C262" i="3" s="1"/>
  <c r="C278" i="3" s="1"/>
  <c r="C294" i="3" s="1"/>
  <c r="G153" i="32"/>
  <c r="M8" i="3"/>
  <c r="P8" i="3"/>
  <c r="G114" i="3"/>
  <c r="E202" i="32"/>
  <c r="F202" i="32" s="1"/>
  <c r="G202" i="32" s="1"/>
  <c r="H202" i="32" s="1"/>
  <c r="I202" i="32" s="1"/>
  <c r="J202" i="32" s="1"/>
  <c r="K202" i="32" s="1"/>
  <c r="L202" i="32" s="1"/>
  <c r="M202" i="32" s="1"/>
  <c r="N202" i="32" s="1"/>
  <c r="O202" i="32" s="1"/>
  <c r="P202" i="32" s="1"/>
  <c r="Q202" i="32" s="1"/>
  <c r="R202" i="32" s="1"/>
  <c r="S202" i="32" s="1"/>
  <c r="T202" i="32" s="1"/>
  <c r="U202" i="32" s="1"/>
  <c r="V202" i="32" s="1"/>
  <c r="W202" i="32" s="1"/>
  <c r="X202" i="32" s="1"/>
  <c r="F202" i="3"/>
  <c r="G202" i="3" s="1"/>
  <c r="H202" i="3" s="1"/>
  <c r="I202" i="3" s="1"/>
  <c r="J202" i="3" s="1"/>
  <c r="K202" i="3" s="1"/>
  <c r="L202" i="3" s="1"/>
  <c r="M202" i="3" s="1"/>
  <c r="N202" i="3" s="1"/>
  <c r="O202" i="3" s="1"/>
  <c r="P202" i="3" s="1"/>
  <c r="Q202" i="3" s="1"/>
  <c r="R202" i="3" s="1"/>
  <c r="S202" i="3" s="1"/>
  <c r="T202" i="3" s="1"/>
  <c r="U202" i="3" s="1"/>
  <c r="V202" i="3" s="1"/>
  <c r="W202" i="3" s="1"/>
  <c r="X202" i="3" s="1"/>
  <c r="F118" i="32"/>
  <c r="F134" i="3"/>
  <c r="F150" i="3" s="1"/>
  <c r="Y44" i="41"/>
  <c r="F27" i="1"/>
  <c r="T8" i="3"/>
  <c r="N8" i="3"/>
  <c r="G118" i="3"/>
  <c r="G99" i="3"/>
  <c r="A23" i="4"/>
  <c r="H115" i="3"/>
  <c r="N19" i="5"/>
  <c r="J36" i="3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A36" i="3"/>
  <c r="W8" i="5"/>
  <c r="G81" i="3"/>
  <c r="G129" i="3" s="1"/>
  <c r="G145" i="3" s="1"/>
  <c r="N9" i="5"/>
  <c r="W9" i="5"/>
  <c r="C28" i="3"/>
  <c r="C44" i="3" s="1"/>
  <c r="C60" i="3" s="1"/>
  <c r="A38" i="3"/>
  <c r="J38" i="3"/>
  <c r="K38" i="3" s="1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G164" i="32"/>
  <c r="H164" i="3"/>
  <c r="G160" i="3"/>
  <c r="F160" i="32"/>
  <c r="E131" i="32"/>
  <c r="E147" i="32" s="1"/>
  <c r="E82" i="32"/>
  <c r="E84" i="32"/>
  <c r="E75" i="32"/>
  <c r="E85" i="32"/>
  <c r="E77" i="32"/>
  <c r="E79" i="32"/>
  <c r="E80" i="32"/>
  <c r="E74" i="32"/>
  <c r="E122" i="32" s="1"/>
  <c r="E138" i="32" s="1"/>
  <c r="E78" i="32"/>
  <c r="E81" i="32"/>
  <c r="E73" i="32"/>
  <c r="E83" i="32"/>
  <c r="E86" i="32"/>
  <c r="A13" i="4"/>
  <c r="H163" i="3"/>
  <c r="G163" i="32"/>
  <c r="F159" i="32"/>
  <c r="G159" i="3"/>
  <c r="H38" i="32"/>
  <c r="I38" i="32" s="1"/>
  <c r="J38" i="32" s="1"/>
  <c r="K38" i="32" s="1"/>
  <c r="L38" i="32" s="1"/>
  <c r="M38" i="32" s="1"/>
  <c r="N38" i="32" s="1"/>
  <c r="O38" i="32" s="1"/>
  <c r="P38" i="32" s="1"/>
  <c r="Q38" i="32" s="1"/>
  <c r="R38" i="32" s="1"/>
  <c r="S38" i="32" s="1"/>
  <c r="T38" i="32" s="1"/>
  <c r="U38" i="32" s="1"/>
  <c r="V38" i="32" s="1"/>
  <c r="W38" i="32" s="1"/>
  <c r="X38" i="32" s="1"/>
  <c r="E46" i="3"/>
  <c r="F45" i="3"/>
  <c r="G45" i="3" s="1"/>
  <c r="H45" i="3" s="1"/>
  <c r="I45" i="3" s="1"/>
  <c r="J45" i="3" s="1"/>
  <c r="K45" i="3" s="1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E120" i="32"/>
  <c r="E136" i="32" s="1"/>
  <c r="G162" i="32"/>
  <c r="H162" i="3"/>
  <c r="F79" i="3"/>
  <c r="F77" i="3"/>
  <c r="F75" i="3"/>
  <c r="H33" i="32"/>
  <c r="I33" i="32" s="1"/>
  <c r="J33" i="32" s="1"/>
  <c r="K33" i="32" s="1"/>
  <c r="L33" i="32" s="1"/>
  <c r="M33" i="32" s="1"/>
  <c r="N33" i="32" s="1"/>
  <c r="O33" i="32" s="1"/>
  <c r="P33" i="32" s="1"/>
  <c r="Q33" i="32" s="1"/>
  <c r="R33" i="32" s="1"/>
  <c r="S33" i="32" s="1"/>
  <c r="T33" i="32" s="1"/>
  <c r="U33" i="32" s="1"/>
  <c r="V33" i="32" s="1"/>
  <c r="W33" i="32" s="1"/>
  <c r="X33" i="32" s="1"/>
  <c r="A33" i="32"/>
  <c r="H5" i="3"/>
  <c r="G5" i="32"/>
  <c r="G6" i="32" s="1"/>
  <c r="E133" i="32"/>
  <c r="E149" i="32" s="1"/>
  <c r="H165" i="3"/>
  <c r="G165" i="32"/>
  <c r="G166" i="32"/>
  <c r="H166" i="3"/>
  <c r="F163" i="32"/>
  <c r="G161" i="3"/>
  <c r="E129" i="32"/>
  <c r="E145" i="32" s="1"/>
  <c r="E157" i="32"/>
  <c r="L10" i="41" s="1"/>
  <c r="E29" i="3"/>
  <c r="AE14" i="4" s="1"/>
  <c r="AF14" i="4" s="1"/>
  <c r="AG14" i="4" s="1"/>
  <c r="E127" i="32"/>
  <c r="E143" i="32" s="1"/>
  <c r="E406" i="2"/>
  <c r="G160" i="2"/>
  <c r="I94" i="32"/>
  <c r="J94" i="3"/>
  <c r="H92" i="32"/>
  <c r="I92" i="3"/>
  <c r="F104" i="32"/>
  <c r="G104" i="3"/>
  <c r="F120" i="3"/>
  <c r="K184" i="3"/>
  <c r="I200" i="3"/>
  <c r="J208" i="3"/>
  <c r="L207" i="3"/>
  <c r="H90" i="32"/>
  <c r="I90" i="3"/>
  <c r="G195" i="3"/>
  <c r="G90" i="32"/>
  <c r="G98" i="3"/>
  <c r="F98" i="32"/>
  <c r="F130" i="32" s="1"/>
  <c r="F146" i="32" s="1"/>
  <c r="F130" i="3"/>
  <c r="F146" i="3" s="1"/>
  <c r="G97" i="32"/>
  <c r="H101" i="3"/>
  <c r="G101" i="32"/>
  <c r="E205" i="32"/>
  <c r="F205" i="32" s="1"/>
  <c r="G205" i="32" s="1"/>
  <c r="H205" i="32" s="1"/>
  <c r="I205" i="32" s="1"/>
  <c r="J205" i="32" s="1"/>
  <c r="K205" i="32" s="1"/>
  <c r="L205" i="32" s="1"/>
  <c r="M205" i="32" s="1"/>
  <c r="N205" i="32" s="1"/>
  <c r="O205" i="32" s="1"/>
  <c r="P205" i="32" s="1"/>
  <c r="Q205" i="32" s="1"/>
  <c r="R205" i="32" s="1"/>
  <c r="S205" i="32" s="1"/>
  <c r="T205" i="32" s="1"/>
  <c r="U205" i="32" s="1"/>
  <c r="V205" i="32" s="1"/>
  <c r="W205" i="32" s="1"/>
  <c r="X205" i="32" s="1"/>
  <c r="F205" i="3"/>
  <c r="G205" i="3" s="1"/>
  <c r="H205" i="3" s="1"/>
  <c r="I205" i="3" s="1"/>
  <c r="J205" i="3" s="1"/>
  <c r="K205" i="3" s="1"/>
  <c r="L205" i="3" s="1"/>
  <c r="M205" i="3" s="1"/>
  <c r="N205" i="3" s="1"/>
  <c r="O205" i="3" s="1"/>
  <c r="P205" i="3" s="1"/>
  <c r="Q205" i="3" s="1"/>
  <c r="R205" i="3" s="1"/>
  <c r="S205" i="3" s="1"/>
  <c r="T205" i="3" s="1"/>
  <c r="U205" i="3" s="1"/>
  <c r="V205" i="3" s="1"/>
  <c r="W205" i="3" s="1"/>
  <c r="X205" i="3" s="1"/>
  <c r="E132" i="3"/>
  <c r="E116" i="32"/>
  <c r="F116" i="3"/>
  <c r="E134" i="32"/>
  <c r="E150" i="32" s="1"/>
  <c r="E130" i="3"/>
  <c r="E98" i="32"/>
  <c r="F193" i="3"/>
  <c r="E193" i="32"/>
  <c r="F193" i="32" s="1"/>
  <c r="H102" i="3"/>
  <c r="G134" i="3"/>
  <c r="G102" i="32"/>
  <c r="H194" i="3"/>
  <c r="B231" i="3"/>
  <c r="B247" i="3" s="1"/>
  <c r="B263" i="3" s="1"/>
  <c r="B279" i="3" s="1"/>
  <c r="B183" i="3"/>
  <c r="B199" i="3" s="1"/>
  <c r="B215" i="3" s="1"/>
  <c r="H114" i="3"/>
  <c r="G114" i="32"/>
  <c r="F111" i="32"/>
  <c r="F127" i="3"/>
  <c r="G111" i="3"/>
  <c r="H97" i="32"/>
  <c r="I97" i="3"/>
  <c r="H88" i="3"/>
  <c r="G88" i="32"/>
  <c r="F97" i="32"/>
  <c r="F129" i="32" s="1"/>
  <c r="F145" i="32" s="1"/>
  <c r="F102" i="32"/>
  <c r="F131" i="32"/>
  <c r="F147" i="32" s="1"/>
  <c r="H95" i="3"/>
  <c r="F101" i="32"/>
  <c r="E189" i="32"/>
  <c r="F189" i="32" s="1"/>
  <c r="G189" i="32" s="1"/>
  <c r="H189" i="32" s="1"/>
  <c r="I189" i="32" s="1"/>
  <c r="J189" i="32" s="1"/>
  <c r="K189" i="32" s="1"/>
  <c r="L189" i="32" s="1"/>
  <c r="M189" i="32" s="1"/>
  <c r="N189" i="32" s="1"/>
  <c r="O189" i="32" s="1"/>
  <c r="P189" i="32" s="1"/>
  <c r="Q189" i="32" s="1"/>
  <c r="R189" i="32" s="1"/>
  <c r="S189" i="32" s="1"/>
  <c r="T189" i="32" s="1"/>
  <c r="U189" i="32" s="1"/>
  <c r="V189" i="32" s="1"/>
  <c r="W189" i="32" s="1"/>
  <c r="X189" i="32" s="1"/>
  <c r="B13" i="4"/>
  <c r="C12" i="4"/>
  <c r="E105" i="32"/>
  <c r="E121" i="3"/>
  <c r="E137" i="3" s="1"/>
  <c r="S10" i="4"/>
  <c r="F105" i="3" s="1"/>
  <c r="C10" i="34"/>
  <c r="G9" i="34"/>
  <c r="H65" i="34"/>
  <c r="H49" i="34"/>
  <c r="N65" i="34"/>
  <c r="N49" i="34"/>
  <c r="O49" i="34"/>
  <c r="O65" i="34"/>
  <c r="I49" i="34"/>
  <c r="I65" i="34"/>
  <c r="Q49" i="34"/>
  <c r="Q65" i="34"/>
  <c r="F49" i="34"/>
  <c r="J49" i="34"/>
  <c r="J65" i="34"/>
  <c r="P49" i="34"/>
  <c r="P65" i="34"/>
  <c r="G65" i="34"/>
  <c r="G49" i="34"/>
  <c r="C50" i="32"/>
  <c r="C66" i="32" s="1"/>
  <c r="C82" i="32" s="1"/>
  <c r="C98" i="32" s="1"/>
  <c r="C114" i="32" s="1"/>
  <c r="C130" i="32" s="1"/>
  <c r="C146" i="32" s="1"/>
  <c r="C162" i="32" s="1"/>
  <c r="C178" i="32" s="1"/>
  <c r="C194" i="32" s="1"/>
  <c r="C210" i="32" s="1"/>
  <c r="C226" i="32" s="1"/>
  <c r="C242" i="32" s="1"/>
  <c r="C258" i="32" s="1"/>
  <c r="C274" i="32" s="1"/>
  <c r="C290" i="32" s="1"/>
  <c r="C15" i="41"/>
  <c r="B15" i="41" s="1"/>
  <c r="R49" i="34"/>
  <c r="R65" i="34"/>
  <c r="T66" i="34"/>
  <c r="C17" i="32"/>
  <c r="C33" i="32" s="1"/>
  <c r="C27" i="34"/>
  <c r="D5" i="33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D98" i="33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E119" i="33" s="1"/>
  <c r="E120" i="33" s="1"/>
  <c r="T65" i="34"/>
  <c r="D470" i="33"/>
  <c r="A472" i="33" s="1"/>
  <c r="A473" i="33" s="1"/>
  <c r="A474" i="33" s="1"/>
  <c r="A475" i="33" s="1"/>
  <c r="K66" i="34"/>
  <c r="C9" i="32"/>
  <c r="C25" i="32" s="1"/>
  <c r="D279" i="33"/>
  <c r="B265" i="33"/>
  <c r="D185" i="33"/>
  <c r="B171" i="33"/>
  <c r="G432" i="33"/>
  <c r="H432" i="33" s="1"/>
  <c r="I432" i="33" s="1"/>
  <c r="E420" i="33"/>
  <c r="G153" i="33"/>
  <c r="H153" i="33" s="1"/>
  <c r="I153" i="33" s="1"/>
  <c r="I439" i="33"/>
  <c r="I196" i="32"/>
  <c r="I195" i="32"/>
  <c r="H194" i="32"/>
  <c r="I184" i="32"/>
  <c r="B183" i="32"/>
  <c r="B199" i="32" s="1"/>
  <c r="B215" i="32" s="1"/>
  <c r="B231" i="32"/>
  <c r="B247" i="32" s="1"/>
  <c r="B263" i="32" s="1"/>
  <c r="B279" i="32" s="1"/>
  <c r="I198" i="32"/>
  <c r="I197" i="32"/>
  <c r="E8" i="41"/>
  <c r="F43" i="32"/>
  <c r="G43" i="32" s="1"/>
  <c r="H43" i="32" s="1"/>
  <c r="I43" i="32" s="1"/>
  <c r="J43" i="32" s="1"/>
  <c r="K43" i="32" s="1"/>
  <c r="L43" i="32" s="1"/>
  <c r="M43" i="32" s="1"/>
  <c r="N43" i="32" s="1"/>
  <c r="O43" i="32" s="1"/>
  <c r="P43" i="32" s="1"/>
  <c r="Q43" i="32" s="1"/>
  <c r="R43" i="32" s="1"/>
  <c r="S43" i="32" s="1"/>
  <c r="T43" i="32" s="1"/>
  <c r="U43" i="32" s="1"/>
  <c r="V43" i="32" s="1"/>
  <c r="W43" i="32" s="1"/>
  <c r="X43" i="32" s="1"/>
  <c r="I192" i="32"/>
  <c r="H191" i="32"/>
  <c r="I191" i="32" s="1"/>
  <c r="J191" i="32" s="1"/>
  <c r="L24" i="32"/>
  <c r="M24" i="32" s="1"/>
  <c r="N24" i="32" s="1"/>
  <c r="O24" i="32" s="1"/>
  <c r="P24" i="32" s="1"/>
  <c r="Q24" i="32" s="1"/>
  <c r="R24" i="32" s="1"/>
  <c r="S24" i="32" s="1"/>
  <c r="T24" i="32" s="1"/>
  <c r="U24" i="32" s="1"/>
  <c r="V24" i="32" s="1"/>
  <c r="W24" i="32" s="1"/>
  <c r="X24" i="32" s="1"/>
  <c r="F44" i="32"/>
  <c r="E9" i="41"/>
  <c r="H185" i="32"/>
  <c r="F42" i="32"/>
  <c r="G42" i="32" s="1"/>
  <c r="H42" i="32" s="1"/>
  <c r="I42" i="32" s="1"/>
  <c r="J42" i="32" s="1"/>
  <c r="K42" i="32" s="1"/>
  <c r="L42" i="32" s="1"/>
  <c r="M42" i="32" s="1"/>
  <c r="N42" i="32" s="1"/>
  <c r="O42" i="32" s="1"/>
  <c r="P42" i="32" s="1"/>
  <c r="Q42" i="32" s="1"/>
  <c r="R42" i="32" s="1"/>
  <c r="S42" i="32" s="1"/>
  <c r="T42" i="32" s="1"/>
  <c r="U42" i="32" s="1"/>
  <c r="V42" i="32" s="1"/>
  <c r="W42" i="32" s="1"/>
  <c r="X42" i="32" s="1"/>
  <c r="H35" i="32"/>
  <c r="I35" i="32" s="1"/>
  <c r="J35" i="32" s="1"/>
  <c r="K35" i="32" s="1"/>
  <c r="L35" i="32" s="1"/>
  <c r="M35" i="32" s="1"/>
  <c r="N35" i="32" s="1"/>
  <c r="O35" i="32" s="1"/>
  <c r="P35" i="32" s="1"/>
  <c r="Q35" i="32" s="1"/>
  <c r="R35" i="32" s="1"/>
  <c r="S35" i="32" s="1"/>
  <c r="T35" i="32" s="1"/>
  <c r="U35" i="32" s="1"/>
  <c r="V35" i="32" s="1"/>
  <c r="W35" i="32" s="1"/>
  <c r="X35" i="32" s="1"/>
  <c r="I36" i="32"/>
  <c r="J36" i="32" s="1"/>
  <c r="K36" i="32" s="1"/>
  <c r="L36" i="32" s="1"/>
  <c r="M36" i="32" s="1"/>
  <c r="N36" i="32" s="1"/>
  <c r="O36" i="32" s="1"/>
  <c r="P36" i="32" s="1"/>
  <c r="Q36" i="32" s="1"/>
  <c r="R36" i="32" s="1"/>
  <c r="S36" i="32" s="1"/>
  <c r="T36" i="32" s="1"/>
  <c r="U36" i="32" s="1"/>
  <c r="V36" i="32" s="1"/>
  <c r="W36" i="32" s="1"/>
  <c r="X36" i="32" s="1"/>
  <c r="C51" i="32"/>
  <c r="C67" i="32" s="1"/>
  <c r="C83" i="32" s="1"/>
  <c r="C99" i="32" s="1"/>
  <c r="C115" i="32" s="1"/>
  <c r="C131" i="32" s="1"/>
  <c r="C147" i="32" s="1"/>
  <c r="C163" i="32" s="1"/>
  <c r="C179" i="32" s="1"/>
  <c r="C195" i="32" s="1"/>
  <c r="C211" i="32" s="1"/>
  <c r="C227" i="32" s="1"/>
  <c r="C243" i="32" s="1"/>
  <c r="C259" i="32" s="1"/>
  <c r="C275" i="32" s="1"/>
  <c r="C291" i="32" s="1"/>
  <c r="C16" i="41"/>
  <c r="G31" i="32"/>
  <c r="H31" i="32" s="1"/>
  <c r="I31" i="32" s="1"/>
  <c r="J31" i="32" s="1"/>
  <c r="K31" i="32" s="1"/>
  <c r="L31" i="32" s="1"/>
  <c r="M31" i="32" s="1"/>
  <c r="N31" i="32" s="1"/>
  <c r="O31" i="32" s="1"/>
  <c r="P31" i="32" s="1"/>
  <c r="Q31" i="32" s="1"/>
  <c r="R31" i="32" s="1"/>
  <c r="S31" i="32" s="1"/>
  <c r="T31" i="32" s="1"/>
  <c r="U31" i="32" s="1"/>
  <c r="V31" i="32" s="1"/>
  <c r="W31" i="32" s="1"/>
  <c r="X31" i="32" s="1"/>
  <c r="F86" i="32"/>
  <c r="F85" i="32"/>
  <c r="F80" i="32"/>
  <c r="F74" i="32"/>
  <c r="F79" i="32"/>
  <c r="F75" i="32"/>
  <c r="F73" i="32"/>
  <c r="F77" i="32"/>
  <c r="F72" i="32"/>
  <c r="F120" i="32" s="1"/>
  <c r="F136" i="32" s="1"/>
  <c r="F84" i="32"/>
  <c r="F15" i="41"/>
  <c r="D15" i="41"/>
  <c r="F34" i="32"/>
  <c r="A37" i="32"/>
  <c r="A32" i="32"/>
  <c r="C19" i="41"/>
  <c r="C54" i="32"/>
  <c r="C70" i="32" s="1"/>
  <c r="C86" i="32" s="1"/>
  <c r="C102" i="32" s="1"/>
  <c r="C118" i="32" s="1"/>
  <c r="C134" i="32" s="1"/>
  <c r="C150" i="32" s="1"/>
  <c r="C166" i="32" s="1"/>
  <c r="C182" i="32" s="1"/>
  <c r="C198" i="32" s="1"/>
  <c r="C214" i="32" s="1"/>
  <c r="C230" i="32" s="1"/>
  <c r="C246" i="32" s="1"/>
  <c r="C262" i="32" s="1"/>
  <c r="C278" i="32" s="1"/>
  <c r="C294" i="32" s="1"/>
  <c r="C53" i="32"/>
  <c r="C69" i="32" s="1"/>
  <c r="C85" i="32" s="1"/>
  <c r="C101" i="32" s="1"/>
  <c r="C117" i="32" s="1"/>
  <c r="C133" i="32" s="1"/>
  <c r="C149" i="32" s="1"/>
  <c r="C165" i="32" s="1"/>
  <c r="C181" i="32" s="1"/>
  <c r="C197" i="32" s="1"/>
  <c r="C213" i="32" s="1"/>
  <c r="C229" i="32" s="1"/>
  <c r="C245" i="32" s="1"/>
  <c r="C261" i="32" s="1"/>
  <c r="C277" i="32" s="1"/>
  <c r="C293" i="32" s="1"/>
  <c r="B7" i="41"/>
  <c r="C28" i="41"/>
  <c r="C46" i="41" s="1"/>
  <c r="C73" i="41"/>
  <c r="C91" i="41" s="1"/>
  <c r="C14" i="41"/>
  <c r="C49" i="32"/>
  <c r="C65" i="32" s="1"/>
  <c r="C81" i="32" s="1"/>
  <c r="C97" i="32" s="1"/>
  <c r="C113" i="32" s="1"/>
  <c r="C129" i="32" s="1"/>
  <c r="C145" i="32" s="1"/>
  <c r="C161" i="32" s="1"/>
  <c r="C177" i="32" s="1"/>
  <c r="C193" i="32" s="1"/>
  <c r="C209" i="32" s="1"/>
  <c r="C225" i="32" s="1"/>
  <c r="C241" i="32" s="1"/>
  <c r="C257" i="32" s="1"/>
  <c r="C273" i="32" s="1"/>
  <c r="C289" i="32" s="1"/>
  <c r="C52" i="32"/>
  <c r="C68" i="32" s="1"/>
  <c r="C84" i="32" s="1"/>
  <c r="C100" i="32" s="1"/>
  <c r="C116" i="32" s="1"/>
  <c r="C132" i="32" s="1"/>
  <c r="C148" i="32" s="1"/>
  <c r="C164" i="32" s="1"/>
  <c r="C180" i="32" s="1"/>
  <c r="C196" i="32" s="1"/>
  <c r="C212" i="32" s="1"/>
  <c r="C228" i="32" s="1"/>
  <c r="C244" i="32" s="1"/>
  <c r="C260" i="32" s="1"/>
  <c r="C276" i="32" s="1"/>
  <c r="C292" i="32" s="1"/>
  <c r="C17" i="41"/>
  <c r="B18" i="41"/>
  <c r="C84" i="41"/>
  <c r="C102" i="41" s="1"/>
  <c r="C48" i="32"/>
  <c r="C64" i="32" s="1"/>
  <c r="C80" i="32" s="1"/>
  <c r="C96" i="32" s="1"/>
  <c r="C112" i="32" s="1"/>
  <c r="C128" i="32" s="1"/>
  <c r="C144" i="32" s="1"/>
  <c r="C160" i="32" s="1"/>
  <c r="C176" i="32" s="1"/>
  <c r="C192" i="32" s="1"/>
  <c r="C208" i="32" s="1"/>
  <c r="C224" i="32" s="1"/>
  <c r="C240" i="32" s="1"/>
  <c r="C256" i="32" s="1"/>
  <c r="C272" i="32" s="1"/>
  <c r="C288" i="32" s="1"/>
  <c r="C13" i="41"/>
  <c r="C5" i="41"/>
  <c r="L12" i="41"/>
  <c r="E121" i="32"/>
  <c r="E137" i="32" s="1"/>
  <c r="Z57" i="32"/>
  <c r="Y27" i="41" s="1"/>
  <c r="D5" i="41"/>
  <c r="F5" i="41"/>
  <c r="F50" i="32"/>
  <c r="G50" i="32" s="1"/>
  <c r="H50" i="32" s="1"/>
  <c r="I50" i="32" s="1"/>
  <c r="J50" i="32" s="1"/>
  <c r="K50" i="32" s="1"/>
  <c r="L50" i="32" s="1"/>
  <c r="M50" i="32" s="1"/>
  <c r="N50" i="32" s="1"/>
  <c r="O50" i="32" s="1"/>
  <c r="P50" i="32" s="1"/>
  <c r="Q50" i="32" s="1"/>
  <c r="R50" i="32" s="1"/>
  <c r="S50" i="32" s="1"/>
  <c r="T50" i="32" s="1"/>
  <c r="U50" i="32" s="1"/>
  <c r="V50" i="32" s="1"/>
  <c r="W50" i="32" s="1"/>
  <c r="X50" i="32" s="1"/>
  <c r="C8" i="41"/>
  <c r="F14" i="41"/>
  <c r="D14" i="41"/>
  <c r="C12" i="41"/>
  <c r="F13" i="41"/>
  <c r="D13" i="41"/>
  <c r="D43" i="41"/>
  <c r="D61" i="41" s="1"/>
  <c r="F12" i="41"/>
  <c r="D12" i="41"/>
  <c r="D59" i="32"/>
  <c r="F19" i="41"/>
  <c r="D19" i="41"/>
  <c r="F18" i="41"/>
  <c r="D18" i="41"/>
  <c r="F17" i="41"/>
  <c r="D17" i="41"/>
  <c r="F16" i="41"/>
  <c r="D16" i="41"/>
  <c r="E34" i="35"/>
  <c r="M34" i="35" s="1"/>
  <c r="O18" i="35"/>
  <c r="P18" i="35" s="1"/>
  <c r="O22" i="35"/>
  <c r="P22" i="35" s="1"/>
  <c r="G298" i="2"/>
  <c r="G295" i="2" s="1"/>
  <c r="G327" i="2" s="1"/>
  <c r="G336" i="2" s="1"/>
  <c r="L66" i="34"/>
  <c r="D563" i="33"/>
  <c r="A565" i="33" s="1"/>
  <c r="A566" i="33" s="1"/>
  <c r="A567" i="33" s="1"/>
  <c r="A568" i="33" s="1"/>
  <c r="A569" i="33" s="1"/>
  <c r="A570" i="33" s="1"/>
  <c r="A571" i="33" s="1"/>
  <c r="C14" i="32"/>
  <c r="C30" i="32" s="1"/>
  <c r="C11" i="41" s="1"/>
  <c r="B11" i="41" s="1"/>
  <c r="B75" i="41"/>
  <c r="B93" i="41" s="1"/>
  <c r="M566" i="2"/>
  <c r="Z58" i="32"/>
  <c r="Y28" i="41" s="1"/>
  <c r="K17" i="41"/>
  <c r="Z68" i="32"/>
  <c r="Y38" i="41" s="1"/>
  <c r="Z63" i="32"/>
  <c r="Y33" i="41" s="1"/>
  <c r="Z69" i="32"/>
  <c r="Y39" i="41" s="1"/>
  <c r="F128" i="32"/>
  <c r="F144" i="32" s="1"/>
  <c r="Z59" i="32"/>
  <c r="Y29" i="41" s="1"/>
  <c r="E128" i="32"/>
  <c r="Z67" i="32"/>
  <c r="Y37" i="41" s="1"/>
  <c r="F127" i="32"/>
  <c r="F143" i="32" s="1"/>
  <c r="A306" i="33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8" i="33" s="1"/>
  <c r="A319" i="33" s="1"/>
  <c r="A320" i="33" s="1"/>
  <c r="A321" i="33" s="1"/>
  <c r="A322" i="33" s="1"/>
  <c r="A323" i="33" s="1"/>
  <c r="B448" i="33"/>
  <c r="D462" i="33"/>
  <c r="B81" i="33"/>
  <c r="D60" i="34"/>
  <c r="D90" i="34" s="1"/>
  <c r="A60" i="34"/>
  <c r="D278" i="33"/>
  <c r="B264" i="33"/>
  <c r="B169" i="33"/>
  <c r="D183" i="33"/>
  <c r="A27" i="33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E26" i="33"/>
  <c r="E27" i="33" s="1"/>
  <c r="D94" i="33"/>
  <c r="D59" i="34"/>
  <c r="D89" i="34" s="1"/>
  <c r="B80" i="33"/>
  <c r="A59" i="34"/>
  <c r="D184" i="33"/>
  <c r="B170" i="33"/>
  <c r="D92" i="34"/>
  <c r="D64" i="34"/>
  <c r="B266" i="33"/>
  <c r="D280" i="33"/>
  <c r="E212" i="33"/>
  <c r="E213" i="33" s="1"/>
  <c r="A213" i="33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55" i="34"/>
  <c r="B76" i="33"/>
  <c r="D90" i="33"/>
  <c r="B172" i="33"/>
  <c r="D186" i="33"/>
  <c r="D371" i="33"/>
  <c r="B357" i="33"/>
  <c r="B449" i="33"/>
  <c r="D463" i="33"/>
  <c r="E438" i="33"/>
  <c r="E441" i="33" s="1"/>
  <c r="E440" i="33"/>
  <c r="D373" i="33"/>
  <c r="B359" i="33"/>
  <c r="D464" i="33"/>
  <c r="B450" i="33"/>
  <c r="B173" i="33"/>
  <c r="D187" i="33"/>
  <c r="B263" i="33"/>
  <c r="D277" i="33"/>
  <c r="D372" i="33"/>
  <c r="B358" i="33"/>
  <c r="D465" i="33"/>
  <c r="B451" i="33"/>
  <c r="G57" i="33"/>
  <c r="E517" i="33"/>
  <c r="E525" i="33"/>
  <c r="E251" i="2"/>
  <c r="B171" i="2"/>
  <c r="G1" i="3"/>
  <c r="Q4" i="50"/>
  <c r="Q15" i="50" s="1"/>
  <c r="Q24" i="50" s="1"/>
  <c r="P15" i="50"/>
  <c r="P24" i="50" s="1"/>
  <c r="N5" i="50"/>
  <c r="N6" i="50"/>
  <c r="P5" i="49"/>
  <c r="P6" i="49"/>
  <c r="N6" i="44"/>
  <c r="N5" i="44"/>
  <c r="O6" i="43"/>
  <c r="O5" i="43"/>
  <c r="G472" i="33"/>
  <c r="G565" i="33"/>
  <c r="E350" i="2"/>
  <c r="E351" i="2" s="1"/>
  <c r="H160" i="2"/>
  <c r="G76" i="3"/>
  <c r="R23" i="27"/>
  <c r="R21" i="27"/>
  <c r="Y60" i="3"/>
  <c r="Z60" i="3" s="1"/>
  <c r="Y48" i="41" s="1"/>
  <c r="F76" i="3"/>
  <c r="AE15" i="4"/>
  <c r="AF15" i="4" s="1"/>
  <c r="AG15" i="4" s="1"/>
  <c r="F30" i="3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AC28" i="3"/>
  <c r="E28" i="3" s="1"/>
  <c r="V10" i="4"/>
  <c r="W10" i="4" s="1"/>
  <c r="U11" i="4"/>
  <c r="R11" i="4"/>
  <c r="S11" i="4" s="1"/>
  <c r="F106" i="3" s="1"/>
  <c r="Q12" i="4"/>
  <c r="E616" i="33"/>
  <c r="E608" i="33"/>
  <c r="G158" i="3"/>
  <c r="Y50" i="41"/>
  <c r="E30" i="32"/>
  <c r="F379" i="2"/>
  <c r="F286" i="2"/>
  <c r="B452" i="2"/>
  <c r="E158" i="2"/>
  <c r="E161" i="2" s="1"/>
  <c r="G432" i="2"/>
  <c r="H432" i="2" s="1"/>
  <c r="F191" i="33"/>
  <c r="F470" i="33"/>
  <c r="H472" i="2"/>
  <c r="H565" i="2"/>
  <c r="H150" i="2"/>
  <c r="I150" i="2" s="1"/>
  <c r="G246" i="2"/>
  <c r="H246" i="2" s="1"/>
  <c r="I246" i="2" s="1"/>
  <c r="F4" i="3"/>
  <c r="T86" i="31" s="1"/>
  <c r="D64" i="1"/>
  <c r="F472" i="2"/>
  <c r="F565" i="2"/>
  <c r="G153" i="2"/>
  <c r="E617" i="2"/>
  <c r="E609" i="2"/>
  <c r="H286" i="2"/>
  <c r="A569" i="2"/>
  <c r="C46" i="32"/>
  <c r="C62" i="32" s="1"/>
  <c r="C78" i="32" s="1"/>
  <c r="C94" i="32" s="1"/>
  <c r="C110" i="32" s="1"/>
  <c r="C126" i="32" s="1"/>
  <c r="C142" i="32" s="1"/>
  <c r="C158" i="32" s="1"/>
  <c r="C174" i="32" s="1"/>
  <c r="C190" i="32" s="1"/>
  <c r="C206" i="32" s="1"/>
  <c r="C222" i="32" s="1"/>
  <c r="C238" i="32" s="1"/>
  <c r="C254" i="32" s="1"/>
  <c r="C270" i="32" s="1"/>
  <c r="C286" i="32" s="1"/>
  <c r="C77" i="41"/>
  <c r="C95" i="41" s="1"/>
  <c r="C32" i="41"/>
  <c r="C50" i="41" s="1"/>
  <c r="C75" i="41"/>
  <c r="C93" i="41" s="1"/>
  <c r="C30" i="41"/>
  <c r="C48" i="41" s="1"/>
  <c r="A399" i="33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2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D92" i="33"/>
  <c r="C44" i="32"/>
  <c r="C60" i="32" s="1"/>
  <c r="A476" i="33"/>
  <c r="A55" i="1"/>
  <c r="D55" i="1"/>
  <c r="D85" i="1" s="1"/>
  <c r="B76" i="2"/>
  <c r="B265" i="2"/>
  <c r="D279" i="2"/>
  <c r="B170" i="2"/>
  <c r="D184" i="2"/>
  <c r="B356" i="2"/>
  <c r="D370" i="2"/>
  <c r="B264" i="2"/>
  <c r="D278" i="2"/>
  <c r="E149" i="2"/>
  <c r="E336" i="2"/>
  <c r="D183" i="2"/>
  <c r="H153" i="2"/>
  <c r="E88" i="2"/>
  <c r="E89" i="2" s="1"/>
  <c r="E90" i="2" s="1"/>
  <c r="E91" i="2" s="1"/>
  <c r="E92" i="2" s="1"/>
  <c r="E93" i="2" s="1"/>
  <c r="E94" i="2" s="1"/>
  <c r="H7" i="2"/>
  <c r="G60" i="2"/>
  <c r="H60" i="2" s="1"/>
  <c r="I60" i="2" s="1"/>
  <c r="H1" i="33"/>
  <c r="F7" i="2"/>
  <c r="G67" i="2"/>
  <c r="E219" i="2"/>
  <c r="I1" i="2"/>
  <c r="I565" i="2" s="1"/>
  <c r="G327" i="33"/>
  <c r="G336" i="33" s="1"/>
  <c r="E127" i="2"/>
  <c r="E164" i="2"/>
  <c r="E165" i="2" s="1"/>
  <c r="H193" i="2"/>
  <c r="H100" i="2"/>
  <c r="H379" i="2"/>
  <c r="E523" i="2"/>
  <c r="E515" i="2"/>
  <c r="A475" i="2"/>
  <c r="B359" i="2"/>
  <c r="D373" i="2"/>
  <c r="E337" i="2"/>
  <c r="E329" i="2"/>
  <c r="D369" i="2"/>
  <c r="B355" i="2"/>
  <c r="E344" i="2"/>
  <c r="E345" i="2" s="1"/>
  <c r="E348" i="2" s="1"/>
  <c r="G339" i="2"/>
  <c r="H339" i="2" s="1"/>
  <c r="I339" i="2" s="1"/>
  <c r="E313" i="2"/>
  <c r="G346" i="2"/>
  <c r="E335" i="2"/>
  <c r="B448" i="2"/>
  <c r="D462" i="2"/>
  <c r="B449" i="2"/>
  <c r="D463" i="2"/>
  <c r="D465" i="2"/>
  <c r="B451" i="2"/>
  <c r="E428" i="2"/>
  <c r="E420" i="2"/>
  <c r="E429" i="2" s="1"/>
  <c r="A120" i="2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E119" i="2"/>
  <c r="E120" i="2" s="1"/>
  <c r="B262" i="2"/>
  <c r="D276" i="2"/>
  <c r="D94" i="2"/>
  <c r="A59" i="1"/>
  <c r="D59" i="1"/>
  <c r="D89" i="1" s="1"/>
  <c r="B80" i="2"/>
  <c r="E212" i="2"/>
  <c r="E213" i="2" s="1"/>
  <c r="A213" i="2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306" i="2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H253" i="2"/>
  <c r="G286" i="33"/>
  <c r="E4" i="32"/>
  <c r="E25" i="41" s="1"/>
  <c r="G100" i="33"/>
  <c r="G7" i="33"/>
  <c r="G193" i="33"/>
  <c r="G379" i="33"/>
  <c r="B172" i="2"/>
  <c r="D186" i="2"/>
  <c r="E150" i="2"/>
  <c r="E142" i="2"/>
  <c r="A399" i="2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E55" i="1"/>
  <c r="E77" i="2"/>
  <c r="G420" i="33"/>
  <c r="G429" i="33" s="1"/>
  <c r="H429" i="33" s="1"/>
  <c r="A8" i="2"/>
  <c r="B450" i="2"/>
  <c r="D464" i="2"/>
  <c r="F98" i="33"/>
  <c r="F284" i="33"/>
  <c r="F5" i="33"/>
  <c r="F377" i="33"/>
  <c r="B173" i="2"/>
  <c r="D187" i="2"/>
  <c r="B266" i="2"/>
  <c r="D280" i="2"/>
  <c r="D371" i="2"/>
  <c r="B357" i="2"/>
  <c r="E347" i="2"/>
  <c r="D277" i="2"/>
  <c r="B263" i="2"/>
  <c r="E443" i="2"/>
  <c r="E444" i="2" s="1"/>
  <c r="E437" i="2"/>
  <c r="I420" i="2"/>
  <c r="I420" i="33"/>
  <c r="F1" i="3"/>
  <c r="D372" i="2"/>
  <c r="B358" i="2"/>
  <c r="B81" i="2"/>
  <c r="A60" i="1"/>
  <c r="D90" i="2"/>
  <c r="F193" i="2"/>
  <c r="F1" i="33"/>
  <c r="G57" i="2"/>
  <c r="H57" i="2" s="1"/>
  <c r="F156" i="32"/>
  <c r="G157" i="3"/>
  <c r="G156" i="32"/>
  <c r="H156" i="3"/>
  <c r="G154" i="3"/>
  <c r="H155" i="3"/>
  <c r="G155" i="32"/>
  <c r="G44" i="3"/>
  <c r="G44" i="32"/>
  <c r="E280" i="3"/>
  <c r="E248" i="3"/>
  <c r="E93" i="32"/>
  <c r="F93" i="3"/>
  <c r="E144" i="32"/>
  <c r="F45" i="32"/>
  <c r="G45" i="32" s="1"/>
  <c r="H45" i="32" s="1"/>
  <c r="I45" i="32" s="1"/>
  <c r="J45" i="32" s="1"/>
  <c r="K45" i="32" s="1"/>
  <c r="L45" i="32" s="1"/>
  <c r="M45" i="32" s="1"/>
  <c r="N45" i="32" s="1"/>
  <c r="O45" i="32" s="1"/>
  <c r="P45" i="32" s="1"/>
  <c r="Q45" i="32" s="1"/>
  <c r="R45" i="32" s="1"/>
  <c r="S45" i="32" s="1"/>
  <c r="T45" i="32" s="1"/>
  <c r="U45" i="32" s="1"/>
  <c r="V45" i="32" s="1"/>
  <c r="W45" i="32" s="1"/>
  <c r="X45" i="32" s="1"/>
  <c r="F29" i="3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K7" i="1"/>
  <c r="H7" i="1" s="1"/>
  <c r="K10" i="1"/>
  <c r="H10" i="1" s="1"/>
  <c r="K11" i="1"/>
  <c r="H11" i="1" s="1"/>
  <c r="K8" i="1"/>
  <c r="H8" i="1" s="1"/>
  <c r="B79" i="2"/>
  <c r="A58" i="1"/>
  <c r="D93" i="2"/>
  <c r="D58" i="1"/>
  <c r="D88" i="1" s="1"/>
  <c r="D91" i="2"/>
  <c r="A58" i="34"/>
  <c r="B79" i="33"/>
  <c r="D93" i="33"/>
  <c r="D58" i="34"/>
  <c r="D88" i="34" s="1"/>
  <c r="C45" i="3"/>
  <c r="C61" i="3" s="1"/>
  <c r="E470" i="2" s="1"/>
  <c r="P24" i="1"/>
  <c r="D92" i="2"/>
  <c r="B78" i="2"/>
  <c r="D57" i="1"/>
  <c r="D87" i="1" s="1"/>
  <c r="A57" i="1"/>
  <c r="A14" i="4"/>
  <c r="N10" i="5"/>
  <c r="W10" i="5"/>
  <c r="D91" i="33"/>
  <c r="D56" i="34"/>
  <c r="D86" i="34" s="1"/>
  <c r="B77" i="33"/>
  <c r="H60" i="33"/>
  <c r="I60" i="33" s="1"/>
  <c r="A56" i="1"/>
  <c r="B77" i="2"/>
  <c r="C13" i="32"/>
  <c r="C29" i="32" s="1"/>
  <c r="A57" i="34"/>
  <c r="D57" i="34"/>
  <c r="D87" i="34" s="1"/>
  <c r="B355" i="33"/>
  <c r="E26" i="32"/>
  <c r="AE11" i="4"/>
  <c r="AF11" i="4" s="1"/>
  <c r="AG11" i="4" s="1"/>
  <c r="F26" i="3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E327" i="33"/>
  <c r="E336" i="33" s="1"/>
  <c r="E62" i="34"/>
  <c r="E164" i="33"/>
  <c r="E165" i="33" s="1"/>
  <c r="E219" i="33"/>
  <c r="I48" i="33"/>
  <c r="D461" i="33"/>
  <c r="E34" i="2"/>
  <c r="E140" i="33"/>
  <c r="E149" i="33" s="1"/>
  <c r="E313" i="33"/>
  <c r="E312" i="33"/>
  <c r="D275" i="33"/>
  <c r="B261" i="33"/>
  <c r="D368" i="33"/>
  <c r="B354" i="33"/>
  <c r="D275" i="2"/>
  <c r="B261" i="2"/>
  <c r="D276" i="33"/>
  <c r="AC27" i="3"/>
  <c r="E127" i="33"/>
  <c r="E159" i="33"/>
  <c r="E162" i="33" s="1"/>
  <c r="E77" i="33"/>
  <c r="E78" i="33" s="1"/>
  <c r="E54" i="34"/>
  <c r="B75" i="2"/>
  <c r="A54" i="1"/>
  <c r="D89" i="2"/>
  <c r="D54" i="1"/>
  <c r="D84" i="1" s="1"/>
  <c r="E242" i="33"/>
  <c r="E234" i="33"/>
  <c r="B168" i="2"/>
  <c r="D182" i="2"/>
  <c r="E71" i="2"/>
  <c r="E72" i="2" s="1"/>
  <c r="E65" i="2"/>
  <c r="E47" i="2"/>
  <c r="B354" i="2"/>
  <c r="D368" i="2"/>
  <c r="D461" i="2"/>
  <c r="B447" i="2"/>
  <c r="B75" i="33"/>
  <c r="D54" i="34"/>
  <c r="D84" i="34" s="1"/>
  <c r="A54" i="34"/>
  <c r="E257" i="33"/>
  <c r="E258" i="33" s="1"/>
  <c r="E251" i="33"/>
  <c r="E47" i="33"/>
  <c r="E71" i="33"/>
  <c r="E72" i="33" s="1"/>
  <c r="E65" i="33"/>
  <c r="E33" i="33"/>
  <c r="E34" i="33"/>
  <c r="B168" i="33"/>
  <c r="D182" i="33"/>
  <c r="E83" i="33"/>
  <c r="E61" i="34"/>
  <c r="B356" i="33"/>
  <c r="E350" i="33"/>
  <c r="E351" i="33" s="1"/>
  <c r="E344" i="33"/>
  <c r="H48" i="33"/>
  <c r="C30" i="2"/>
  <c r="I532" i="33" l="1"/>
  <c r="E305" i="33"/>
  <c r="E306" i="33" s="1"/>
  <c r="I253" i="33"/>
  <c r="I346" i="33"/>
  <c r="G532" i="33"/>
  <c r="H625" i="33"/>
  <c r="H532" i="33"/>
  <c r="I67" i="33"/>
  <c r="E29" i="32"/>
  <c r="F25" i="3"/>
  <c r="AE10" i="4"/>
  <c r="AF10" i="4" s="1"/>
  <c r="AG10" i="4" s="1"/>
  <c r="E25" i="32"/>
  <c r="AM5" i="5"/>
  <c r="J2" i="2"/>
  <c r="J2" i="33" s="1"/>
  <c r="H1" i="32" s="1"/>
  <c r="I525" i="2"/>
  <c r="I346" i="2"/>
  <c r="I160" i="2"/>
  <c r="H522" i="2"/>
  <c r="I522" i="2" s="1"/>
  <c r="E234" i="2"/>
  <c r="E243" i="2" s="1"/>
  <c r="E421" i="2"/>
  <c r="H336" i="2"/>
  <c r="I336" i="2" s="1"/>
  <c r="K2" i="2"/>
  <c r="E159" i="2"/>
  <c r="E162" i="2" s="1"/>
  <c r="I153" i="2"/>
  <c r="H532" i="2"/>
  <c r="H615" i="2"/>
  <c r="I615" i="2" s="1"/>
  <c r="I439" i="2"/>
  <c r="L566" i="2"/>
  <c r="G27" i="1"/>
  <c r="Y473" i="2"/>
  <c r="H473" i="2"/>
  <c r="L26" i="1"/>
  <c r="I57" i="2"/>
  <c r="H243" i="33"/>
  <c r="I243" i="33" s="1"/>
  <c r="G473" i="2"/>
  <c r="Z566" i="2"/>
  <c r="AA11" i="5"/>
  <c r="AA8" i="5"/>
  <c r="F303" i="2" s="1"/>
  <c r="G303" i="2" s="1"/>
  <c r="H303" i="2" s="1"/>
  <c r="I303" i="2" s="1"/>
  <c r="J303" i="2" s="1"/>
  <c r="K303" i="2" s="1"/>
  <c r="L303" i="2" s="1"/>
  <c r="M303" i="2" s="1"/>
  <c r="N303" i="2" s="1"/>
  <c r="O303" i="2" s="1"/>
  <c r="P303" i="2" s="1"/>
  <c r="Q303" i="2" s="1"/>
  <c r="R303" i="2" s="1"/>
  <c r="S303" i="2" s="1"/>
  <c r="T303" i="2" s="1"/>
  <c r="U303" i="2" s="1"/>
  <c r="V303" i="2" s="1"/>
  <c r="W303" i="2" s="1"/>
  <c r="X303" i="2" s="1"/>
  <c r="Y303" i="2" s="1"/>
  <c r="Z303" i="2" s="1"/>
  <c r="Z473" i="2"/>
  <c r="L65" i="34"/>
  <c r="I432" i="2"/>
  <c r="V566" i="2"/>
  <c r="C81" i="41"/>
  <c r="C99" i="41" s="1"/>
  <c r="S49" i="34"/>
  <c r="S65" i="34"/>
  <c r="A120" i="33"/>
  <c r="A121" i="33" s="1"/>
  <c r="A122" i="33" s="1"/>
  <c r="A123" i="33" s="1"/>
  <c r="A124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C36" i="41"/>
  <c r="C54" i="41" s="1"/>
  <c r="H525" i="33"/>
  <c r="I525" i="33" s="1"/>
  <c r="H522" i="33"/>
  <c r="I522" i="33" s="1"/>
  <c r="C27" i="1"/>
  <c r="AN14" i="5"/>
  <c r="G11" i="1"/>
  <c r="C12" i="1"/>
  <c r="H243" i="2"/>
  <c r="I243" i="2" s="1"/>
  <c r="J243" i="2" s="1"/>
  <c r="G532" i="2"/>
  <c r="H615" i="33"/>
  <c r="I615" i="33" s="1"/>
  <c r="K25" i="34"/>
  <c r="K24" i="1"/>
  <c r="L25" i="1"/>
  <c r="J574" i="33"/>
  <c r="J606" i="33" s="1"/>
  <c r="J574" i="2"/>
  <c r="J606" i="2" s="1"/>
  <c r="J202" i="33"/>
  <c r="J234" i="33" s="1"/>
  <c r="J295" i="33"/>
  <c r="J327" i="33" s="1"/>
  <c r="J388" i="33"/>
  <c r="H68" i="41"/>
  <c r="J295" i="2"/>
  <c r="J327" i="2" s="1"/>
  <c r="J388" i="2"/>
  <c r="AO7" i="5"/>
  <c r="J624" i="2"/>
  <c r="J609" i="2"/>
  <c r="J624" i="33"/>
  <c r="J609" i="33"/>
  <c r="J618" i="33" s="1"/>
  <c r="J623" i="33"/>
  <c r="J531" i="33"/>
  <c r="J623" i="2"/>
  <c r="J531" i="2"/>
  <c r="J516" i="2"/>
  <c r="J525" i="2" s="1"/>
  <c r="J516" i="33"/>
  <c r="J513" i="2"/>
  <c r="J530" i="33"/>
  <c r="J530" i="2"/>
  <c r="J513" i="33"/>
  <c r="J330" i="33"/>
  <c r="J344" i="33"/>
  <c r="J345" i="2"/>
  <c r="J346" i="2" s="1"/>
  <c r="J141" i="2"/>
  <c r="J150" i="2" s="1"/>
  <c r="J159" i="33"/>
  <c r="J158" i="33"/>
  <c r="AO13" i="5"/>
  <c r="J252" i="2"/>
  <c r="J253" i="2" s="1"/>
  <c r="J66" i="33"/>
  <c r="J437" i="2"/>
  <c r="J51" i="33"/>
  <c r="J60" i="33" s="1"/>
  <c r="J159" i="2"/>
  <c r="J160" i="2" s="1"/>
  <c r="J48" i="33"/>
  <c r="J438" i="33"/>
  <c r="J439" i="33" s="1"/>
  <c r="J252" i="33"/>
  <c r="J438" i="2"/>
  <c r="J330" i="2"/>
  <c r="J339" i="2" s="1"/>
  <c r="J237" i="33"/>
  <c r="J246" i="33" s="1"/>
  <c r="J51" i="2"/>
  <c r="J60" i="2" s="1"/>
  <c r="J141" i="33"/>
  <c r="J345" i="33"/>
  <c r="J237" i="2"/>
  <c r="J246" i="2" s="1"/>
  <c r="J144" i="33"/>
  <c r="J153" i="33" s="1"/>
  <c r="J48" i="2"/>
  <c r="J65" i="33"/>
  <c r="J67" i="33" s="1"/>
  <c r="J251" i="33"/>
  <c r="J144" i="2"/>
  <c r="J423" i="33"/>
  <c r="J432" i="33" s="1"/>
  <c r="J66" i="2"/>
  <c r="J423" i="2"/>
  <c r="I160" i="33"/>
  <c r="I625" i="2"/>
  <c r="K24" i="34"/>
  <c r="P566" i="2"/>
  <c r="H625" i="2"/>
  <c r="J65" i="2"/>
  <c r="J339" i="33"/>
  <c r="G625" i="2"/>
  <c r="I618" i="2"/>
  <c r="I253" i="2"/>
  <c r="I532" i="2"/>
  <c r="I1" i="33"/>
  <c r="H96" i="32"/>
  <c r="I96" i="3"/>
  <c r="J473" i="2"/>
  <c r="P473" i="2"/>
  <c r="E398" i="33"/>
  <c r="E399" i="33" s="1"/>
  <c r="L27" i="1"/>
  <c r="L24" i="1"/>
  <c r="J566" i="2"/>
  <c r="X566" i="2"/>
  <c r="Y566" i="2"/>
  <c r="R24" i="1"/>
  <c r="G161" i="32"/>
  <c r="H161" i="3"/>
  <c r="I5" i="3"/>
  <c r="H5" i="32"/>
  <c r="H6" i="32" s="1"/>
  <c r="H6" i="3"/>
  <c r="I115" i="3"/>
  <c r="H115" i="32"/>
  <c r="N19" i="3"/>
  <c r="R19" i="3"/>
  <c r="L19" i="3"/>
  <c r="X19" i="3"/>
  <c r="E19" i="3"/>
  <c r="E227" i="3" s="1"/>
  <c r="E179" i="3" s="1"/>
  <c r="E243" i="3" s="1"/>
  <c r="S19" i="3"/>
  <c r="M19" i="3"/>
  <c r="U19" i="3"/>
  <c r="H19" i="3"/>
  <c r="H227" i="3" s="1"/>
  <c r="W19" i="3"/>
  <c r="I19" i="3"/>
  <c r="K19" i="3"/>
  <c r="F19" i="3"/>
  <c r="F227" i="3" s="1"/>
  <c r="F179" i="3" s="1"/>
  <c r="F243" i="3" s="1"/>
  <c r="O19" i="3"/>
  <c r="T19" i="3"/>
  <c r="V19" i="3"/>
  <c r="P19" i="3"/>
  <c r="J19" i="3"/>
  <c r="G19" i="3"/>
  <c r="G227" i="3" s="1"/>
  <c r="Q19" i="3"/>
  <c r="K152" i="3"/>
  <c r="J152" i="32"/>
  <c r="H15" i="3"/>
  <c r="E15" i="3"/>
  <c r="E223" i="3" s="1"/>
  <c r="E175" i="3" s="1"/>
  <c r="E239" i="3" s="1"/>
  <c r="S15" i="3"/>
  <c r="J15" i="3"/>
  <c r="O15" i="3"/>
  <c r="V15" i="3"/>
  <c r="L15" i="3"/>
  <c r="G15" i="3"/>
  <c r="G223" i="3" s="1"/>
  <c r="G175" i="3" s="1"/>
  <c r="F15" i="3"/>
  <c r="F223" i="3" s="1"/>
  <c r="F175" i="3" s="1"/>
  <c r="X15" i="3"/>
  <c r="W15" i="3"/>
  <c r="P15" i="3"/>
  <c r="I15" i="3"/>
  <c r="U15" i="3"/>
  <c r="T15" i="3"/>
  <c r="K15" i="3"/>
  <c r="M15" i="3"/>
  <c r="R15" i="3"/>
  <c r="N15" i="3"/>
  <c r="Q15" i="3"/>
  <c r="G80" i="32"/>
  <c r="G128" i="32" s="1"/>
  <c r="G144" i="32" s="1"/>
  <c r="G83" i="32"/>
  <c r="G131" i="32" s="1"/>
  <c r="G147" i="32" s="1"/>
  <c r="G73" i="32"/>
  <c r="G82" i="32"/>
  <c r="G75" i="32"/>
  <c r="G77" i="32"/>
  <c r="G86" i="32"/>
  <c r="G85" i="32"/>
  <c r="G133" i="32" s="1"/>
  <c r="G149" i="32" s="1"/>
  <c r="G72" i="32"/>
  <c r="G81" i="32"/>
  <c r="G129" i="32" s="1"/>
  <c r="G145" i="32" s="1"/>
  <c r="G84" i="32"/>
  <c r="G79" i="32"/>
  <c r="G78" i="32"/>
  <c r="G74" i="32"/>
  <c r="A48" i="3"/>
  <c r="A64" i="3" s="1"/>
  <c r="A80" i="3" s="1"/>
  <c r="A96" i="3" s="1"/>
  <c r="A112" i="3" s="1"/>
  <c r="A128" i="3" s="1"/>
  <c r="A144" i="3" s="1"/>
  <c r="A160" i="3" s="1"/>
  <c r="A176" i="3" s="1"/>
  <c r="A192" i="3" s="1"/>
  <c r="A208" i="3" s="1"/>
  <c r="A224" i="3" s="1"/>
  <c r="A240" i="3" s="1"/>
  <c r="A256" i="3" s="1"/>
  <c r="A272" i="3" s="1"/>
  <c r="A288" i="3" s="1"/>
  <c r="A16" i="3"/>
  <c r="M24" i="1"/>
  <c r="O24" i="1"/>
  <c r="E398" i="2"/>
  <c r="E399" i="2" s="1"/>
  <c r="U473" i="2"/>
  <c r="C76" i="3"/>
  <c r="C92" i="3" s="1"/>
  <c r="C108" i="3" s="1"/>
  <c r="C124" i="3" s="1"/>
  <c r="C140" i="3" s="1"/>
  <c r="C156" i="3" s="1"/>
  <c r="C172" i="3" s="1"/>
  <c r="C188" i="3" s="1"/>
  <c r="C204" i="3" s="1"/>
  <c r="C220" i="3" s="1"/>
  <c r="C236" i="3" s="1"/>
  <c r="C252" i="3" s="1"/>
  <c r="C268" i="3" s="1"/>
  <c r="C284" i="3" s="1"/>
  <c r="O473" i="2"/>
  <c r="W566" i="2"/>
  <c r="R566" i="2"/>
  <c r="K566" i="2"/>
  <c r="A49" i="32"/>
  <c r="A65" i="32" s="1"/>
  <c r="A81" i="32" s="1"/>
  <c r="A97" i="32" s="1"/>
  <c r="A113" i="32" s="1"/>
  <c r="A129" i="32" s="1"/>
  <c r="A145" i="32" s="1"/>
  <c r="A161" i="32" s="1"/>
  <c r="A177" i="32" s="1"/>
  <c r="A193" i="32" s="1"/>
  <c r="A209" i="32" s="1"/>
  <c r="A225" i="32" s="1"/>
  <c r="A241" i="32" s="1"/>
  <c r="A257" i="32" s="1"/>
  <c r="A273" i="32" s="1"/>
  <c r="A289" i="32" s="1"/>
  <c r="A17" i="32"/>
  <c r="H163" i="32"/>
  <c r="I163" i="3"/>
  <c r="T24" i="1"/>
  <c r="E305" i="2"/>
  <c r="E306" i="2" s="1"/>
  <c r="I473" i="2"/>
  <c r="K473" i="2"/>
  <c r="L473" i="2"/>
  <c r="N566" i="2"/>
  <c r="U566" i="2"/>
  <c r="I566" i="2"/>
  <c r="H166" i="32"/>
  <c r="I166" i="3"/>
  <c r="E46" i="32"/>
  <c r="F46" i="3"/>
  <c r="G46" i="3" s="1"/>
  <c r="H46" i="3" s="1"/>
  <c r="I46" i="3" s="1"/>
  <c r="J46" i="3" s="1"/>
  <c r="K46" i="3" s="1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H160" i="3"/>
  <c r="G160" i="32"/>
  <c r="G99" i="32"/>
  <c r="H99" i="3"/>
  <c r="G131" i="3"/>
  <c r="G147" i="3" s="1"/>
  <c r="I117" i="3"/>
  <c r="H117" i="32"/>
  <c r="L112" i="32"/>
  <c r="M112" i="3"/>
  <c r="H113" i="32"/>
  <c r="I113" i="3"/>
  <c r="H100" i="32"/>
  <c r="I100" i="3"/>
  <c r="F24" i="1"/>
  <c r="G24" i="1"/>
  <c r="V473" i="2"/>
  <c r="N473" i="2"/>
  <c r="S473" i="2"/>
  <c r="J24" i="1"/>
  <c r="S566" i="2"/>
  <c r="T566" i="2"/>
  <c r="G566" i="2"/>
  <c r="E132" i="32"/>
  <c r="E148" i="32" s="1"/>
  <c r="H164" i="32"/>
  <c r="I164" i="3"/>
  <c r="G118" i="32"/>
  <c r="H118" i="3"/>
  <c r="Q24" i="1"/>
  <c r="H24" i="1"/>
  <c r="N24" i="1"/>
  <c r="X473" i="2"/>
  <c r="R473" i="2"/>
  <c r="W473" i="2"/>
  <c r="H566" i="2"/>
  <c r="Q566" i="2"/>
  <c r="L28" i="1"/>
  <c r="A35" i="32"/>
  <c r="A38" i="32"/>
  <c r="A52" i="3"/>
  <c r="A68" i="3" s="1"/>
  <c r="A84" i="3" s="1"/>
  <c r="A100" i="3" s="1"/>
  <c r="A116" i="3" s="1"/>
  <c r="A132" i="3" s="1"/>
  <c r="A148" i="3" s="1"/>
  <c r="A164" i="3" s="1"/>
  <c r="A180" i="3" s="1"/>
  <c r="A196" i="3" s="1"/>
  <c r="A212" i="3" s="1"/>
  <c r="A228" i="3" s="1"/>
  <c r="A244" i="3" s="1"/>
  <c r="A260" i="3" s="1"/>
  <c r="A276" i="3" s="1"/>
  <c r="A292" i="3" s="1"/>
  <c r="A20" i="3"/>
  <c r="A21" i="3"/>
  <c r="A53" i="3"/>
  <c r="A69" i="3" s="1"/>
  <c r="A85" i="3" s="1"/>
  <c r="A101" i="3" s="1"/>
  <c r="A117" i="3" s="1"/>
  <c r="A133" i="3" s="1"/>
  <c r="A149" i="3" s="1"/>
  <c r="A165" i="3" s="1"/>
  <c r="A181" i="3" s="1"/>
  <c r="A197" i="3" s="1"/>
  <c r="A213" i="3" s="1"/>
  <c r="A229" i="3" s="1"/>
  <c r="A245" i="3" s="1"/>
  <c r="A261" i="3" s="1"/>
  <c r="A277" i="3" s="1"/>
  <c r="A293" i="3" s="1"/>
  <c r="A50" i="3"/>
  <c r="A66" i="3" s="1"/>
  <c r="A82" i="3" s="1"/>
  <c r="A98" i="3" s="1"/>
  <c r="A114" i="3" s="1"/>
  <c r="A130" i="3" s="1"/>
  <c r="A146" i="3" s="1"/>
  <c r="A162" i="3" s="1"/>
  <c r="A178" i="3" s="1"/>
  <c r="A194" i="3" s="1"/>
  <c r="A210" i="3" s="1"/>
  <c r="A226" i="3" s="1"/>
  <c r="A242" i="3" s="1"/>
  <c r="A258" i="3" s="1"/>
  <c r="A274" i="3" s="1"/>
  <c r="A290" i="3" s="1"/>
  <c r="A18" i="3"/>
  <c r="S24" i="1"/>
  <c r="Q473" i="2"/>
  <c r="M473" i="2"/>
  <c r="T473" i="2"/>
  <c r="E563" i="2"/>
  <c r="C632" i="2" s="1"/>
  <c r="C633" i="2" s="1"/>
  <c r="C634" i="2" s="1"/>
  <c r="C635" i="2" s="1"/>
  <c r="C636" i="2" s="1"/>
  <c r="O566" i="2"/>
  <c r="E130" i="32"/>
  <c r="E146" i="32" s="1"/>
  <c r="I165" i="3"/>
  <c r="H165" i="32"/>
  <c r="J196" i="3"/>
  <c r="F89" i="32"/>
  <c r="F121" i="32" s="1"/>
  <c r="F137" i="32" s="1"/>
  <c r="G89" i="3"/>
  <c r="J91" i="3"/>
  <c r="I91" i="32"/>
  <c r="H198" i="3"/>
  <c r="F134" i="32"/>
  <c r="F150" i="32" s="1"/>
  <c r="I162" i="3"/>
  <c r="H162" i="32"/>
  <c r="G159" i="32"/>
  <c r="H159" i="3"/>
  <c r="A54" i="3"/>
  <c r="A70" i="3" s="1"/>
  <c r="A86" i="3" s="1"/>
  <c r="A102" i="3" s="1"/>
  <c r="A118" i="3" s="1"/>
  <c r="A134" i="3" s="1"/>
  <c r="A150" i="3" s="1"/>
  <c r="A166" i="3" s="1"/>
  <c r="A182" i="3" s="1"/>
  <c r="A198" i="3" s="1"/>
  <c r="A214" i="3" s="1"/>
  <c r="A230" i="3" s="1"/>
  <c r="A246" i="3" s="1"/>
  <c r="A262" i="3" s="1"/>
  <c r="A278" i="3" s="1"/>
  <c r="A294" i="3" s="1"/>
  <c r="A22" i="3"/>
  <c r="I197" i="3"/>
  <c r="A33" i="3"/>
  <c r="K153" i="3"/>
  <c r="J153" i="32"/>
  <c r="AN5" i="5"/>
  <c r="H1" i="3"/>
  <c r="F291" i="3"/>
  <c r="F259" i="3"/>
  <c r="F275" i="3" s="1"/>
  <c r="E291" i="3"/>
  <c r="E259" i="3"/>
  <c r="G193" i="32"/>
  <c r="H193" i="32" s="1"/>
  <c r="I193" i="32" s="1"/>
  <c r="H101" i="32"/>
  <c r="I101" i="3"/>
  <c r="J200" i="3"/>
  <c r="I168" i="3"/>
  <c r="G193" i="3"/>
  <c r="E148" i="3"/>
  <c r="J90" i="3"/>
  <c r="I90" i="32"/>
  <c r="F136" i="3"/>
  <c r="F232" i="3" s="1"/>
  <c r="F143" i="3"/>
  <c r="F239" i="3" s="1"/>
  <c r="I194" i="3"/>
  <c r="G104" i="32"/>
  <c r="G120" i="32" s="1"/>
  <c r="G136" i="32" s="1"/>
  <c r="H104" i="3"/>
  <c r="G120" i="3"/>
  <c r="G136" i="3" s="1"/>
  <c r="G232" i="3" s="1"/>
  <c r="G127" i="3"/>
  <c r="G143" i="3" s="1"/>
  <c r="G239" i="3" s="1"/>
  <c r="G111" i="32"/>
  <c r="G127" i="32" s="1"/>
  <c r="G143" i="32" s="1"/>
  <c r="H111" i="3"/>
  <c r="G149" i="3"/>
  <c r="G150" i="3"/>
  <c r="H195" i="3"/>
  <c r="G179" i="3"/>
  <c r="G243" i="3" s="1"/>
  <c r="H95" i="32"/>
  <c r="I95" i="3"/>
  <c r="I102" i="3"/>
  <c r="H102" i="32"/>
  <c r="M207" i="3"/>
  <c r="G116" i="3"/>
  <c r="F132" i="3"/>
  <c r="F148" i="3" s="1"/>
  <c r="F116" i="32"/>
  <c r="F132" i="32" s="1"/>
  <c r="F148" i="32" s="1"/>
  <c r="I114" i="3"/>
  <c r="H114" i="32"/>
  <c r="E146" i="3"/>
  <c r="I97" i="32"/>
  <c r="J97" i="3"/>
  <c r="G98" i="32"/>
  <c r="G130" i="32" s="1"/>
  <c r="G146" i="32" s="1"/>
  <c r="G130" i="3"/>
  <c r="G146" i="3" s="1"/>
  <c r="H98" i="3"/>
  <c r="J94" i="32"/>
  <c r="K94" i="3"/>
  <c r="F133" i="32"/>
  <c r="I88" i="3"/>
  <c r="H88" i="32"/>
  <c r="K208" i="3"/>
  <c r="L184" i="3"/>
  <c r="I92" i="32"/>
  <c r="J92" i="3"/>
  <c r="F105" i="32"/>
  <c r="F121" i="3"/>
  <c r="F137" i="3" s="1"/>
  <c r="G105" i="3"/>
  <c r="H105" i="3" s="1"/>
  <c r="E107" i="3"/>
  <c r="AI12" i="4"/>
  <c r="AJ12" i="4" s="1"/>
  <c r="AK12" i="4" s="1"/>
  <c r="B14" i="4"/>
  <c r="C13" i="4"/>
  <c r="C6" i="41"/>
  <c r="C41" i="32"/>
  <c r="C57" i="32" s="1"/>
  <c r="C73" i="32" s="1"/>
  <c r="C89" i="32" s="1"/>
  <c r="C105" i="32" s="1"/>
  <c r="C121" i="32" s="1"/>
  <c r="C137" i="32" s="1"/>
  <c r="C153" i="32" s="1"/>
  <c r="C169" i="32" s="1"/>
  <c r="C185" i="32" s="1"/>
  <c r="C201" i="32" s="1"/>
  <c r="C217" i="32" s="1"/>
  <c r="C233" i="32" s="1"/>
  <c r="C249" i="32" s="1"/>
  <c r="C265" i="32" s="1"/>
  <c r="C281" i="32" s="1"/>
  <c r="C28" i="34"/>
  <c r="G10" i="34"/>
  <c r="C11" i="34"/>
  <c r="E429" i="33"/>
  <c r="E421" i="33"/>
  <c r="F416" i="33"/>
  <c r="Q392" i="33" s="1"/>
  <c r="B8" i="41"/>
  <c r="C29" i="41"/>
  <c r="C47" i="41" s="1"/>
  <c r="C74" i="41"/>
  <c r="C92" i="41" s="1"/>
  <c r="I185" i="32"/>
  <c r="B12" i="41"/>
  <c r="C78" i="41"/>
  <c r="C96" i="41" s="1"/>
  <c r="C33" i="41"/>
  <c r="C51" i="41" s="1"/>
  <c r="B17" i="41"/>
  <c r="C38" i="41"/>
  <c r="C56" i="41" s="1"/>
  <c r="C83" i="41"/>
  <c r="C101" i="41" s="1"/>
  <c r="A21" i="32"/>
  <c r="A53" i="32"/>
  <c r="A69" i="32" s="1"/>
  <c r="A85" i="32" s="1"/>
  <c r="A101" i="32" s="1"/>
  <c r="A117" i="32" s="1"/>
  <c r="A133" i="32" s="1"/>
  <c r="A149" i="32" s="1"/>
  <c r="A165" i="32" s="1"/>
  <c r="A181" i="32" s="1"/>
  <c r="A197" i="32" s="1"/>
  <c r="A213" i="32" s="1"/>
  <c r="A229" i="32" s="1"/>
  <c r="A245" i="32" s="1"/>
  <c r="A261" i="32" s="1"/>
  <c r="A277" i="32" s="1"/>
  <c r="A293" i="32" s="1"/>
  <c r="J184" i="32"/>
  <c r="J196" i="32"/>
  <c r="B16" i="41"/>
  <c r="C37" i="41"/>
  <c r="C55" i="41" s="1"/>
  <c r="C82" i="41"/>
  <c r="C100" i="41" s="1"/>
  <c r="B84" i="41"/>
  <c r="B102" i="41" s="1"/>
  <c r="B39" i="41"/>
  <c r="B57" i="41" s="1"/>
  <c r="A19" i="32"/>
  <c r="A51" i="32"/>
  <c r="A67" i="32" s="1"/>
  <c r="A83" i="32" s="1"/>
  <c r="A99" i="32" s="1"/>
  <c r="A115" i="32" s="1"/>
  <c r="A131" i="32" s="1"/>
  <c r="A147" i="32" s="1"/>
  <c r="A163" i="32" s="1"/>
  <c r="A179" i="32" s="1"/>
  <c r="A195" i="32" s="1"/>
  <c r="A211" i="32" s="1"/>
  <c r="A227" i="32" s="1"/>
  <c r="A243" i="32" s="1"/>
  <c r="A259" i="32" s="1"/>
  <c r="A275" i="32" s="1"/>
  <c r="A291" i="32" s="1"/>
  <c r="J197" i="32"/>
  <c r="D29" i="41"/>
  <c r="D47" i="41" s="1"/>
  <c r="D60" i="32"/>
  <c r="J198" i="32"/>
  <c r="F11" i="41"/>
  <c r="D11" i="41"/>
  <c r="F149" i="32"/>
  <c r="F26" i="32"/>
  <c r="G26" i="32" s="1"/>
  <c r="H26" i="32" s="1"/>
  <c r="I26" i="32" s="1"/>
  <c r="J26" i="32" s="1"/>
  <c r="K26" i="32" s="1"/>
  <c r="L26" i="32" s="1"/>
  <c r="M26" i="32" s="1"/>
  <c r="N26" i="32" s="1"/>
  <c r="O26" i="32" s="1"/>
  <c r="P26" i="32" s="1"/>
  <c r="Q26" i="32" s="1"/>
  <c r="R26" i="32" s="1"/>
  <c r="S26" i="32" s="1"/>
  <c r="T26" i="32" s="1"/>
  <c r="U26" i="32" s="1"/>
  <c r="V26" i="32" s="1"/>
  <c r="W26" i="32" s="1"/>
  <c r="X26" i="32" s="1"/>
  <c r="D7" i="41"/>
  <c r="F7" i="41"/>
  <c r="B5" i="41"/>
  <c r="C71" i="41"/>
  <c r="C89" i="41" s="1"/>
  <c r="C26" i="41"/>
  <c r="C44" i="41" s="1"/>
  <c r="B14" i="41"/>
  <c r="C35" i="41"/>
  <c r="C53" i="41" s="1"/>
  <c r="C80" i="41"/>
  <c r="C98" i="41" s="1"/>
  <c r="B81" i="41"/>
  <c r="B99" i="41" s="1"/>
  <c r="B36" i="41"/>
  <c r="B54" i="41" s="1"/>
  <c r="I194" i="32"/>
  <c r="B73" i="41"/>
  <c r="B91" i="41" s="1"/>
  <c r="B28" i="41"/>
  <c r="B46" i="41" s="1"/>
  <c r="B19" i="41"/>
  <c r="C40" i="41"/>
  <c r="C58" i="41" s="1"/>
  <c r="C85" i="41"/>
  <c r="C103" i="41" s="1"/>
  <c r="B13" i="41"/>
  <c r="C79" i="41"/>
  <c r="C97" i="41" s="1"/>
  <c r="C34" i="41"/>
  <c r="C52" i="41" s="1"/>
  <c r="G34" i="32"/>
  <c r="H34" i="32" s="1"/>
  <c r="I34" i="32" s="1"/>
  <c r="J34" i="32" s="1"/>
  <c r="K34" i="32" s="1"/>
  <c r="L34" i="32" s="1"/>
  <c r="M34" i="32" s="1"/>
  <c r="N34" i="32" s="1"/>
  <c r="O34" i="32" s="1"/>
  <c r="P34" i="32" s="1"/>
  <c r="Q34" i="32" s="1"/>
  <c r="R34" i="32" s="1"/>
  <c r="S34" i="32" s="1"/>
  <c r="T34" i="32" s="1"/>
  <c r="U34" i="32" s="1"/>
  <c r="V34" i="32" s="1"/>
  <c r="W34" i="32" s="1"/>
  <c r="X34" i="32" s="1"/>
  <c r="A31" i="32"/>
  <c r="J192" i="32"/>
  <c r="K192" i="32" s="1"/>
  <c r="L192" i="32" s="1"/>
  <c r="M192" i="32" s="1"/>
  <c r="N192" i="32" s="1"/>
  <c r="O192" i="32" s="1"/>
  <c r="A16" i="32"/>
  <c r="A48" i="32"/>
  <c r="A64" i="32" s="1"/>
  <c r="A80" i="32" s="1"/>
  <c r="A96" i="32" s="1"/>
  <c r="A112" i="32" s="1"/>
  <c r="A128" i="32" s="1"/>
  <c r="A144" i="32" s="1"/>
  <c r="A160" i="32" s="1"/>
  <c r="A176" i="32" s="1"/>
  <c r="A192" i="32" s="1"/>
  <c r="A208" i="32" s="1"/>
  <c r="A224" i="32" s="1"/>
  <c r="A240" i="32" s="1"/>
  <c r="A256" i="32" s="1"/>
  <c r="A272" i="32" s="1"/>
  <c r="A288" i="32" s="1"/>
  <c r="A36" i="32"/>
  <c r="A24" i="32"/>
  <c r="K191" i="32"/>
  <c r="L191" i="32" s="1"/>
  <c r="J195" i="32"/>
  <c r="I429" i="2"/>
  <c r="B77" i="41"/>
  <c r="B95" i="41" s="1"/>
  <c r="B32" i="41"/>
  <c r="B50" i="41" s="1"/>
  <c r="H57" i="33"/>
  <c r="I57" i="33" s="1"/>
  <c r="H336" i="33"/>
  <c r="I336" i="33" s="1"/>
  <c r="E526" i="33"/>
  <c r="E518" i="33"/>
  <c r="F44" i="33"/>
  <c r="A45" i="33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F230" i="33"/>
  <c r="G206" i="33" s="1"/>
  <c r="A231" i="33"/>
  <c r="A232" i="33" s="1"/>
  <c r="A233" i="33" s="1"/>
  <c r="A234" i="33" s="1"/>
  <c r="A235" i="33" s="1"/>
  <c r="A236" i="33" s="1"/>
  <c r="A237" i="33" s="1"/>
  <c r="A238" i="33" s="1"/>
  <c r="A239" i="33" s="1"/>
  <c r="A240" i="33" s="1"/>
  <c r="A241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0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324" i="33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7" i="33" s="1"/>
  <c r="A368" i="33" s="1"/>
  <c r="A369" i="33" s="1"/>
  <c r="A370" i="33" s="1"/>
  <c r="A371" i="33" s="1"/>
  <c r="A372" i="33" s="1"/>
  <c r="A373" i="33" s="1"/>
  <c r="A374" i="33" s="1"/>
  <c r="F323" i="33"/>
  <c r="F137" i="33"/>
  <c r="A138" i="33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H477" i="2"/>
  <c r="H540" i="2" s="1"/>
  <c r="E252" i="2"/>
  <c r="E255" i="2" s="1"/>
  <c r="E254" i="2"/>
  <c r="O5" i="50"/>
  <c r="O6" i="50"/>
  <c r="Q5" i="49"/>
  <c r="Q6" i="49"/>
  <c r="O5" i="44"/>
  <c r="O6" i="44"/>
  <c r="F472" i="33"/>
  <c r="F565" i="33"/>
  <c r="I472" i="33"/>
  <c r="I565" i="33"/>
  <c r="H472" i="33"/>
  <c r="H565" i="33"/>
  <c r="H76" i="32"/>
  <c r="G76" i="32"/>
  <c r="E30" i="41"/>
  <c r="E76" i="32"/>
  <c r="Y60" i="32"/>
  <c r="K9" i="41" s="1"/>
  <c r="F76" i="32"/>
  <c r="AE13" i="4"/>
  <c r="AF13" i="4" s="1"/>
  <c r="AG13" i="4" s="1"/>
  <c r="E28" i="32"/>
  <c r="F28" i="3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Q13" i="4"/>
  <c r="R12" i="4"/>
  <c r="S12" i="4" s="1"/>
  <c r="F122" i="3"/>
  <c r="F106" i="32"/>
  <c r="F122" i="32" s="1"/>
  <c r="V11" i="4"/>
  <c r="W11" i="4" s="1"/>
  <c r="G106" i="3" s="1"/>
  <c r="U12" i="4"/>
  <c r="A572" i="33"/>
  <c r="A573" i="33" s="1"/>
  <c r="A574" i="33" s="1"/>
  <c r="A575" i="33" s="1"/>
  <c r="A576" i="33" s="1"/>
  <c r="A577" i="33" s="1"/>
  <c r="A578" i="33" s="1"/>
  <c r="A579" i="33" s="1"/>
  <c r="A580" i="33" s="1"/>
  <c r="E617" i="33"/>
  <c r="E609" i="33"/>
  <c r="G158" i="32"/>
  <c r="H158" i="3"/>
  <c r="F30" i="32"/>
  <c r="G30" i="32" s="1"/>
  <c r="H30" i="32" s="1"/>
  <c r="I30" i="32" s="1"/>
  <c r="J30" i="32" s="1"/>
  <c r="K30" i="32" s="1"/>
  <c r="L30" i="32" s="1"/>
  <c r="M30" i="32" s="1"/>
  <c r="N30" i="32" s="1"/>
  <c r="O30" i="32" s="1"/>
  <c r="P30" i="32" s="1"/>
  <c r="Q30" i="32" s="1"/>
  <c r="R30" i="32" s="1"/>
  <c r="S30" i="32" s="1"/>
  <c r="T30" i="32" s="1"/>
  <c r="U30" i="32" s="1"/>
  <c r="V30" i="32" s="1"/>
  <c r="W30" i="32" s="1"/>
  <c r="X30" i="32" s="1"/>
  <c r="A30" i="3"/>
  <c r="E618" i="2"/>
  <c r="E610" i="2"/>
  <c r="A570" i="2"/>
  <c r="A571" i="2" s="1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C76" i="32"/>
  <c r="C92" i="32" s="1"/>
  <c r="C108" i="32" s="1"/>
  <c r="C124" i="32" s="1"/>
  <c r="C539" i="2"/>
  <c r="C540" i="2" s="1"/>
  <c r="C541" i="2" s="1"/>
  <c r="AB481" i="2"/>
  <c r="E328" i="33"/>
  <c r="E337" i="33" s="1"/>
  <c r="E27" i="3"/>
  <c r="E27" i="32" s="1"/>
  <c r="A477" i="33"/>
  <c r="H379" i="33"/>
  <c r="F4" i="32"/>
  <c r="F25" i="41" s="1"/>
  <c r="H7" i="33"/>
  <c r="H286" i="33"/>
  <c r="H100" i="33"/>
  <c r="H193" i="33"/>
  <c r="I472" i="2"/>
  <c r="I477" i="2" s="1"/>
  <c r="G4" i="3"/>
  <c r="U86" i="31" s="1"/>
  <c r="I7" i="2"/>
  <c r="J1" i="2"/>
  <c r="J1" i="33" s="1"/>
  <c r="I100" i="2"/>
  <c r="I193" i="2"/>
  <c r="I286" i="2"/>
  <c r="I379" i="2"/>
  <c r="E524" i="2"/>
  <c r="E516" i="2"/>
  <c r="A476" i="2"/>
  <c r="E330" i="2"/>
  <c r="E338" i="2"/>
  <c r="A417" i="2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F416" i="2"/>
  <c r="E70" i="41"/>
  <c r="E88" i="41" s="1"/>
  <c r="E106" i="41" s="1"/>
  <c r="E43" i="41"/>
  <c r="E61" i="41" s="1"/>
  <c r="A9" i="2"/>
  <c r="I7" i="33"/>
  <c r="I286" i="33"/>
  <c r="G4" i="32"/>
  <c r="G25" i="41" s="1"/>
  <c r="I193" i="33"/>
  <c r="I379" i="33"/>
  <c r="I100" i="33"/>
  <c r="F286" i="33"/>
  <c r="F379" i="33"/>
  <c r="F193" i="33"/>
  <c r="F7" i="33"/>
  <c r="F100" i="33"/>
  <c r="E151" i="2"/>
  <c r="E143" i="2"/>
  <c r="K2" i="33"/>
  <c r="I1" i="32" s="1"/>
  <c r="AO5" i="5"/>
  <c r="L2" i="2"/>
  <c r="I1" i="3"/>
  <c r="F323" i="2"/>
  <c r="A324" i="2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E422" i="2"/>
  <c r="E430" i="2"/>
  <c r="F230" i="2"/>
  <c r="A231" i="2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E438" i="2"/>
  <c r="E441" i="2" s="1"/>
  <c r="E440" i="2"/>
  <c r="F137" i="2"/>
  <c r="A138" i="2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E78" i="2"/>
  <c r="E56" i="1"/>
  <c r="H154" i="3"/>
  <c r="G154" i="32"/>
  <c r="I155" i="3"/>
  <c r="H155" i="32"/>
  <c r="I156" i="3"/>
  <c r="H156" i="32"/>
  <c r="H157" i="3"/>
  <c r="G157" i="32"/>
  <c r="H44" i="3"/>
  <c r="H44" i="32"/>
  <c r="E264" i="3"/>
  <c r="F93" i="32"/>
  <c r="G93" i="3"/>
  <c r="A29" i="3"/>
  <c r="A45" i="3" s="1"/>
  <c r="A61" i="3" s="1"/>
  <c r="A77" i="3" s="1"/>
  <c r="A93" i="3" s="1"/>
  <c r="A109" i="3" s="1"/>
  <c r="A125" i="3" s="1"/>
  <c r="A141" i="3" s="1"/>
  <c r="A157" i="3" s="1"/>
  <c r="A173" i="3" s="1"/>
  <c r="A189" i="3" s="1"/>
  <c r="A205" i="3" s="1"/>
  <c r="A221" i="3" s="1"/>
  <c r="A237" i="3" s="1"/>
  <c r="A253" i="3" s="1"/>
  <c r="A269" i="3" s="1"/>
  <c r="A285" i="3" s="1"/>
  <c r="K6" i="34"/>
  <c r="H6" i="34" s="1"/>
  <c r="K7" i="34"/>
  <c r="H7" i="34" s="1"/>
  <c r="K10" i="34"/>
  <c r="H10" i="34" s="1"/>
  <c r="K9" i="34"/>
  <c r="H9" i="34" s="1"/>
  <c r="K8" i="34"/>
  <c r="H8" i="34" s="1"/>
  <c r="E141" i="33"/>
  <c r="E142" i="33" s="1"/>
  <c r="F212" i="2"/>
  <c r="G212" i="2" s="1"/>
  <c r="H212" i="2" s="1"/>
  <c r="I212" i="2" s="1"/>
  <c r="J212" i="2" s="1"/>
  <c r="K212" i="2" s="1"/>
  <c r="L212" i="2" s="1"/>
  <c r="M212" i="2" s="1"/>
  <c r="N212" i="2" s="1"/>
  <c r="O212" i="2" s="1"/>
  <c r="P212" i="2" s="1"/>
  <c r="Q212" i="2" s="1"/>
  <c r="R212" i="2" s="1"/>
  <c r="S212" i="2" s="1"/>
  <c r="T212" i="2" s="1"/>
  <c r="U212" i="2" s="1"/>
  <c r="V212" i="2" s="1"/>
  <c r="W212" i="2" s="1"/>
  <c r="X212" i="2" s="1"/>
  <c r="Y212" i="2" s="1"/>
  <c r="Z212" i="2" s="1"/>
  <c r="F212" i="33"/>
  <c r="G212" i="33" s="1"/>
  <c r="H212" i="33" s="1"/>
  <c r="I212" i="33" s="1"/>
  <c r="J212" i="33" s="1"/>
  <c r="K212" i="33" s="1"/>
  <c r="L212" i="33" s="1"/>
  <c r="M212" i="33" s="1"/>
  <c r="N212" i="33" s="1"/>
  <c r="O212" i="33" s="1"/>
  <c r="P212" i="33" s="1"/>
  <c r="Q212" i="33" s="1"/>
  <c r="R212" i="33" s="1"/>
  <c r="S212" i="33" s="1"/>
  <c r="T212" i="33" s="1"/>
  <c r="U212" i="33" s="1"/>
  <c r="V212" i="33" s="1"/>
  <c r="W212" i="33" s="1"/>
  <c r="X212" i="33" s="1"/>
  <c r="Y212" i="33" s="1"/>
  <c r="Z212" i="33" s="1"/>
  <c r="F305" i="33"/>
  <c r="G305" i="33" s="1"/>
  <c r="H305" i="33" s="1"/>
  <c r="I305" i="33" s="1"/>
  <c r="J305" i="33" s="1"/>
  <c r="K305" i="33" s="1"/>
  <c r="L305" i="33" s="1"/>
  <c r="M305" i="33" s="1"/>
  <c r="N305" i="33" s="1"/>
  <c r="O305" i="33" s="1"/>
  <c r="P305" i="33" s="1"/>
  <c r="Q305" i="33" s="1"/>
  <c r="R305" i="33" s="1"/>
  <c r="S305" i="33" s="1"/>
  <c r="T305" i="33" s="1"/>
  <c r="U305" i="33" s="1"/>
  <c r="V305" i="33" s="1"/>
  <c r="W305" i="33" s="1"/>
  <c r="X305" i="33" s="1"/>
  <c r="Y305" i="33" s="1"/>
  <c r="Z305" i="33" s="1"/>
  <c r="F119" i="33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F26" i="33"/>
  <c r="G26" i="33" s="1"/>
  <c r="H26" i="33" s="1"/>
  <c r="I26" i="33" s="1"/>
  <c r="J26" i="33" s="1"/>
  <c r="K26" i="33" s="1"/>
  <c r="L26" i="33" s="1"/>
  <c r="M26" i="33" s="1"/>
  <c r="N26" i="33" s="1"/>
  <c r="O26" i="33" s="1"/>
  <c r="P26" i="33" s="1"/>
  <c r="Q26" i="33" s="1"/>
  <c r="R26" i="33" s="1"/>
  <c r="S26" i="33" s="1"/>
  <c r="T26" i="33" s="1"/>
  <c r="U26" i="33" s="1"/>
  <c r="V26" i="33" s="1"/>
  <c r="W26" i="33" s="1"/>
  <c r="X26" i="33" s="1"/>
  <c r="Y26" i="33" s="1"/>
  <c r="Z26" i="33" s="1"/>
  <c r="W392" i="33"/>
  <c r="F438" i="33"/>
  <c r="F441" i="33" s="1"/>
  <c r="G441" i="33" s="1"/>
  <c r="H441" i="33" s="1"/>
  <c r="I441" i="33" s="1"/>
  <c r="J441" i="33" s="1"/>
  <c r="C45" i="32"/>
  <c r="C61" i="32" s="1"/>
  <c r="G566" i="33" s="1"/>
  <c r="T24" i="34"/>
  <c r="C10" i="41"/>
  <c r="B10" i="41" s="1"/>
  <c r="L24" i="34"/>
  <c r="M24" i="34"/>
  <c r="R24" i="34"/>
  <c r="P24" i="34"/>
  <c r="S24" i="34"/>
  <c r="O24" i="34"/>
  <c r="Q24" i="34"/>
  <c r="N24" i="34"/>
  <c r="F24" i="34"/>
  <c r="G24" i="34"/>
  <c r="N25" i="34"/>
  <c r="I25" i="34"/>
  <c r="M25" i="34"/>
  <c r="C319" i="33"/>
  <c r="C133" i="33"/>
  <c r="F115" i="2"/>
  <c r="C318" i="33"/>
  <c r="F396" i="33"/>
  <c r="G396" i="33" s="1"/>
  <c r="H396" i="33" s="1"/>
  <c r="I396" i="33" s="1"/>
  <c r="J396" i="33" s="1"/>
  <c r="K396" i="33" s="1"/>
  <c r="L396" i="33" s="1"/>
  <c r="M396" i="33" s="1"/>
  <c r="N396" i="33" s="1"/>
  <c r="O396" i="33" s="1"/>
  <c r="P396" i="33" s="1"/>
  <c r="Q396" i="33" s="1"/>
  <c r="R396" i="33" s="1"/>
  <c r="S396" i="33" s="1"/>
  <c r="T396" i="33" s="1"/>
  <c r="U396" i="33" s="1"/>
  <c r="V396" i="33" s="1"/>
  <c r="W396" i="33" s="1"/>
  <c r="X396" i="33" s="1"/>
  <c r="Y396" i="33" s="1"/>
  <c r="Z396" i="33" s="1"/>
  <c r="F130" i="33"/>
  <c r="G130" i="33" s="1"/>
  <c r="H130" i="33" s="1"/>
  <c r="I130" i="33" s="1"/>
  <c r="J130" i="33" s="1"/>
  <c r="K130" i="33" s="1"/>
  <c r="L130" i="33" s="1"/>
  <c r="M130" i="33" s="1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C132" i="33"/>
  <c r="Q25" i="34"/>
  <c r="F317" i="33"/>
  <c r="G317" i="33" s="1"/>
  <c r="H317" i="33" s="1"/>
  <c r="I317" i="33" s="1"/>
  <c r="J317" i="33" s="1"/>
  <c r="K317" i="33" s="1"/>
  <c r="L317" i="33" s="1"/>
  <c r="M317" i="33" s="1"/>
  <c r="N317" i="33" s="1"/>
  <c r="O317" i="33" s="1"/>
  <c r="P317" i="33" s="1"/>
  <c r="Q317" i="33" s="1"/>
  <c r="R317" i="33" s="1"/>
  <c r="S317" i="33" s="1"/>
  <c r="T317" i="33" s="1"/>
  <c r="U317" i="33" s="1"/>
  <c r="V317" i="33" s="1"/>
  <c r="W317" i="33" s="1"/>
  <c r="X317" i="33" s="1"/>
  <c r="Y317" i="33" s="1"/>
  <c r="Z317" i="33" s="1"/>
  <c r="O25" i="1"/>
  <c r="M25" i="1"/>
  <c r="L25" i="34"/>
  <c r="F410" i="33"/>
  <c r="G410" i="33" s="1"/>
  <c r="H410" i="33" s="1"/>
  <c r="I410" i="33" s="1"/>
  <c r="J410" i="33" s="1"/>
  <c r="K410" i="33" s="1"/>
  <c r="L410" i="33" s="1"/>
  <c r="M410" i="33" s="1"/>
  <c r="N410" i="33" s="1"/>
  <c r="O410" i="33" s="1"/>
  <c r="P410" i="33" s="1"/>
  <c r="Q410" i="33" s="1"/>
  <c r="R410" i="33" s="1"/>
  <c r="S410" i="33" s="1"/>
  <c r="T410" i="33" s="1"/>
  <c r="U410" i="33" s="1"/>
  <c r="V410" i="33" s="1"/>
  <c r="W410" i="33" s="1"/>
  <c r="X410" i="33" s="1"/>
  <c r="Y410" i="33" s="1"/>
  <c r="Z410" i="33" s="1"/>
  <c r="K25" i="1"/>
  <c r="C412" i="33"/>
  <c r="F210" i="2"/>
  <c r="G210" i="2" s="1"/>
  <c r="H210" i="2" s="1"/>
  <c r="I210" i="2" s="1"/>
  <c r="J210" i="2" s="1"/>
  <c r="K210" i="2" s="1"/>
  <c r="L210" i="2" s="1"/>
  <c r="M210" i="2" s="1"/>
  <c r="N210" i="2" s="1"/>
  <c r="O210" i="2" s="1"/>
  <c r="P210" i="2" s="1"/>
  <c r="Q210" i="2" s="1"/>
  <c r="R210" i="2" s="1"/>
  <c r="S210" i="2" s="1"/>
  <c r="T210" i="2" s="1"/>
  <c r="U210" i="2" s="1"/>
  <c r="V210" i="2" s="1"/>
  <c r="W210" i="2" s="1"/>
  <c r="X210" i="2" s="1"/>
  <c r="Y210" i="2" s="1"/>
  <c r="Z210" i="2" s="1"/>
  <c r="F117" i="33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F131" i="33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F25" i="1"/>
  <c r="F38" i="33"/>
  <c r="G38" i="33" s="1"/>
  <c r="H38" i="33" s="1"/>
  <c r="I38" i="33" s="1"/>
  <c r="J38" i="33" s="1"/>
  <c r="K38" i="33" s="1"/>
  <c r="L38" i="33" s="1"/>
  <c r="M38" i="33" s="1"/>
  <c r="N38" i="33" s="1"/>
  <c r="O38" i="33" s="1"/>
  <c r="P38" i="33" s="1"/>
  <c r="Q38" i="33" s="1"/>
  <c r="R38" i="33" s="1"/>
  <c r="S38" i="33" s="1"/>
  <c r="T38" i="33" s="1"/>
  <c r="U38" i="33" s="1"/>
  <c r="V38" i="33" s="1"/>
  <c r="W38" i="33" s="1"/>
  <c r="X38" i="33" s="1"/>
  <c r="Y38" i="33" s="1"/>
  <c r="Z38" i="33" s="1"/>
  <c r="F223" i="33"/>
  <c r="G223" i="33" s="1"/>
  <c r="H223" i="33" s="1"/>
  <c r="I223" i="33" s="1"/>
  <c r="J223" i="33" s="1"/>
  <c r="K223" i="33" s="1"/>
  <c r="L223" i="33" s="1"/>
  <c r="M223" i="33" s="1"/>
  <c r="N223" i="33" s="1"/>
  <c r="O223" i="33" s="1"/>
  <c r="P223" i="33" s="1"/>
  <c r="Q223" i="33" s="1"/>
  <c r="R223" i="33" s="1"/>
  <c r="S223" i="33" s="1"/>
  <c r="T223" i="33" s="1"/>
  <c r="U223" i="33" s="1"/>
  <c r="V223" i="33" s="1"/>
  <c r="W223" i="33" s="1"/>
  <c r="X223" i="33" s="1"/>
  <c r="Y223" i="33" s="1"/>
  <c r="Z223" i="33" s="1"/>
  <c r="F131" i="2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C318" i="2"/>
  <c r="J25" i="34"/>
  <c r="F24" i="33"/>
  <c r="G24" i="33" s="1"/>
  <c r="H24" i="33" s="1"/>
  <c r="I24" i="33" s="1"/>
  <c r="J24" i="33" s="1"/>
  <c r="K24" i="33" s="1"/>
  <c r="L24" i="33" s="1"/>
  <c r="M24" i="33" s="1"/>
  <c r="N24" i="33" s="1"/>
  <c r="O24" i="33" s="1"/>
  <c r="P24" i="33" s="1"/>
  <c r="Q24" i="33" s="1"/>
  <c r="R24" i="33" s="1"/>
  <c r="S24" i="33" s="1"/>
  <c r="T24" i="33" s="1"/>
  <c r="U24" i="33" s="1"/>
  <c r="V24" i="33" s="1"/>
  <c r="W24" i="33" s="1"/>
  <c r="X24" i="33" s="1"/>
  <c r="Y24" i="33" s="1"/>
  <c r="Z24" i="33" s="1"/>
  <c r="F115" i="33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Q25" i="1"/>
  <c r="F130" i="2"/>
  <c r="G130" i="2" s="1"/>
  <c r="H130" i="2" s="1"/>
  <c r="I130" i="2" s="1"/>
  <c r="J130" i="2" s="1"/>
  <c r="K130" i="2" s="1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F317" i="2"/>
  <c r="G317" i="2" s="1"/>
  <c r="H317" i="2" s="1"/>
  <c r="I317" i="2" s="1"/>
  <c r="J317" i="2" s="1"/>
  <c r="K317" i="2" s="1"/>
  <c r="L317" i="2" s="1"/>
  <c r="M317" i="2" s="1"/>
  <c r="N317" i="2" s="1"/>
  <c r="O317" i="2" s="1"/>
  <c r="P317" i="2" s="1"/>
  <c r="Q317" i="2" s="1"/>
  <c r="R317" i="2" s="1"/>
  <c r="S317" i="2" s="1"/>
  <c r="T317" i="2" s="1"/>
  <c r="U317" i="2" s="1"/>
  <c r="V317" i="2" s="1"/>
  <c r="W317" i="2" s="1"/>
  <c r="X317" i="2" s="1"/>
  <c r="Y317" i="2" s="1"/>
  <c r="Z317" i="2" s="1"/>
  <c r="T25" i="34"/>
  <c r="F394" i="2"/>
  <c r="G25" i="1"/>
  <c r="N25" i="1"/>
  <c r="F316" i="33"/>
  <c r="G316" i="33" s="1"/>
  <c r="H316" i="33" s="1"/>
  <c r="I316" i="33" s="1"/>
  <c r="J316" i="33" s="1"/>
  <c r="K316" i="33" s="1"/>
  <c r="L316" i="33" s="1"/>
  <c r="M316" i="33" s="1"/>
  <c r="N316" i="33" s="1"/>
  <c r="O316" i="33" s="1"/>
  <c r="P316" i="33" s="1"/>
  <c r="Q316" i="33" s="1"/>
  <c r="R316" i="33" s="1"/>
  <c r="S316" i="33" s="1"/>
  <c r="T316" i="33" s="1"/>
  <c r="U316" i="33" s="1"/>
  <c r="V316" i="33" s="1"/>
  <c r="W316" i="33" s="1"/>
  <c r="X316" i="33" s="1"/>
  <c r="Y316" i="33" s="1"/>
  <c r="Z316" i="33" s="1"/>
  <c r="R25" i="34"/>
  <c r="C225" i="33"/>
  <c r="H25" i="1"/>
  <c r="F208" i="33"/>
  <c r="G208" i="33" s="1"/>
  <c r="H208" i="33" s="1"/>
  <c r="I208" i="33" s="1"/>
  <c r="J208" i="33" s="1"/>
  <c r="K208" i="33" s="1"/>
  <c r="L208" i="33" s="1"/>
  <c r="M208" i="33" s="1"/>
  <c r="F301" i="2"/>
  <c r="G301" i="2" s="1"/>
  <c r="H301" i="2" s="1"/>
  <c r="I301" i="2" s="1"/>
  <c r="J301" i="2" s="1"/>
  <c r="K301" i="2" s="1"/>
  <c r="L301" i="2" s="1"/>
  <c r="M301" i="2" s="1"/>
  <c r="N301" i="2" s="1"/>
  <c r="O301" i="2" s="1"/>
  <c r="P301" i="2" s="1"/>
  <c r="Q301" i="2" s="1"/>
  <c r="R301" i="2" s="1"/>
  <c r="S301" i="2" s="1"/>
  <c r="T301" i="2" s="1"/>
  <c r="U301" i="2" s="1"/>
  <c r="V301" i="2" s="1"/>
  <c r="W301" i="2" s="1"/>
  <c r="X301" i="2" s="1"/>
  <c r="Y301" i="2" s="1"/>
  <c r="Z301" i="2" s="1"/>
  <c r="O25" i="34"/>
  <c r="F37" i="33"/>
  <c r="G37" i="33" s="1"/>
  <c r="H37" i="33" s="1"/>
  <c r="I37" i="33" s="1"/>
  <c r="J37" i="33" s="1"/>
  <c r="K37" i="33" s="1"/>
  <c r="L37" i="33" s="1"/>
  <c r="M37" i="33" s="1"/>
  <c r="N37" i="33" s="1"/>
  <c r="O37" i="33" s="1"/>
  <c r="P37" i="33" s="1"/>
  <c r="Q37" i="33" s="1"/>
  <c r="R37" i="33" s="1"/>
  <c r="S37" i="33" s="1"/>
  <c r="T37" i="33" s="1"/>
  <c r="U37" i="33" s="1"/>
  <c r="V37" i="33" s="1"/>
  <c r="W37" i="33" s="1"/>
  <c r="X37" i="33" s="1"/>
  <c r="Y37" i="33" s="1"/>
  <c r="Z37" i="33" s="1"/>
  <c r="F409" i="33"/>
  <c r="G409" i="33" s="1"/>
  <c r="H409" i="33" s="1"/>
  <c r="I409" i="33" s="1"/>
  <c r="J409" i="33" s="1"/>
  <c r="K409" i="33" s="1"/>
  <c r="L409" i="33" s="1"/>
  <c r="M409" i="33" s="1"/>
  <c r="N409" i="33" s="1"/>
  <c r="O409" i="33" s="1"/>
  <c r="P409" i="33" s="1"/>
  <c r="Q409" i="33" s="1"/>
  <c r="R409" i="33" s="1"/>
  <c r="S409" i="33" s="1"/>
  <c r="T409" i="33" s="1"/>
  <c r="U409" i="33" s="1"/>
  <c r="V409" i="33" s="1"/>
  <c r="W409" i="33" s="1"/>
  <c r="X409" i="33" s="1"/>
  <c r="Y409" i="33" s="1"/>
  <c r="Z409" i="33" s="1"/>
  <c r="I25" i="1"/>
  <c r="F396" i="2"/>
  <c r="G396" i="2" s="1"/>
  <c r="H396" i="2" s="1"/>
  <c r="I396" i="2" s="1"/>
  <c r="J396" i="2" s="1"/>
  <c r="K396" i="2" s="1"/>
  <c r="L396" i="2" s="1"/>
  <c r="M396" i="2" s="1"/>
  <c r="N396" i="2" s="1"/>
  <c r="O396" i="2" s="1"/>
  <c r="P396" i="2" s="1"/>
  <c r="Q396" i="2" s="1"/>
  <c r="R396" i="2" s="1"/>
  <c r="S396" i="2" s="1"/>
  <c r="T396" i="2" s="1"/>
  <c r="U396" i="2" s="1"/>
  <c r="V396" i="2" s="1"/>
  <c r="W396" i="2" s="1"/>
  <c r="X396" i="2" s="1"/>
  <c r="Y396" i="2" s="1"/>
  <c r="Z396" i="2" s="1"/>
  <c r="S25" i="34"/>
  <c r="C39" i="33"/>
  <c r="P25" i="34"/>
  <c r="T25" i="1"/>
  <c r="F224" i="2"/>
  <c r="G224" i="2" s="1"/>
  <c r="H224" i="2" s="1"/>
  <c r="I224" i="2" s="1"/>
  <c r="J224" i="2" s="1"/>
  <c r="K224" i="2" s="1"/>
  <c r="L224" i="2" s="1"/>
  <c r="M224" i="2" s="1"/>
  <c r="N224" i="2" s="1"/>
  <c r="O224" i="2" s="1"/>
  <c r="P224" i="2" s="1"/>
  <c r="Q224" i="2" s="1"/>
  <c r="R224" i="2" s="1"/>
  <c r="S224" i="2" s="1"/>
  <c r="T224" i="2" s="1"/>
  <c r="U224" i="2" s="1"/>
  <c r="V224" i="2" s="1"/>
  <c r="W224" i="2" s="1"/>
  <c r="X224" i="2" s="1"/>
  <c r="Y224" i="2" s="1"/>
  <c r="Z224" i="2" s="1"/>
  <c r="C225" i="2"/>
  <c r="F210" i="33"/>
  <c r="G210" i="33" s="1"/>
  <c r="H210" i="33" s="1"/>
  <c r="I210" i="33" s="1"/>
  <c r="J210" i="33" s="1"/>
  <c r="K210" i="33" s="1"/>
  <c r="L210" i="33" s="1"/>
  <c r="M210" i="33" s="1"/>
  <c r="N210" i="33" s="1"/>
  <c r="O210" i="33" s="1"/>
  <c r="P210" i="33" s="1"/>
  <c r="Q210" i="33" s="1"/>
  <c r="R210" i="33" s="1"/>
  <c r="S210" i="33" s="1"/>
  <c r="T210" i="33" s="1"/>
  <c r="U210" i="33" s="1"/>
  <c r="V210" i="33" s="1"/>
  <c r="W210" i="33" s="1"/>
  <c r="X210" i="33" s="1"/>
  <c r="Y210" i="33" s="1"/>
  <c r="Z210" i="33" s="1"/>
  <c r="P25" i="1"/>
  <c r="F208" i="2"/>
  <c r="G208" i="2" s="1"/>
  <c r="H208" i="2" s="1"/>
  <c r="I208" i="2" s="1"/>
  <c r="J208" i="2" s="1"/>
  <c r="K208" i="2" s="1"/>
  <c r="L208" i="2" s="1"/>
  <c r="M208" i="2" s="1"/>
  <c r="N208" i="2" s="1"/>
  <c r="O208" i="2" s="1"/>
  <c r="P208" i="2" s="1"/>
  <c r="Q208" i="2" s="1"/>
  <c r="R208" i="2" s="1"/>
  <c r="S208" i="2" s="1"/>
  <c r="T208" i="2" s="1"/>
  <c r="U208" i="2" s="1"/>
  <c r="V208" i="2" s="1"/>
  <c r="W208" i="2" s="1"/>
  <c r="X208" i="2" s="1"/>
  <c r="Y208" i="2" s="1"/>
  <c r="Z208" i="2" s="1"/>
  <c r="F224" i="33"/>
  <c r="G224" i="33" s="1"/>
  <c r="H224" i="33" s="1"/>
  <c r="I224" i="33" s="1"/>
  <c r="J224" i="33" s="1"/>
  <c r="K224" i="33" s="1"/>
  <c r="L224" i="33" s="1"/>
  <c r="M224" i="33" s="1"/>
  <c r="N224" i="33" s="1"/>
  <c r="O224" i="33" s="1"/>
  <c r="P224" i="33" s="1"/>
  <c r="Q224" i="33" s="1"/>
  <c r="R224" i="33" s="1"/>
  <c r="S224" i="33" s="1"/>
  <c r="T224" i="33" s="1"/>
  <c r="U224" i="33" s="1"/>
  <c r="V224" i="33" s="1"/>
  <c r="W224" i="33" s="1"/>
  <c r="X224" i="33" s="1"/>
  <c r="Y224" i="33" s="1"/>
  <c r="Z224" i="33" s="1"/>
  <c r="F22" i="33"/>
  <c r="R25" i="1"/>
  <c r="F410" i="2"/>
  <c r="G410" i="2" s="1"/>
  <c r="H410" i="2" s="1"/>
  <c r="I410" i="2" s="1"/>
  <c r="J410" i="2" s="1"/>
  <c r="K410" i="2" s="1"/>
  <c r="L410" i="2" s="1"/>
  <c r="M410" i="2" s="1"/>
  <c r="N410" i="2" s="1"/>
  <c r="O410" i="2" s="1"/>
  <c r="P410" i="2" s="1"/>
  <c r="Q410" i="2" s="1"/>
  <c r="R410" i="2" s="1"/>
  <c r="S410" i="2" s="1"/>
  <c r="T410" i="2" s="1"/>
  <c r="U410" i="2" s="1"/>
  <c r="V410" i="2" s="1"/>
  <c r="W410" i="2" s="1"/>
  <c r="X410" i="2" s="1"/>
  <c r="Y410" i="2" s="1"/>
  <c r="Z410" i="2" s="1"/>
  <c r="C411" i="33"/>
  <c r="C226" i="33"/>
  <c r="S25" i="1"/>
  <c r="F316" i="2"/>
  <c r="G316" i="2" s="1"/>
  <c r="H316" i="2" s="1"/>
  <c r="I316" i="2" s="1"/>
  <c r="J316" i="2" s="1"/>
  <c r="K316" i="2" s="1"/>
  <c r="L316" i="2" s="1"/>
  <c r="M316" i="2" s="1"/>
  <c r="N316" i="2" s="1"/>
  <c r="O316" i="2" s="1"/>
  <c r="P316" i="2" s="1"/>
  <c r="Q316" i="2" s="1"/>
  <c r="R316" i="2" s="1"/>
  <c r="S316" i="2" s="1"/>
  <c r="T316" i="2" s="1"/>
  <c r="U316" i="2" s="1"/>
  <c r="V316" i="2" s="1"/>
  <c r="W316" i="2" s="1"/>
  <c r="X316" i="2" s="1"/>
  <c r="Y316" i="2" s="1"/>
  <c r="Z316" i="2" s="1"/>
  <c r="C412" i="2"/>
  <c r="C319" i="2"/>
  <c r="F394" i="33"/>
  <c r="J25" i="1"/>
  <c r="F25" i="34"/>
  <c r="F223" i="2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Q223" i="2" s="1"/>
  <c r="R223" i="2" s="1"/>
  <c r="S223" i="2" s="1"/>
  <c r="T223" i="2" s="1"/>
  <c r="U223" i="2" s="1"/>
  <c r="V223" i="2" s="1"/>
  <c r="W223" i="2" s="1"/>
  <c r="X223" i="2" s="1"/>
  <c r="Y223" i="2" s="1"/>
  <c r="Z223" i="2" s="1"/>
  <c r="G25" i="34"/>
  <c r="C40" i="33"/>
  <c r="C132" i="2"/>
  <c r="C133" i="2"/>
  <c r="F117" i="2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F301" i="33"/>
  <c r="G301" i="33" s="1"/>
  <c r="H301" i="33" s="1"/>
  <c r="I301" i="33" s="1"/>
  <c r="J301" i="33" s="1"/>
  <c r="K301" i="33" s="1"/>
  <c r="L301" i="33" s="1"/>
  <c r="M301" i="33" s="1"/>
  <c r="N301" i="33" s="1"/>
  <c r="O301" i="33" s="1"/>
  <c r="P301" i="33" s="1"/>
  <c r="Q301" i="33" s="1"/>
  <c r="R301" i="33" s="1"/>
  <c r="S301" i="33" s="1"/>
  <c r="T301" i="33" s="1"/>
  <c r="U301" i="33" s="1"/>
  <c r="V301" i="33" s="1"/>
  <c r="W301" i="33" s="1"/>
  <c r="X301" i="33" s="1"/>
  <c r="Y301" i="33" s="1"/>
  <c r="Z301" i="33" s="1"/>
  <c r="F409" i="2"/>
  <c r="G409" i="2" s="1"/>
  <c r="H409" i="2" s="1"/>
  <c r="I409" i="2" s="1"/>
  <c r="J409" i="2" s="1"/>
  <c r="K409" i="2" s="1"/>
  <c r="L409" i="2" s="1"/>
  <c r="M409" i="2" s="1"/>
  <c r="N409" i="2" s="1"/>
  <c r="O409" i="2" s="1"/>
  <c r="P409" i="2" s="1"/>
  <c r="Q409" i="2" s="1"/>
  <c r="R409" i="2" s="1"/>
  <c r="S409" i="2" s="1"/>
  <c r="T409" i="2" s="1"/>
  <c r="U409" i="2" s="1"/>
  <c r="V409" i="2" s="1"/>
  <c r="W409" i="2" s="1"/>
  <c r="X409" i="2" s="1"/>
  <c r="Y409" i="2" s="1"/>
  <c r="Z409" i="2" s="1"/>
  <c r="C411" i="2"/>
  <c r="C226" i="2"/>
  <c r="H25" i="34"/>
  <c r="P28" i="1"/>
  <c r="M27" i="1"/>
  <c r="O28" i="1"/>
  <c r="T28" i="1"/>
  <c r="K28" i="1"/>
  <c r="Y380" i="2"/>
  <c r="U380" i="2"/>
  <c r="R194" i="2"/>
  <c r="K194" i="2"/>
  <c r="Q194" i="2"/>
  <c r="W101" i="2"/>
  <c r="Q8" i="2"/>
  <c r="W194" i="2"/>
  <c r="Z380" i="2"/>
  <c r="N287" i="2"/>
  <c r="K8" i="2"/>
  <c r="H28" i="1"/>
  <c r="X287" i="2"/>
  <c r="M8" i="2"/>
  <c r="H194" i="2"/>
  <c r="M101" i="2"/>
  <c r="N26" i="1"/>
  <c r="X101" i="2"/>
  <c r="R27" i="1"/>
  <c r="P380" i="2"/>
  <c r="Z8" i="2"/>
  <c r="W380" i="2"/>
  <c r="J101" i="2"/>
  <c r="J380" i="2"/>
  <c r="O380" i="2"/>
  <c r="H287" i="2"/>
  <c r="N8" i="2"/>
  <c r="I28" i="1"/>
  <c r="R28" i="1"/>
  <c r="N101" i="2"/>
  <c r="P8" i="2"/>
  <c r="Q27" i="1"/>
  <c r="T380" i="2"/>
  <c r="V194" i="2"/>
  <c r="P194" i="2"/>
  <c r="N194" i="2"/>
  <c r="O101" i="2"/>
  <c r="V287" i="2"/>
  <c r="M287" i="2"/>
  <c r="T8" i="2"/>
  <c r="J27" i="1"/>
  <c r="K287" i="2"/>
  <c r="H27" i="1"/>
  <c r="M26" i="1"/>
  <c r="G26" i="1"/>
  <c r="K101" i="2"/>
  <c r="I101" i="2"/>
  <c r="U194" i="2"/>
  <c r="G101" i="2"/>
  <c r="G287" i="2"/>
  <c r="Q380" i="2"/>
  <c r="F26" i="1"/>
  <c r="R287" i="2"/>
  <c r="J287" i="2"/>
  <c r="C77" i="3"/>
  <c r="C93" i="3" s="1"/>
  <c r="C109" i="3" s="1"/>
  <c r="C125" i="3" s="1"/>
  <c r="Q26" i="1"/>
  <c r="J26" i="1"/>
  <c r="L194" i="2"/>
  <c r="N28" i="1"/>
  <c r="Y194" i="2"/>
  <c r="Y101" i="2"/>
  <c r="S26" i="1"/>
  <c r="I194" i="2"/>
  <c r="Z101" i="2"/>
  <c r="S28" i="1"/>
  <c r="P101" i="2"/>
  <c r="J28" i="1"/>
  <c r="H101" i="2"/>
  <c r="H380" i="2"/>
  <c r="S287" i="2"/>
  <c r="I287" i="2"/>
  <c r="Y287" i="2"/>
  <c r="V380" i="2"/>
  <c r="R26" i="1"/>
  <c r="F28" i="1"/>
  <c r="O287" i="2"/>
  <c r="L101" i="2"/>
  <c r="S194" i="2"/>
  <c r="M380" i="2"/>
  <c r="I27" i="1"/>
  <c r="L287" i="2"/>
  <c r="S101" i="2"/>
  <c r="Q28" i="1"/>
  <c r="R380" i="2"/>
  <c r="E98" i="2"/>
  <c r="Z194" i="2"/>
  <c r="T194" i="2"/>
  <c r="Z287" i="2"/>
  <c r="G28" i="1"/>
  <c r="Q287" i="2"/>
  <c r="Y8" i="2"/>
  <c r="M28" i="1"/>
  <c r="P27" i="1"/>
  <c r="N27" i="1"/>
  <c r="I380" i="2"/>
  <c r="L380" i="2"/>
  <c r="X8" i="2"/>
  <c r="G8" i="2"/>
  <c r="O8" i="2"/>
  <c r="U8" i="2"/>
  <c r="H26" i="1"/>
  <c r="T101" i="2"/>
  <c r="J194" i="2"/>
  <c r="I26" i="1"/>
  <c r="E377" i="2"/>
  <c r="V8" i="2"/>
  <c r="U287" i="2"/>
  <c r="L8" i="2"/>
  <c r="H8" i="2"/>
  <c r="P26" i="1"/>
  <c r="U101" i="2"/>
  <c r="S380" i="2"/>
  <c r="O194" i="2"/>
  <c r="J8" i="2"/>
  <c r="R8" i="2"/>
  <c r="O26" i="1"/>
  <c r="E5" i="2"/>
  <c r="P287" i="2"/>
  <c r="G194" i="2"/>
  <c r="R101" i="2"/>
  <c r="W8" i="2"/>
  <c r="T27" i="1"/>
  <c r="Q101" i="2"/>
  <c r="T287" i="2"/>
  <c r="T26" i="1"/>
  <c r="X194" i="2"/>
  <c r="W287" i="2"/>
  <c r="K26" i="1"/>
  <c r="E191" i="2"/>
  <c r="K380" i="2"/>
  <c r="S8" i="2"/>
  <c r="K27" i="1"/>
  <c r="E284" i="2"/>
  <c r="V101" i="2"/>
  <c r="I8" i="2"/>
  <c r="O27" i="1"/>
  <c r="N380" i="2"/>
  <c r="X380" i="2"/>
  <c r="S27" i="1"/>
  <c r="M194" i="2"/>
  <c r="G380" i="2"/>
  <c r="A26" i="3"/>
  <c r="A10" i="3" s="1"/>
  <c r="H24" i="34"/>
  <c r="A26" i="32"/>
  <c r="F27" i="3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I24" i="1"/>
  <c r="E56" i="34"/>
  <c r="AE12" i="4"/>
  <c r="AF12" i="4" s="1"/>
  <c r="AG12" i="4" s="1"/>
  <c r="I429" i="33"/>
  <c r="E66" i="33"/>
  <c r="E69" i="33" s="1"/>
  <c r="E68" i="33"/>
  <c r="E235" i="33"/>
  <c r="E243" i="33"/>
  <c r="E254" i="33"/>
  <c r="E252" i="33"/>
  <c r="E255" i="33" s="1"/>
  <c r="A27" i="3"/>
  <c r="E48" i="33"/>
  <c r="E56" i="33"/>
  <c r="E48" i="2"/>
  <c r="E56" i="2"/>
  <c r="I150" i="33"/>
  <c r="E68" i="2"/>
  <c r="E66" i="2"/>
  <c r="E69" i="2" s="1"/>
  <c r="E57" i="34"/>
  <c r="E79" i="33"/>
  <c r="E347" i="33"/>
  <c r="E345" i="33"/>
  <c r="E348" i="33" s="1"/>
  <c r="J160" i="33" l="1"/>
  <c r="J336" i="33"/>
  <c r="J625" i="33"/>
  <c r="F398" i="2"/>
  <c r="G398" i="2" s="1"/>
  <c r="H398" i="2" s="1"/>
  <c r="I398" i="2" s="1"/>
  <c r="J398" i="2" s="1"/>
  <c r="K398" i="2" s="1"/>
  <c r="L398" i="2" s="1"/>
  <c r="M398" i="2" s="1"/>
  <c r="N398" i="2" s="1"/>
  <c r="O398" i="2" s="1"/>
  <c r="P398" i="2" s="1"/>
  <c r="Q398" i="2" s="1"/>
  <c r="R398" i="2" s="1"/>
  <c r="S398" i="2" s="1"/>
  <c r="T398" i="2" s="1"/>
  <c r="U398" i="2" s="1"/>
  <c r="V398" i="2" s="1"/>
  <c r="W398" i="2" s="1"/>
  <c r="X398" i="2" s="1"/>
  <c r="Y398" i="2" s="1"/>
  <c r="Z398" i="2" s="1"/>
  <c r="J532" i="33"/>
  <c r="J525" i="33"/>
  <c r="J346" i="33"/>
  <c r="J615" i="33"/>
  <c r="F25" i="32"/>
  <c r="G25" i="32" s="1"/>
  <c r="H25" i="32" s="1"/>
  <c r="I25" i="32" s="1"/>
  <c r="J25" i="32" s="1"/>
  <c r="K25" i="32" s="1"/>
  <c r="L25" i="32" s="1"/>
  <c r="M25" i="32" s="1"/>
  <c r="N25" i="32" s="1"/>
  <c r="O25" i="32" s="1"/>
  <c r="P25" i="32" s="1"/>
  <c r="Q25" i="32" s="1"/>
  <c r="R25" i="32" s="1"/>
  <c r="S25" i="32" s="1"/>
  <c r="T25" i="32" s="1"/>
  <c r="U25" i="32" s="1"/>
  <c r="V25" i="32" s="1"/>
  <c r="W25" i="32" s="1"/>
  <c r="X25" i="32" s="1"/>
  <c r="A25" i="32"/>
  <c r="F6" i="41"/>
  <c r="D6" i="4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A25" i="3"/>
  <c r="F10" i="41"/>
  <c r="D10" i="41"/>
  <c r="F29" i="32"/>
  <c r="E235" i="2"/>
  <c r="J522" i="2"/>
  <c r="J57" i="2"/>
  <c r="J153" i="2"/>
  <c r="J618" i="2"/>
  <c r="J439" i="2"/>
  <c r="H4" i="3"/>
  <c r="V86" i="31" s="1"/>
  <c r="J67" i="2"/>
  <c r="N473" i="33"/>
  <c r="E470" i="33"/>
  <c r="C539" i="33" s="1"/>
  <c r="C540" i="33" s="1"/>
  <c r="C541" i="33" s="1"/>
  <c r="C542" i="33" s="1"/>
  <c r="I566" i="33"/>
  <c r="S473" i="33"/>
  <c r="H392" i="33"/>
  <c r="Q473" i="33"/>
  <c r="J566" i="33"/>
  <c r="J625" i="2"/>
  <c r="C28" i="1"/>
  <c r="F303" i="33"/>
  <c r="G303" i="33" s="1"/>
  <c r="H303" i="33" s="1"/>
  <c r="I303" i="33" s="1"/>
  <c r="J303" i="33" s="1"/>
  <c r="K303" i="33" s="1"/>
  <c r="L303" i="33" s="1"/>
  <c r="M303" i="33" s="1"/>
  <c r="N303" i="33" s="1"/>
  <c r="O303" i="33" s="1"/>
  <c r="P303" i="33" s="1"/>
  <c r="Q303" i="33" s="1"/>
  <c r="R303" i="33" s="1"/>
  <c r="S303" i="33" s="1"/>
  <c r="T303" i="33" s="1"/>
  <c r="U303" i="33" s="1"/>
  <c r="V303" i="33" s="1"/>
  <c r="W303" i="33" s="1"/>
  <c r="X303" i="33" s="1"/>
  <c r="Y303" i="33" s="1"/>
  <c r="Z303" i="33" s="1"/>
  <c r="S392" i="33"/>
  <c r="P473" i="33"/>
  <c r="K574" i="33"/>
  <c r="K606" i="33" s="1"/>
  <c r="K574" i="2"/>
  <c r="K606" i="2" s="1"/>
  <c r="K295" i="33"/>
  <c r="K327" i="33" s="1"/>
  <c r="K336" i="33" s="1"/>
  <c r="K388" i="33"/>
  <c r="K202" i="33"/>
  <c r="K234" i="33" s="1"/>
  <c r="K295" i="2"/>
  <c r="K327" i="2" s="1"/>
  <c r="I68" i="41"/>
  <c r="AP7" i="5"/>
  <c r="K388" i="2"/>
  <c r="K420" i="2" s="1"/>
  <c r="K202" i="2"/>
  <c r="K234" i="2" s="1"/>
  <c r="K243" i="2" s="1"/>
  <c r="J522" i="33"/>
  <c r="F415" i="33"/>
  <c r="F437" i="33" s="1"/>
  <c r="J253" i="33"/>
  <c r="K624" i="33"/>
  <c r="K609" i="33"/>
  <c r="K618" i="33" s="1"/>
  <c r="K624" i="2"/>
  <c r="K609" i="2"/>
  <c r="K618" i="2" s="1"/>
  <c r="K531" i="2"/>
  <c r="K516" i="2"/>
  <c r="K525" i="2" s="1"/>
  <c r="K623" i="2"/>
  <c r="K513" i="33"/>
  <c r="K623" i="33"/>
  <c r="K625" i="33" s="1"/>
  <c r="K531" i="33"/>
  <c r="K516" i="33"/>
  <c r="K525" i="33" s="1"/>
  <c r="K513" i="2"/>
  <c r="K530" i="33"/>
  <c r="K530" i="2"/>
  <c r="K51" i="33"/>
  <c r="K60" i="33" s="1"/>
  <c r="K437" i="33"/>
  <c r="K438" i="2"/>
  <c r="K51" i="2"/>
  <c r="K60" i="2" s="1"/>
  <c r="K423" i="33"/>
  <c r="K432" i="33" s="1"/>
  <c r="K344" i="33"/>
  <c r="K423" i="2"/>
  <c r="K48" i="2"/>
  <c r="K252" i="33"/>
  <c r="K251" i="33"/>
  <c r="K141" i="2"/>
  <c r="K150" i="2" s="1"/>
  <c r="K159" i="2"/>
  <c r="K237" i="33"/>
  <c r="K246" i="33" s="1"/>
  <c r="K237" i="2"/>
  <c r="K246" i="2" s="1"/>
  <c r="K251" i="2"/>
  <c r="K253" i="2" s="1"/>
  <c r="K438" i="33"/>
  <c r="AP13" i="5"/>
  <c r="K65" i="2"/>
  <c r="K141" i="33"/>
  <c r="K66" i="33"/>
  <c r="K66" i="2"/>
  <c r="K159" i="33"/>
  <c r="K330" i="2"/>
  <c r="K339" i="2" s="1"/>
  <c r="K144" i="33"/>
  <c r="K153" i="33" s="1"/>
  <c r="K345" i="2"/>
  <c r="K65" i="33"/>
  <c r="K252" i="2"/>
  <c r="K345" i="33"/>
  <c r="K144" i="2"/>
  <c r="K153" i="2" s="1"/>
  <c r="K330" i="33"/>
  <c r="K339" i="33" s="1"/>
  <c r="K344" i="2"/>
  <c r="K158" i="2"/>
  <c r="K437" i="2"/>
  <c r="K48" i="33"/>
  <c r="K158" i="33"/>
  <c r="J532" i="2"/>
  <c r="J420" i="33"/>
  <c r="J420" i="2"/>
  <c r="J429" i="2" s="1"/>
  <c r="K429" i="2" s="1"/>
  <c r="J615" i="2"/>
  <c r="I392" i="33"/>
  <c r="U392" i="33"/>
  <c r="G392" i="33"/>
  <c r="G12" i="1"/>
  <c r="C13" i="1"/>
  <c r="K12" i="1"/>
  <c r="H12" i="1" s="1"/>
  <c r="R392" i="33"/>
  <c r="J392" i="33"/>
  <c r="V392" i="33"/>
  <c r="T473" i="33"/>
  <c r="C29" i="1"/>
  <c r="J432" i="2"/>
  <c r="Y392" i="33"/>
  <c r="T392" i="33"/>
  <c r="X392" i="33"/>
  <c r="AO14" i="5"/>
  <c r="Z392" i="33"/>
  <c r="K473" i="33"/>
  <c r="J379" i="2"/>
  <c r="J286" i="2"/>
  <c r="J100" i="2"/>
  <c r="J7" i="2"/>
  <c r="J193" i="2"/>
  <c r="J225" i="2" s="1"/>
  <c r="K1" i="2"/>
  <c r="L1" i="2" s="1"/>
  <c r="A17" i="3"/>
  <c r="A49" i="3"/>
  <c r="A65" i="3" s="1"/>
  <c r="A81" i="3" s="1"/>
  <c r="A97" i="3" s="1"/>
  <c r="A113" i="3" s="1"/>
  <c r="A129" i="3" s="1"/>
  <c r="A145" i="3" s="1"/>
  <c r="A161" i="3" s="1"/>
  <c r="A177" i="3" s="1"/>
  <c r="A193" i="3" s="1"/>
  <c r="A209" i="3" s="1"/>
  <c r="A225" i="3" s="1"/>
  <c r="A241" i="3" s="1"/>
  <c r="A257" i="3" s="1"/>
  <c r="A273" i="3" s="1"/>
  <c r="A289" i="3" s="1"/>
  <c r="H89" i="3"/>
  <c r="G89" i="32"/>
  <c r="H118" i="32"/>
  <c r="I118" i="3"/>
  <c r="I223" i="3"/>
  <c r="I175" i="3" s="1"/>
  <c r="I227" i="3"/>
  <c r="H161" i="32"/>
  <c r="I161" i="3"/>
  <c r="G242" i="3"/>
  <c r="G258" i="3" s="1"/>
  <c r="G274" i="3" s="1"/>
  <c r="G246" i="3"/>
  <c r="G262" i="3" s="1"/>
  <c r="R21" i="3"/>
  <c r="S21" i="3"/>
  <c r="J21" i="3"/>
  <c r="K21" i="3"/>
  <c r="Q21" i="3"/>
  <c r="G21" i="3"/>
  <c r="G229" i="3" s="1"/>
  <c r="G181" i="3" s="1"/>
  <c r="O21" i="3"/>
  <c r="L21" i="3"/>
  <c r="E21" i="3"/>
  <c r="E229" i="3" s="1"/>
  <c r="E181" i="3" s="1"/>
  <c r="E245" i="3" s="1"/>
  <c r="T21" i="3"/>
  <c r="F21" i="3"/>
  <c r="F229" i="3" s="1"/>
  <c r="F181" i="3" s="1"/>
  <c r="F245" i="3" s="1"/>
  <c r="X21" i="3"/>
  <c r="H21" i="3"/>
  <c r="H229" i="3" s="1"/>
  <c r="H181" i="3" s="1"/>
  <c r="W21" i="3"/>
  <c r="U21" i="3"/>
  <c r="N21" i="3"/>
  <c r="I21" i="3"/>
  <c r="I229" i="3" s="1"/>
  <c r="V21" i="3"/>
  <c r="M21" i="3"/>
  <c r="P21" i="3"/>
  <c r="H99" i="32"/>
  <c r="I99" i="3"/>
  <c r="F16" i="3"/>
  <c r="F224" i="3" s="1"/>
  <c r="F176" i="3" s="1"/>
  <c r="F240" i="3" s="1"/>
  <c r="K16" i="3"/>
  <c r="X16" i="3"/>
  <c r="L16" i="3"/>
  <c r="P16" i="3"/>
  <c r="J16" i="3"/>
  <c r="H16" i="3"/>
  <c r="H224" i="3" s="1"/>
  <c r="H176" i="3" s="1"/>
  <c r="N16" i="3"/>
  <c r="Q16" i="3"/>
  <c r="E16" i="3"/>
  <c r="E224" i="3" s="1"/>
  <c r="E176" i="3" s="1"/>
  <c r="E240" i="3" s="1"/>
  <c r="V16" i="3"/>
  <c r="G16" i="3"/>
  <c r="G224" i="3" s="1"/>
  <c r="G176" i="3" s="1"/>
  <c r="G240" i="3" s="1"/>
  <c r="O16" i="3"/>
  <c r="I16" i="3"/>
  <c r="R16" i="3"/>
  <c r="U16" i="3"/>
  <c r="W16" i="3"/>
  <c r="M16" i="3"/>
  <c r="T16" i="3"/>
  <c r="S16" i="3"/>
  <c r="J5" i="3"/>
  <c r="I6" i="3"/>
  <c r="I5" i="32"/>
  <c r="I6" i="32" s="1"/>
  <c r="F107" i="3"/>
  <c r="F244" i="3"/>
  <c r="F260" i="3" s="1"/>
  <c r="F276" i="3" s="1"/>
  <c r="I181" i="3"/>
  <c r="J197" i="3"/>
  <c r="J162" i="3"/>
  <c r="I162" i="32"/>
  <c r="R20" i="3"/>
  <c r="M20" i="3"/>
  <c r="X20" i="3"/>
  <c r="N20" i="3"/>
  <c r="E20" i="3"/>
  <c r="E228" i="3" s="1"/>
  <c r="E180" i="3" s="1"/>
  <c r="U20" i="3"/>
  <c r="S20" i="3"/>
  <c r="T20" i="3"/>
  <c r="G20" i="3"/>
  <c r="G228" i="3" s="1"/>
  <c r="G180" i="3" s="1"/>
  <c r="Q20" i="3"/>
  <c r="L20" i="3"/>
  <c r="I20" i="3"/>
  <c r="I228" i="3" s="1"/>
  <c r="I180" i="3" s="1"/>
  <c r="K20" i="3"/>
  <c r="H20" i="3"/>
  <c r="H228" i="3" s="1"/>
  <c r="H180" i="3" s="1"/>
  <c r="F20" i="3"/>
  <c r="F228" i="3" s="1"/>
  <c r="F180" i="3" s="1"/>
  <c r="W20" i="3"/>
  <c r="O20" i="3"/>
  <c r="P20" i="3"/>
  <c r="J20" i="3"/>
  <c r="J228" i="3" s="1"/>
  <c r="V20" i="3"/>
  <c r="I164" i="32"/>
  <c r="J164" i="3"/>
  <c r="I113" i="32"/>
  <c r="J113" i="3"/>
  <c r="G134" i="32"/>
  <c r="G150" i="32" s="1"/>
  <c r="F398" i="33"/>
  <c r="G398" i="33" s="1"/>
  <c r="H398" i="33" s="1"/>
  <c r="I398" i="33" s="1"/>
  <c r="J398" i="33" s="1"/>
  <c r="K398" i="33" s="1"/>
  <c r="L398" i="33" s="1"/>
  <c r="M398" i="33" s="1"/>
  <c r="N398" i="33" s="1"/>
  <c r="O398" i="33" s="1"/>
  <c r="P398" i="33" s="1"/>
  <c r="Q398" i="33" s="1"/>
  <c r="R398" i="33" s="1"/>
  <c r="S398" i="33" s="1"/>
  <c r="T398" i="33" s="1"/>
  <c r="U398" i="33" s="1"/>
  <c r="V398" i="33" s="1"/>
  <c r="W398" i="33" s="1"/>
  <c r="X398" i="33" s="1"/>
  <c r="Y398" i="33" s="1"/>
  <c r="Z398" i="33" s="1"/>
  <c r="J180" i="3"/>
  <c r="K196" i="3"/>
  <c r="E255" i="3"/>
  <c r="E271" i="3" s="1"/>
  <c r="E287" i="3"/>
  <c r="J117" i="3"/>
  <c r="I117" i="32"/>
  <c r="I166" i="32"/>
  <c r="J166" i="3"/>
  <c r="F305" i="2"/>
  <c r="G305" i="2" s="1"/>
  <c r="H305" i="2" s="1"/>
  <c r="I305" i="2" s="1"/>
  <c r="J305" i="2" s="1"/>
  <c r="K305" i="2" s="1"/>
  <c r="L305" i="2" s="1"/>
  <c r="M305" i="2" s="1"/>
  <c r="N305" i="2" s="1"/>
  <c r="O305" i="2" s="1"/>
  <c r="P305" i="2" s="1"/>
  <c r="Q305" i="2" s="1"/>
  <c r="R305" i="2" s="1"/>
  <c r="S305" i="2" s="1"/>
  <c r="T305" i="2" s="1"/>
  <c r="U305" i="2" s="1"/>
  <c r="V305" i="2" s="1"/>
  <c r="W305" i="2" s="1"/>
  <c r="X305" i="2" s="1"/>
  <c r="Y305" i="2" s="1"/>
  <c r="Z305" i="2" s="1"/>
  <c r="G245" i="3"/>
  <c r="G261" i="3" s="1"/>
  <c r="E244" i="3"/>
  <c r="E260" i="3" s="1"/>
  <c r="A22" i="32"/>
  <c r="A54" i="32"/>
  <c r="A70" i="32" s="1"/>
  <c r="A86" i="32" s="1"/>
  <c r="A102" i="32" s="1"/>
  <c r="A118" i="32" s="1"/>
  <c r="A134" i="32" s="1"/>
  <c r="A150" i="32" s="1"/>
  <c r="A166" i="32" s="1"/>
  <c r="A182" i="32" s="1"/>
  <c r="A198" i="32" s="1"/>
  <c r="A214" i="32" s="1"/>
  <c r="A230" i="32" s="1"/>
  <c r="A246" i="32" s="1"/>
  <c r="A262" i="32" s="1"/>
  <c r="A278" i="32" s="1"/>
  <c r="A294" i="32" s="1"/>
  <c r="M112" i="32"/>
  <c r="N112" i="3"/>
  <c r="I160" i="3"/>
  <c r="H160" i="32"/>
  <c r="I163" i="32"/>
  <c r="J163" i="3"/>
  <c r="H223" i="3"/>
  <c r="H175" i="3" s="1"/>
  <c r="I115" i="32"/>
  <c r="J115" i="3"/>
  <c r="I96" i="32"/>
  <c r="J96" i="3"/>
  <c r="K153" i="32"/>
  <c r="L153" i="3"/>
  <c r="H159" i="32"/>
  <c r="I159" i="3"/>
  <c r="J91" i="32"/>
  <c r="K91" i="3"/>
  <c r="G105" i="32"/>
  <c r="G121" i="32" s="1"/>
  <c r="G137" i="32" s="1"/>
  <c r="S22" i="3"/>
  <c r="E22" i="3"/>
  <c r="E230" i="3" s="1"/>
  <c r="E182" i="3" s="1"/>
  <c r="E246" i="3" s="1"/>
  <c r="M22" i="3"/>
  <c r="L22" i="3"/>
  <c r="G22" i="3"/>
  <c r="G230" i="3" s="1"/>
  <c r="G182" i="3" s="1"/>
  <c r="O22" i="3"/>
  <c r="V22" i="3"/>
  <c r="U22" i="3"/>
  <c r="T22" i="3"/>
  <c r="F22" i="3"/>
  <c r="F230" i="3" s="1"/>
  <c r="F182" i="3" s="1"/>
  <c r="F246" i="3" s="1"/>
  <c r="W22" i="3"/>
  <c r="N22" i="3"/>
  <c r="J22" i="3"/>
  <c r="R22" i="3"/>
  <c r="Q22" i="3"/>
  <c r="P22" i="3"/>
  <c r="X22" i="3"/>
  <c r="I22" i="3"/>
  <c r="I230" i="3" s="1"/>
  <c r="H22" i="3"/>
  <c r="H230" i="3" s="1"/>
  <c r="K22" i="3"/>
  <c r="I198" i="3"/>
  <c r="H182" i="3"/>
  <c r="H73" i="3"/>
  <c r="H83" i="3"/>
  <c r="H131" i="3" s="1"/>
  <c r="H75" i="3"/>
  <c r="H72" i="3"/>
  <c r="H120" i="3" s="1"/>
  <c r="H136" i="3" s="1"/>
  <c r="H232" i="3" s="1"/>
  <c r="H248" i="3" s="1"/>
  <c r="H264" i="3" s="1"/>
  <c r="H77" i="3"/>
  <c r="H80" i="3"/>
  <c r="H128" i="3" s="1"/>
  <c r="H144" i="3" s="1"/>
  <c r="H79" i="3"/>
  <c r="H81" i="3"/>
  <c r="H129" i="3" s="1"/>
  <c r="H86" i="3"/>
  <c r="H134" i="3" s="1"/>
  <c r="H150" i="3" s="1"/>
  <c r="H74" i="3"/>
  <c r="H84" i="3"/>
  <c r="H82" i="3"/>
  <c r="H145" i="3"/>
  <c r="H78" i="3"/>
  <c r="H85" i="3"/>
  <c r="H133" i="3" s="1"/>
  <c r="H149" i="3" s="1"/>
  <c r="H245" i="3" s="1"/>
  <c r="H147" i="3"/>
  <c r="H76" i="3"/>
  <c r="J165" i="3"/>
  <c r="I165" i="32"/>
  <c r="O18" i="3"/>
  <c r="E18" i="3"/>
  <c r="E226" i="3" s="1"/>
  <c r="E178" i="3" s="1"/>
  <c r="E242" i="3" s="1"/>
  <c r="M18" i="3"/>
  <c r="G18" i="3"/>
  <c r="G226" i="3" s="1"/>
  <c r="G178" i="3" s="1"/>
  <c r="F18" i="3"/>
  <c r="F226" i="3" s="1"/>
  <c r="F178" i="3" s="1"/>
  <c r="F242" i="3" s="1"/>
  <c r="X18" i="3"/>
  <c r="U18" i="3"/>
  <c r="L18" i="3"/>
  <c r="S18" i="3"/>
  <c r="R18" i="3"/>
  <c r="P18" i="3"/>
  <c r="W18" i="3"/>
  <c r="V18" i="3"/>
  <c r="J18" i="3"/>
  <c r="J226" i="3" s="1"/>
  <c r="H18" i="3"/>
  <c r="H226" i="3" s="1"/>
  <c r="H178" i="3" s="1"/>
  <c r="N18" i="3"/>
  <c r="Q18" i="3"/>
  <c r="I18" i="3"/>
  <c r="I226" i="3" s="1"/>
  <c r="T18" i="3"/>
  <c r="K18" i="3"/>
  <c r="I100" i="32"/>
  <c r="J100" i="3"/>
  <c r="E11" i="41"/>
  <c r="F46" i="32"/>
  <c r="G46" i="32" s="1"/>
  <c r="H46" i="32" s="1"/>
  <c r="I46" i="32" s="1"/>
  <c r="J46" i="32" s="1"/>
  <c r="K46" i="32" s="1"/>
  <c r="L46" i="32" s="1"/>
  <c r="M46" i="32" s="1"/>
  <c r="N46" i="32" s="1"/>
  <c r="O46" i="32" s="1"/>
  <c r="P46" i="32" s="1"/>
  <c r="Q46" i="32" s="1"/>
  <c r="R46" i="32" s="1"/>
  <c r="S46" i="32" s="1"/>
  <c r="T46" i="32" s="1"/>
  <c r="U46" i="32" s="1"/>
  <c r="V46" i="32" s="1"/>
  <c r="W46" i="32" s="1"/>
  <c r="X46" i="32" s="1"/>
  <c r="Q17" i="32"/>
  <c r="T17" i="32"/>
  <c r="F17" i="32"/>
  <c r="F225" i="32" s="1"/>
  <c r="F177" i="32" s="1"/>
  <c r="F241" i="32" s="1"/>
  <c r="N17" i="32"/>
  <c r="L17" i="32"/>
  <c r="I17" i="32"/>
  <c r="O17" i="32"/>
  <c r="S17" i="32"/>
  <c r="W17" i="32"/>
  <c r="P17" i="32"/>
  <c r="J17" i="32"/>
  <c r="X17" i="32"/>
  <c r="K17" i="32"/>
  <c r="V17" i="32"/>
  <c r="G17" i="32"/>
  <c r="G225" i="32" s="1"/>
  <c r="R17" i="32"/>
  <c r="E17" i="32"/>
  <c r="E225" i="32" s="1"/>
  <c r="E177" i="32" s="1"/>
  <c r="E241" i="32" s="1"/>
  <c r="E289" i="32" s="1"/>
  <c r="U17" i="32"/>
  <c r="M17" i="32"/>
  <c r="H17" i="32"/>
  <c r="H225" i="32" s="1"/>
  <c r="K152" i="32"/>
  <c r="L152" i="3"/>
  <c r="K216" i="3"/>
  <c r="H75" i="32"/>
  <c r="H82" i="32"/>
  <c r="H80" i="32"/>
  <c r="H128" i="32" s="1"/>
  <c r="H144" i="32" s="1"/>
  <c r="H81" i="32"/>
  <c r="H129" i="32" s="1"/>
  <c r="H145" i="32" s="1"/>
  <c r="H77" i="32"/>
  <c r="H78" i="32"/>
  <c r="H86" i="32"/>
  <c r="H134" i="32" s="1"/>
  <c r="H150" i="32" s="1"/>
  <c r="H84" i="32"/>
  <c r="H73" i="32"/>
  <c r="H74" i="32"/>
  <c r="H85" i="32"/>
  <c r="H133" i="32" s="1"/>
  <c r="H149" i="32" s="1"/>
  <c r="H72" i="32"/>
  <c r="H83" i="32"/>
  <c r="H131" i="32" s="1"/>
  <c r="H147" i="32" s="1"/>
  <c r="H79" i="32"/>
  <c r="F257" i="32"/>
  <c r="F273" i="32" s="1"/>
  <c r="F289" i="32"/>
  <c r="J92" i="32"/>
  <c r="K92" i="3"/>
  <c r="L208" i="3"/>
  <c r="G132" i="3"/>
  <c r="H116" i="3"/>
  <c r="G116" i="32"/>
  <c r="G132" i="32" s="1"/>
  <c r="G148" i="32" s="1"/>
  <c r="I95" i="32"/>
  <c r="J95" i="3"/>
  <c r="I195" i="3"/>
  <c r="H179" i="3"/>
  <c r="H243" i="3" s="1"/>
  <c r="G293" i="3"/>
  <c r="J114" i="3"/>
  <c r="I114" i="32"/>
  <c r="I111" i="3"/>
  <c r="H111" i="32"/>
  <c r="H127" i="32" s="1"/>
  <c r="H143" i="32" s="1"/>
  <c r="F248" i="3"/>
  <c r="F280" i="3"/>
  <c r="E275" i="3"/>
  <c r="H98" i="32"/>
  <c r="H130" i="32" s="1"/>
  <c r="H130" i="3"/>
  <c r="H146" i="3" s="1"/>
  <c r="H242" i="3" s="1"/>
  <c r="I98" i="3"/>
  <c r="K94" i="32"/>
  <c r="L94" i="3"/>
  <c r="G255" i="3"/>
  <c r="G271" i="3" s="1"/>
  <c r="G287" i="3"/>
  <c r="H193" i="3"/>
  <c r="K200" i="3"/>
  <c r="J168" i="3"/>
  <c r="I88" i="32"/>
  <c r="J88" i="3"/>
  <c r="G177" i="32"/>
  <c r="G241" i="32" s="1"/>
  <c r="I178" i="3"/>
  <c r="J194" i="3"/>
  <c r="I101" i="32"/>
  <c r="J101" i="3"/>
  <c r="J97" i="32"/>
  <c r="K97" i="3"/>
  <c r="H293" i="3"/>
  <c r="H261" i="3"/>
  <c r="H277" i="3" s="1"/>
  <c r="H177" i="32"/>
  <c r="H241" i="32" s="1"/>
  <c r="M184" i="3"/>
  <c r="I102" i="32"/>
  <c r="J102" i="3"/>
  <c r="G280" i="3"/>
  <c r="G248" i="3"/>
  <c r="G264" i="3" s="1"/>
  <c r="N207" i="3"/>
  <c r="H127" i="3"/>
  <c r="H143" i="3" s="1"/>
  <c r="H239" i="3" s="1"/>
  <c r="G259" i="3"/>
  <c r="G275" i="3" s="1"/>
  <c r="G291" i="3"/>
  <c r="H104" i="32"/>
  <c r="I104" i="3"/>
  <c r="F287" i="3"/>
  <c r="F255" i="3"/>
  <c r="J90" i="32"/>
  <c r="K90" i="3"/>
  <c r="E107" i="32"/>
  <c r="E123" i="32" s="1"/>
  <c r="E139" i="32" s="1"/>
  <c r="E123" i="3"/>
  <c r="E139" i="3" s="1"/>
  <c r="E108" i="3"/>
  <c r="AI13" i="4"/>
  <c r="AJ13" i="4" s="1"/>
  <c r="AK13" i="4" s="1"/>
  <c r="G121" i="3"/>
  <c r="I102" i="2" s="1"/>
  <c r="C14" i="4"/>
  <c r="B15" i="4"/>
  <c r="C15" i="4" s="1"/>
  <c r="G11" i="34"/>
  <c r="C12" i="34"/>
  <c r="K11" i="34"/>
  <c r="H11" i="34" s="1"/>
  <c r="M566" i="33"/>
  <c r="I206" i="33"/>
  <c r="Q566" i="33"/>
  <c r="M473" i="33"/>
  <c r="H566" i="33"/>
  <c r="P566" i="33"/>
  <c r="C29" i="34"/>
  <c r="B6" i="41"/>
  <c r="C27" i="41"/>
  <c r="C45" i="41" s="1"/>
  <c r="C72" i="41"/>
  <c r="C90" i="41" s="1"/>
  <c r="V473" i="33"/>
  <c r="R566" i="33"/>
  <c r="C30" i="34"/>
  <c r="K566" i="33"/>
  <c r="Z566" i="33"/>
  <c r="C31" i="34"/>
  <c r="E430" i="33"/>
  <c r="E422" i="33"/>
  <c r="M191" i="32"/>
  <c r="N191" i="32" s="1"/>
  <c r="O191" i="32" s="1"/>
  <c r="P191" i="32" s="1"/>
  <c r="B85" i="41"/>
  <c r="B103" i="41" s="1"/>
  <c r="B40" i="41"/>
  <c r="B58" i="41" s="1"/>
  <c r="J193" i="32"/>
  <c r="K197" i="32"/>
  <c r="J185" i="32"/>
  <c r="A20" i="32"/>
  <c r="A52" i="32"/>
  <c r="A68" i="32" s="1"/>
  <c r="A84" i="32" s="1"/>
  <c r="A100" i="32" s="1"/>
  <c r="A116" i="32" s="1"/>
  <c r="A132" i="32" s="1"/>
  <c r="A148" i="32" s="1"/>
  <c r="A164" i="32" s="1"/>
  <c r="A180" i="32" s="1"/>
  <c r="A196" i="32" s="1"/>
  <c r="A212" i="32" s="1"/>
  <c r="A228" i="32" s="1"/>
  <c r="A244" i="32" s="1"/>
  <c r="A260" i="32" s="1"/>
  <c r="A276" i="32" s="1"/>
  <c r="A292" i="32" s="1"/>
  <c r="K184" i="32"/>
  <c r="B76" i="41"/>
  <c r="B94" i="41" s="1"/>
  <c r="B31" i="41"/>
  <c r="B49" i="41" s="1"/>
  <c r="G473" i="33"/>
  <c r="W473" i="33"/>
  <c r="Y473" i="33"/>
  <c r="X566" i="33"/>
  <c r="N566" i="33"/>
  <c r="E563" i="33"/>
  <c r="C632" i="33" s="1"/>
  <c r="C633" i="33" s="1"/>
  <c r="C634" i="33" s="1"/>
  <c r="C635" i="33" s="1"/>
  <c r="C636" i="33" s="1"/>
  <c r="C637" i="33" s="1"/>
  <c r="A40" i="32"/>
  <c r="A56" i="32" s="1"/>
  <c r="A72" i="32" s="1"/>
  <c r="A88" i="32" s="1"/>
  <c r="A104" i="32" s="1"/>
  <c r="A120" i="32" s="1"/>
  <c r="A136" i="32" s="1"/>
  <c r="A152" i="32" s="1"/>
  <c r="A168" i="32" s="1"/>
  <c r="A184" i="32" s="1"/>
  <c r="A200" i="32" s="1"/>
  <c r="A216" i="32" s="1"/>
  <c r="A232" i="32" s="1"/>
  <c r="A248" i="32" s="1"/>
  <c r="A264" i="32" s="1"/>
  <c r="A280" i="32" s="1"/>
  <c r="A8" i="32"/>
  <c r="V16" i="32"/>
  <c r="M16" i="32"/>
  <c r="X16" i="32"/>
  <c r="U16" i="32"/>
  <c r="R16" i="32"/>
  <c r="S16" i="32"/>
  <c r="E16" i="32"/>
  <c r="E224" i="32" s="1"/>
  <c r="E176" i="32" s="1"/>
  <c r="E240" i="32" s="1"/>
  <c r="Q16" i="32"/>
  <c r="H16" i="32"/>
  <c r="H224" i="32" s="1"/>
  <c r="H176" i="32" s="1"/>
  <c r="H240" i="32" s="1"/>
  <c r="K16" i="32"/>
  <c r="F16" i="32"/>
  <c r="F224" i="32" s="1"/>
  <c r="F176" i="32" s="1"/>
  <c r="F240" i="32" s="1"/>
  <c r="G16" i="32"/>
  <c r="G224" i="32" s="1"/>
  <c r="G176" i="32" s="1"/>
  <c r="G240" i="32" s="1"/>
  <c r="T16" i="32"/>
  <c r="W16" i="32"/>
  <c r="I16" i="32"/>
  <c r="N16" i="32"/>
  <c r="P16" i="32"/>
  <c r="L16" i="32"/>
  <c r="J16" i="32"/>
  <c r="O16" i="32"/>
  <c r="L21" i="32"/>
  <c r="X21" i="32"/>
  <c r="R21" i="32"/>
  <c r="P21" i="32"/>
  <c r="G21" i="32"/>
  <c r="G229" i="32" s="1"/>
  <c r="G181" i="32" s="1"/>
  <c r="G245" i="32" s="1"/>
  <c r="K21" i="32"/>
  <c r="W21" i="32"/>
  <c r="S21" i="32"/>
  <c r="T21" i="32"/>
  <c r="F21" i="32"/>
  <c r="F229" i="32" s="1"/>
  <c r="F181" i="32" s="1"/>
  <c r="F245" i="32" s="1"/>
  <c r="V21" i="32"/>
  <c r="H21" i="32"/>
  <c r="H229" i="32" s="1"/>
  <c r="H181" i="32" s="1"/>
  <c r="M21" i="32"/>
  <c r="N21" i="32"/>
  <c r="I21" i="32"/>
  <c r="J21" i="32"/>
  <c r="U21" i="32"/>
  <c r="O21" i="32"/>
  <c r="Q21" i="32"/>
  <c r="E21" i="32"/>
  <c r="E229" i="32" s="1"/>
  <c r="E181" i="32" s="1"/>
  <c r="E245" i="32" s="1"/>
  <c r="F9" i="41"/>
  <c r="D9" i="41"/>
  <c r="H289" i="32"/>
  <c r="H257" i="32"/>
  <c r="H273" i="32" s="1"/>
  <c r="L19" i="32"/>
  <c r="E19" i="32"/>
  <c r="E227" i="32" s="1"/>
  <c r="E179" i="32" s="1"/>
  <c r="E243" i="32" s="1"/>
  <c r="M19" i="32"/>
  <c r="Q19" i="32"/>
  <c r="G19" i="32"/>
  <c r="G227" i="32" s="1"/>
  <c r="G179" i="32" s="1"/>
  <c r="G243" i="32" s="1"/>
  <c r="S19" i="32"/>
  <c r="X19" i="32"/>
  <c r="J19" i="32"/>
  <c r="R19" i="32"/>
  <c r="F19" i="32"/>
  <c r="F227" i="32" s="1"/>
  <c r="F179" i="32" s="1"/>
  <c r="F243" i="32" s="1"/>
  <c r="T19" i="32"/>
  <c r="O19" i="32"/>
  <c r="N19" i="32"/>
  <c r="I19" i="32"/>
  <c r="H19" i="32"/>
  <c r="H227" i="32" s="1"/>
  <c r="H179" i="32" s="1"/>
  <c r="H243" i="32" s="1"/>
  <c r="K19" i="32"/>
  <c r="P19" i="32"/>
  <c r="W19" i="32"/>
  <c r="V19" i="32"/>
  <c r="U19" i="32"/>
  <c r="B78" i="41"/>
  <c r="B96" i="41" s="1"/>
  <c r="B33" i="41"/>
  <c r="B51" i="41" s="1"/>
  <c r="F8" i="41"/>
  <c r="D8" i="41"/>
  <c r="J473" i="33"/>
  <c r="I473" i="33"/>
  <c r="U473" i="33"/>
  <c r="W566" i="33"/>
  <c r="L566" i="33"/>
  <c r="B82" i="41"/>
  <c r="B100" i="41" s="1"/>
  <c r="B37" i="41"/>
  <c r="B55" i="41" s="1"/>
  <c r="B74" i="41"/>
  <c r="B92" i="41" s="1"/>
  <c r="B29" i="41"/>
  <c r="B47" i="41" s="1"/>
  <c r="J24" i="34"/>
  <c r="O473" i="33"/>
  <c r="L473" i="33"/>
  <c r="X473" i="33"/>
  <c r="T566" i="33"/>
  <c r="V566" i="33"/>
  <c r="B79" i="41"/>
  <c r="B97" i="41" s="1"/>
  <c r="B34" i="41"/>
  <c r="B52" i="41" s="1"/>
  <c r="B80" i="41"/>
  <c r="B98" i="41" s="1"/>
  <c r="B35" i="41"/>
  <c r="B53" i="41" s="1"/>
  <c r="K198" i="32"/>
  <c r="K195" i="32"/>
  <c r="B71" i="41"/>
  <c r="B89" i="41" s="1"/>
  <c r="B26" i="41"/>
  <c r="B44" i="41" s="1"/>
  <c r="R473" i="33"/>
  <c r="H473" i="33"/>
  <c r="S566" i="33"/>
  <c r="U566" i="33"/>
  <c r="A15" i="32"/>
  <c r="A47" i="32"/>
  <c r="A63" i="32" s="1"/>
  <c r="A79" i="32" s="1"/>
  <c r="A95" i="32" s="1"/>
  <c r="A111" i="32" s="1"/>
  <c r="A127" i="32" s="1"/>
  <c r="A143" i="32" s="1"/>
  <c r="A159" i="32" s="1"/>
  <c r="A175" i="32" s="1"/>
  <c r="A191" i="32" s="1"/>
  <c r="A207" i="32" s="1"/>
  <c r="A223" i="32" s="1"/>
  <c r="A239" i="32" s="1"/>
  <c r="A255" i="32" s="1"/>
  <c r="A271" i="32" s="1"/>
  <c r="A287" i="32" s="1"/>
  <c r="D61" i="32"/>
  <c r="D30" i="41"/>
  <c r="D48" i="41" s="1"/>
  <c r="K27" i="34"/>
  <c r="K196" i="32"/>
  <c r="B83" i="41"/>
  <c r="B101" i="41" s="1"/>
  <c r="B38" i="41"/>
  <c r="B56" i="41" s="1"/>
  <c r="K26" i="34"/>
  <c r="Z473" i="33"/>
  <c r="K28" i="34"/>
  <c r="Y566" i="33"/>
  <c r="O566" i="33"/>
  <c r="P192" i="32"/>
  <c r="A34" i="32"/>
  <c r="J194" i="32"/>
  <c r="H543" i="2"/>
  <c r="W299" i="33"/>
  <c r="F345" i="33"/>
  <c r="F348" i="33" s="1"/>
  <c r="G348" i="33" s="1"/>
  <c r="H348" i="33" s="1"/>
  <c r="I348" i="33" s="1"/>
  <c r="J348" i="33" s="1"/>
  <c r="O299" i="33"/>
  <c r="U299" i="33"/>
  <c r="G299" i="33"/>
  <c r="J299" i="33"/>
  <c r="X299" i="33"/>
  <c r="V299" i="33"/>
  <c r="S299" i="33"/>
  <c r="F322" i="33"/>
  <c r="Y299" i="33"/>
  <c r="Q299" i="33"/>
  <c r="H299" i="33"/>
  <c r="I299" i="33"/>
  <c r="R299" i="33"/>
  <c r="Z299" i="33"/>
  <c r="P299" i="33"/>
  <c r="T299" i="33"/>
  <c r="F229" i="33"/>
  <c r="Z206" i="33"/>
  <c r="Y206" i="33"/>
  <c r="W206" i="33"/>
  <c r="F252" i="33"/>
  <c r="F255" i="33" s="1"/>
  <c r="G255" i="33" s="1"/>
  <c r="H255" i="33" s="1"/>
  <c r="I255" i="33" s="1"/>
  <c r="J255" i="33" s="1"/>
  <c r="H206" i="33"/>
  <c r="X206" i="33"/>
  <c r="J206" i="33"/>
  <c r="U206" i="33"/>
  <c r="T206" i="33"/>
  <c r="S206" i="33"/>
  <c r="V206" i="33"/>
  <c r="K20" i="33"/>
  <c r="AA20" i="33"/>
  <c r="M20" i="33"/>
  <c r="U20" i="33"/>
  <c r="S20" i="33"/>
  <c r="H20" i="33"/>
  <c r="J20" i="33"/>
  <c r="O20" i="33"/>
  <c r="W20" i="33"/>
  <c r="N20" i="33"/>
  <c r="R20" i="33"/>
  <c r="X20" i="33"/>
  <c r="V20" i="33"/>
  <c r="I20" i="33"/>
  <c r="Z20" i="33"/>
  <c r="G20" i="33"/>
  <c r="F66" i="33"/>
  <c r="F69" i="33" s="1"/>
  <c r="G69" i="33" s="1"/>
  <c r="H69" i="33" s="1"/>
  <c r="I69" i="33" s="1"/>
  <c r="J69" i="33" s="1"/>
  <c r="F43" i="33"/>
  <c r="Q20" i="33"/>
  <c r="Y20" i="33"/>
  <c r="T20" i="33"/>
  <c r="P20" i="33"/>
  <c r="L20" i="33"/>
  <c r="E519" i="33"/>
  <c r="E528" i="33" s="1"/>
  <c r="E527" i="33"/>
  <c r="I113" i="33"/>
  <c r="H113" i="33"/>
  <c r="J113" i="33"/>
  <c r="U113" i="33"/>
  <c r="L113" i="33"/>
  <c r="R113" i="33"/>
  <c r="X113" i="33"/>
  <c r="K113" i="33"/>
  <c r="O113" i="33"/>
  <c r="N113" i="33"/>
  <c r="F136" i="33"/>
  <c r="T113" i="33"/>
  <c r="W113" i="33"/>
  <c r="Y113" i="33"/>
  <c r="Z113" i="33"/>
  <c r="Q113" i="33"/>
  <c r="AA113" i="33"/>
  <c r="V113" i="33"/>
  <c r="G113" i="33"/>
  <c r="S113" i="33"/>
  <c r="M113" i="33"/>
  <c r="P113" i="33"/>
  <c r="F159" i="33"/>
  <c r="F162" i="33" s="1"/>
  <c r="G162" i="33" s="1"/>
  <c r="H162" i="33" s="1"/>
  <c r="I162" i="33" s="1"/>
  <c r="J162" i="33" s="1"/>
  <c r="K162" i="33" s="1"/>
  <c r="E244" i="2"/>
  <c r="E236" i="2"/>
  <c r="P5" i="50"/>
  <c r="P6" i="50"/>
  <c r="R5" i="49"/>
  <c r="R6" i="49"/>
  <c r="J472" i="33"/>
  <c r="J565" i="33"/>
  <c r="F28" i="32"/>
  <c r="G28" i="32" s="1"/>
  <c r="H28" i="32" s="1"/>
  <c r="I28" i="32" s="1"/>
  <c r="J28" i="32" s="1"/>
  <c r="K28" i="32" s="1"/>
  <c r="L28" i="32" s="1"/>
  <c r="M28" i="32" s="1"/>
  <c r="N28" i="32" s="1"/>
  <c r="O28" i="32" s="1"/>
  <c r="P28" i="32" s="1"/>
  <c r="Q28" i="32" s="1"/>
  <c r="R28" i="32" s="1"/>
  <c r="S28" i="32" s="1"/>
  <c r="T28" i="32" s="1"/>
  <c r="U28" i="32" s="1"/>
  <c r="V28" i="32" s="1"/>
  <c r="W28" i="32" s="1"/>
  <c r="X28" i="32" s="1"/>
  <c r="Z60" i="32"/>
  <c r="Y30" i="41" s="1"/>
  <c r="A28" i="3"/>
  <c r="G106" i="32"/>
  <c r="G122" i="32" s="1"/>
  <c r="G138" i="32" s="1"/>
  <c r="H106" i="3"/>
  <c r="G122" i="3"/>
  <c r="G138" i="3" s="1"/>
  <c r="F138" i="32"/>
  <c r="H105" i="32"/>
  <c r="H121" i="3"/>
  <c r="H137" i="3" s="1"/>
  <c r="I105" i="3"/>
  <c r="F138" i="3"/>
  <c r="U13" i="4"/>
  <c r="V12" i="4"/>
  <c r="W12" i="4" s="1"/>
  <c r="G107" i="3" s="1"/>
  <c r="F107" i="32"/>
  <c r="F123" i="32" s="1"/>
  <c r="F123" i="3"/>
  <c r="H288" i="2" s="1"/>
  <c r="Q14" i="4"/>
  <c r="R13" i="4"/>
  <c r="S13" i="4" s="1"/>
  <c r="E329" i="33"/>
  <c r="E330" i="33" s="1"/>
  <c r="E618" i="33"/>
  <c r="E610" i="33"/>
  <c r="A581" i="33"/>
  <c r="A582" i="33" s="1"/>
  <c r="F580" i="33"/>
  <c r="H158" i="32"/>
  <c r="I158" i="3"/>
  <c r="A30" i="32"/>
  <c r="A46" i="32" s="1"/>
  <c r="A62" i="32" s="1"/>
  <c r="A78" i="32" s="1"/>
  <c r="A94" i="32" s="1"/>
  <c r="A110" i="32" s="1"/>
  <c r="A126" i="32" s="1"/>
  <c r="A142" i="32" s="1"/>
  <c r="A158" i="32" s="1"/>
  <c r="A174" i="32" s="1"/>
  <c r="A190" i="32" s="1"/>
  <c r="A206" i="32" s="1"/>
  <c r="A222" i="32" s="1"/>
  <c r="A238" i="32" s="1"/>
  <c r="A254" i="32" s="1"/>
  <c r="A270" i="32" s="1"/>
  <c r="A286" i="32" s="1"/>
  <c r="A46" i="3"/>
  <c r="A62" i="3" s="1"/>
  <c r="A78" i="3" s="1"/>
  <c r="A94" i="3" s="1"/>
  <c r="A110" i="3" s="1"/>
  <c r="A126" i="3" s="1"/>
  <c r="A142" i="3" s="1"/>
  <c r="A158" i="3" s="1"/>
  <c r="A174" i="3" s="1"/>
  <c r="A190" i="3" s="1"/>
  <c r="A206" i="3" s="1"/>
  <c r="A222" i="3" s="1"/>
  <c r="A238" i="3" s="1"/>
  <c r="A254" i="3" s="1"/>
  <c r="A270" i="3" s="1"/>
  <c r="A286" i="3" s="1"/>
  <c r="A14" i="3"/>
  <c r="J472" i="2"/>
  <c r="J477" i="2" s="1"/>
  <c r="J565" i="2"/>
  <c r="E611" i="2"/>
  <c r="E619" i="2"/>
  <c r="C637" i="2"/>
  <c r="A572" i="2"/>
  <c r="E150" i="33"/>
  <c r="C140" i="32"/>
  <c r="C156" i="32" s="1"/>
  <c r="A42" i="3"/>
  <c r="A58" i="3" s="1"/>
  <c r="A74" i="3" s="1"/>
  <c r="A90" i="3" s="1"/>
  <c r="A106" i="3" s="1"/>
  <c r="A122" i="3" s="1"/>
  <c r="A138" i="3" s="1"/>
  <c r="A154" i="3" s="1"/>
  <c r="A170" i="3" s="1"/>
  <c r="A186" i="3" s="1"/>
  <c r="A202" i="3" s="1"/>
  <c r="A218" i="3" s="1"/>
  <c r="A234" i="3" s="1"/>
  <c r="A250" i="3" s="1"/>
  <c r="A266" i="3" s="1"/>
  <c r="A282" i="3" s="1"/>
  <c r="F27" i="32"/>
  <c r="G27" i="32" s="1"/>
  <c r="H27" i="32" s="1"/>
  <c r="I27" i="32" s="1"/>
  <c r="J27" i="32" s="1"/>
  <c r="K27" i="32" s="1"/>
  <c r="L27" i="32" s="1"/>
  <c r="M27" i="32" s="1"/>
  <c r="N27" i="32" s="1"/>
  <c r="O27" i="32" s="1"/>
  <c r="P27" i="32" s="1"/>
  <c r="Q27" i="32" s="1"/>
  <c r="R27" i="32" s="1"/>
  <c r="S27" i="32" s="1"/>
  <c r="T27" i="32" s="1"/>
  <c r="U27" i="32" s="1"/>
  <c r="V27" i="32" s="1"/>
  <c r="W27" i="32" s="1"/>
  <c r="X27" i="32" s="1"/>
  <c r="I24" i="34"/>
  <c r="A478" i="33"/>
  <c r="F70" i="41"/>
  <c r="F88" i="41" s="1"/>
  <c r="F106" i="41" s="1"/>
  <c r="F43" i="41"/>
  <c r="F61" i="41" s="1"/>
  <c r="I540" i="2"/>
  <c r="I543" i="2"/>
  <c r="E525" i="2"/>
  <c r="E517" i="2"/>
  <c r="C542" i="2"/>
  <c r="A477" i="2"/>
  <c r="A478" i="2" s="1"/>
  <c r="E339" i="2"/>
  <c r="E331" i="2"/>
  <c r="A10" i="2"/>
  <c r="J1" i="3"/>
  <c r="L2" i="33"/>
  <c r="J1" i="32" s="1"/>
  <c r="M2" i="2"/>
  <c r="AP5" i="5"/>
  <c r="T113" i="2"/>
  <c r="Y113" i="2"/>
  <c r="F136" i="2"/>
  <c r="V113" i="2"/>
  <c r="J113" i="2"/>
  <c r="W113" i="2"/>
  <c r="O113" i="2"/>
  <c r="S113" i="2"/>
  <c r="N113" i="2"/>
  <c r="P113" i="2"/>
  <c r="G113" i="2"/>
  <c r="Q113" i="2"/>
  <c r="U113" i="2"/>
  <c r="I113" i="2"/>
  <c r="X113" i="2"/>
  <c r="K113" i="2"/>
  <c r="R113" i="2"/>
  <c r="F159" i="2"/>
  <c r="F162" i="2" s="1"/>
  <c r="G162" i="2" s="1"/>
  <c r="H162" i="2" s="1"/>
  <c r="I162" i="2" s="1"/>
  <c r="J162" i="2" s="1"/>
  <c r="AA113" i="2"/>
  <c r="L113" i="2"/>
  <c r="Z113" i="2"/>
  <c r="M113" i="2"/>
  <c r="H113" i="2"/>
  <c r="K286" i="2"/>
  <c r="K318" i="2" s="1"/>
  <c r="K7" i="2"/>
  <c r="J379" i="33"/>
  <c r="J411" i="33" s="1"/>
  <c r="H4" i="32"/>
  <c r="H25" i="41" s="1"/>
  <c r="J193" i="33"/>
  <c r="J225" i="33" s="1"/>
  <c r="J100" i="33"/>
  <c r="J132" i="33" s="1"/>
  <c r="J286" i="33"/>
  <c r="J318" i="33" s="1"/>
  <c r="J7" i="33"/>
  <c r="J39" i="33" s="1"/>
  <c r="E79" i="2"/>
  <c r="E57" i="1"/>
  <c r="E144" i="2"/>
  <c r="E152" i="2"/>
  <c r="G43" i="41"/>
  <c r="G61" i="41" s="1"/>
  <c r="G70" i="41"/>
  <c r="G88" i="41" s="1"/>
  <c r="G106" i="41" s="1"/>
  <c r="Z299" i="2"/>
  <c r="P299" i="2"/>
  <c r="G299" i="2"/>
  <c r="R299" i="2"/>
  <c r="V299" i="2"/>
  <c r="O299" i="2"/>
  <c r="T299" i="2"/>
  <c r="F345" i="2"/>
  <c r="F348" i="2" s="1"/>
  <c r="G348" i="2" s="1"/>
  <c r="H348" i="2" s="1"/>
  <c r="I348" i="2" s="1"/>
  <c r="J348" i="2" s="1"/>
  <c r="S299" i="2"/>
  <c r="Y299" i="2"/>
  <c r="U299" i="2"/>
  <c r="I299" i="2"/>
  <c r="J299" i="2"/>
  <c r="F322" i="2"/>
  <c r="X299" i="2"/>
  <c r="H299" i="2"/>
  <c r="W299" i="2"/>
  <c r="Q299" i="2"/>
  <c r="F252" i="2"/>
  <c r="F255" i="2" s="1"/>
  <c r="G255" i="2" s="1"/>
  <c r="H255" i="2" s="1"/>
  <c r="I255" i="2" s="1"/>
  <c r="J255" i="2" s="1"/>
  <c r="Z206" i="2"/>
  <c r="F229" i="2"/>
  <c r="I206" i="2"/>
  <c r="S206" i="2"/>
  <c r="H206" i="2"/>
  <c r="Y206" i="2"/>
  <c r="U206" i="2"/>
  <c r="X206" i="2"/>
  <c r="T206" i="2"/>
  <c r="W206" i="2"/>
  <c r="J206" i="2"/>
  <c r="V206" i="2"/>
  <c r="G206" i="2"/>
  <c r="E423" i="2"/>
  <c r="E431" i="2"/>
  <c r="W392" i="2"/>
  <c r="G392" i="2"/>
  <c r="I392" i="2"/>
  <c r="U392" i="2"/>
  <c r="R392" i="2"/>
  <c r="V392" i="2"/>
  <c r="F415" i="2"/>
  <c r="S392" i="2"/>
  <c r="J392" i="2"/>
  <c r="Y392" i="2"/>
  <c r="Z392" i="2"/>
  <c r="X392" i="2"/>
  <c r="H392" i="2"/>
  <c r="T392" i="2"/>
  <c r="F438" i="2"/>
  <c r="F441" i="2" s="1"/>
  <c r="G441" i="2" s="1"/>
  <c r="H441" i="2" s="1"/>
  <c r="I441" i="2" s="1"/>
  <c r="J441" i="2" s="1"/>
  <c r="K441" i="2" s="1"/>
  <c r="Q392" i="2"/>
  <c r="I156" i="32"/>
  <c r="J156" i="3"/>
  <c r="H154" i="32"/>
  <c r="I154" i="3"/>
  <c r="J155" i="3"/>
  <c r="I155" i="32"/>
  <c r="H157" i="32"/>
  <c r="I157" i="3"/>
  <c r="I44" i="3"/>
  <c r="I44" i="32"/>
  <c r="G93" i="32"/>
  <c r="H93" i="3"/>
  <c r="A13" i="3"/>
  <c r="I13" i="3" s="1"/>
  <c r="G394" i="2"/>
  <c r="H394" i="2" s="1"/>
  <c r="I394" i="2" s="1"/>
  <c r="J394" i="2" s="1"/>
  <c r="K394" i="2" s="1"/>
  <c r="L394" i="2" s="1"/>
  <c r="M394" i="2" s="1"/>
  <c r="N394" i="2" s="1"/>
  <c r="O394" i="2" s="1"/>
  <c r="P394" i="2" s="1"/>
  <c r="Q394" i="2" s="1"/>
  <c r="R394" i="2" s="1"/>
  <c r="S394" i="2" s="1"/>
  <c r="T394" i="2" s="1"/>
  <c r="U394" i="2" s="1"/>
  <c r="V394" i="2" s="1"/>
  <c r="W394" i="2" s="1"/>
  <c r="X394" i="2" s="1"/>
  <c r="Y394" i="2" s="1"/>
  <c r="Z394" i="2" s="1"/>
  <c r="G318" i="33"/>
  <c r="I318" i="33"/>
  <c r="H318" i="33"/>
  <c r="C260" i="2"/>
  <c r="C261" i="2" s="1"/>
  <c r="C262" i="2" s="1"/>
  <c r="C263" i="2" s="1"/>
  <c r="C264" i="2" s="1"/>
  <c r="C446" i="2"/>
  <c r="C447" i="2" s="1"/>
  <c r="C448" i="2" s="1"/>
  <c r="C449" i="2" s="1"/>
  <c r="C450" i="2" s="1"/>
  <c r="C451" i="2" s="1"/>
  <c r="C452" i="2" s="1"/>
  <c r="C453" i="2" s="1"/>
  <c r="I411" i="33"/>
  <c r="H411" i="33"/>
  <c r="G411" i="33"/>
  <c r="G225" i="33"/>
  <c r="H225" i="33"/>
  <c r="I225" i="33"/>
  <c r="C141" i="3"/>
  <c r="C157" i="3" s="1"/>
  <c r="L30" i="1" s="1"/>
  <c r="H9" i="2"/>
  <c r="G195" i="2"/>
  <c r="G9" i="2"/>
  <c r="G288" i="2"/>
  <c r="H102" i="2"/>
  <c r="G102" i="2"/>
  <c r="H195" i="2"/>
  <c r="I195" i="2"/>
  <c r="I9" i="2"/>
  <c r="J9" i="2"/>
  <c r="I132" i="2"/>
  <c r="G132" i="2"/>
  <c r="H132" i="2"/>
  <c r="J132" i="2"/>
  <c r="G394" i="33"/>
  <c r="H394" i="33" s="1"/>
  <c r="I394" i="33" s="1"/>
  <c r="J394" i="33" s="1"/>
  <c r="K394" i="33" s="1"/>
  <c r="L394" i="33" s="1"/>
  <c r="M394" i="33" s="1"/>
  <c r="N394" i="33" s="1"/>
  <c r="O394" i="33" s="1"/>
  <c r="P394" i="33" s="1"/>
  <c r="Q394" i="33" s="1"/>
  <c r="R394" i="33" s="1"/>
  <c r="S394" i="33" s="1"/>
  <c r="T394" i="33" s="1"/>
  <c r="U394" i="33" s="1"/>
  <c r="V394" i="33" s="1"/>
  <c r="W394" i="33" s="1"/>
  <c r="X394" i="33" s="1"/>
  <c r="Y394" i="33" s="1"/>
  <c r="Z394" i="33" s="1"/>
  <c r="C353" i="2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74" i="2"/>
  <c r="AB16" i="2"/>
  <c r="AB109" i="2"/>
  <c r="C167" i="2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76" i="41"/>
  <c r="C31" i="41"/>
  <c r="C49" i="41" s="1"/>
  <c r="G318" i="2"/>
  <c r="H318" i="2"/>
  <c r="I318" i="2"/>
  <c r="J318" i="2"/>
  <c r="G115" i="2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H225" i="2"/>
  <c r="I225" i="2"/>
  <c r="G225" i="2"/>
  <c r="I39" i="33"/>
  <c r="H39" i="33"/>
  <c r="G39" i="33"/>
  <c r="J411" i="2"/>
  <c r="G411" i="2"/>
  <c r="H411" i="2"/>
  <c r="I411" i="2"/>
  <c r="G22" i="33"/>
  <c r="H22" i="33" s="1"/>
  <c r="I22" i="33" s="1"/>
  <c r="J22" i="33" s="1"/>
  <c r="K22" i="33" s="1"/>
  <c r="L22" i="33" s="1"/>
  <c r="M22" i="33" s="1"/>
  <c r="N22" i="33" s="1"/>
  <c r="O22" i="33" s="1"/>
  <c r="P22" i="33" s="1"/>
  <c r="Q22" i="33" s="1"/>
  <c r="R22" i="33" s="1"/>
  <c r="S22" i="33" s="1"/>
  <c r="T22" i="33" s="1"/>
  <c r="U22" i="33" s="1"/>
  <c r="V22" i="33" s="1"/>
  <c r="W22" i="33" s="1"/>
  <c r="X22" i="33" s="1"/>
  <c r="Y22" i="33" s="1"/>
  <c r="Z22" i="33" s="1"/>
  <c r="G132" i="33"/>
  <c r="H132" i="33"/>
  <c r="I132" i="33"/>
  <c r="M194" i="33"/>
  <c r="U380" i="33"/>
  <c r="G101" i="33"/>
  <c r="S194" i="33"/>
  <c r="L194" i="33"/>
  <c r="V194" i="33"/>
  <c r="Q28" i="34"/>
  <c r="Q26" i="34"/>
  <c r="S26" i="34"/>
  <c r="P28" i="34"/>
  <c r="I287" i="33"/>
  <c r="H101" i="33"/>
  <c r="U287" i="33"/>
  <c r="H8" i="33"/>
  <c r="Q8" i="33"/>
  <c r="E5" i="33"/>
  <c r="N380" i="33"/>
  <c r="K380" i="33"/>
  <c r="J380" i="33"/>
  <c r="M287" i="33"/>
  <c r="Y287" i="33"/>
  <c r="W101" i="33"/>
  <c r="T287" i="33"/>
  <c r="I28" i="34"/>
  <c r="S28" i="34"/>
  <c r="S27" i="34"/>
  <c r="O28" i="34"/>
  <c r="H287" i="33"/>
  <c r="H194" i="33"/>
  <c r="I194" i="33"/>
  <c r="X8" i="33"/>
  <c r="W8" i="33"/>
  <c r="E98" i="33"/>
  <c r="M380" i="33"/>
  <c r="N194" i="33"/>
  <c r="K287" i="33"/>
  <c r="R380" i="33"/>
  <c r="V101" i="33"/>
  <c r="Y101" i="33"/>
  <c r="W194" i="33"/>
  <c r="G27" i="34"/>
  <c r="Q27" i="34"/>
  <c r="M28" i="34"/>
  <c r="T26" i="34"/>
  <c r="R194" i="33"/>
  <c r="O287" i="33"/>
  <c r="U8" i="33"/>
  <c r="I8" i="33"/>
  <c r="E284" i="33"/>
  <c r="C77" i="32"/>
  <c r="C93" i="32" s="1"/>
  <c r="C109" i="32" s="1"/>
  <c r="C125" i="32" s="1"/>
  <c r="Z287" i="33"/>
  <c r="M8" i="33"/>
  <c r="L287" i="33"/>
  <c r="V287" i="33"/>
  <c r="G26" i="34"/>
  <c r="I26" i="34"/>
  <c r="L26" i="34"/>
  <c r="G287" i="33"/>
  <c r="L101" i="33"/>
  <c r="T8" i="33"/>
  <c r="Y8" i="33"/>
  <c r="E377" i="33"/>
  <c r="K194" i="33"/>
  <c r="Y194" i="33"/>
  <c r="M101" i="33"/>
  <c r="P27" i="34"/>
  <c r="T28" i="34"/>
  <c r="N27" i="34"/>
  <c r="K101" i="33"/>
  <c r="X101" i="33"/>
  <c r="F26" i="34"/>
  <c r="P8" i="33"/>
  <c r="P380" i="33"/>
  <c r="J28" i="34"/>
  <c r="T380" i="33"/>
  <c r="J101" i="33"/>
  <c r="X287" i="33"/>
  <c r="H27" i="34"/>
  <c r="N26" i="34"/>
  <c r="Z194" i="33"/>
  <c r="S8" i="33"/>
  <c r="E191" i="33"/>
  <c r="W380" i="33"/>
  <c r="T101" i="33"/>
  <c r="Z101" i="33"/>
  <c r="O194" i="33"/>
  <c r="P26" i="34"/>
  <c r="M27" i="34"/>
  <c r="S101" i="33"/>
  <c r="I101" i="33"/>
  <c r="F28" i="34"/>
  <c r="J8" i="33"/>
  <c r="Z380" i="33"/>
  <c r="O27" i="34"/>
  <c r="L27" i="34"/>
  <c r="U101" i="33"/>
  <c r="N8" i="33"/>
  <c r="H380" i="33"/>
  <c r="L380" i="33"/>
  <c r="Q194" i="33"/>
  <c r="R101" i="33"/>
  <c r="U194" i="33"/>
  <c r="I27" i="34"/>
  <c r="G28" i="34"/>
  <c r="Q380" i="33"/>
  <c r="O8" i="33"/>
  <c r="O380" i="33"/>
  <c r="G380" i="33"/>
  <c r="W287" i="33"/>
  <c r="X380" i="33"/>
  <c r="H26" i="34"/>
  <c r="S380" i="33"/>
  <c r="G8" i="33"/>
  <c r="N287" i="33"/>
  <c r="R27" i="34"/>
  <c r="J287" i="33"/>
  <c r="V8" i="33"/>
  <c r="J194" i="33"/>
  <c r="R26" i="34"/>
  <c r="N101" i="33"/>
  <c r="K8" i="33"/>
  <c r="J26" i="34"/>
  <c r="Q101" i="33"/>
  <c r="T194" i="33"/>
  <c r="T27" i="34"/>
  <c r="P287" i="33"/>
  <c r="G194" i="33"/>
  <c r="M26" i="34"/>
  <c r="X194" i="33"/>
  <c r="F27" i="34"/>
  <c r="P194" i="33"/>
  <c r="H28" i="34"/>
  <c r="N28" i="34"/>
  <c r="S287" i="33"/>
  <c r="R287" i="33"/>
  <c r="L8" i="33"/>
  <c r="O101" i="33"/>
  <c r="Q287" i="33"/>
  <c r="Z8" i="33"/>
  <c r="V380" i="33"/>
  <c r="R8" i="33"/>
  <c r="I380" i="33"/>
  <c r="P101" i="33"/>
  <c r="R28" i="34"/>
  <c r="Y380" i="33"/>
  <c r="O26" i="34"/>
  <c r="L28" i="34"/>
  <c r="G10" i="3"/>
  <c r="G218" i="3" s="1"/>
  <c r="G170" i="3" s="1"/>
  <c r="G234" i="3" s="1"/>
  <c r="I10" i="3"/>
  <c r="I218" i="3" s="1"/>
  <c r="I170" i="3" s="1"/>
  <c r="E10" i="3"/>
  <c r="E218" i="3" s="1"/>
  <c r="E170" i="3" s="1"/>
  <c r="E234" i="3" s="1"/>
  <c r="U10" i="3"/>
  <c r="H10" i="3"/>
  <c r="H218" i="3" s="1"/>
  <c r="H170" i="3" s="1"/>
  <c r="S10" i="3"/>
  <c r="K10" i="3"/>
  <c r="L10" i="3"/>
  <c r="F10" i="3"/>
  <c r="F218" i="3" s="1"/>
  <c r="F170" i="3" s="1"/>
  <c r="F234" i="3" s="1"/>
  <c r="Q10" i="3"/>
  <c r="N10" i="3"/>
  <c r="J10" i="3"/>
  <c r="O10" i="3"/>
  <c r="M10" i="3"/>
  <c r="W10" i="3"/>
  <c r="X10" i="3"/>
  <c r="R10" i="3"/>
  <c r="P10" i="3"/>
  <c r="V10" i="3"/>
  <c r="T10" i="3"/>
  <c r="A42" i="32"/>
  <c r="A58" i="32" s="1"/>
  <c r="A74" i="32" s="1"/>
  <c r="A90" i="32" s="1"/>
  <c r="A106" i="32" s="1"/>
  <c r="A122" i="32" s="1"/>
  <c r="A138" i="32" s="1"/>
  <c r="A154" i="32" s="1"/>
  <c r="A170" i="32" s="1"/>
  <c r="A186" i="32" s="1"/>
  <c r="A202" i="32" s="1"/>
  <c r="A218" i="32" s="1"/>
  <c r="A234" i="32" s="1"/>
  <c r="A250" i="32" s="1"/>
  <c r="A266" i="32" s="1"/>
  <c r="A282" i="32" s="1"/>
  <c r="A10" i="32"/>
  <c r="J429" i="33"/>
  <c r="E151" i="33"/>
  <c r="E143" i="33"/>
  <c r="A11" i="3"/>
  <c r="A43" i="3"/>
  <c r="A59" i="3" s="1"/>
  <c r="A75" i="3" s="1"/>
  <c r="A91" i="3" s="1"/>
  <c r="A107" i="3" s="1"/>
  <c r="A123" i="3" s="1"/>
  <c r="A139" i="3" s="1"/>
  <c r="A155" i="3" s="1"/>
  <c r="A171" i="3" s="1"/>
  <c r="A187" i="3" s="1"/>
  <c r="A203" i="3" s="1"/>
  <c r="A219" i="3" s="1"/>
  <c r="A235" i="3" s="1"/>
  <c r="A251" i="3" s="1"/>
  <c r="A267" i="3" s="1"/>
  <c r="A283" i="3" s="1"/>
  <c r="E236" i="33"/>
  <c r="E244" i="33"/>
  <c r="N208" i="33"/>
  <c r="K441" i="33"/>
  <c r="E80" i="33"/>
  <c r="E58" i="34"/>
  <c r="J150" i="33"/>
  <c r="E49" i="33"/>
  <c r="E57" i="33"/>
  <c r="J336" i="2"/>
  <c r="E49" i="2"/>
  <c r="E57" i="2"/>
  <c r="J243" i="33"/>
  <c r="J57" i="33"/>
  <c r="H120" i="32" l="1"/>
  <c r="H280" i="3"/>
  <c r="K57" i="2"/>
  <c r="J540" i="2"/>
  <c r="K522" i="2"/>
  <c r="K615" i="33"/>
  <c r="K348" i="33"/>
  <c r="K253" i="33"/>
  <c r="K69" i="33"/>
  <c r="K346" i="33"/>
  <c r="AB481" i="33"/>
  <c r="J27" i="34"/>
  <c r="K206" i="33"/>
  <c r="K299" i="33"/>
  <c r="W13" i="3"/>
  <c r="A41" i="3"/>
  <c r="A57" i="3" s="1"/>
  <c r="A73" i="3" s="1"/>
  <c r="A89" i="3" s="1"/>
  <c r="A105" i="3" s="1"/>
  <c r="A121" i="3" s="1"/>
  <c r="A137" i="3" s="1"/>
  <c r="A153" i="3" s="1"/>
  <c r="A169" i="3" s="1"/>
  <c r="A185" i="3" s="1"/>
  <c r="A201" i="3" s="1"/>
  <c r="A217" i="3" s="1"/>
  <c r="A233" i="3" s="1"/>
  <c r="A249" i="3" s="1"/>
  <c r="A265" i="3" s="1"/>
  <c r="A281" i="3" s="1"/>
  <c r="A9" i="3"/>
  <c r="J13" i="3"/>
  <c r="A41" i="32"/>
  <c r="A57" i="32" s="1"/>
  <c r="A73" i="32" s="1"/>
  <c r="A89" i="32" s="1"/>
  <c r="A105" i="32" s="1"/>
  <c r="A121" i="32" s="1"/>
  <c r="A137" i="32" s="1"/>
  <c r="A153" i="32" s="1"/>
  <c r="A169" i="32" s="1"/>
  <c r="A185" i="32" s="1"/>
  <c r="A201" i="32" s="1"/>
  <c r="A217" i="32" s="1"/>
  <c r="A233" i="32" s="1"/>
  <c r="A249" i="32" s="1"/>
  <c r="A265" i="32" s="1"/>
  <c r="A281" i="32" s="1"/>
  <c r="A9" i="32"/>
  <c r="G29" i="32"/>
  <c r="H29" i="32" s="1"/>
  <c r="I29" i="32" s="1"/>
  <c r="J29" i="32" s="1"/>
  <c r="K29" i="32" s="1"/>
  <c r="L29" i="32" s="1"/>
  <c r="M29" i="32" s="1"/>
  <c r="N29" i="32" s="1"/>
  <c r="O29" i="32" s="1"/>
  <c r="P29" i="32" s="1"/>
  <c r="Q29" i="32" s="1"/>
  <c r="R29" i="32" s="1"/>
  <c r="S29" i="32" s="1"/>
  <c r="T29" i="32" s="1"/>
  <c r="U29" i="32" s="1"/>
  <c r="V29" i="32" s="1"/>
  <c r="W29" i="32" s="1"/>
  <c r="X29" i="32" s="1"/>
  <c r="K348" i="2"/>
  <c r="K432" i="2"/>
  <c r="K299" i="2"/>
  <c r="K193" i="2"/>
  <c r="K225" i="2" s="1"/>
  <c r="K379" i="2"/>
  <c r="K411" i="2" s="1"/>
  <c r="K565" i="2"/>
  <c r="K1" i="33"/>
  <c r="K472" i="33" s="1"/>
  <c r="K472" i="2"/>
  <c r="K477" i="2" s="1"/>
  <c r="K540" i="2" s="1"/>
  <c r="K100" i="2"/>
  <c r="K132" i="2" s="1"/>
  <c r="K255" i="2"/>
  <c r="I4" i="3"/>
  <c r="W86" i="31" s="1"/>
  <c r="K392" i="2"/>
  <c r="K67" i="2"/>
  <c r="K439" i="2"/>
  <c r="K625" i="2"/>
  <c r="F418" i="33"/>
  <c r="F443" i="33" s="1"/>
  <c r="F444" i="33" s="1"/>
  <c r="V13" i="3"/>
  <c r="G13" i="3"/>
  <c r="G221" i="3" s="1"/>
  <c r="G173" i="3" s="1"/>
  <c r="K13" i="3"/>
  <c r="E338" i="33"/>
  <c r="R13" i="3"/>
  <c r="G137" i="3"/>
  <c r="J102" i="2"/>
  <c r="L574" i="2"/>
  <c r="L606" i="2" s="1"/>
  <c r="L574" i="33"/>
  <c r="L388" i="33"/>
  <c r="L392" i="33" s="1"/>
  <c r="L202" i="33"/>
  <c r="L295" i="33"/>
  <c r="J68" i="41"/>
  <c r="L295" i="2"/>
  <c r="L388" i="2"/>
  <c r="AQ7" i="5"/>
  <c r="L202" i="2"/>
  <c r="K160" i="33"/>
  <c r="AP14" i="5"/>
  <c r="K67" i="33"/>
  <c r="K439" i="33"/>
  <c r="C30" i="1"/>
  <c r="K206" i="2"/>
  <c r="L624" i="2"/>
  <c r="L624" i="33"/>
  <c r="L609" i="33"/>
  <c r="L618" i="33" s="1"/>
  <c r="L609" i="2"/>
  <c r="L618" i="2" s="1"/>
  <c r="L531" i="2"/>
  <c r="L516" i="2"/>
  <c r="L525" i="2" s="1"/>
  <c r="L623" i="33"/>
  <c r="L531" i="33"/>
  <c r="L516" i="33"/>
  <c r="L525" i="33" s="1"/>
  <c r="L623" i="2"/>
  <c r="L625" i="2" s="1"/>
  <c r="L513" i="33"/>
  <c r="L530" i="33"/>
  <c r="L513" i="2"/>
  <c r="L530" i="2"/>
  <c r="L532" i="2" s="1"/>
  <c r="L237" i="33"/>
  <c r="L246" i="33" s="1"/>
  <c r="L141" i="2"/>
  <c r="L150" i="2" s="1"/>
  <c r="L48" i="2"/>
  <c r="L141" i="33"/>
  <c r="L144" i="2"/>
  <c r="L153" i="2" s="1"/>
  <c r="L159" i="2"/>
  <c r="L345" i="33"/>
  <c r="L144" i="33"/>
  <c r="L153" i="33" s="1"/>
  <c r="L237" i="2"/>
  <c r="L246" i="2" s="1"/>
  <c r="L66" i="2"/>
  <c r="L66" i="33"/>
  <c r="L438" i="33"/>
  <c r="L423" i="2"/>
  <c r="L432" i="2" s="1"/>
  <c r="L51" i="33"/>
  <c r="L60" i="33" s="1"/>
  <c r="L423" i="33"/>
  <c r="L432" i="33" s="1"/>
  <c r="AQ13" i="5"/>
  <c r="L437" i="33"/>
  <c r="L330" i="2"/>
  <c r="L339" i="2" s="1"/>
  <c r="L65" i="33"/>
  <c r="L438" i="2"/>
  <c r="L441" i="2" s="1"/>
  <c r="L51" i="2"/>
  <c r="L60" i="2" s="1"/>
  <c r="L252" i="2"/>
  <c r="L159" i="33"/>
  <c r="L252" i="33"/>
  <c r="L345" i="2"/>
  <c r="L344" i="33"/>
  <c r="L346" i="33" s="1"/>
  <c r="L330" i="33"/>
  <c r="L339" i="33" s="1"/>
  <c r="L344" i="2"/>
  <c r="L65" i="2"/>
  <c r="L251" i="2"/>
  <c r="L158" i="33"/>
  <c r="L160" i="33" s="1"/>
  <c r="L251" i="33"/>
  <c r="L253" i="33" s="1"/>
  <c r="L158" i="2"/>
  <c r="L437" i="2"/>
  <c r="L48" i="33"/>
  <c r="L162" i="33"/>
  <c r="K615" i="2"/>
  <c r="L615" i="2" s="1"/>
  <c r="K160" i="2"/>
  <c r="K532" i="2"/>
  <c r="K522" i="33"/>
  <c r="K420" i="33"/>
  <c r="K392" i="33"/>
  <c r="L69" i="33"/>
  <c r="C14" i="1"/>
  <c r="G13" i="1"/>
  <c r="K13" i="1"/>
  <c r="H13" i="1" s="1"/>
  <c r="K346" i="2"/>
  <c r="K532" i="33"/>
  <c r="G289" i="32"/>
  <c r="G257" i="32"/>
  <c r="G273" i="32" s="1"/>
  <c r="E258" i="3"/>
  <c r="E290" i="3"/>
  <c r="E292" i="3"/>
  <c r="F256" i="3"/>
  <c r="F272" i="3" s="1"/>
  <c r="F288" i="3"/>
  <c r="I118" i="32"/>
  <c r="J118" i="3"/>
  <c r="J163" i="32"/>
  <c r="K163" i="3"/>
  <c r="M152" i="3"/>
  <c r="L152" i="32"/>
  <c r="L216" i="3"/>
  <c r="I227" i="32"/>
  <c r="I179" i="32" s="1"/>
  <c r="F292" i="3"/>
  <c r="G290" i="3"/>
  <c r="J165" i="32"/>
  <c r="J229" i="32" s="1"/>
  <c r="J181" i="32" s="1"/>
  <c r="K165" i="3"/>
  <c r="I182" i="3"/>
  <c r="J198" i="3"/>
  <c r="J230" i="3"/>
  <c r="L91" i="3"/>
  <c r="K91" i="32"/>
  <c r="K115" i="3"/>
  <c r="J115" i="32"/>
  <c r="J227" i="3"/>
  <c r="I99" i="32"/>
  <c r="J99" i="3"/>
  <c r="K96" i="3"/>
  <c r="J96" i="32"/>
  <c r="I229" i="32"/>
  <c r="I181" i="32" s="1"/>
  <c r="J100" i="32"/>
  <c r="K100" i="3"/>
  <c r="I160" i="32"/>
  <c r="J160" i="3"/>
  <c r="I85" i="32"/>
  <c r="I75" i="32"/>
  <c r="I80" i="32"/>
  <c r="I128" i="32" s="1"/>
  <c r="I144" i="32" s="1"/>
  <c r="I82" i="32"/>
  <c r="I72" i="32"/>
  <c r="I77" i="32"/>
  <c r="I73" i="32"/>
  <c r="I74" i="32"/>
  <c r="I84" i="32"/>
  <c r="I78" i="32"/>
  <c r="I81" i="32"/>
  <c r="I129" i="32" s="1"/>
  <c r="I145" i="32" s="1"/>
  <c r="I79" i="32"/>
  <c r="I86" i="32"/>
  <c r="I134" i="32" s="1"/>
  <c r="I150" i="32" s="1"/>
  <c r="I246" i="32" s="1"/>
  <c r="I83" i="32"/>
  <c r="I131" i="32" s="1"/>
  <c r="I147" i="32" s="1"/>
  <c r="I76" i="32"/>
  <c r="H240" i="3"/>
  <c r="I161" i="32"/>
  <c r="I225" i="32" s="1"/>
  <c r="I177" i="32" s="1"/>
  <c r="I241" i="32" s="1"/>
  <c r="J161" i="3"/>
  <c r="J227" i="32"/>
  <c r="J179" i="32" s="1"/>
  <c r="E256" i="3"/>
  <c r="E272" i="3" s="1"/>
  <c r="E288" i="3"/>
  <c r="I221" i="3"/>
  <c r="I173" i="3" s="1"/>
  <c r="I133" i="32"/>
  <c r="F258" i="3"/>
  <c r="F274" i="3" s="1"/>
  <c r="F290" i="3"/>
  <c r="J159" i="3"/>
  <c r="I159" i="32"/>
  <c r="O112" i="3"/>
  <c r="N112" i="32"/>
  <c r="J113" i="32"/>
  <c r="K113" i="3"/>
  <c r="I72" i="3"/>
  <c r="I74" i="3"/>
  <c r="I77" i="3"/>
  <c r="I78" i="3"/>
  <c r="I83" i="3"/>
  <c r="I131" i="3" s="1"/>
  <c r="I147" i="3" s="1"/>
  <c r="I85" i="3"/>
  <c r="I133" i="3" s="1"/>
  <c r="I149" i="3" s="1"/>
  <c r="I245" i="3" s="1"/>
  <c r="I86" i="3"/>
  <c r="I134" i="3" s="1"/>
  <c r="I82" i="3"/>
  <c r="I73" i="3"/>
  <c r="I80" i="3"/>
  <c r="I128" i="3" s="1"/>
  <c r="I144" i="3" s="1"/>
  <c r="I240" i="3" s="1"/>
  <c r="I75" i="3"/>
  <c r="I81" i="3"/>
  <c r="I129" i="3" s="1"/>
  <c r="I145" i="3" s="1"/>
  <c r="I84" i="3"/>
  <c r="I79" i="3"/>
  <c r="I127" i="3" s="1"/>
  <c r="I143" i="3" s="1"/>
  <c r="I239" i="3" s="1"/>
  <c r="I76" i="3"/>
  <c r="I224" i="3"/>
  <c r="I176" i="3" s="1"/>
  <c r="J224" i="3"/>
  <c r="J176" i="3" s="1"/>
  <c r="K229" i="3"/>
  <c r="I89" i="3"/>
  <c r="H89" i="32"/>
  <c r="G294" i="3"/>
  <c r="H246" i="3"/>
  <c r="F294" i="3"/>
  <c r="F262" i="3"/>
  <c r="F278" i="3" s="1"/>
  <c r="E262" i="3"/>
  <c r="E278" i="3" s="1"/>
  <c r="E294" i="3"/>
  <c r="J166" i="32"/>
  <c r="K166" i="3"/>
  <c r="K162" i="3"/>
  <c r="J162" i="32"/>
  <c r="J5" i="32"/>
  <c r="J6" i="32" s="1"/>
  <c r="K5" i="3"/>
  <c r="J6" i="3"/>
  <c r="F261" i="3"/>
  <c r="F277" i="3" s="1"/>
  <c r="F293" i="3"/>
  <c r="J229" i="3"/>
  <c r="J117" i="32"/>
  <c r="K117" i="3"/>
  <c r="H245" i="32"/>
  <c r="E257" i="32"/>
  <c r="E273" i="32" s="1"/>
  <c r="M153" i="3"/>
  <c r="L153" i="32"/>
  <c r="J164" i="32"/>
  <c r="K164" i="3"/>
  <c r="K197" i="3"/>
  <c r="J181" i="3"/>
  <c r="G256" i="3"/>
  <c r="G272" i="3" s="1"/>
  <c r="G288" i="3"/>
  <c r="X17" i="3"/>
  <c r="W17" i="3"/>
  <c r="H17" i="3"/>
  <c r="H225" i="3" s="1"/>
  <c r="L17" i="3"/>
  <c r="V17" i="3"/>
  <c r="R17" i="3"/>
  <c r="I17" i="3"/>
  <c r="I225" i="3" s="1"/>
  <c r="K17" i="3"/>
  <c r="G17" i="3"/>
  <c r="G225" i="3" s="1"/>
  <c r="G177" i="3" s="1"/>
  <c r="G241" i="3" s="1"/>
  <c r="G289" i="3" s="1"/>
  <c r="O17" i="3"/>
  <c r="S17" i="3"/>
  <c r="N17" i="3"/>
  <c r="T17" i="3"/>
  <c r="P17" i="3"/>
  <c r="E17" i="3"/>
  <c r="E225" i="3" s="1"/>
  <c r="E177" i="3" s="1"/>
  <c r="E241" i="3" s="1"/>
  <c r="Q17" i="3"/>
  <c r="J17" i="3"/>
  <c r="J225" i="3" s="1"/>
  <c r="M17" i="3"/>
  <c r="U17" i="3"/>
  <c r="F17" i="3"/>
  <c r="F225" i="3" s="1"/>
  <c r="F177" i="3" s="1"/>
  <c r="F241" i="3" s="1"/>
  <c r="A27" i="32"/>
  <c r="H121" i="32"/>
  <c r="H137" i="32" s="1"/>
  <c r="I224" i="32"/>
  <c r="I176" i="32" s="1"/>
  <c r="G22" i="32"/>
  <c r="G230" i="32" s="1"/>
  <c r="G182" i="32" s="1"/>
  <c r="G246" i="32" s="1"/>
  <c r="P22" i="32"/>
  <c r="U22" i="32"/>
  <c r="T22" i="32"/>
  <c r="K22" i="32"/>
  <c r="O22" i="32"/>
  <c r="R22" i="32"/>
  <c r="V22" i="32"/>
  <c r="F22" i="32"/>
  <c r="F230" i="32" s="1"/>
  <c r="F182" i="32" s="1"/>
  <c r="F246" i="32" s="1"/>
  <c r="Q22" i="32"/>
  <c r="J22" i="32"/>
  <c r="J230" i="32" s="1"/>
  <c r="J182" i="32" s="1"/>
  <c r="S22" i="32"/>
  <c r="M22" i="32"/>
  <c r="W22" i="32"/>
  <c r="E22" i="32"/>
  <c r="E230" i="32" s="1"/>
  <c r="E182" i="32" s="1"/>
  <c r="E246" i="32" s="1"/>
  <c r="X22" i="32"/>
  <c r="N22" i="32"/>
  <c r="L22" i="32"/>
  <c r="H22" i="32"/>
  <c r="H230" i="32" s="1"/>
  <c r="H182" i="32" s="1"/>
  <c r="H246" i="32" s="1"/>
  <c r="I22" i="32"/>
  <c r="I230" i="32" s="1"/>
  <c r="I182" i="32" s="1"/>
  <c r="L196" i="3"/>
  <c r="K228" i="3"/>
  <c r="K180" i="3" s="1"/>
  <c r="E293" i="3"/>
  <c r="E261" i="3"/>
  <c r="E277" i="3" s="1"/>
  <c r="H136" i="32"/>
  <c r="H287" i="3"/>
  <c r="H255" i="3"/>
  <c r="H271" i="3" s="1"/>
  <c r="L200" i="3"/>
  <c r="K168" i="3"/>
  <c r="K114" i="3"/>
  <c r="J114" i="32"/>
  <c r="I255" i="3"/>
  <c r="I271" i="3" s="1"/>
  <c r="I287" i="3"/>
  <c r="M208" i="3"/>
  <c r="F271" i="3"/>
  <c r="H177" i="3"/>
  <c r="H241" i="3" s="1"/>
  <c r="I193" i="3"/>
  <c r="L94" i="32"/>
  <c r="M94" i="3"/>
  <c r="I98" i="32"/>
  <c r="I130" i="32" s="1"/>
  <c r="I146" i="32" s="1"/>
  <c r="J98" i="3"/>
  <c r="I130" i="3"/>
  <c r="J95" i="32"/>
  <c r="K95" i="3"/>
  <c r="J195" i="3"/>
  <c r="I179" i="3"/>
  <c r="O207" i="3"/>
  <c r="N184" i="3"/>
  <c r="H290" i="3"/>
  <c r="H258" i="3"/>
  <c r="H274" i="3" s="1"/>
  <c r="K92" i="32"/>
  <c r="L92" i="3"/>
  <c r="K90" i="32"/>
  <c r="L90" i="3"/>
  <c r="I104" i="32"/>
  <c r="J104" i="3"/>
  <c r="I150" i="3"/>
  <c r="I246" i="3" s="1"/>
  <c r="I261" i="3"/>
  <c r="I277" i="3" s="1"/>
  <c r="I293" i="3"/>
  <c r="H146" i="32"/>
  <c r="G148" i="3"/>
  <c r="G244" i="3" s="1"/>
  <c r="J102" i="32"/>
  <c r="K102" i="3"/>
  <c r="J101" i="32"/>
  <c r="K101" i="3"/>
  <c r="I120" i="3"/>
  <c r="E276" i="3"/>
  <c r="K194" i="3"/>
  <c r="J178" i="3"/>
  <c r="I149" i="32"/>
  <c r="I245" i="32" s="1"/>
  <c r="J88" i="32"/>
  <c r="K88" i="3"/>
  <c r="I111" i="32"/>
  <c r="I127" i="32" s="1"/>
  <c r="J111" i="3"/>
  <c r="G277" i="3"/>
  <c r="E274" i="3"/>
  <c r="K97" i="32"/>
  <c r="L97" i="3"/>
  <c r="I120" i="32"/>
  <c r="I136" i="32" s="1"/>
  <c r="G278" i="3"/>
  <c r="F264" i="3"/>
  <c r="H291" i="3"/>
  <c r="H259" i="3"/>
  <c r="H275" i="3" s="1"/>
  <c r="H132" i="3"/>
  <c r="H148" i="3" s="1"/>
  <c r="H244" i="3" s="1"/>
  <c r="I116" i="3"/>
  <c r="H116" i="32"/>
  <c r="H132" i="32" s="1"/>
  <c r="AI15" i="4"/>
  <c r="AJ15" i="4" s="1"/>
  <c r="AK15" i="4" s="1"/>
  <c r="E110" i="3"/>
  <c r="AI14" i="4"/>
  <c r="AJ14" i="4" s="1"/>
  <c r="AK14" i="4" s="1"/>
  <c r="E109" i="3"/>
  <c r="F108" i="3"/>
  <c r="G108" i="3" s="1"/>
  <c r="E124" i="3"/>
  <c r="E108" i="32"/>
  <c r="E124" i="32" s="1"/>
  <c r="E140" i="32" s="1"/>
  <c r="C34" i="34"/>
  <c r="C32" i="34"/>
  <c r="B72" i="41"/>
  <c r="B90" i="41" s="1"/>
  <c r="B27" i="41"/>
  <c r="B45" i="41" s="1"/>
  <c r="G12" i="34"/>
  <c r="C13" i="34"/>
  <c r="K12" i="34"/>
  <c r="H12" i="34" s="1"/>
  <c r="C33" i="34"/>
  <c r="E431" i="33"/>
  <c r="E423" i="33"/>
  <c r="F261" i="32"/>
  <c r="F277" i="32" s="1"/>
  <c r="F293" i="32"/>
  <c r="F291" i="32"/>
  <c r="F259" i="32"/>
  <c r="F275" i="32" s="1"/>
  <c r="L197" i="32"/>
  <c r="A50" i="32"/>
  <c r="A66" i="32" s="1"/>
  <c r="A82" i="32" s="1"/>
  <c r="A98" i="32" s="1"/>
  <c r="A114" i="32" s="1"/>
  <c r="A130" i="32" s="1"/>
  <c r="A146" i="32" s="1"/>
  <c r="A162" i="32" s="1"/>
  <c r="A178" i="32" s="1"/>
  <c r="A194" i="32" s="1"/>
  <c r="A210" i="32" s="1"/>
  <c r="A226" i="32" s="1"/>
  <c r="A242" i="32" s="1"/>
  <c r="A258" i="32" s="1"/>
  <c r="A274" i="32" s="1"/>
  <c r="A290" i="32" s="1"/>
  <c r="A18" i="32"/>
  <c r="W15" i="32"/>
  <c r="M15" i="32"/>
  <c r="Q15" i="32"/>
  <c r="U15" i="32"/>
  <c r="J15" i="32"/>
  <c r="F15" i="32"/>
  <c r="F223" i="32" s="1"/>
  <c r="F175" i="32" s="1"/>
  <c r="F239" i="32" s="1"/>
  <c r="E15" i="32"/>
  <c r="E223" i="32" s="1"/>
  <c r="E175" i="32" s="1"/>
  <c r="E239" i="32" s="1"/>
  <c r="T15" i="32"/>
  <c r="R15" i="32"/>
  <c r="X15" i="32"/>
  <c r="L15" i="32"/>
  <c r="P15" i="32"/>
  <c r="K15" i="32"/>
  <c r="I15" i="32"/>
  <c r="I223" i="32" s="1"/>
  <c r="I175" i="32" s="1"/>
  <c r="H15" i="32"/>
  <c r="H223" i="32" s="1"/>
  <c r="H175" i="32" s="1"/>
  <c r="H239" i="32" s="1"/>
  <c r="V15" i="32"/>
  <c r="G15" i="32"/>
  <c r="G223" i="32" s="1"/>
  <c r="G175" i="32" s="1"/>
  <c r="G239" i="32" s="1"/>
  <c r="O15" i="32"/>
  <c r="N15" i="32"/>
  <c r="S15" i="32"/>
  <c r="L195" i="32"/>
  <c r="E261" i="32"/>
  <c r="E293" i="32"/>
  <c r="H261" i="32"/>
  <c r="H277" i="32" s="1"/>
  <c r="H293" i="32"/>
  <c r="T8" i="32"/>
  <c r="F8" i="32"/>
  <c r="F216" i="32" s="1"/>
  <c r="F168" i="32" s="1"/>
  <c r="F232" i="32" s="1"/>
  <c r="X8" i="32"/>
  <c r="Q8" i="32"/>
  <c r="L8" i="32"/>
  <c r="L216" i="32" s="1"/>
  <c r="O8" i="32"/>
  <c r="W8" i="32"/>
  <c r="G8" i="32"/>
  <c r="G216" i="32" s="1"/>
  <c r="G168" i="32" s="1"/>
  <c r="G232" i="32" s="1"/>
  <c r="S8" i="32"/>
  <c r="I8" i="32"/>
  <c r="I216" i="32" s="1"/>
  <c r="I168" i="32" s="1"/>
  <c r="V8" i="32"/>
  <c r="R8" i="32"/>
  <c r="H8" i="32"/>
  <c r="H216" i="32" s="1"/>
  <c r="H168" i="32" s="1"/>
  <c r="J8" i="32"/>
  <c r="J216" i="32" s="1"/>
  <c r="J168" i="32" s="1"/>
  <c r="M8" i="32"/>
  <c r="E8" i="32"/>
  <c r="E216" i="32" s="1"/>
  <c r="E168" i="32" s="1"/>
  <c r="E232" i="32" s="1"/>
  <c r="K8" i="32"/>
  <c r="K216" i="32" s="1"/>
  <c r="P8" i="32"/>
  <c r="U8" i="32"/>
  <c r="N8" i="32"/>
  <c r="K194" i="32"/>
  <c r="H256" i="32"/>
  <c r="H272" i="32" s="1"/>
  <c r="H288" i="32"/>
  <c r="Q192" i="32"/>
  <c r="E288" i="32"/>
  <c r="E256" i="32"/>
  <c r="K185" i="32"/>
  <c r="K193" i="32"/>
  <c r="L196" i="32"/>
  <c r="H291" i="32"/>
  <c r="H259" i="32"/>
  <c r="H275" i="32" s="1"/>
  <c r="L198" i="32"/>
  <c r="G261" i="32"/>
  <c r="G277" i="32" s="1"/>
  <c r="G293" i="32"/>
  <c r="E20" i="32"/>
  <c r="E228" i="32" s="1"/>
  <c r="E180" i="32" s="1"/>
  <c r="E244" i="32" s="1"/>
  <c r="N20" i="32"/>
  <c r="J20" i="32"/>
  <c r="J228" i="32" s="1"/>
  <c r="J180" i="32" s="1"/>
  <c r="H20" i="32"/>
  <c r="H228" i="32" s="1"/>
  <c r="H180" i="32" s="1"/>
  <c r="P20" i="32"/>
  <c r="U20" i="32"/>
  <c r="T20" i="32"/>
  <c r="W20" i="32"/>
  <c r="I20" i="32"/>
  <c r="I228" i="32" s="1"/>
  <c r="I180" i="32" s="1"/>
  <c r="Q20" i="32"/>
  <c r="M20" i="32"/>
  <c r="X20" i="32"/>
  <c r="K20" i="32"/>
  <c r="R20" i="32"/>
  <c r="G20" i="32"/>
  <c r="G228" i="32" s="1"/>
  <c r="G180" i="32" s="1"/>
  <c r="G244" i="32" s="1"/>
  <c r="F20" i="32"/>
  <c r="F228" i="32" s="1"/>
  <c r="F180" i="32" s="1"/>
  <c r="F244" i="32" s="1"/>
  <c r="L20" i="32"/>
  <c r="O20" i="32"/>
  <c r="V20" i="32"/>
  <c r="S20" i="32"/>
  <c r="G291" i="32"/>
  <c r="G259" i="32"/>
  <c r="G275" i="32" s="1"/>
  <c r="G288" i="32"/>
  <c r="G256" i="32"/>
  <c r="G272" i="32" s="1"/>
  <c r="E259" i="32"/>
  <c r="E291" i="32"/>
  <c r="F288" i="32"/>
  <c r="F256" i="32"/>
  <c r="F272" i="32" s="1"/>
  <c r="L184" i="32"/>
  <c r="K168" i="32"/>
  <c r="Q191" i="32"/>
  <c r="D31" i="41"/>
  <c r="D49" i="41" s="1"/>
  <c r="D62" i="32"/>
  <c r="F251" i="33"/>
  <c r="F232" i="33"/>
  <c r="F257" i="33" s="1"/>
  <c r="F258" i="33" s="1"/>
  <c r="F65" i="33"/>
  <c r="F46" i="33"/>
  <c r="F71" i="33" s="1"/>
  <c r="F72" i="33" s="1"/>
  <c r="F344" i="33"/>
  <c r="F325" i="33"/>
  <c r="F350" i="33" s="1"/>
  <c r="F351" i="33" s="1"/>
  <c r="F139" i="33"/>
  <c r="F164" i="33" s="1"/>
  <c r="F165" i="33" s="1"/>
  <c r="F158" i="33"/>
  <c r="E245" i="2"/>
  <c r="E237" i="2"/>
  <c r="Q6" i="50"/>
  <c r="Q5" i="50"/>
  <c r="A12" i="3"/>
  <c r="A44" i="3"/>
  <c r="A60" i="3" s="1"/>
  <c r="A76" i="3" s="1"/>
  <c r="A92" i="3" s="1"/>
  <c r="A108" i="3" s="1"/>
  <c r="A124" i="3" s="1"/>
  <c r="A140" i="3" s="1"/>
  <c r="A156" i="3" s="1"/>
  <c r="A172" i="3" s="1"/>
  <c r="A188" i="3" s="1"/>
  <c r="A204" i="3" s="1"/>
  <c r="A220" i="3" s="1"/>
  <c r="A236" i="3" s="1"/>
  <c r="A252" i="3" s="1"/>
  <c r="A268" i="3" s="1"/>
  <c r="A284" i="3" s="1"/>
  <c r="A28" i="32"/>
  <c r="G107" i="32"/>
  <c r="G123" i="32" s="1"/>
  <c r="G139" i="32" s="1"/>
  <c r="H107" i="3"/>
  <c r="G123" i="3"/>
  <c r="F108" i="32"/>
  <c r="F124" i="32" s="1"/>
  <c r="H381" i="33" s="1"/>
  <c r="U14" i="4"/>
  <c r="V13" i="4"/>
  <c r="W13" i="4" s="1"/>
  <c r="Q15" i="4"/>
  <c r="R15" i="4" s="1"/>
  <c r="S15" i="4" s="1"/>
  <c r="R14" i="4"/>
  <c r="S14" i="4" s="1"/>
  <c r="F139" i="3"/>
  <c r="I105" i="32"/>
  <c r="I121" i="3"/>
  <c r="J105" i="3"/>
  <c r="I106" i="3"/>
  <c r="H106" i="32"/>
  <c r="H122" i="32" s="1"/>
  <c r="J195" i="33" s="1"/>
  <c r="H122" i="3"/>
  <c r="F139" i="32"/>
  <c r="C638" i="33"/>
  <c r="E619" i="33"/>
  <c r="E611" i="33"/>
  <c r="G580" i="33"/>
  <c r="F582" i="33"/>
  <c r="G582" i="33" s="1"/>
  <c r="H582" i="33" s="1"/>
  <c r="I582" i="33" s="1"/>
  <c r="J582" i="33" s="1"/>
  <c r="K582" i="33" s="1"/>
  <c r="L582" i="33" s="1"/>
  <c r="M582" i="33" s="1"/>
  <c r="N582" i="33" s="1"/>
  <c r="O582" i="33" s="1"/>
  <c r="P582" i="33" s="1"/>
  <c r="Q582" i="33" s="1"/>
  <c r="R582" i="33" s="1"/>
  <c r="S582" i="33" s="1"/>
  <c r="T582" i="33" s="1"/>
  <c r="U582" i="33" s="1"/>
  <c r="V582" i="33" s="1"/>
  <c r="W582" i="33" s="1"/>
  <c r="X582" i="33" s="1"/>
  <c r="Y582" i="33" s="1"/>
  <c r="Z582" i="33" s="1"/>
  <c r="A583" i="33"/>
  <c r="A584" i="33" s="1"/>
  <c r="I158" i="32"/>
  <c r="J158" i="3"/>
  <c r="A14" i="32"/>
  <c r="V14" i="32" s="1"/>
  <c r="P14" i="32"/>
  <c r="X14" i="32"/>
  <c r="W14" i="3"/>
  <c r="R14" i="3"/>
  <c r="O14" i="3"/>
  <c r="P14" i="3"/>
  <c r="N14" i="3"/>
  <c r="Q14" i="3"/>
  <c r="V14" i="3"/>
  <c r="T14" i="3"/>
  <c r="X14" i="3"/>
  <c r="G14" i="3"/>
  <c r="G222" i="3" s="1"/>
  <c r="G174" i="3" s="1"/>
  <c r="M14" i="3"/>
  <c r="L14" i="3"/>
  <c r="H14" i="3"/>
  <c r="H222" i="3" s="1"/>
  <c r="H174" i="3" s="1"/>
  <c r="K14" i="3"/>
  <c r="S14" i="3"/>
  <c r="I14" i="3"/>
  <c r="I222" i="3" s="1"/>
  <c r="I174" i="3" s="1"/>
  <c r="U14" i="3"/>
  <c r="J14" i="3"/>
  <c r="J222" i="3" s="1"/>
  <c r="J174" i="3" s="1"/>
  <c r="F14" i="3"/>
  <c r="F222" i="3" s="1"/>
  <c r="F174" i="3" s="1"/>
  <c r="E14" i="3"/>
  <c r="E222" i="3" s="1"/>
  <c r="E174" i="3" s="1"/>
  <c r="J543" i="2"/>
  <c r="L472" i="2"/>
  <c r="L477" i="2" s="1"/>
  <c r="L565" i="2"/>
  <c r="E612" i="2"/>
  <c r="E621" i="2" s="1"/>
  <c r="E620" i="2"/>
  <c r="A573" i="2"/>
  <c r="A574" i="2" s="1"/>
  <c r="A575" i="2" s="1"/>
  <c r="A576" i="2" s="1"/>
  <c r="A577" i="2" s="1"/>
  <c r="A578" i="2" s="1"/>
  <c r="A579" i="2" s="1"/>
  <c r="A580" i="2" s="1"/>
  <c r="C638" i="2"/>
  <c r="C172" i="32"/>
  <c r="C188" i="32" s="1"/>
  <c r="C204" i="32" s="1"/>
  <c r="C220" i="32" s="1"/>
  <c r="C236" i="32" s="1"/>
  <c r="C252" i="32" s="1"/>
  <c r="A43" i="32"/>
  <c r="A59" i="32" s="1"/>
  <c r="A75" i="32" s="1"/>
  <c r="A91" i="32" s="1"/>
  <c r="A107" i="32" s="1"/>
  <c r="A123" i="32" s="1"/>
  <c r="A139" i="32" s="1"/>
  <c r="A155" i="32" s="1"/>
  <c r="A171" i="32" s="1"/>
  <c r="A187" i="32" s="1"/>
  <c r="A203" i="32" s="1"/>
  <c r="A219" i="32" s="1"/>
  <c r="A235" i="32" s="1"/>
  <c r="A251" i="32" s="1"/>
  <c r="A267" i="32" s="1"/>
  <c r="A283" i="32" s="1"/>
  <c r="A11" i="32"/>
  <c r="A479" i="33"/>
  <c r="C543" i="33"/>
  <c r="A479" i="2"/>
  <c r="A480" i="2" s="1"/>
  <c r="A481" i="2" s="1"/>
  <c r="A482" i="2" s="1"/>
  <c r="A483" i="2" s="1"/>
  <c r="A484" i="2" s="1"/>
  <c r="A485" i="2" s="1"/>
  <c r="A486" i="2" s="1"/>
  <c r="A487" i="2" s="1"/>
  <c r="E526" i="2"/>
  <c r="E518" i="2"/>
  <c r="C543" i="2"/>
  <c r="E340" i="2"/>
  <c r="E332" i="2"/>
  <c r="L100" i="2"/>
  <c r="J4" i="3"/>
  <c r="X86" i="31" s="1"/>
  <c r="L286" i="2"/>
  <c r="L318" i="2" s="1"/>
  <c r="M1" i="2"/>
  <c r="L1" i="33"/>
  <c r="L379" i="2"/>
  <c r="L411" i="2" s="1"/>
  <c r="L193" i="2"/>
  <c r="L225" i="2" s="1"/>
  <c r="L7" i="2"/>
  <c r="F232" i="2"/>
  <c r="F257" i="2" s="1"/>
  <c r="F258" i="2" s="1"/>
  <c r="F251" i="2"/>
  <c r="E145" i="2"/>
  <c r="E153" i="2"/>
  <c r="H43" i="41"/>
  <c r="H61" i="41" s="1"/>
  <c r="H70" i="41"/>
  <c r="H88" i="41" s="1"/>
  <c r="H106" i="41" s="1"/>
  <c r="F158" i="2"/>
  <c r="F139" i="2"/>
  <c r="F164" i="2" s="1"/>
  <c r="F165" i="2" s="1"/>
  <c r="E80" i="2"/>
  <c r="E58" i="1"/>
  <c r="E432" i="2"/>
  <c r="E424" i="2"/>
  <c r="M2" i="33"/>
  <c r="K1" i="32" s="1"/>
  <c r="AQ5" i="5"/>
  <c r="N2" i="2"/>
  <c r="K1" i="3"/>
  <c r="F437" i="2"/>
  <c r="F418" i="2"/>
  <c r="F443" i="2" s="1"/>
  <c r="F444" i="2" s="1"/>
  <c r="F325" i="2"/>
  <c r="F350" i="2" s="1"/>
  <c r="F351" i="2" s="1"/>
  <c r="F344" i="2"/>
  <c r="A11" i="2"/>
  <c r="K155" i="3"/>
  <c r="J155" i="32"/>
  <c r="J154" i="3"/>
  <c r="J218" i="3" s="1"/>
  <c r="J170" i="3" s="1"/>
  <c r="I154" i="32"/>
  <c r="J221" i="3"/>
  <c r="J173" i="3" s="1"/>
  <c r="I157" i="32"/>
  <c r="J157" i="3"/>
  <c r="J156" i="32"/>
  <c r="K156" i="3"/>
  <c r="J44" i="3"/>
  <c r="J44" i="32"/>
  <c r="H93" i="32"/>
  <c r="I93" i="3"/>
  <c r="L13" i="3"/>
  <c r="E13" i="3"/>
  <c r="E221" i="3" s="1"/>
  <c r="E173" i="3" s="1"/>
  <c r="S13" i="3"/>
  <c r="T13" i="3"/>
  <c r="X13" i="3"/>
  <c r="P13" i="3"/>
  <c r="N13" i="3"/>
  <c r="F13" i="3"/>
  <c r="F221" i="3" s="1"/>
  <c r="F173" i="3" s="1"/>
  <c r="Q13" i="3"/>
  <c r="U13" i="3"/>
  <c r="H13" i="3"/>
  <c r="H221" i="3" s="1"/>
  <c r="H173" i="3" s="1"/>
  <c r="M13" i="3"/>
  <c r="O13" i="3"/>
  <c r="F440" i="33"/>
  <c r="G440" i="33" s="1"/>
  <c r="F439" i="33"/>
  <c r="C74" i="33"/>
  <c r="C75" i="33" s="1"/>
  <c r="C76" i="33" s="1"/>
  <c r="C77" i="33" s="1"/>
  <c r="C78" i="33" s="1"/>
  <c r="C79" i="33" s="1"/>
  <c r="AB16" i="33"/>
  <c r="C446" i="33"/>
  <c r="C447" i="33" s="1"/>
  <c r="C448" i="33" s="1"/>
  <c r="C449" i="33" s="1"/>
  <c r="C450" i="33" s="1"/>
  <c r="C451" i="33" s="1"/>
  <c r="N30" i="1"/>
  <c r="O30" i="1"/>
  <c r="K30" i="1"/>
  <c r="R30" i="1"/>
  <c r="C173" i="3"/>
  <c r="C189" i="3" s="1"/>
  <c r="C205" i="3" s="1"/>
  <c r="C221" i="3" s="1"/>
  <c r="C237" i="3" s="1"/>
  <c r="C253" i="3" s="1"/>
  <c r="J30" i="1"/>
  <c r="H30" i="1"/>
  <c r="F30" i="1"/>
  <c r="S30" i="1"/>
  <c r="Q30" i="1"/>
  <c r="G30" i="1"/>
  <c r="P30" i="1"/>
  <c r="T30" i="1"/>
  <c r="I30" i="1"/>
  <c r="M30" i="1"/>
  <c r="C75" i="2"/>
  <c r="C260" i="33"/>
  <c r="C261" i="33" s="1"/>
  <c r="C262" i="33" s="1"/>
  <c r="C263" i="33" s="1"/>
  <c r="C264" i="33" s="1"/>
  <c r="C265" i="33" s="1"/>
  <c r="C266" i="33" s="1"/>
  <c r="G102" i="33"/>
  <c r="H9" i="33"/>
  <c r="I102" i="33"/>
  <c r="G9" i="33"/>
  <c r="I195" i="33"/>
  <c r="G195" i="33"/>
  <c r="J102" i="33"/>
  <c r="I9" i="33"/>
  <c r="C141" i="32"/>
  <c r="C157" i="32" s="1"/>
  <c r="K30" i="34" s="1"/>
  <c r="H102" i="33"/>
  <c r="H288" i="33"/>
  <c r="H195" i="33"/>
  <c r="G288" i="33"/>
  <c r="J9" i="33"/>
  <c r="K9" i="33"/>
  <c r="C353" i="33"/>
  <c r="C94" i="41"/>
  <c r="C167" i="33"/>
  <c r="AB109" i="33"/>
  <c r="M10" i="32"/>
  <c r="F10" i="32"/>
  <c r="F218" i="32" s="1"/>
  <c r="F170" i="32" s="1"/>
  <c r="F234" i="32" s="1"/>
  <c r="P10" i="32"/>
  <c r="I10" i="32"/>
  <c r="I218" i="32" s="1"/>
  <c r="I170" i="32" s="1"/>
  <c r="R10" i="32"/>
  <c r="K10" i="32"/>
  <c r="U10" i="32"/>
  <c r="L10" i="32"/>
  <c r="S10" i="32"/>
  <c r="E10" i="32"/>
  <c r="E218" i="32" s="1"/>
  <c r="E170" i="32" s="1"/>
  <c r="E234" i="32" s="1"/>
  <c r="X10" i="32"/>
  <c r="O10" i="32"/>
  <c r="G10" i="32"/>
  <c r="G218" i="32" s="1"/>
  <c r="G170" i="32" s="1"/>
  <c r="G234" i="32" s="1"/>
  <c r="H10" i="32"/>
  <c r="H218" i="32" s="1"/>
  <c r="H170" i="32" s="1"/>
  <c r="J10" i="32"/>
  <c r="N10" i="32"/>
  <c r="V10" i="32"/>
  <c r="Q10" i="32"/>
  <c r="T10" i="32"/>
  <c r="W10" i="32"/>
  <c r="E282" i="3"/>
  <c r="E250" i="3"/>
  <c r="F250" i="3"/>
  <c r="F282" i="3"/>
  <c r="G282" i="3"/>
  <c r="G250" i="3"/>
  <c r="E152" i="33"/>
  <c r="E144" i="33"/>
  <c r="K429" i="33"/>
  <c r="C454" i="2"/>
  <c r="K243" i="33"/>
  <c r="I11" i="3"/>
  <c r="I219" i="3" s="1"/>
  <c r="I171" i="3" s="1"/>
  <c r="M11" i="3"/>
  <c r="J11" i="3"/>
  <c r="J219" i="3" s="1"/>
  <c r="J171" i="3" s="1"/>
  <c r="T11" i="3"/>
  <c r="Q11" i="3"/>
  <c r="W11" i="3"/>
  <c r="L11" i="3"/>
  <c r="E11" i="3"/>
  <c r="E219" i="3" s="1"/>
  <c r="E171" i="3" s="1"/>
  <c r="E235" i="3" s="1"/>
  <c r="N11" i="3"/>
  <c r="G11" i="3"/>
  <c r="G219" i="3" s="1"/>
  <c r="G171" i="3" s="1"/>
  <c r="S11" i="3"/>
  <c r="H11" i="3"/>
  <c r="H219" i="3" s="1"/>
  <c r="H171" i="3" s="1"/>
  <c r="V11" i="3"/>
  <c r="X11" i="3"/>
  <c r="F11" i="3"/>
  <c r="F219" i="3" s="1"/>
  <c r="F171" i="3" s="1"/>
  <c r="K11" i="3"/>
  <c r="K219" i="3" s="1"/>
  <c r="K171" i="3" s="1"/>
  <c r="P11" i="3"/>
  <c r="U11" i="3"/>
  <c r="O11" i="3"/>
  <c r="R11" i="3"/>
  <c r="E50" i="33"/>
  <c r="E58" i="33"/>
  <c r="K57" i="33"/>
  <c r="K336" i="2"/>
  <c r="K150" i="33"/>
  <c r="E59" i="34"/>
  <c r="E81" i="33"/>
  <c r="E60" i="34" s="1"/>
  <c r="E245" i="33"/>
  <c r="E237" i="33"/>
  <c r="K255" i="33"/>
  <c r="O208" i="33"/>
  <c r="C265" i="2"/>
  <c r="K162" i="2"/>
  <c r="E50" i="2"/>
  <c r="E58" i="2"/>
  <c r="E331" i="33"/>
  <c r="E339" i="33"/>
  <c r="L522" i="33" l="1"/>
  <c r="L348" i="33"/>
  <c r="L57" i="2"/>
  <c r="L522" i="2"/>
  <c r="L540" i="2" s="1"/>
  <c r="L439" i="33"/>
  <c r="H232" i="32"/>
  <c r="H248" i="32" s="1"/>
  <c r="H264" i="32" s="1"/>
  <c r="K543" i="2"/>
  <c r="N9" i="32"/>
  <c r="K9" i="32"/>
  <c r="K217" i="32" s="1"/>
  <c r="X9" i="32"/>
  <c r="U9" i="32"/>
  <c r="J9" i="32"/>
  <c r="J217" i="32" s="1"/>
  <c r="J169" i="32" s="1"/>
  <c r="O9" i="32"/>
  <c r="W9" i="32"/>
  <c r="I9" i="32"/>
  <c r="I217" i="32" s="1"/>
  <c r="I169" i="32" s="1"/>
  <c r="S9" i="32"/>
  <c r="F9" i="32"/>
  <c r="F217" i="32" s="1"/>
  <c r="F169" i="32" s="1"/>
  <c r="F233" i="32" s="1"/>
  <c r="V9" i="32"/>
  <c r="G9" i="32"/>
  <c r="G217" i="32" s="1"/>
  <c r="G169" i="32" s="1"/>
  <c r="G233" i="32" s="1"/>
  <c r="T9" i="32"/>
  <c r="L9" i="32"/>
  <c r="M9" i="32"/>
  <c r="R9" i="32"/>
  <c r="Q9" i="32"/>
  <c r="H9" i="32"/>
  <c r="H217" i="32" s="1"/>
  <c r="H169" i="32" s="1"/>
  <c r="E9" i="32"/>
  <c r="E217" i="32" s="1"/>
  <c r="E169" i="32" s="1"/>
  <c r="E233" i="32" s="1"/>
  <c r="P9" i="32"/>
  <c r="L217" i="32"/>
  <c r="L255" i="2"/>
  <c r="J9" i="3"/>
  <c r="J217" i="3" s="1"/>
  <c r="J169" i="3" s="1"/>
  <c r="X9" i="3"/>
  <c r="U9" i="3"/>
  <c r="S9" i="3"/>
  <c r="G9" i="3"/>
  <c r="G217" i="3" s="1"/>
  <c r="G169" i="3" s="1"/>
  <c r="G233" i="3" s="1"/>
  <c r="V9" i="3"/>
  <c r="E9" i="3"/>
  <c r="E217" i="3" s="1"/>
  <c r="E169" i="3" s="1"/>
  <c r="E233" i="3" s="1"/>
  <c r="L9" i="3"/>
  <c r="L217" i="3" s="1"/>
  <c r="L169" i="3" s="1"/>
  <c r="O9" i="3"/>
  <c r="R9" i="3"/>
  <c r="Q9" i="3"/>
  <c r="K9" i="3"/>
  <c r="K217" i="3" s="1"/>
  <c r="K169" i="3" s="1"/>
  <c r="W9" i="3"/>
  <c r="P9" i="3"/>
  <c r="N9" i="3"/>
  <c r="F9" i="3"/>
  <c r="F217" i="3" s="1"/>
  <c r="F169" i="3" s="1"/>
  <c r="F233" i="3" s="1"/>
  <c r="H9" i="3"/>
  <c r="H217" i="3" s="1"/>
  <c r="H169" i="3" s="1"/>
  <c r="H233" i="3" s="1"/>
  <c r="T9" i="3"/>
  <c r="M9" i="3"/>
  <c r="I9" i="3"/>
  <c r="I217" i="3" s="1"/>
  <c r="I169" i="3" s="1"/>
  <c r="H233" i="32"/>
  <c r="A29" i="32"/>
  <c r="K7" i="33"/>
  <c r="K39" i="33" s="1"/>
  <c r="K193" i="33"/>
  <c r="K225" i="33" s="1"/>
  <c r="K379" i="33"/>
  <c r="K411" i="33" s="1"/>
  <c r="K100" i="33"/>
  <c r="K132" i="33" s="1"/>
  <c r="L160" i="2"/>
  <c r="L348" i="2"/>
  <c r="K286" i="33"/>
  <c r="K318" i="33" s="1"/>
  <c r="I4" i="32"/>
  <c r="I25" i="41" s="1"/>
  <c r="I70" i="41" s="1"/>
  <c r="I88" i="41" s="1"/>
  <c r="I106" i="41" s="1"/>
  <c r="K565" i="33"/>
  <c r="L253" i="2"/>
  <c r="L346" i="2"/>
  <c r="L234" i="2"/>
  <c r="L243" i="2" s="1"/>
  <c r="L206" i="2"/>
  <c r="L606" i="33"/>
  <c r="L615" i="33" s="1"/>
  <c r="L67" i="33"/>
  <c r="M574" i="33"/>
  <c r="M606" i="33" s="1"/>
  <c r="M574" i="2"/>
  <c r="M295" i="33"/>
  <c r="M202" i="33"/>
  <c r="M388" i="33"/>
  <c r="AR7" i="5"/>
  <c r="K68" i="41"/>
  <c r="M295" i="2"/>
  <c r="M202" i="2"/>
  <c r="M388" i="2"/>
  <c r="L441" i="33"/>
  <c r="L439" i="2"/>
  <c r="L420" i="33"/>
  <c r="L429" i="33" s="1"/>
  <c r="L420" i="2"/>
  <c r="L429" i="2" s="1"/>
  <c r="L392" i="2"/>
  <c r="L625" i="33"/>
  <c r="L327" i="2"/>
  <c r="L299" i="2"/>
  <c r="M624" i="33"/>
  <c r="M609" i="33"/>
  <c r="M618" i="33" s="1"/>
  <c r="M624" i="2"/>
  <c r="M609" i="2"/>
  <c r="M618" i="2" s="1"/>
  <c r="M623" i="33"/>
  <c r="M531" i="33"/>
  <c r="M516" i="33"/>
  <c r="M525" i="33" s="1"/>
  <c r="M516" i="2"/>
  <c r="M525" i="2" s="1"/>
  <c r="M623" i="2"/>
  <c r="M531" i="2"/>
  <c r="M530" i="2"/>
  <c r="M513" i="2"/>
  <c r="M530" i="33"/>
  <c r="M532" i="33" s="1"/>
  <c r="M513" i="33"/>
  <c r="M522" i="33" s="1"/>
  <c r="M438" i="33"/>
  <c r="M251" i="33"/>
  <c r="M66" i="2"/>
  <c r="M159" i="33"/>
  <c r="M162" i="33" s="1"/>
  <c r="M65" i="33"/>
  <c r="M423" i="2"/>
  <c r="M432" i="2" s="1"/>
  <c r="M141" i="2"/>
  <c r="M150" i="2" s="1"/>
  <c r="M144" i="33"/>
  <c r="M153" i="33" s="1"/>
  <c r="M48" i="2"/>
  <c r="M57" i="2" s="1"/>
  <c r="M51" i="2"/>
  <c r="M60" i="2" s="1"/>
  <c r="M66" i="33"/>
  <c r="M69" i="33" s="1"/>
  <c r="M345" i="33"/>
  <c r="M348" i="33" s="1"/>
  <c r="AR13" i="5"/>
  <c r="M144" i="2"/>
  <c r="M153" i="2" s="1"/>
  <c r="M141" i="33"/>
  <c r="M51" i="33"/>
  <c r="M60" i="33" s="1"/>
  <c r="M330" i="33"/>
  <c r="M339" i="33" s="1"/>
  <c r="M237" i="2"/>
  <c r="M246" i="2" s="1"/>
  <c r="M438" i="2"/>
  <c r="M441" i="2" s="1"/>
  <c r="M423" i="33"/>
  <c r="M432" i="33" s="1"/>
  <c r="M252" i="33"/>
  <c r="M237" i="33"/>
  <c r="M246" i="33" s="1"/>
  <c r="M345" i="2"/>
  <c r="M348" i="2" s="1"/>
  <c r="M344" i="33"/>
  <c r="M330" i="2"/>
  <c r="M339" i="2" s="1"/>
  <c r="M437" i="33"/>
  <c r="M159" i="2"/>
  <c r="M158" i="33"/>
  <c r="M160" i="33" s="1"/>
  <c r="M252" i="2"/>
  <c r="M344" i="2"/>
  <c r="M251" i="2"/>
  <c r="M253" i="2" s="1"/>
  <c r="M158" i="2"/>
  <c r="M437" i="2"/>
  <c r="M65" i="2"/>
  <c r="M48" i="33"/>
  <c r="C31" i="1"/>
  <c r="AQ14" i="5"/>
  <c r="AR14" i="5" s="1"/>
  <c r="C33" i="1"/>
  <c r="C32" i="1"/>
  <c r="L327" i="33"/>
  <c r="L336" i="33" s="1"/>
  <c r="L299" i="33"/>
  <c r="C15" i="1"/>
  <c r="G14" i="1"/>
  <c r="K14" i="1"/>
  <c r="H14" i="1" s="1"/>
  <c r="L532" i="33"/>
  <c r="L234" i="33"/>
  <c r="L243" i="33" s="1"/>
  <c r="L206" i="33"/>
  <c r="L67" i="2"/>
  <c r="I256" i="3"/>
  <c r="I272" i="3" s="1"/>
  <c r="I288" i="3"/>
  <c r="I257" i="32"/>
  <c r="I289" i="32"/>
  <c r="F294" i="32"/>
  <c r="F262" i="32"/>
  <c r="F278" i="32" s="1"/>
  <c r="G262" i="32"/>
  <c r="G278" i="32" s="1"/>
  <c r="G294" i="32"/>
  <c r="K225" i="3"/>
  <c r="K181" i="3"/>
  <c r="L197" i="3"/>
  <c r="J75" i="32"/>
  <c r="J80" i="32"/>
  <c r="J81" i="32"/>
  <c r="J129" i="32" s="1"/>
  <c r="J86" i="32"/>
  <c r="J134" i="32" s="1"/>
  <c r="J150" i="32" s="1"/>
  <c r="J246" i="32" s="1"/>
  <c r="J73" i="32"/>
  <c r="J72" i="32"/>
  <c r="J74" i="32"/>
  <c r="J78" i="32"/>
  <c r="J85" i="32"/>
  <c r="J84" i="32"/>
  <c r="J77" i="32"/>
  <c r="J79" i="32"/>
  <c r="J83" i="32"/>
  <c r="J82" i="32"/>
  <c r="J76" i="32"/>
  <c r="K100" i="32"/>
  <c r="L100" i="3"/>
  <c r="K198" i="3"/>
  <c r="J182" i="3"/>
  <c r="K163" i="32"/>
  <c r="K227" i="32" s="1"/>
  <c r="K179" i="32" s="1"/>
  <c r="L163" i="3"/>
  <c r="K227" i="3"/>
  <c r="N153" i="3"/>
  <c r="M153" i="32"/>
  <c r="M217" i="32" s="1"/>
  <c r="L14" i="32"/>
  <c r="J145" i="32"/>
  <c r="I240" i="32"/>
  <c r="E289" i="3"/>
  <c r="E257" i="3"/>
  <c r="E273" i="3" s="1"/>
  <c r="J160" i="32"/>
  <c r="J224" i="32" s="1"/>
  <c r="J176" i="32" s="1"/>
  <c r="K160" i="3"/>
  <c r="J99" i="32"/>
  <c r="K99" i="3"/>
  <c r="Q14" i="32"/>
  <c r="I232" i="32"/>
  <c r="E262" i="32"/>
  <c r="E278" i="32" s="1"/>
  <c r="E294" i="32"/>
  <c r="K164" i="32"/>
  <c r="K228" i="32" s="1"/>
  <c r="K180" i="32" s="1"/>
  <c r="L164" i="3"/>
  <c r="K162" i="32"/>
  <c r="L162" i="3"/>
  <c r="J161" i="32"/>
  <c r="J225" i="32" s="1"/>
  <c r="J177" i="32" s="1"/>
  <c r="J241" i="32" s="1"/>
  <c r="K161" i="3"/>
  <c r="J128" i="32"/>
  <c r="J144" i="32" s="1"/>
  <c r="M217" i="3"/>
  <c r="M169" i="3" s="1"/>
  <c r="K165" i="32"/>
  <c r="K229" i="32" s="1"/>
  <c r="K181" i="32" s="1"/>
  <c r="L165" i="3"/>
  <c r="T14" i="32"/>
  <c r="G257" i="3"/>
  <c r="G273" i="3" s="1"/>
  <c r="M196" i="3"/>
  <c r="H262" i="3"/>
  <c r="H278" i="3" s="1"/>
  <c r="H294" i="3"/>
  <c r="P112" i="3"/>
  <c r="O112" i="32"/>
  <c r="L96" i="3"/>
  <c r="K96" i="32"/>
  <c r="N152" i="3"/>
  <c r="M152" i="32"/>
  <c r="M216" i="32" s="1"/>
  <c r="M216" i="3"/>
  <c r="O14" i="32"/>
  <c r="J133" i="32"/>
  <c r="J149" i="32" s="1"/>
  <c r="J245" i="32" s="1"/>
  <c r="I243" i="3"/>
  <c r="F289" i="3"/>
  <c r="F257" i="3"/>
  <c r="F273" i="3" s="1"/>
  <c r="L117" i="3"/>
  <c r="K117" i="32"/>
  <c r="K115" i="32"/>
  <c r="L115" i="3"/>
  <c r="K5" i="32"/>
  <c r="K6" i="32" s="1"/>
  <c r="L5" i="3"/>
  <c r="K6" i="3"/>
  <c r="M14" i="32"/>
  <c r="K166" i="32"/>
  <c r="K230" i="32" s="1"/>
  <c r="K182" i="32" s="1"/>
  <c r="L166" i="3"/>
  <c r="K226" i="3"/>
  <c r="K159" i="3"/>
  <c r="J159" i="32"/>
  <c r="J223" i="32" s="1"/>
  <c r="J175" i="32" s="1"/>
  <c r="J223" i="3"/>
  <c r="J175" i="3" s="1"/>
  <c r="H288" i="3"/>
  <c r="H256" i="3"/>
  <c r="H272" i="3" s="1"/>
  <c r="J118" i="32"/>
  <c r="K118" i="3"/>
  <c r="H294" i="32"/>
  <c r="H262" i="32"/>
  <c r="H278" i="32" s="1"/>
  <c r="J72" i="3"/>
  <c r="J120" i="3" s="1"/>
  <c r="J136" i="3" s="1"/>
  <c r="J232" i="3" s="1"/>
  <c r="J81" i="3"/>
  <c r="J129" i="3" s="1"/>
  <c r="J145" i="3" s="1"/>
  <c r="J79" i="3"/>
  <c r="J127" i="3" s="1"/>
  <c r="J143" i="3" s="1"/>
  <c r="J239" i="3" s="1"/>
  <c r="J85" i="3"/>
  <c r="J133" i="3" s="1"/>
  <c r="J82" i="3"/>
  <c r="J77" i="3"/>
  <c r="J74" i="3"/>
  <c r="J73" i="3"/>
  <c r="J75" i="3"/>
  <c r="J84" i="3"/>
  <c r="J83" i="3"/>
  <c r="J131" i="3" s="1"/>
  <c r="J147" i="3" s="1"/>
  <c r="J80" i="3"/>
  <c r="J128" i="3" s="1"/>
  <c r="J144" i="3" s="1"/>
  <c r="J240" i="3" s="1"/>
  <c r="J86" i="3"/>
  <c r="J134" i="3" s="1"/>
  <c r="J150" i="3" s="1"/>
  <c r="J246" i="3" s="1"/>
  <c r="J262" i="3" s="1"/>
  <c r="J278" i="3" s="1"/>
  <c r="J78" i="3"/>
  <c r="J76" i="3"/>
  <c r="J89" i="3"/>
  <c r="I89" i="32"/>
  <c r="I121" i="32" s="1"/>
  <c r="L113" i="3"/>
  <c r="K113" i="32"/>
  <c r="K230" i="3"/>
  <c r="M91" i="3"/>
  <c r="L91" i="32"/>
  <c r="I243" i="32"/>
  <c r="I143" i="32"/>
  <c r="J261" i="32"/>
  <c r="J277" i="32" s="1"/>
  <c r="J293" i="32"/>
  <c r="I261" i="32"/>
  <c r="I277" i="32" s="1"/>
  <c r="I293" i="32"/>
  <c r="H289" i="3"/>
  <c r="H257" i="3"/>
  <c r="H273" i="3" s="1"/>
  <c r="L97" i="32"/>
  <c r="M97" i="3"/>
  <c r="K102" i="32"/>
  <c r="L102" i="3"/>
  <c r="L9" i="2"/>
  <c r="L90" i="32"/>
  <c r="M90" i="3"/>
  <c r="I146" i="3"/>
  <c r="I242" i="3" s="1"/>
  <c r="J149" i="3"/>
  <c r="J245" i="3" s="1"/>
  <c r="J98" i="32"/>
  <c r="J130" i="3"/>
  <c r="J146" i="3" s="1"/>
  <c r="J242" i="3" s="1"/>
  <c r="K98" i="3"/>
  <c r="I294" i="32"/>
  <c r="I262" i="32"/>
  <c r="I278" i="32" s="1"/>
  <c r="I136" i="3"/>
  <c r="I232" i="3" s="1"/>
  <c r="K9" i="2"/>
  <c r="I291" i="3"/>
  <c r="I259" i="3"/>
  <c r="M200" i="3"/>
  <c r="L168" i="3"/>
  <c r="H148" i="32"/>
  <c r="H244" i="32" s="1"/>
  <c r="K101" i="32"/>
  <c r="L101" i="3"/>
  <c r="I262" i="3"/>
  <c r="I294" i="3"/>
  <c r="L92" i="32"/>
  <c r="M92" i="3"/>
  <c r="L114" i="3"/>
  <c r="K114" i="32"/>
  <c r="I239" i="32"/>
  <c r="K88" i="32"/>
  <c r="L88" i="3"/>
  <c r="F109" i="3"/>
  <c r="J116" i="3"/>
  <c r="I116" i="32"/>
  <c r="I132" i="32" s="1"/>
  <c r="I148" i="32" s="1"/>
  <c r="I244" i="32" s="1"/>
  <c r="I132" i="3"/>
  <c r="I148" i="3" s="1"/>
  <c r="I244" i="3" s="1"/>
  <c r="L194" i="3"/>
  <c r="K178" i="3"/>
  <c r="G292" i="3"/>
  <c r="G260" i="3"/>
  <c r="J104" i="32"/>
  <c r="K104" i="3"/>
  <c r="O184" i="3"/>
  <c r="K95" i="32"/>
  <c r="L95" i="3"/>
  <c r="M94" i="32"/>
  <c r="N94" i="3"/>
  <c r="F110" i="3"/>
  <c r="H260" i="3"/>
  <c r="H276" i="3" s="1"/>
  <c r="H292" i="3"/>
  <c r="J294" i="3"/>
  <c r="N208" i="3"/>
  <c r="K195" i="3"/>
  <c r="J179" i="3"/>
  <c r="K111" i="3"/>
  <c r="J111" i="32"/>
  <c r="J127" i="32" s="1"/>
  <c r="P207" i="3"/>
  <c r="J193" i="3"/>
  <c r="I177" i="3"/>
  <c r="I241" i="3" s="1"/>
  <c r="F124" i="3"/>
  <c r="E140" i="3"/>
  <c r="G381" i="2"/>
  <c r="I288" i="33"/>
  <c r="E109" i="32"/>
  <c r="E125" i="32" s="1"/>
  <c r="E125" i="3"/>
  <c r="F235" i="3"/>
  <c r="E110" i="32"/>
  <c r="E126" i="32" s="1"/>
  <c r="E126" i="3"/>
  <c r="G381" i="33"/>
  <c r="G13" i="34"/>
  <c r="C14" i="34"/>
  <c r="K13" i="34"/>
  <c r="H13" i="34" s="1"/>
  <c r="C36" i="34"/>
  <c r="E424" i="33"/>
  <c r="E432" i="33"/>
  <c r="M184" i="32"/>
  <c r="L168" i="32"/>
  <c r="E275" i="32"/>
  <c r="M198" i="32"/>
  <c r="G260" i="32"/>
  <c r="G276" i="32" s="1"/>
  <c r="G292" i="32"/>
  <c r="D32" i="41"/>
  <c r="D50" i="41" s="1"/>
  <c r="D63" i="32"/>
  <c r="G255" i="32"/>
  <c r="G271" i="32" s="1"/>
  <c r="G287" i="32"/>
  <c r="G14" i="32"/>
  <c r="G222" i="32" s="1"/>
  <c r="G174" i="32" s="1"/>
  <c r="H14" i="32"/>
  <c r="H222" i="32" s="1"/>
  <c r="H174" i="32" s="1"/>
  <c r="L193" i="32"/>
  <c r="R18" i="32"/>
  <c r="E18" i="32"/>
  <c r="E226" i="32" s="1"/>
  <c r="E178" i="32" s="1"/>
  <c r="E242" i="32" s="1"/>
  <c r="X18" i="32"/>
  <c r="W18" i="32"/>
  <c r="H18" i="32"/>
  <c r="H226" i="32" s="1"/>
  <c r="H178" i="32" s="1"/>
  <c r="H242" i="32" s="1"/>
  <c r="J18" i="32"/>
  <c r="J226" i="32" s="1"/>
  <c r="J178" i="32" s="1"/>
  <c r="P18" i="32"/>
  <c r="N18" i="32"/>
  <c r="U18" i="32"/>
  <c r="T18" i="32"/>
  <c r="S18" i="32"/>
  <c r="Q18" i="32"/>
  <c r="F18" i="32"/>
  <c r="F226" i="32" s="1"/>
  <c r="F178" i="32" s="1"/>
  <c r="F242" i="32" s="1"/>
  <c r="M18" i="32"/>
  <c r="V18" i="32"/>
  <c r="O18" i="32"/>
  <c r="I18" i="32"/>
  <c r="I226" i="32" s="1"/>
  <c r="I178" i="32" s="1"/>
  <c r="I242" i="32" s="1"/>
  <c r="K18" i="32"/>
  <c r="K226" i="32" s="1"/>
  <c r="L18" i="32"/>
  <c r="G18" i="32"/>
  <c r="G226" i="32" s="1"/>
  <c r="G178" i="32" s="1"/>
  <c r="G242" i="32" s="1"/>
  <c r="U14" i="32"/>
  <c r="F14" i="32"/>
  <c r="F222" i="32" s="1"/>
  <c r="F174" i="32" s="1"/>
  <c r="J289" i="32"/>
  <c r="J257" i="32"/>
  <c r="J273" i="32" s="1"/>
  <c r="R192" i="32"/>
  <c r="E277" i="32"/>
  <c r="H287" i="32"/>
  <c r="H255" i="32"/>
  <c r="H271" i="32" s="1"/>
  <c r="E287" i="32"/>
  <c r="E255" i="32"/>
  <c r="N14" i="32"/>
  <c r="E14" i="32"/>
  <c r="E222" i="32" s="1"/>
  <c r="E174" i="32" s="1"/>
  <c r="J14" i="32"/>
  <c r="L185" i="32"/>
  <c r="K169" i="32"/>
  <c r="I248" i="32"/>
  <c r="I264" i="32" s="1"/>
  <c r="I280" i="32"/>
  <c r="F280" i="32"/>
  <c r="F248" i="32"/>
  <c r="F264" i="32" s="1"/>
  <c r="I255" i="32"/>
  <c r="I271" i="32" s="1"/>
  <c r="I287" i="32"/>
  <c r="F287" i="32"/>
  <c r="F255" i="32"/>
  <c r="F271" i="32" s="1"/>
  <c r="M197" i="32"/>
  <c r="I273" i="32"/>
  <c r="S14" i="32"/>
  <c r="I14" i="32"/>
  <c r="I222" i="32" s="1"/>
  <c r="I174" i="32" s="1"/>
  <c r="W14" i="32"/>
  <c r="R191" i="32"/>
  <c r="E292" i="32"/>
  <c r="E260" i="32"/>
  <c r="M195" i="32"/>
  <c r="K14" i="32"/>
  <c r="R14" i="32"/>
  <c r="F292" i="32"/>
  <c r="F260" i="32"/>
  <c r="F276" i="32" s="1"/>
  <c r="M196" i="32"/>
  <c r="E272" i="32"/>
  <c r="K178" i="32"/>
  <c r="L194" i="32"/>
  <c r="E248" i="32"/>
  <c r="E280" i="32"/>
  <c r="G280" i="32"/>
  <c r="G248" i="32"/>
  <c r="G264" i="32" s="1"/>
  <c r="F160" i="33"/>
  <c r="F161" i="33"/>
  <c r="G161" i="33" s="1"/>
  <c r="H161" i="33" s="1"/>
  <c r="I161" i="33" s="1"/>
  <c r="J161" i="33" s="1"/>
  <c r="K161" i="33" s="1"/>
  <c r="L161" i="33" s="1"/>
  <c r="F347" i="33"/>
  <c r="G347" i="33" s="1"/>
  <c r="H347" i="33" s="1"/>
  <c r="I347" i="33" s="1"/>
  <c r="J347" i="33" s="1"/>
  <c r="K347" i="33" s="1"/>
  <c r="L347" i="33" s="1"/>
  <c r="M347" i="33" s="1"/>
  <c r="F346" i="33"/>
  <c r="F68" i="33"/>
  <c r="G68" i="33" s="1"/>
  <c r="H68" i="33" s="1"/>
  <c r="I68" i="33" s="1"/>
  <c r="J68" i="33" s="1"/>
  <c r="K68" i="33" s="1"/>
  <c r="L68" i="33" s="1"/>
  <c r="F67" i="33"/>
  <c r="F254" i="33"/>
  <c r="G254" i="33" s="1"/>
  <c r="H254" i="33" s="1"/>
  <c r="I254" i="33" s="1"/>
  <c r="J254" i="33" s="1"/>
  <c r="K254" i="33" s="1"/>
  <c r="L254" i="33" s="1"/>
  <c r="F253" i="33"/>
  <c r="E246" i="2"/>
  <c r="E238" i="2"/>
  <c r="L472" i="33"/>
  <c r="L565" i="33"/>
  <c r="A44" i="32"/>
  <c r="A60" i="32" s="1"/>
  <c r="A76" i="32" s="1"/>
  <c r="A92" i="32" s="1"/>
  <c r="A108" i="32" s="1"/>
  <c r="A124" i="32" s="1"/>
  <c r="A140" i="32" s="1"/>
  <c r="A156" i="32" s="1"/>
  <c r="A172" i="32" s="1"/>
  <c r="A188" i="32" s="1"/>
  <c r="A204" i="32" s="1"/>
  <c r="A220" i="32" s="1"/>
  <c r="A236" i="32" s="1"/>
  <c r="A252" i="32" s="1"/>
  <c r="A268" i="32" s="1"/>
  <c r="A284" i="32" s="1"/>
  <c r="A12" i="32"/>
  <c r="S12" i="3"/>
  <c r="P12" i="3"/>
  <c r="W12" i="3"/>
  <c r="U12" i="3"/>
  <c r="M12" i="3"/>
  <c r="F12" i="3"/>
  <c r="F220" i="3" s="1"/>
  <c r="F172" i="3" s="1"/>
  <c r="I12" i="3"/>
  <c r="I220" i="3" s="1"/>
  <c r="I172" i="3" s="1"/>
  <c r="X12" i="3"/>
  <c r="L12" i="3"/>
  <c r="K12" i="3"/>
  <c r="O12" i="3"/>
  <c r="V12" i="3"/>
  <c r="H12" i="3"/>
  <c r="H220" i="3" s="1"/>
  <c r="H172" i="3" s="1"/>
  <c r="E12" i="3"/>
  <c r="E220" i="3" s="1"/>
  <c r="E172" i="3" s="1"/>
  <c r="E236" i="3" s="1"/>
  <c r="J12" i="3"/>
  <c r="J220" i="3" s="1"/>
  <c r="J172" i="3" s="1"/>
  <c r="G12" i="3"/>
  <c r="G220" i="3" s="1"/>
  <c r="G172" i="3" s="1"/>
  <c r="Q12" i="3"/>
  <c r="N12" i="3"/>
  <c r="T12" i="3"/>
  <c r="R12" i="3"/>
  <c r="I137" i="3"/>
  <c r="I233" i="3" s="1"/>
  <c r="K102" i="2"/>
  <c r="F140" i="3"/>
  <c r="F236" i="3" s="1"/>
  <c r="H381" i="2"/>
  <c r="F140" i="32"/>
  <c r="F109" i="32"/>
  <c r="F125" i="32" s="1"/>
  <c r="F125" i="3"/>
  <c r="G108" i="32"/>
  <c r="G124" i="32" s="1"/>
  <c r="H108" i="3"/>
  <c r="G124" i="3"/>
  <c r="F110" i="32"/>
  <c r="F126" i="32" s="1"/>
  <c r="F126" i="3"/>
  <c r="H138" i="3"/>
  <c r="H234" i="3" s="1"/>
  <c r="J195" i="2"/>
  <c r="H138" i="32"/>
  <c r="H234" i="32" s="1"/>
  <c r="G139" i="3"/>
  <c r="G235" i="3" s="1"/>
  <c r="I288" i="2"/>
  <c r="I122" i="3"/>
  <c r="I106" i="32"/>
  <c r="I122" i="32" s="1"/>
  <c r="J106" i="3"/>
  <c r="I107" i="3"/>
  <c r="H107" i="32"/>
  <c r="H123" i="32" s="1"/>
  <c r="H123" i="3"/>
  <c r="K105" i="3"/>
  <c r="J105" i="32"/>
  <c r="J121" i="3"/>
  <c r="U15" i="4"/>
  <c r="V15" i="4" s="1"/>
  <c r="W15" i="4" s="1"/>
  <c r="G110" i="3" s="1"/>
  <c r="V14" i="4"/>
  <c r="W14" i="4" s="1"/>
  <c r="G109" i="3" s="1"/>
  <c r="E620" i="33"/>
  <c r="E612" i="33"/>
  <c r="E621" i="33" s="1"/>
  <c r="H580" i="33"/>
  <c r="A585" i="33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E584" i="33"/>
  <c r="C639" i="33"/>
  <c r="J158" i="32"/>
  <c r="K158" i="3"/>
  <c r="K222" i="3" s="1"/>
  <c r="K174" i="3" s="1"/>
  <c r="L543" i="2"/>
  <c r="M472" i="2"/>
  <c r="M477" i="2" s="1"/>
  <c r="M565" i="2"/>
  <c r="F580" i="2"/>
  <c r="A581" i="2"/>
  <c r="C639" i="2"/>
  <c r="C268" i="32"/>
  <c r="S11" i="32"/>
  <c r="P11" i="32"/>
  <c r="Q11" i="32"/>
  <c r="E11" i="32"/>
  <c r="E219" i="32" s="1"/>
  <c r="E171" i="32" s="1"/>
  <c r="E235" i="32" s="1"/>
  <c r="R11" i="32"/>
  <c r="V11" i="32"/>
  <c r="F11" i="32"/>
  <c r="F219" i="32" s="1"/>
  <c r="F171" i="32" s="1"/>
  <c r="F235" i="32" s="1"/>
  <c r="O11" i="32"/>
  <c r="H11" i="32"/>
  <c r="H219" i="32" s="1"/>
  <c r="H171" i="32" s="1"/>
  <c r="M11" i="32"/>
  <c r="L11" i="32"/>
  <c r="W11" i="32"/>
  <c r="T11" i="32"/>
  <c r="U11" i="32"/>
  <c r="N11" i="32"/>
  <c r="K11" i="32"/>
  <c r="J11" i="32"/>
  <c r="J219" i="32" s="1"/>
  <c r="J171" i="32" s="1"/>
  <c r="G11" i="32"/>
  <c r="G219" i="32" s="1"/>
  <c r="G171" i="32" s="1"/>
  <c r="G235" i="32" s="1"/>
  <c r="X11" i="32"/>
  <c r="I11" i="32"/>
  <c r="I219" i="32" s="1"/>
  <c r="I171" i="32" s="1"/>
  <c r="A480" i="33"/>
  <c r="C544" i="33"/>
  <c r="C544" i="2"/>
  <c r="E527" i="2"/>
  <c r="E519" i="2"/>
  <c r="E528" i="2" s="1"/>
  <c r="A488" i="2"/>
  <c r="A489" i="2" s="1"/>
  <c r="F487" i="2"/>
  <c r="E341" i="2"/>
  <c r="E333" i="2"/>
  <c r="E342" i="2" s="1"/>
  <c r="E59" i="1"/>
  <c r="E81" i="2"/>
  <c r="E60" i="1" s="1"/>
  <c r="F440" i="2"/>
  <c r="G440" i="2" s="1"/>
  <c r="H440" i="2" s="1"/>
  <c r="I440" i="2" s="1"/>
  <c r="J440" i="2" s="1"/>
  <c r="K440" i="2" s="1"/>
  <c r="L440" i="2" s="1"/>
  <c r="F439" i="2"/>
  <c r="E154" i="2"/>
  <c r="E146" i="2"/>
  <c r="L7" i="33"/>
  <c r="L39" i="33" s="1"/>
  <c r="L379" i="33"/>
  <c r="L411" i="33" s="1"/>
  <c r="L286" i="33"/>
  <c r="L318" i="33" s="1"/>
  <c r="J4" i="32"/>
  <c r="J25" i="41" s="1"/>
  <c r="L100" i="33"/>
  <c r="L132" i="33" s="1"/>
  <c r="L193" i="33"/>
  <c r="L225" i="33" s="1"/>
  <c r="L1" i="3"/>
  <c r="O2" i="2"/>
  <c r="N2" i="33"/>
  <c r="L1" i="32" s="1"/>
  <c r="AR5" i="5"/>
  <c r="N1" i="2"/>
  <c r="K4" i="3"/>
  <c r="Y86" i="31" s="1"/>
  <c r="M100" i="2"/>
  <c r="M7" i="2"/>
  <c r="M286" i="2"/>
  <c r="M318" i="2" s="1"/>
  <c r="M1" i="33"/>
  <c r="M379" i="2"/>
  <c r="M411" i="2" s="1"/>
  <c r="M193" i="2"/>
  <c r="M225" i="2" s="1"/>
  <c r="F254" i="2"/>
  <c r="G254" i="2" s="1"/>
  <c r="H254" i="2" s="1"/>
  <c r="I254" i="2" s="1"/>
  <c r="J254" i="2" s="1"/>
  <c r="K254" i="2" s="1"/>
  <c r="L254" i="2" s="1"/>
  <c r="F253" i="2"/>
  <c r="A12" i="2"/>
  <c r="F160" i="2"/>
  <c r="F161" i="2"/>
  <c r="G161" i="2" s="1"/>
  <c r="H161" i="2" s="1"/>
  <c r="F347" i="2"/>
  <c r="G347" i="2" s="1"/>
  <c r="H347" i="2" s="1"/>
  <c r="I347" i="2" s="1"/>
  <c r="J347" i="2" s="1"/>
  <c r="K347" i="2" s="1"/>
  <c r="L347" i="2" s="1"/>
  <c r="F346" i="2"/>
  <c r="E425" i="2"/>
  <c r="E433" i="2"/>
  <c r="L132" i="2"/>
  <c r="K156" i="32"/>
  <c r="L156" i="3"/>
  <c r="K220" i="3"/>
  <c r="K172" i="3" s="1"/>
  <c r="J157" i="32"/>
  <c r="K157" i="3"/>
  <c r="L219" i="3"/>
  <c r="L171" i="3" s="1"/>
  <c r="K154" i="3"/>
  <c r="J154" i="32"/>
  <c r="J218" i="32" s="1"/>
  <c r="J170" i="32" s="1"/>
  <c r="L155" i="3"/>
  <c r="K155" i="32"/>
  <c r="K219" i="32" s="1"/>
  <c r="K171" i="32" s="1"/>
  <c r="K44" i="3"/>
  <c r="K44" i="32"/>
  <c r="J93" i="3"/>
  <c r="I93" i="32"/>
  <c r="C173" i="32"/>
  <c r="C189" i="32" s="1"/>
  <c r="C205" i="32" s="1"/>
  <c r="C221" i="32" s="1"/>
  <c r="C237" i="32" s="1"/>
  <c r="C253" i="32" s="1"/>
  <c r="F30" i="34"/>
  <c r="T30" i="34"/>
  <c r="G30" i="34"/>
  <c r="N30" i="34"/>
  <c r="R30" i="34"/>
  <c r="P30" i="34"/>
  <c r="M30" i="34"/>
  <c r="L30" i="34"/>
  <c r="O30" i="34"/>
  <c r="Q30" i="34"/>
  <c r="S30" i="34"/>
  <c r="H30" i="34"/>
  <c r="J30" i="34"/>
  <c r="I30" i="34"/>
  <c r="C354" i="33"/>
  <c r="C355" i="33" s="1"/>
  <c r="C356" i="33" s="1"/>
  <c r="C357" i="33" s="1"/>
  <c r="C358" i="33" s="1"/>
  <c r="C359" i="33" s="1"/>
  <c r="C360" i="33" s="1"/>
  <c r="C361" i="33" s="1"/>
  <c r="C362" i="33" s="1"/>
  <c r="C363" i="33" s="1"/>
  <c r="S33" i="1"/>
  <c r="N33" i="1"/>
  <c r="F33" i="1"/>
  <c r="J10" i="2"/>
  <c r="Q33" i="1"/>
  <c r="C269" i="3"/>
  <c r="T33" i="1"/>
  <c r="M33" i="1"/>
  <c r="R33" i="1"/>
  <c r="G10" i="2"/>
  <c r="P33" i="1"/>
  <c r="O33" i="1"/>
  <c r="H10" i="2"/>
  <c r="I10" i="2"/>
  <c r="C168" i="33"/>
  <c r="C169" i="33" s="1"/>
  <c r="C170" i="33" s="1"/>
  <c r="C171" i="33" s="1"/>
  <c r="C172" i="33" s="1"/>
  <c r="C173" i="33" s="1"/>
  <c r="C174" i="33" s="1"/>
  <c r="C175" i="33" s="1"/>
  <c r="C176" i="33" s="1"/>
  <c r="C177" i="33" s="1"/>
  <c r="H440" i="33"/>
  <c r="C76" i="2"/>
  <c r="I196" i="2"/>
  <c r="G266" i="3"/>
  <c r="I197" i="2" s="1"/>
  <c r="E282" i="32"/>
  <c r="E250" i="32"/>
  <c r="F250" i="32"/>
  <c r="F282" i="32"/>
  <c r="F266" i="3"/>
  <c r="H196" i="2"/>
  <c r="H33" i="1"/>
  <c r="E266" i="3"/>
  <c r="G196" i="2"/>
  <c r="G250" i="32"/>
  <c r="G282" i="32"/>
  <c r="E153" i="33"/>
  <c r="E145" i="33"/>
  <c r="E51" i="2"/>
  <c r="E59" i="2"/>
  <c r="C266" i="2"/>
  <c r="C452" i="33"/>
  <c r="E238" i="33"/>
  <c r="E246" i="33"/>
  <c r="L150" i="33"/>
  <c r="E283" i="3"/>
  <c r="E251" i="3"/>
  <c r="P208" i="33"/>
  <c r="F283" i="3"/>
  <c r="F251" i="3"/>
  <c r="C80" i="33"/>
  <c r="E332" i="33"/>
  <c r="E340" i="33"/>
  <c r="E59" i="33"/>
  <c r="E51" i="33"/>
  <c r="M441" i="33"/>
  <c r="L57" i="33"/>
  <c r="C267" i="33"/>
  <c r="L255" i="33"/>
  <c r="L162" i="2"/>
  <c r="L336" i="2"/>
  <c r="C455" i="2"/>
  <c r="M68" i="33" l="1"/>
  <c r="M625" i="33"/>
  <c r="H280" i="32"/>
  <c r="M522" i="2"/>
  <c r="M255" i="2"/>
  <c r="M67" i="33"/>
  <c r="M439" i="33"/>
  <c r="H249" i="3"/>
  <c r="H281" i="3"/>
  <c r="F249" i="3"/>
  <c r="F281" i="3"/>
  <c r="E281" i="3"/>
  <c r="E249" i="3"/>
  <c r="A45" i="32"/>
  <c r="A61" i="32" s="1"/>
  <c r="A77" i="32" s="1"/>
  <c r="A93" i="32" s="1"/>
  <c r="A109" i="32" s="1"/>
  <c r="A125" i="32" s="1"/>
  <c r="A141" i="32" s="1"/>
  <c r="A157" i="32" s="1"/>
  <c r="A173" i="32" s="1"/>
  <c r="A189" i="32" s="1"/>
  <c r="A205" i="32" s="1"/>
  <c r="A221" i="32" s="1"/>
  <c r="A237" i="32" s="1"/>
  <c r="A253" i="32" s="1"/>
  <c r="A269" i="32" s="1"/>
  <c r="A285" i="32" s="1"/>
  <c r="A13" i="32"/>
  <c r="G281" i="32"/>
  <c r="G249" i="32"/>
  <c r="G265" i="32" s="1"/>
  <c r="H249" i="32"/>
  <c r="H265" i="32" s="1"/>
  <c r="H281" i="32"/>
  <c r="G281" i="3"/>
  <c r="G249" i="3"/>
  <c r="E281" i="32"/>
  <c r="E249" i="32"/>
  <c r="E265" i="32" s="1"/>
  <c r="F249" i="32"/>
  <c r="F265" i="32" s="1"/>
  <c r="F281" i="32"/>
  <c r="I43" i="41"/>
  <c r="I61" i="41" s="1"/>
  <c r="M532" i="2"/>
  <c r="M67" i="2"/>
  <c r="M543" i="2"/>
  <c r="M625" i="2"/>
  <c r="M420" i="33"/>
  <c r="M429" i="33" s="1"/>
  <c r="M392" i="33"/>
  <c r="M346" i="2"/>
  <c r="M206" i="33"/>
  <c r="N624" i="2"/>
  <c r="N609" i="2"/>
  <c r="N618" i="2" s="1"/>
  <c r="N624" i="33"/>
  <c r="N609" i="33"/>
  <c r="N618" i="33" s="1"/>
  <c r="N531" i="2"/>
  <c r="N531" i="33"/>
  <c r="N516" i="33"/>
  <c r="N525" i="33" s="1"/>
  <c r="N623" i="33"/>
  <c r="N516" i="2"/>
  <c r="N525" i="2" s="1"/>
  <c r="N623" i="2"/>
  <c r="N530" i="33"/>
  <c r="N513" i="33"/>
  <c r="N522" i="33" s="1"/>
  <c r="N530" i="2"/>
  <c r="N532" i="2" s="1"/>
  <c r="N513" i="2"/>
  <c r="N66" i="33"/>
  <c r="N69" i="33" s="1"/>
  <c r="N159" i="2"/>
  <c r="N252" i="2"/>
  <c r="N255" i="2" s="1"/>
  <c r="N51" i="33"/>
  <c r="N60" i="33" s="1"/>
  <c r="N438" i="33"/>
  <c r="N252" i="33"/>
  <c r="N423" i="33"/>
  <c r="N432" i="33" s="1"/>
  <c r="N330" i="2"/>
  <c r="N339" i="2" s="1"/>
  <c r="N66" i="2"/>
  <c r="N141" i="33"/>
  <c r="N237" i="33"/>
  <c r="N246" i="33" s="1"/>
  <c r="N437" i="33"/>
  <c r="N144" i="2"/>
  <c r="N153" i="2" s="1"/>
  <c r="AS13" i="5"/>
  <c r="N345" i="33"/>
  <c r="N348" i="33" s="1"/>
  <c r="N344" i="33"/>
  <c r="N423" i="2"/>
  <c r="N432" i="2" s="1"/>
  <c r="N251" i="2"/>
  <c r="N159" i="33"/>
  <c r="N162" i="33" s="1"/>
  <c r="N438" i="2"/>
  <c r="N441" i="2" s="1"/>
  <c r="N144" i="33"/>
  <c r="N153" i="33" s="1"/>
  <c r="N237" i="2"/>
  <c r="N246" i="2" s="1"/>
  <c r="N158" i="33"/>
  <c r="N141" i="2"/>
  <c r="N150" i="2" s="1"/>
  <c r="N345" i="2"/>
  <c r="N348" i="2" s="1"/>
  <c r="N330" i="33"/>
  <c r="N339" i="33" s="1"/>
  <c r="N51" i="2"/>
  <c r="N60" i="2" s="1"/>
  <c r="N48" i="2"/>
  <c r="N57" i="2" s="1"/>
  <c r="N344" i="2"/>
  <c r="N437" i="2"/>
  <c r="N251" i="33"/>
  <c r="N253" i="33" s="1"/>
  <c r="N65" i="33"/>
  <c r="N65" i="2"/>
  <c r="N67" i="2" s="1"/>
  <c r="N158" i="2"/>
  <c r="N160" i="2" s="1"/>
  <c r="N48" i="33"/>
  <c r="M299" i="33"/>
  <c r="H197" i="2"/>
  <c r="M420" i="2"/>
  <c r="M429" i="2" s="1"/>
  <c r="M392" i="2"/>
  <c r="M606" i="2"/>
  <c r="M615" i="2" s="1"/>
  <c r="M234" i="33"/>
  <c r="M243" i="33" s="1"/>
  <c r="M234" i="2"/>
  <c r="M243" i="2" s="1"/>
  <c r="M206" i="2"/>
  <c r="M615" i="33"/>
  <c r="N68" i="33"/>
  <c r="M253" i="33"/>
  <c r="M327" i="33"/>
  <c r="M336" i="33" s="1"/>
  <c r="M327" i="2"/>
  <c r="M336" i="2" s="1"/>
  <c r="M299" i="2"/>
  <c r="M439" i="2"/>
  <c r="C34" i="1"/>
  <c r="C36" i="1" s="1"/>
  <c r="N347" i="33"/>
  <c r="C16" i="1"/>
  <c r="G15" i="1"/>
  <c r="K15" i="1"/>
  <c r="H15" i="1" s="1"/>
  <c r="M160" i="2"/>
  <c r="M346" i="33"/>
  <c r="N574" i="2"/>
  <c r="N606" i="2" s="1"/>
  <c r="N574" i="33"/>
  <c r="N606" i="33" s="1"/>
  <c r="N202" i="33"/>
  <c r="N295" i="33"/>
  <c r="N388" i="33"/>
  <c r="N295" i="2"/>
  <c r="AA299" i="2" s="1"/>
  <c r="AS7" i="5"/>
  <c r="L68" i="41"/>
  <c r="N388" i="2"/>
  <c r="N202" i="2"/>
  <c r="I137" i="32"/>
  <c r="I233" i="32" s="1"/>
  <c r="K102" i="33"/>
  <c r="H260" i="32"/>
  <c r="H276" i="32" s="1"/>
  <c r="H292" i="32"/>
  <c r="J262" i="32"/>
  <c r="J278" i="32" s="1"/>
  <c r="J294" i="32"/>
  <c r="N91" i="3"/>
  <c r="M91" i="32"/>
  <c r="O152" i="3"/>
  <c r="N152" i="32"/>
  <c r="N216" i="32" s="1"/>
  <c r="N216" i="3"/>
  <c r="I288" i="32"/>
  <c r="I256" i="32"/>
  <c r="I272" i="32" s="1"/>
  <c r="L163" i="32"/>
  <c r="L227" i="32" s="1"/>
  <c r="L179" i="32" s="1"/>
  <c r="M163" i="3"/>
  <c r="L227" i="3"/>
  <c r="K99" i="32"/>
  <c r="L99" i="3"/>
  <c r="M166" i="3"/>
  <c r="L166" i="32"/>
  <c r="L230" i="32" s="1"/>
  <c r="L182" i="32" s="1"/>
  <c r="L230" i="3"/>
  <c r="K78" i="32"/>
  <c r="K77" i="32"/>
  <c r="K84" i="32"/>
  <c r="K85" i="32"/>
  <c r="K82" i="32"/>
  <c r="K80" i="32"/>
  <c r="K128" i="32" s="1"/>
  <c r="K144" i="32" s="1"/>
  <c r="K240" i="32" s="1"/>
  <c r="K83" i="32"/>
  <c r="K73" i="32"/>
  <c r="K75" i="32"/>
  <c r="K79" i="32"/>
  <c r="K74" i="32"/>
  <c r="K86" i="32"/>
  <c r="K134" i="32" s="1"/>
  <c r="K150" i="32" s="1"/>
  <c r="K246" i="32" s="1"/>
  <c r="K81" i="32"/>
  <c r="K129" i="32" s="1"/>
  <c r="K145" i="32" s="1"/>
  <c r="K72" i="32"/>
  <c r="K120" i="32" s="1"/>
  <c r="K76" i="32"/>
  <c r="L165" i="32"/>
  <c r="L229" i="32" s="1"/>
  <c r="L181" i="32" s="1"/>
  <c r="M165" i="3"/>
  <c r="L229" i="3"/>
  <c r="J121" i="32"/>
  <c r="J130" i="32"/>
  <c r="J146" i="32" s="1"/>
  <c r="J242" i="32" s="1"/>
  <c r="J290" i="32" s="1"/>
  <c r="J256" i="3"/>
  <c r="J272" i="3" s="1"/>
  <c r="J288" i="3"/>
  <c r="L115" i="32"/>
  <c r="M115" i="3"/>
  <c r="M96" i="3"/>
  <c r="L96" i="32"/>
  <c r="J131" i="32"/>
  <c r="J147" i="32" s="1"/>
  <c r="J243" i="32" s="1"/>
  <c r="J120" i="32"/>
  <c r="L113" i="32"/>
  <c r="M113" i="3"/>
  <c r="L161" i="3"/>
  <c r="K161" i="32"/>
  <c r="K225" i="32" s="1"/>
  <c r="K177" i="32" s="1"/>
  <c r="K241" i="32" s="1"/>
  <c r="K160" i="32"/>
  <c r="K224" i="32" s="1"/>
  <c r="K176" i="32" s="1"/>
  <c r="L160" i="3"/>
  <c r="K224" i="3"/>
  <c r="K176" i="3" s="1"/>
  <c r="K182" i="3"/>
  <c r="L198" i="3"/>
  <c r="J243" i="3"/>
  <c r="P112" i="32"/>
  <c r="Q112" i="3"/>
  <c r="N196" i="3"/>
  <c r="J240" i="32"/>
  <c r="L100" i="32"/>
  <c r="M100" i="3"/>
  <c r="L226" i="32"/>
  <c r="L178" i="32" s="1"/>
  <c r="J89" i="32"/>
  <c r="K89" i="3"/>
  <c r="L159" i="3"/>
  <c r="K159" i="32"/>
  <c r="K223" i="32" s="1"/>
  <c r="K175" i="32" s="1"/>
  <c r="K223" i="3"/>
  <c r="K175" i="3" s="1"/>
  <c r="K79" i="3"/>
  <c r="K127" i="3" s="1"/>
  <c r="K73" i="3"/>
  <c r="K77" i="3"/>
  <c r="K80" i="3"/>
  <c r="K128" i="3" s="1"/>
  <c r="K144" i="3" s="1"/>
  <c r="K75" i="3"/>
  <c r="K84" i="3"/>
  <c r="K78" i="3"/>
  <c r="K81" i="3"/>
  <c r="K129" i="3" s="1"/>
  <c r="K145" i="3" s="1"/>
  <c r="K83" i="3"/>
  <c r="K131" i="3" s="1"/>
  <c r="K147" i="3" s="1"/>
  <c r="K82" i="3"/>
  <c r="K130" i="3" s="1"/>
  <c r="K146" i="3" s="1"/>
  <c r="K242" i="3" s="1"/>
  <c r="K85" i="3"/>
  <c r="K133" i="3" s="1"/>
  <c r="K149" i="3" s="1"/>
  <c r="K245" i="3" s="1"/>
  <c r="K261" i="3" s="1"/>
  <c r="K277" i="3" s="1"/>
  <c r="K86" i="3"/>
  <c r="K134" i="3" s="1"/>
  <c r="K150" i="3" s="1"/>
  <c r="K246" i="3" s="1"/>
  <c r="K72" i="3"/>
  <c r="K120" i="3" s="1"/>
  <c r="K136" i="3" s="1"/>
  <c r="K232" i="3" s="1"/>
  <c r="K74" i="3"/>
  <c r="K76" i="3"/>
  <c r="L117" i="32"/>
  <c r="M117" i="3"/>
  <c r="L162" i="32"/>
  <c r="M162" i="3"/>
  <c r="L226" i="3"/>
  <c r="O153" i="3"/>
  <c r="N153" i="32"/>
  <c r="N217" i="32" s="1"/>
  <c r="N217" i="3"/>
  <c r="N169" i="3" s="1"/>
  <c r="M197" i="3"/>
  <c r="L181" i="3"/>
  <c r="K118" i="32"/>
  <c r="L118" i="3"/>
  <c r="L164" i="32"/>
  <c r="L228" i="32" s="1"/>
  <c r="L180" i="32" s="1"/>
  <c r="M164" i="3"/>
  <c r="L228" i="3"/>
  <c r="L180" i="3" s="1"/>
  <c r="K133" i="32"/>
  <c r="K149" i="32" s="1"/>
  <c r="K245" i="32" s="1"/>
  <c r="K261" i="32" s="1"/>
  <c r="K277" i="32" s="1"/>
  <c r="I259" i="32"/>
  <c r="I275" i="32" s="1"/>
  <c r="I291" i="32"/>
  <c r="M5" i="3"/>
  <c r="L5" i="32"/>
  <c r="L6" i="32" s="1"/>
  <c r="L6" i="3"/>
  <c r="K293" i="32"/>
  <c r="J143" i="32"/>
  <c r="J239" i="32" s="1"/>
  <c r="I292" i="32"/>
  <c r="I260" i="32"/>
  <c r="I276" i="32" s="1"/>
  <c r="G276" i="3"/>
  <c r="N92" i="3"/>
  <c r="M92" i="32"/>
  <c r="I258" i="3"/>
  <c r="I290" i="3"/>
  <c r="Q207" i="3"/>
  <c r="L111" i="3"/>
  <c r="K111" i="32"/>
  <c r="K127" i="32" s="1"/>
  <c r="K143" i="32" s="1"/>
  <c r="K239" i="32" s="1"/>
  <c r="J132" i="3"/>
  <c r="J148" i="3" s="1"/>
  <c r="J244" i="3" s="1"/>
  <c r="J116" i="32"/>
  <c r="J132" i="32" s="1"/>
  <c r="J148" i="32" s="1"/>
  <c r="J244" i="32" s="1"/>
  <c r="K116" i="3"/>
  <c r="L88" i="32"/>
  <c r="M88" i="3"/>
  <c r="J280" i="3"/>
  <c r="J248" i="3"/>
  <c r="P184" i="3"/>
  <c r="I278" i="3"/>
  <c r="M9" i="2"/>
  <c r="M97" i="32"/>
  <c r="N97" i="3"/>
  <c r="J291" i="3"/>
  <c r="J259" i="3"/>
  <c r="J275" i="3" s="1"/>
  <c r="L104" i="3"/>
  <c r="K104" i="32"/>
  <c r="N200" i="3"/>
  <c r="M168" i="3"/>
  <c r="J293" i="3"/>
  <c r="J261" i="3"/>
  <c r="J255" i="3"/>
  <c r="J287" i="3"/>
  <c r="K193" i="3"/>
  <c r="J177" i="3"/>
  <c r="J241" i="3" s="1"/>
  <c r="L95" i="32"/>
  <c r="M95" i="3"/>
  <c r="K293" i="3"/>
  <c r="I280" i="3"/>
  <c r="I248" i="3"/>
  <c r="M90" i="32"/>
  <c r="N90" i="3"/>
  <c r="L195" i="3"/>
  <c r="K179" i="3"/>
  <c r="K243" i="3" s="1"/>
  <c r="N94" i="32"/>
  <c r="O94" i="3"/>
  <c r="J136" i="32"/>
  <c r="J232" i="32" s="1"/>
  <c r="L9" i="33"/>
  <c r="I275" i="3"/>
  <c r="K98" i="32"/>
  <c r="K130" i="32" s="1"/>
  <c r="L98" i="3"/>
  <c r="I260" i="3"/>
  <c r="I276" i="3" s="1"/>
  <c r="I292" i="3"/>
  <c r="M194" i="3"/>
  <c r="L178" i="3"/>
  <c r="L114" i="32"/>
  <c r="M114" i="3"/>
  <c r="J290" i="3"/>
  <c r="J258" i="3"/>
  <c r="J274" i="3" s="1"/>
  <c r="K294" i="3"/>
  <c r="K262" i="3"/>
  <c r="K278" i="3" s="1"/>
  <c r="L101" i="32"/>
  <c r="M101" i="3"/>
  <c r="I257" i="3"/>
  <c r="I289" i="3"/>
  <c r="O208" i="3"/>
  <c r="L102" i="32"/>
  <c r="M102" i="3"/>
  <c r="E141" i="3"/>
  <c r="E237" i="3" s="1"/>
  <c r="G474" i="2"/>
  <c r="E141" i="32"/>
  <c r="G474" i="33"/>
  <c r="E142" i="3"/>
  <c r="E238" i="3" s="1"/>
  <c r="G567" i="2"/>
  <c r="E142" i="32"/>
  <c r="E238" i="32" s="1"/>
  <c r="G567" i="33"/>
  <c r="G14" i="34"/>
  <c r="C15" i="34"/>
  <c r="K14" i="34"/>
  <c r="H14" i="34" s="1"/>
  <c r="C37" i="34"/>
  <c r="C38" i="34" s="1"/>
  <c r="C39" i="34" s="1"/>
  <c r="C41" i="34" s="1"/>
  <c r="C42" i="34" s="1"/>
  <c r="C43" i="34" s="1"/>
  <c r="C44" i="34" s="1"/>
  <c r="E433" i="33"/>
  <c r="E425" i="33"/>
  <c r="N198" i="32"/>
  <c r="N195" i="32"/>
  <c r="S191" i="32"/>
  <c r="I258" i="32"/>
  <c r="I274" i="32" s="1"/>
  <c r="I290" i="32"/>
  <c r="N196" i="32"/>
  <c r="J222" i="32"/>
  <c r="J174" i="32" s="1"/>
  <c r="M194" i="32"/>
  <c r="S192" i="32"/>
  <c r="F258" i="32"/>
  <c r="F274" i="32" s="1"/>
  <c r="F290" i="32"/>
  <c r="H290" i="32"/>
  <c r="H258" i="32"/>
  <c r="H274" i="32" s="1"/>
  <c r="K257" i="32"/>
  <c r="K289" i="32"/>
  <c r="E264" i="32"/>
  <c r="E276" i="32"/>
  <c r="N197" i="32"/>
  <c r="E271" i="32"/>
  <c r="G290" i="32"/>
  <c r="G258" i="32"/>
  <c r="G274" i="32" s="1"/>
  <c r="M193" i="32"/>
  <c r="D33" i="41"/>
  <c r="D51" i="41" s="1"/>
  <c r="D64" i="32"/>
  <c r="L169" i="32"/>
  <c r="M185" i="32"/>
  <c r="E290" i="32"/>
  <c r="E258" i="32"/>
  <c r="P33" i="34" s="1"/>
  <c r="M168" i="32"/>
  <c r="N184" i="32"/>
  <c r="E239" i="2"/>
  <c r="E247" i="2"/>
  <c r="M472" i="33"/>
  <c r="M565" i="33"/>
  <c r="M540" i="2"/>
  <c r="M12" i="32"/>
  <c r="I12" i="32"/>
  <c r="I220" i="32" s="1"/>
  <c r="I172" i="32" s="1"/>
  <c r="X12" i="32"/>
  <c r="J12" i="32"/>
  <c r="J220" i="32" s="1"/>
  <c r="J172" i="32" s="1"/>
  <c r="P12" i="32"/>
  <c r="Q12" i="32"/>
  <c r="W12" i="32"/>
  <c r="U12" i="32"/>
  <c r="L12" i="32"/>
  <c r="G12" i="32"/>
  <c r="G220" i="32" s="1"/>
  <c r="G172" i="32" s="1"/>
  <c r="V12" i="32"/>
  <c r="O12" i="32"/>
  <c r="N12" i="32"/>
  <c r="E12" i="32"/>
  <c r="E220" i="32" s="1"/>
  <c r="E172" i="32" s="1"/>
  <c r="E236" i="32" s="1"/>
  <c r="S12" i="32"/>
  <c r="F12" i="32"/>
  <c r="F220" i="32" s="1"/>
  <c r="F172" i="32" s="1"/>
  <c r="F236" i="32" s="1"/>
  <c r="T12" i="32"/>
  <c r="K12" i="32"/>
  <c r="K220" i="32" s="1"/>
  <c r="K172" i="32" s="1"/>
  <c r="H12" i="32"/>
  <c r="H220" i="32" s="1"/>
  <c r="H172" i="32" s="1"/>
  <c r="R12" i="32"/>
  <c r="E284" i="3"/>
  <c r="S87" i="31" s="1"/>
  <c r="E252" i="3"/>
  <c r="H109" i="3"/>
  <c r="G109" i="32"/>
  <c r="G125" i="32" s="1"/>
  <c r="G125" i="3"/>
  <c r="G126" i="3"/>
  <c r="G110" i="32"/>
  <c r="G126" i="32" s="1"/>
  <c r="H110" i="3"/>
  <c r="G251" i="3"/>
  <c r="G283" i="3"/>
  <c r="H282" i="32"/>
  <c r="H250" i="32"/>
  <c r="G140" i="3"/>
  <c r="G236" i="3" s="1"/>
  <c r="I381" i="2"/>
  <c r="J137" i="3"/>
  <c r="J233" i="3" s="1"/>
  <c r="L102" i="2"/>
  <c r="K106" i="3"/>
  <c r="J122" i="3"/>
  <c r="J106" i="32"/>
  <c r="J122" i="32" s="1"/>
  <c r="H124" i="3"/>
  <c r="H108" i="32"/>
  <c r="H124" i="32" s="1"/>
  <c r="I108" i="3"/>
  <c r="J137" i="32"/>
  <c r="J233" i="32" s="1"/>
  <c r="L102" i="33"/>
  <c r="I138" i="32"/>
  <c r="I234" i="32" s="1"/>
  <c r="K195" i="33"/>
  <c r="F142" i="3"/>
  <c r="F238" i="3" s="1"/>
  <c r="H567" i="2"/>
  <c r="G140" i="32"/>
  <c r="I381" i="33"/>
  <c r="K121" i="3"/>
  <c r="L105" i="3"/>
  <c r="K105" i="32"/>
  <c r="I138" i="3"/>
  <c r="I234" i="3" s="1"/>
  <c r="K195" i="2"/>
  <c r="H250" i="3"/>
  <c r="H282" i="3"/>
  <c r="H567" i="33"/>
  <c r="F142" i="32"/>
  <c r="F238" i="32" s="1"/>
  <c r="F141" i="3"/>
  <c r="F237" i="3" s="1"/>
  <c r="H474" i="2"/>
  <c r="F284" i="3"/>
  <c r="F252" i="3"/>
  <c r="H139" i="3"/>
  <c r="H235" i="3" s="1"/>
  <c r="J288" i="2"/>
  <c r="F141" i="32"/>
  <c r="H474" i="33"/>
  <c r="H139" i="32"/>
  <c r="H235" i="32" s="1"/>
  <c r="J288" i="33"/>
  <c r="I249" i="3"/>
  <c r="I281" i="3"/>
  <c r="I107" i="32"/>
  <c r="I123" i="32" s="1"/>
  <c r="J107" i="3"/>
  <c r="I123" i="3"/>
  <c r="I580" i="33"/>
  <c r="C640" i="33"/>
  <c r="F584" i="33"/>
  <c r="G584" i="33" s="1"/>
  <c r="H584" i="33" s="1"/>
  <c r="I584" i="33" s="1"/>
  <c r="J584" i="33" s="1"/>
  <c r="K584" i="33" s="1"/>
  <c r="L584" i="33" s="1"/>
  <c r="M584" i="33" s="1"/>
  <c r="N584" i="33" s="1"/>
  <c r="O584" i="33" s="1"/>
  <c r="P584" i="33" s="1"/>
  <c r="Q584" i="33" s="1"/>
  <c r="R584" i="33" s="1"/>
  <c r="S584" i="33" s="1"/>
  <c r="T584" i="33" s="1"/>
  <c r="U584" i="33" s="1"/>
  <c r="V584" i="33" s="1"/>
  <c r="W584" i="33" s="1"/>
  <c r="X584" i="33" s="1"/>
  <c r="Y584" i="33" s="1"/>
  <c r="Z584" i="33" s="1"/>
  <c r="E585" i="33"/>
  <c r="F595" i="33"/>
  <c r="G595" i="33" s="1"/>
  <c r="H595" i="33" s="1"/>
  <c r="I595" i="33" s="1"/>
  <c r="J595" i="33" s="1"/>
  <c r="K595" i="33" s="1"/>
  <c r="L595" i="33" s="1"/>
  <c r="M595" i="33" s="1"/>
  <c r="N595" i="33" s="1"/>
  <c r="O595" i="33" s="1"/>
  <c r="P595" i="33" s="1"/>
  <c r="Q595" i="33" s="1"/>
  <c r="R595" i="33" s="1"/>
  <c r="S595" i="33" s="1"/>
  <c r="T595" i="33" s="1"/>
  <c r="U595" i="33" s="1"/>
  <c r="V595" i="33" s="1"/>
  <c r="W595" i="33" s="1"/>
  <c r="X595" i="33" s="1"/>
  <c r="Y595" i="33" s="1"/>
  <c r="Z595" i="33" s="1"/>
  <c r="A596" i="33"/>
  <c r="K158" i="32"/>
  <c r="K222" i="32" s="1"/>
  <c r="K174" i="32" s="1"/>
  <c r="L158" i="3"/>
  <c r="N472" i="2"/>
  <c r="N477" i="2" s="1"/>
  <c r="N565" i="2"/>
  <c r="C640" i="2"/>
  <c r="A582" i="2"/>
  <c r="G580" i="2"/>
  <c r="C284" i="32"/>
  <c r="F251" i="32"/>
  <c r="F283" i="32"/>
  <c r="E251" i="32"/>
  <c r="E283" i="32"/>
  <c r="G283" i="32"/>
  <c r="G251" i="32"/>
  <c r="A481" i="33"/>
  <c r="C545" i="33"/>
  <c r="G487" i="2"/>
  <c r="A490" i="2"/>
  <c r="A491" i="2" s="1"/>
  <c r="F489" i="2"/>
  <c r="G489" i="2" s="1"/>
  <c r="H489" i="2" s="1"/>
  <c r="I489" i="2" s="1"/>
  <c r="J489" i="2" s="1"/>
  <c r="K489" i="2" s="1"/>
  <c r="L489" i="2" s="1"/>
  <c r="M489" i="2" s="1"/>
  <c r="N489" i="2" s="1"/>
  <c r="O489" i="2" s="1"/>
  <c r="P489" i="2" s="1"/>
  <c r="Q489" i="2" s="1"/>
  <c r="R489" i="2" s="1"/>
  <c r="S489" i="2" s="1"/>
  <c r="T489" i="2" s="1"/>
  <c r="U489" i="2" s="1"/>
  <c r="V489" i="2" s="1"/>
  <c r="W489" i="2" s="1"/>
  <c r="X489" i="2" s="1"/>
  <c r="Y489" i="2" s="1"/>
  <c r="Z489" i="2" s="1"/>
  <c r="C545" i="2"/>
  <c r="A13" i="2"/>
  <c r="M1" i="3"/>
  <c r="O2" i="33"/>
  <c r="M1" i="32" s="1"/>
  <c r="P2" i="2"/>
  <c r="AS5" i="5"/>
  <c r="E155" i="2"/>
  <c r="E147" i="2"/>
  <c r="E156" i="2" s="1"/>
  <c r="M132" i="2"/>
  <c r="I161" i="2"/>
  <c r="N1" i="33"/>
  <c r="N193" i="2"/>
  <c r="N225" i="2" s="1"/>
  <c r="N379" i="2"/>
  <c r="N411" i="2" s="1"/>
  <c r="N286" i="2"/>
  <c r="N318" i="2" s="1"/>
  <c r="L4" i="3"/>
  <c r="Z86" i="31" s="1"/>
  <c r="O1" i="2"/>
  <c r="N7" i="2"/>
  <c r="N100" i="2"/>
  <c r="J43" i="41"/>
  <c r="J61" i="41" s="1"/>
  <c r="J70" i="41"/>
  <c r="J88" i="41" s="1"/>
  <c r="J106" i="41" s="1"/>
  <c r="M193" i="33"/>
  <c r="M225" i="33" s="1"/>
  <c r="M7" i="33"/>
  <c r="M39" i="33" s="1"/>
  <c r="M379" i="33"/>
  <c r="M411" i="33" s="1"/>
  <c r="M286" i="33"/>
  <c r="M318" i="33" s="1"/>
  <c r="M100" i="33"/>
  <c r="M132" i="33" s="1"/>
  <c r="K4" i="32"/>
  <c r="K25" i="41" s="1"/>
  <c r="E434" i="2"/>
  <c r="E426" i="2"/>
  <c r="E435" i="2" s="1"/>
  <c r="L155" i="32"/>
  <c r="L219" i="32" s="1"/>
  <c r="L171" i="32" s="1"/>
  <c r="M155" i="3"/>
  <c r="K157" i="32"/>
  <c r="L157" i="3"/>
  <c r="K221" i="3"/>
  <c r="K173" i="3" s="1"/>
  <c r="L154" i="3"/>
  <c r="K154" i="32"/>
  <c r="K218" i="32" s="1"/>
  <c r="K170" i="32" s="1"/>
  <c r="K218" i="3"/>
  <c r="K170" i="3" s="1"/>
  <c r="M156" i="3"/>
  <c r="L156" i="32"/>
  <c r="L220" i="3"/>
  <c r="L172" i="3" s="1"/>
  <c r="L44" i="3"/>
  <c r="L44" i="32"/>
  <c r="K93" i="3"/>
  <c r="J93" i="32"/>
  <c r="I440" i="33"/>
  <c r="C285" i="3"/>
  <c r="I292" i="2" s="1"/>
  <c r="I302" i="2" s="1"/>
  <c r="I300" i="2" s="1"/>
  <c r="I328" i="2" s="1"/>
  <c r="S34" i="1"/>
  <c r="R34" i="1"/>
  <c r="F34" i="1"/>
  <c r="G11" i="2"/>
  <c r="Q34" i="1"/>
  <c r="P34" i="1"/>
  <c r="I11" i="2"/>
  <c r="J11" i="2"/>
  <c r="T34" i="1"/>
  <c r="M34" i="1"/>
  <c r="O34" i="1"/>
  <c r="N34" i="1"/>
  <c r="H11" i="2"/>
  <c r="H12" i="2" s="1"/>
  <c r="I35" i="2"/>
  <c r="I33" i="2"/>
  <c r="I36" i="2"/>
  <c r="J35" i="2"/>
  <c r="J36" i="2"/>
  <c r="J33" i="2"/>
  <c r="J34" i="2" s="1"/>
  <c r="C77" i="2"/>
  <c r="G35" i="2"/>
  <c r="G36" i="2"/>
  <c r="G33" i="2"/>
  <c r="G34" i="2" s="1"/>
  <c r="C269" i="32"/>
  <c r="G10" i="33"/>
  <c r="S33" i="34"/>
  <c r="H10" i="33"/>
  <c r="F33" i="34"/>
  <c r="Q33" i="34"/>
  <c r="I10" i="33"/>
  <c r="I103" i="33"/>
  <c r="J10" i="33"/>
  <c r="K10" i="33"/>
  <c r="H103" i="33"/>
  <c r="H35" i="2"/>
  <c r="H36" i="2"/>
  <c r="H33" i="2"/>
  <c r="H34" i="2" s="1"/>
  <c r="H266" i="32"/>
  <c r="J197" i="33" s="1"/>
  <c r="J196" i="33"/>
  <c r="G219" i="2"/>
  <c r="G221" i="2"/>
  <c r="G222" i="2"/>
  <c r="F266" i="32"/>
  <c r="H197" i="33" s="1"/>
  <c r="H196" i="33"/>
  <c r="I278" i="2"/>
  <c r="I214" i="2"/>
  <c r="I275" i="2"/>
  <c r="H34" i="1"/>
  <c r="G197" i="2"/>
  <c r="G196" i="33"/>
  <c r="E266" i="32"/>
  <c r="H33" i="34"/>
  <c r="I221" i="2"/>
  <c r="I219" i="2"/>
  <c r="I222" i="2"/>
  <c r="I196" i="33"/>
  <c r="G266" i="32"/>
  <c r="H222" i="2"/>
  <c r="H219" i="2"/>
  <c r="H220" i="2" s="1"/>
  <c r="H221" i="2"/>
  <c r="H278" i="2"/>
  <c r="H275" i="2"/>
  <c r="H214" i="2"/>
  <c r="E146" i="33"/>
  <c r="E154" i="33"/>
  <c r="G267" i="3"/>
  <c r="I290" i="2" s="1"/>
  <c r="I289" i="2"/>
  <c r="N441" i="33"/>
  <c r="E267" i="3"/>
  <c r="G289" i="2"/>
  <c r="I33" i="1"/>
  <c r="E247" i="33"/>
  <c r="E239" i="33"/>
  <c r="M57" i="33"/>
  <c r="M440" i="2"/>
  <c r="M255" i="33"/>
  <c r="C268" i="33"/>
  <c r="Q208" i="33"/>
  <c r="M254" i="33"/>
  <c r="M254" i="2"/>
  <c r="C456" i="2"/>
  <c r="M162" i="2"/>
  <c r="E341" i="33"/>
  <c r="E333" i="33"/>
  <c r="E342" i="33" s="1"/>
  <c r="C453" i="33"/>
  <c r="F267" i="3"/>
  <c r="H290" i="2" s="1"/>
  <c r="H289" i="2"/>
  <c r="E60" i="2"/>
  <c r="E52" i="2"/>
  <c r="E60" i="33"/>
  <c r="E52" i="33"/>
  <c r="C81" i="33"/>
  <c r="M161" i="33"/>
  <c r="C267" i="2"/>
  <c r="M347" i="2"/>
  <c r="M150" i="33"/>
  <c r="N522" i="2" l="1"/>
  <c r="I12" i="2"/>
  <c r="H75" i="2"/>
  <c r="H78" i="2"/>
  <c r="N160" i="33"/>
  <c r="G103" i="33"/>
  <c r="G33" i="34"/>
  <c r="J103" i="33"/>
  <c r="J126" i="33" s="1"/>
  <c r="J127" i="33" s="1"/>
  <c r="H13" i="32"/>
  <c r="H221" i="32" s="1"/>
  <c r="H173" i="32" s="1"/>
  <c r="M13" i="32"/>
  <c r="W13" i="32"/>
  <c r="G13" i="32"/>
  <c r="G221" i="32" s="1"/>
  <c r="G173" i="32" s="1"/>
  <c r="J13" i="32"/>
  <c r="J221" i="32" s="1"/>
  <c r="J173" i="32" s="1"/>
  <c r="S13" i="32"/>
  <c r="E13" i="32"/>
  <c r="E221" i="32" s="1"/>
  <c r="E173" i="32" s="1"/>
  <c r="U13" i="32"/>
  <c r="P13" i="32"/>
  <c r="T13" i="32"/>
  <c r="O13" i="32"/>
  <c r="L13" i="32"/>
  <c r="Q13" i="32"/>
  <c r="N13" i="32"/>
  <c r="R13" i="32"/>
  <c r="V13" i="32"/>
  <c r="F13" i="32"/>
  <c r="F221" i="32" s="1"/>
  <c r="F173" i="32" s="1"/>
  <c r="X13" i="32"/>
  <c r="K13" i="32"/>
  <c r="K221" i="32" s="1"/>
  <c r="K173" i="32" s="1"/>
  <c r="I13" i="32"/>
  <c r="I221" i="32" s="1"/>
  <c r="I173" i="32" s="1"/>
  <c r="G265" i="3"/>
  <c r="I104" i="2" s="1"/>
  <c r="I103" i="2"/>
  <c r="E265" i="3"/>
  <c r="G33" i="1"/>
  <c r="G103" i="2"/>
  <c r="F265" i="3"/>
  <c r="H104" i="2" s="1"/>
  <c r="H182" i="2" s="1"/>
  <c r="H103" i="2"/>
  <c r="F237" i="32"/>
  <c r="E237" i="32"/>
  <c r="H265" i="3"/>
  <c r="J104" i="2" s="1"/>
  <c r="J182" i="2" s="1"/>
  <c r="J103" i="2"/>
  <c r="N253" i="2"/>
  <c r="N543" i="2"/>
  <c r="N625" i="2"/>
  <c r="N439" i="2"/>
  <c r="I197" i="33"/>
  <c r="N327" i="2"/>
  <c r="N299" i="2"/>
  <c r="N615" i="33"/>
  <c r="O615" i="33" s="1"/>
  <c r="N615" i="2"/>
  <c r="N67" i="33"/>
  <c r="N346" i="33"/>
  <c r="N420" i="33"/>
  <c r="N392" i="33"/>
  <c r="N327" i="33"/>
  <c r="N336" i="33" s="1"/>
  <c r="N299" i="33"/>
  <c r="AA299" i="33"/>
  <c r="O624" i="2"/>
  <c r="O609" i="2"/>
  <c r="O618" i="2" s="1"/>
  <c r="O624" i="33"/>
  <c r="O609" i="33"/>
  <c r="O618" i="33" s="1"/>
  <c r="O531" i="33"/>
  <c r="O516" i="33"/>
  <c r="O525" i="33" s="1"/>
  <c r="O513" i="33"/>
  <c r="O522" i="33" s="1"/>
  <c r="O623" i="33"/>
  <c r="O625" i="33" s="1"/>
  <c r="O623" i="2"/>
  <c r="O625" i="2" s="1"/>
  <c r="O531" i="2"/>
  <c r="O516" i="2"/>
  <c r="O525" i="2" s="1"/>
  <c r="O530" i="33"/>
  <c r="O532" i="33" s="1"/>
  <c r="O530" i="2"/>
  <c r="O513" i="2"/>
  <c r="O237" i="33"/>
  <c r="O246" i="33" s="1"/>
  <c r="AT13" i="5"/>
  <c r="O252" i="2"/>
  <c r="O159" i="33"/>
  <c r="O162" i="33" s="1"/>
  <c r="O51" i="33"/>
  <c r="O60" i="33" s="1"/>
  <c r="O237" i="2"/>
  <c r="O246" i="2" s="1"/>
  <c r="O327" i="33"/>
  <c r="O144" i="33"/>
  <c r="O153" i="33" s="1"/>
  <c r="O158" i="33"/>
  <c r="O330" i="2"/>
  <c r="O339" i="2" s="1"/>
  <c r="O438" i="33"/>
  <c r="O344" i="33"/>
  <c r="O144" i="2"/>
  <c r="O153" i="2" s="1"/>
  <c r="O48" i="2"/>
  <c r="O330" i="33"/>
  <c r="O339" i="33" s="1"/>
  <c r="O66" i="2"/>
  <c r="O66" i="33"/>
  <c r="O69" i="33" s="1"/>
  <c r="O51" i="2"/>
  <c r="O60" i="2" s="1"/>
  <c r="O437" i="33"/>
  <c r="O439" i="33" s="1"/>
  <c r="O438" i="2"/>
  <c r="O441" i="2" s="1"/>
  <c r="O251" i="33"/>
  <c r="O345" i="2"/>
  <c r="O348" i="2" s="1"/>
  <c r="O252" i="33"/>
  <c r="O65" i="33"/>
  <c r="O327" i="2"/>
  <c r="O423" i="33"/>
  <c r="O432" i="33" s="1"/>
  <c r="O141" i="2"/>
  <c r="O423" i="2"/>
  <c r="O432" i="2" s="1"/>
  <c r="O159" i="2"/>
  <c r="O141" i="33"/>
  <c r="O345" i="33"/>
  <c r="O437" i="2"/>
  <c r="O48" i="33"/>
  <c r="O158" i="2"/>
  <c r="O65" i="2"/>
  <c r="O344" i="2"/>
  <c r="O251" i="2"/>
  <c r="N234" i="33"/>
  <c r="N243" i="33" s="1"/>
  <c r="N206" i="33"/>
  <c r="C17" i="1"/>
  <c r="G16" i="1"/>
  <c r="K16" i="1"/>
  <c r="H16" i="1" s="1"/>
  <c r="AB295" i="33"/>
  <c r="N346" i="2"/>
  <c r="N532" i="33"/>
  <c r="C37" i="1"/>
  <c r="N234" i="2"/>
  <c r="N243" i="2" s="1"/>
  <c r="N206" i="2"/>
  <c r="O347" i="33"/>
  <c r="N439" i="33"/>
  <c r="O574" i="33"/>
  <c r="O606" i="33" s="1"/>
  <c r="O574" i="2"/>
  <c r="O388" i="33"/>
  <c r="O202" i="33"/>
  <c r="M68" i="41"/>
  <c r="O388" i="2"/>
  <c r="AT7" i="5"/>
  <c r="O202" i="2"/>
  <c r="N420" i="2"/>
  <c r="N429" i="2" s="1"/>
  <c r="N392" i="2"/>
  <c r="AS14" i="5"/>
  <c r="AB295" i="2"/>
  <c r="N625" i="33"/>
  <c r="K288" i="32"/>
  <c r="K256" i="32"/>
  <c r="K272" i="32" s="1"/>
  <c r="K294" i="32"/>
  <c r="K262" i="32"/>
  <c r="K278" i="32" s="1"/>
  <c r="M117" i="32"/>
  <c r="N117" i="3"/>
  <c r="J291" i="32"/>
  <c r="J259" i="32"/>
  <c r="J275" i="32" s="1"/>
  <c r="N166" i="3"/>
  <c r="M166" i="32"/>
  <c r="M230" i="32" s="1"/>
  <c r="M182" i="32" s="1"/>
  <c r="M230" i="3"/>
  <c r="N197" i="3"/>
  <c r="M181" i="3"/>
  <c r="L82" i="3"/>
  <c r="L77" i="3"/>
  <c r="L84" i="3"/>
  <c r="L75" i="3"/>
  <c r="L80" i="3"/>
  <c r="L128" i="3" s="1"/>
  <c r="L144" i="3" s="1"/>
  <c r="L240" i="3" s="1"/>
  <c r="L85" i="3"/>
  <c r="L133" i="3" s="1"/>
  <c r="L149" i="3" s="1"/>
  <c r="L245" i="3" s="1"/>
  <c r="L74" i="3"/>
  <c r="L73" i="3"/>
  <c r="L79" i="3"/>
  <c r="L127" i="3" s="1"/>
  <c r="L143" i="3" s="1"/>
  <c r="L78" i="3"/>
  <c r="L81" i="3"/>
  <c r="L129" i="3" s="1"/>
  <c r="L145" i="3" s="1"/>
  <c r="L86" i="3"/>
  <c r="L134" i="3" s="1"/>
  <c r="L72" i="3"/>
  <c r="L120" i="3" s="1"/>
  <c r="N9" i="2" s="1"/>
  <c r="L83" i="3"/>
  <c r="L131" i="3" s="1"/>
  <c r="L147" i="3" s="1"/>
  <c r="L76" i="3"/>
  <c r="L86" i="32"/>
  <c r="L134" i="32" s="1"/>
  <c r="L150" i="32" s="1"/>
  <c r="L246" i="32" s="1"/>
  <c r="L82" i="32"/>
  <c r="L81" i="32"/>
  <c r="L129" i="32" s="1"/>
  <c r="L145" i="32" s="1"/>
  <c r="L74" i="32"/>
  <c r="L78" i="32"/>
  <c r="L73" i="32"/>
  <c r="L75" i="32"/>
  <c r="L72" i="32"/>
  <c r="L84" i="32"/>
  <c r="L77" i="32"/>
  <c r="L80" i="32"/>
  <c r="L128" i="32" s="1"/>
  <c r="L144" i="32" s="1"/>
  <c r="L240" i="32" s="1"/>
  <c r="L85" i="32"/>
  <c r="L83" i="32"/>
  <c r="L79" i="32"/>
  <c r="L76" i="32"/>
  <c r="L159" i="32"/>
  <c r="L223" i="32" s="1"/>
  <c r="L175" i="32" s="1"/>
  <c r="M159" i="3"/>
  <c r="L223" i="3"/>
  <c r="L175" i="3" s="1"/>
  <c r="M113" i="32"/>
  <c r="N113" i="3"/>
  <c r="M115" i="32"/>
  <c r="N115" i="3"/>
  <c r="M165" i="32"/>
  <c r="M229" i="32" s="1"/>
  <c r="M181" i="32" s="1"/>
  <c r="N165" i="3"/>
  <c r="M229" i="3"/>
  <c r="L99" i="32"/>
  <c r="M99" i="3"/>
  <c r="M100" i="32"/>
  <c r="N100" i="3"/>
  <c r="L133" i="32"/>
  <c r="L149" i="32" s="1"/>
  <c r="L245" i="32" s="1"/>
  <c r="L293" i="32" s="1"/>
  <c r="N5" i="3"/>
  <c r="M5" i="32"/>
  <c r="M6" i="32" s="1"/>
  <c r="M6" i="3"/>
  <c r="M164" i="32"/>
  <c r="M228" i="32" s="1"/>
  <c r="M180" i="32" s="1"/>
  <c r="N164" i="3"/>
  <c r="M228" i="3"/>
  <c r="M180" i="3" s="1"/>
  <c r="P153" i="3"/>
  <c r="O153" i="32"/>
  <c r="O217" i="32" s="1"/>
  <c r="O217" i="3"/>
  <c r="O169" i="3" s="1"/>
  <c r="L89" i="3"/>
  <c r="K89" i="32"/>
  <c r="J288" i="32"/>
  <c r="J256" i="32"/>
  <c r="J272" i="32" s="1"/>
  <c r="M198" i="3"/>
  <c r="L182" i="3"/>
  <c r="K131" i="32"/>
  <c r="K147" i="32" s="1"/>
  <c r="K243" i="32" s="1"/>
  <c r="M161" i="3"/>
  <c r="L161" i="32"/>
  <c r="L225" i="32" s="1"/>
  <c r="L177" i="32" s="1"/>
  <c r="L241" i="32" s="1"/>
  <c r="L225" i="3"/>
  <c r="M96" i="32"/>
  <c r="N96" i="3"/>
  <c r="K240" i="3"/>
  <c r="O152" i="32"/>
  <c r="O216" i="32" s="1"/>
  <c r="P152" i="3"/>
  <c r="O216" i="3"/>
  <c r="L220" i="32"/>
  <c r="L172" i="32" s="1"/>
  <c r="T87" i="31"/>
  <c r="L118" i="32"/>
  <c r="M118" i="3"/>
  <c r="M162" i="32"/>
  <c r="M226" i="32" s="1"/>
  <c r="N162" i="3"/>
  <c r="M226" i="3"/>
  <c r="M178" i="3" s="1"/>
  <c r="O196" i="3"/>
  <c r="K121" i="32"/>
  <c r="R112" i="3"/>
  <c r="Q112" i="32"/>
  <c r="L160" i="32"/>
  <c r="L224" i="32" s="1"/>
  <c r="L176" i="32" s="1"/>
  <c r="M160" i="3"/>
  <c r="L224" i="3"/>
  <c r="L176" i="3" s="1"/>
  <c r="N163" i="3"/>
  <c r="M163" i="32"/>
  <c r="M227" i="32" s="1"/>
  <c r="M179" i="32" s="1"/>
  <c r="M227" i="3"/>
  <c r="N91" i="32"/>
  <c r="O91" i="3"/>
  <c r="I281" i="32"/>
  <c r="I249" i="32"/>
  <c r="L261" i="32"/>
  <c r="L277" i="32" s="1"/>
  <c r="K146" i="32"/>
  <c r="K242" i="32" s="1"/>
  <c r="M102" i="32"/>
  <c r="N102" i="3"/>
  <c r="O90" i="3"/>
  <c r="N90" i="32"/>
  <c r="J277" i="3"/>
  <c r="K136" i="32"/>
  <c r="K232" i="32" s="1"/>
  <c r="M9" i="33"/>
  <c r="L136" i="3"/>
  <c r="L232" i="3" s="1"/>
  <c r="M33" i="34"/>
  <c r="K143" i="3"/>
  <c r="K239" i="3" s="1"/>
  <c r="L98" i="32"/>
  <c r="L130" i="32" s="1"/>
  <c r="L130" i="3"/>
  <c r="L146" i="3" s="1"/>
  <c r="L242" i="3" s="1"/>
  <c r="M98" i="3"/>
  <c r="N97" i="32"/>
  <c r="O97" i="3"/>
  <c r="M88" i="32"/>
  <c r="N88" i="3"/>
  <c r="R207" i="3"/>
  <c r="N114" i="3"/>
  <c r="M114" i="32"/>
  <c r="K290" i="3"/>
  <c r="K258" i="3"/>
  <c r="K274" i="3" s="1"/>
  <c r="K291" i="3"/>
  <c r="K259" i="3"/>
  <c r="R33" i="34"/>
  <c r="P208" i="3"/>
  <c r="J280" i="32"/>
  <c r="J248" i="32"/>
  <c r="M195" i="3"/>
  <c r="L179" i="3"/>
  <c r="O200" i="3"/>
  <c r="N168" i="3"/>
  <c r="K132" i="3"/>
  <c r="L116" i="3"/>
  <c r="K116" i="32"/>
  <c r="K132" i="32" s="1"/>
  <c r="I274" i="3"/>
  <c r="M95" i="32"/>
  <c r="N95" i="3"/>
  <c r="O94" i="32"/>
  <c r="P94" i="3"/>
  <c r="I264" i="3"/>
  <c r="K10" i="2"/>
  <c r="J289" i="3"/>
  <c r="J257" i="3"/>
  <c r="J273" i="3" s="1"/>
  <c r="K280" i="3"/>
  <c r="M13" i="2" s="1"/>
  <c r="K248" i="3"/>
  <c r="J292" i="32"/>
  <c r="J260" i="32"/>
  <c r="J276" i="32" s="1"/>
  <c r="N33" i="34"/>
  <c r="J258" i="32"/>
  <c r="J274" i="32" s="1"/>
  <c r="I273" i="3"/>
  <c r="N194" i="3"/>
  <c r="L193" i="3"/>
  <c r="K177" i="3"/>
  <c r="K241" i="3" s="1"/>
  <c r="K287" i="32"/>
  <c r="K255" i="32"/>
  <c r="K271" i="32" s="1"/>
  <c r="Q184" i="3"/>
  <c r="J292" i="3"/>
  <c r="J260" i="3"/>
  <c r="J276" i="3" s="1"/>
  <c r="O92" i="3"/>
  <c r="N92" i="32"/>
  <c r="J287" i="32"/>
  <c r="J255" i="32"/>
  <c r="J271" i="32" s="1"/>
  <c r="T33" i="34"/>
  <c r="M101" i="32"/>
  <c r="N101" i="3"/>
  <c r="J264" i="3"/>
  <c r="L11" i="2" s="1"/>
  <c r="L89" i="2" s="1"/>
  <c r="L10" i="2"/>
  <c r="O33" i="34"/>
  <c r="L150" i="3"/>
  <c r="L293" i="3"/>
  <c r="L261" i="3"/>
  <c r="L277" i="3" s="1"/>
  <c r="J271" i="3"/>
  <c r="L104" i="32"/>
  <c r="M104" i="3"/>
  <c r="L111" i="32"/>
  <c r="M111" i="3"/>
  <c r="E254" i="32"/>
  <c r="E286" i="32"/>
  <c r="E254" i="3"/>
  <c r="E286" i="3"/>
  <c r="G571" i="2" s="1"/>
  <c r="G581" i="2" s="1"/>
  <c r="E285" i="32"/>
  <c r="E253" i="32"/>
  <c r="E285" i="3"/>
  <c r="G478" i="2" s="1"/>
  <c r="G488" i="2" s="1"/>
  <c r="E253" i="3"/>
  <c r="C45" i="34"/>
  <c r="C46" i="34" s="1"/>
  <c r="C48" i="34" s="1"/>
  <c r="C49" i="34" s="1"/>
  <c r="C51" i="34" s="1"/>
  <c r="C53" i="34" s="1"/>
  <c r="C54" i="34" s="1"/>
  <c r="C16" i="34"/>
  <c r="G15" i="34"/>
  <c r="K15" i="34"/>
  <c r="H15" i="34" s="1"/>
  <c r="E426" i="33"/>
  <c r="E435" i="33" s="1"/>
  <c r="E434" i="33"/>
  <c r="O196" i="32"/>
  <c r="M178" i="32"/>
  <c r="N194" i="32"/>
  <c r="L257" i="32"/>
  <c r="L273" i="32" s="1"/>
  <c r="L289" i="32"/>
  <c r="O197" i="32"/>
  <c r="K273" i="32"/>
  <c r="O198" i="32"/>
  <c r="O184" i="32"/>
  <c r="N168" i="32"/>
  <c r="N193" i="32"/>
  <c r="D65" i="32"/>
  <c r="D34" i="41"/>
  <c r="D52" i="41" s="1"/>
  <c r="T191" i="32"/>
  <c r="N185" i="32"/>
  <c r="M169" i="32"/>
  <c r="T192" i="32"/>
  <c r="E274" i="32"/>
  <c r="Q34" i="34" s="1"/>
  <c r="O195" i="32"/>
  <c r="H251" i="32"/>
  <c r="H267" i="32" s="1"/>
  <c r="J290" i="33" s="1"/>
  <c r="J307" i="33" s="1"/>
  <c r="J304" i="33" s="1"/>
  <c r="H283" i="32"/>
  <c r="E248" i="2"/>
  <c r="E240" i="2"/>
  <c r="E249" i="2" s="1"/>
  <c r="N472" i="33"/>
  <c r="N565" i="33"/>
  <c r="F284" i="32"/>
  <c r="F252" i="32"/>
  <c r="G236" i="32"/>
  <c r="G284" i="32" s="1"/>
  <c r="E268" i="3"/>
  <c r="G382" i="2"/>
  <c r="J33" i="1"/>
  <c r="E284" i="32"/>
  <c r="S88" i="31" s="1"/>
  <c r="E252" i="32"/>
  <c r="F286" i="32"/>
  <c r="F254" i="32"/>
  <c r="L121" i="3"/>
  <c r="M105" i="3"/>
  <c r="L105" i="32"/>
  <c r="F286" i="3"/>
  <c r="H571" i="2" s="1"/>
  <c r="F254" i="3"/>
  <c r="H140" i="32"/>
  <c r="H236" i="32" s="1"/>
  <c r="J381" i="33"/>
  <c r="K137" i="3"/>
  <c r="K233" i="3" s="1"/>
  <c r="M102" i="2"/>
  <c r="H140" i="3"/>
  <c r="H236" i="3" s="1"/>
  <c r="J381" i="2"/>
  <c r="G284" i="3"/>
  <c r="U87" i="31" s="1"/>
  <c r="G252" i="3"/>
  <c r="F285" i="32"/>
  <c r="F253" i="32"/>
  <c r="I282" i="32"/>
  <c r="I250" i="32"/>
  <c r="J138" i="32"/>
  <c r="J234" i="32" s="1"/>
  <c r="L195" i="33"/>
  <c r="I110" i="3"/>
  <c r="H110" i="32"/>
  <c r="H126" i="32" s="1"/>
  <c r="H126" i="3"/>
  <c r="I265" i="3"/>
  <c r="K103" i="2"/>
  <c r="J138" i="3"/>
  <c r="J234" i="3" s="1"/>
  <c r="L195" i="2"/>
  <c r="I567" i="33"/>
  <c r="G142" i="32"/>
  <c r="G238" i="32" s="1"/>
  <c r="F268" i="3"/>
  <c r="H383" i="2" s="1"/>
  <c r="H464" i="2" s="1"/>
  <c r="H382" i="2"/>
  <c r="H266" i="3"/>
  <c r="J197" i="2" s="1"/>
  <c r="J196" i="2"/>
  <c r="J281" i="32"/>
  <c r="J249" i="32"/>
  <c r="K106" i="32"/>
  <c r="K122" i="32" s="1"/>
  <c r="L106" i="3"/>
  <c r="K122" i="3"/>
  <c r="G142" i="3"/>
  <c r="G238" i="3" s="1"/>
  <c r="I567" i="2"/>
  <c r="I139" i="3"/>
  <c r="I235" i="3" s="1"/>
  <c r="K288" i="2"/>
  <c r="H251" i="3"/>
  <c r="H283" i="3"/>
  <c r="J292" i="2" s="1"/>
  <c r="J302" i="2" s="1"/>
  <c r="J300" i="2" s="1"/>
  <c r="J328" i="2" s="1"/>
  <c r="I474" i="2"/>
  <c r="G141" i="3"/>
  <c r="G237" i="3" s="1"/>
  <c r="J107" i="32"/>
  <c r="J123" i="32" s="1"/>
  <c r="K107" i="3"/>
  <c r="J123" i="3"/>
  <c r="I282" i="3"/>
  <c r="I250" i="3"/>
  <c r="J281" i="3"/>
  <c r="L106" i="2" s="1"/>
  <c r="L116" i="2" s="1"/>
  <c r="L114" i="2" s="1"/>
  <c r="J249" i="3"/>
  <c r="G141" i="32"/>
  <c r="G237" i="32" s="1"/>
  <c r="I474" i="33"/>
  <c r="I139" i="32"/>
  <c r="I235" i="32" s="1"/>
  <c r="K288" i="33"/>
  <c r="F253" i="3"/>
  <c r="F285" i="3"/>
  <c r="H478" i="2" s="1"/>
  <c r="K137" i="32"/>
  <c r="K233" i="32" s="1"/>
  <c r="M102" i="33"/>
  <c r="I108" i="32"/>
  <c r="I124" i="32" s="1"/>
  <c r="J108" i="3"/>
  <c r="I124" i="3"/>
  <c r="I109" i="3"/>
  <c r="H109" i="32"/>
  <c r="H125" i="32" s="1"/>
  <c r="H125" i="3"/>
  <c r="C641" i="33"/>
  <c r="A597" i="33"/>
  <c r="F596" i="33"/>
  <c r="G596" i="33" s="1"/>
  <c r="H596" i="33" s="1"/>
  <c r="I596" i="33" s="1"/>
  <c r="J596" i="33" s="1"/>
  <c r="K596" i="33" s="1"/>
  <c r="L596" i="33" s="1"/>
  <c r="M596" i="33" s="1"/>
  <c r="N596" i="33" s="1"/>
  <c r="O596" i="33" s="1"/>
  <c r="P596" i="33" s="1"/>
  <c r="Q596" i="33" s="1"/>
  <c r="R596" i="33" s="1"/>
  <c r="S596" i="33" s="1"/>
  <c r="T596" i="33" s="1"/>
  <c r="U596" i="33" s="1"/>
  <c r="V596" i="33" s="1"/>
  <c r="W596" i="33" s="1"/>
  <c r="X596" i="33" s="1"/>
  <c r="Y596" i="33" s="1"/>
  <c r="Z596" i="33" s="1"/>
  <c r="J580" i="33"/>
  <c r="N540" i="2"/>
  <c r="L158" i="32"/>
  <c r="L222" i="32" s="1"/>
  <c r="L174" i="32" s="1"/>
  <c r="M158" i="3"/>
  <c r="L222" i="3"/>
  <c r="L174" i="3" s="1"/>
  <c r="O472" i="2"/>
  <c r="O477" i="2" s="1"/>
  <c r="O565" i="2"/>
  <c r="F582" i="2"/>
  <c r="G582" i="2" s="1"/>
  <c r="H582" i="2" s="1"/>
  <c r="I582" i="2" s="1"/>
  <c r="J582" i="2" s="1"/>
  <c r="K582" i="2" s="1"/>
  <c r="L582" i="2" s="1"/>
  <c r="M582" i="2" s="1"/>
  <c r="N582" i="2" s="1"/>
  <c r="O582" i="2" s="1"/>
  <c r="P582" i="2" s="1"/>
  <c r="Q582" i="2" s="1"/>
  <c r="R582" i="2" s="1"/>
  <c r="S582" i="2" s="1"/>
  <c r="T582" i="2" s="1"/>
  <c r="U582" i="2" s="1"/>
  <c r="V582" i="2" s="1"/>
  <c r="W582" i="2" s="1"/>
  <c r="X582" i="2" s="1"/>
  <c r="Y582" i="2" s="1"/>
  <c r="Z582" i="2" s="1"/>
  <c r="A583" i="2"/>
  <c r="A584" i="2" s="1"/>
  <c r="C641" i="2"/>
  <c r="H580" i="2"/>
  <c r="G267" i="32"/>
  <c r="I290" i="33" s="1"/>
  <c r="I368" i="33" s="1"/>
  <c r="I289" i="33"/>
  <c r="E267" i="32"/>
  <c r="I33" i="34"/>
  <c r="G289" i="33"/>
  <c r="J289" i="33"/>
  <c r="F267" i="32"/>
  <c r="H290" i="33" s="1"/>
  <c r="H289" i="33"/>
  <c r="A482" i="33"/>
  <c r="C546" i="33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E491" i="2"/>
  <c r="C546" i="2"/>
  <c r="H487" i="2"/>
  <c r="K43" i="41"/>
  <c r="K61" i="41" s="1"/>
  <c r="K70" i="41"/>
  <c r="K88" i="41" s="1"/>
  <c r="K106" i="41" s="1"/>
  <c r="N132" i="2"/>
  <c r="J161" i="2"/>
  <c r="M4" i="3"/>
  <c r="AA86" i="31" s="1"/>
  <c r="O286" i="2"/>
  <c r="O100" i="2"/>
  <c r="O193" i="2"/>
  <c r="O225" i="2" s="1"/>
  <c r="O379" i="2"/>
  <c r="O411" i="2" s="1"/>
  <c r="P1" i="2"/>
  <c r="O1" i="33"/>
  <c r="O7" i="2"/>
  <c r="L4" i="32"/>
  <c r="L25" i="41" s="1"/>
  <c r="N100" i="33"/>
  <c r="N132" i="33" s="1"/>
  <c r="N7" i="33"/>
  <c r="N39" i="33" s="1"/>
  <c r="N379" i="33"/>
  <c r="N411" i="33" s="1"/>
  <c r="N193" i="33"/>
  <c r="N225" i="33" s="1"/>
  <c r="N286" i="33"/>
  <c r="N318" i="33" s="1"/>
  <c r="P2" i="33"/>
  <c r="N1" i="32" s="1"/>
  <c r="AT5" i="5"/>
  <c r="Q2" i="2"/>
  <c r="N1" i="3"/>
  <c r="A14" i="2"/>
  <c r="L157" i="32"/>
  <c r="L221" i="32" s="1"/>
  <c r="L173" i="32" s="1"/>
  <c r="M157" i="3"/>
  <c r="L221" i="3"/>
  <c r="L173" i="3" s="1"/>
  <c r="N155" i="3"/>
  <c r="M155" i="32"/>
  <c r="M219" i="32" s="1"/>
  <c r="M171" i="32" s="1"/>
  <c r="M219" i="3"/>
  <c r="M171" i="3" s="1"/>
  <c r="N156" i="3"/>
  <c r="M220" i="3"/>
  <c r="M172" i="3" s="1"/>
  <c r="M156" i="32"/>
  <c r="M220" i="32" s="1"/>
  <c r="M172" i="32" s="1"/>
  <c r="M154" i="3"/>
  <c r="L154" i="32"/>
  <c r="L218" i="32" s="1"/>
  <c r="L170" i="32" s="1"/>
  <c r="L218" i="3"/>
  <c r="L170" i="3" s="1"/>
  <c r="M44" i="3"/>
  <c r="M44" i="32"/>
  <c r="L93" i="3"/>
  <c r="K93" i="32"/>
  <c r="I369" i="2"/>
  <c r="H32" i="2"/>
  <c r="H93" i="2" s="1"/>
  <c r="J32" i="2"/>
  <c r="J52" i="2" s="1"/>
  <c r="J35" i="33"/>
  <c r="J36" i="33"/>
  <c r="J33" i="33"/>
  <c r="G35" i="33"/>
  <c r="G33" i="33"/>
  <c r="G34" i="33" s="1"/>
  <c r="G36" i="33"/>
  <c r="I53" i="2"/>
  <c r="I94" i="2"/>
  <c r="I121" i="2"/>
  <c r="I185" i="2"/>
  <c r="I182" i="2"/>
  <c r="J440" i="33"/>
  <c r="G292" i="2"/>
  <c r="G302" i="2" s="1"/>
  <c r="G300" i="2" s="1"/>
  <c r="G328" i="2" s="1"/>
  <c r="G337" i="2" s="1"/>
  <c r="I128" i="33"/>
  <c r="I126" i="33"/>
  <c r="I127" i="33" s="1"/>
  <c r="I129" i="33"/>
  <c r="I34" i="2"/>
  <c r="I32" i="2" s="1"/>
  <c r="I36" i="33"/>
  <c r="I33" i="33"/>
  <c r="I34" i="33" s="1"/>
  <c r="I35" i="33"/>
  <c r="H36" i="33"/>
  <c r="H33" i="33"/>
  <c r="H34" i="33" s="1"/>
  <c r="H35" i="33"/>
  <c r="J185" i="2"/>
  <c r="J121" i="2"/>
  <c r="G126" i="33"/>
  <c r="G127" i="33" s="1"/>
  <c r="G129" i="33"/>
  <c r="G128" i="33"/>
  <c r="H11" i="33"/>
  <c r="G104" i="33"/>
  <c r="J104" i="33"/>
  <c r="G34" i="34"/>
  <c r="J11" i="33"/>
  <c r="C285" i="32"/>
  <c r="G478" i="33" s="1"/>
  <c r="G11" i="33"/>
  <c r="F34" i="34"/>
  <c r="K11" i="33"/>
  <c r="H104" i="33"/>
  <c r="I104" i="33"/>
  <c r="I11" i="33"/>
  <c r="H292" i="2"/>
  <c r="H302" i="2" s="1"/>
  <c r="H300" i="2" s="1"/>
  <c r="H328" i="2" s="1"/>
  <c r="H53" i="2"/>
  <c r="H94" i="2"/>
  <c r="G32" i="2"/>
  <c r="H92" i="2"/>
  <c r="H89" i="2"/>
  <c r="G12" i="2"/>
  <c r="G89" i="2"/>
  <c r="G92" i="2"/>
  <c r="G94" i="2"/>
  <c r="G53" i="2"/>
  <c r="G62" i="2" s="1"/>
  <c r="C78" i="2"/>
  <c r="H129" i="33"/>
  <c r="H126" i="33"/>
  <c r="H127" i="33" s="1"/>
  <c r="H128" i="33"/>
  <c r="J89" i="2"/>
  <c r="J92" i="2"/>
  <c r="G106" i="2"/>
  <c r="I106" i="2"/>
  <c r="I116" i="2" s="1"/>
  <c r="I114" i="2" s="1"/>
  <c r="G385" i="2"/>
  <c r="K106" i="2"/>
  <c r="K116" i="2" s="1"/>
  <c r="K114" i="2" s="1"/>
  <c r="K13" i="2"/>
  <c r="H385" i="2"/>
  <c r="H395" i="2" s="1"/>
  <c r="H393" i="2" s="1"/>
  <c r="L13" i="2"/>
  <c r="H106" i="2"/>
  <c r="H116" i="2" s="1"/>
  <c r="H114" i="2" s="1"/>
  <c r="J13" i="2"/>
  <c r="G13" i="2"/>
  <c r="H13" i="2"/>
  <c r="I13" i="2"/>
  <c r="J106" i="2"/>
  <c r="J116" i="2" s="1"/>
  <c r="J114" i="2" s="1"/>
  <c r="G199" i="2"/>
  <c r="J199" i="2"/>
  <c r="J209" i="2" s="1"/>
  <c r="J207" i="2" s="1"/>
  <c r="K199" i="2"/>
  <c r="K209" i="2" s="1"/>
  <c r="K207" i="2" s="1"/>
  <c r="I199" i="2"/>
  <c r="I209" i="2" s="1"/>
  <c r="I207" i="2" s="1"/>
  <c r="H199" i="2"/>
  <c r="H209" i="2" s="1"/>
  <c r="H207" i="2" s="1"/>
  <c r="K35" i="33"/>
  <c r="K36" i="33"/>
  <c r="K33" i="33"/>
  <c r="K34" i="33" s="1"/>
  <c r="J53" i="2"/>
  <c r="J94" i="2"/>
  <c r="I92" i="2"/>
  <c r="I89" i="2"/>
  <c r="H218" i="2"/>
  <c r="I278" i="33"/>
  <c r="I275" i="33"/>
  <c r="I214" i="33"/>
  <c r="G221" i="33"/>
  <c r="G222" i="33"/>
  <c r="G219" i="33"/>
  <c r="G220" i="33" s="1"/>
  <c r="G220" i="2"/>
  <c r="G218" i="2" s="1"/>
  <c r="H239" i="2"/>
  <c r="H280" i="2"/>
  <c r="I222" i="33"/>
  <c r="I221" i="33"/>
  <c r="I219" i="33"/>
  <c r="G278" i="2"/>
  <c r="G214" i="2"/>
  <c r="G275" i="2"/>
  <c r="G198" i="2"/>
  <c r="I213" i="2"/>
  <c r="I211" i="2"/>
  <c r="I280" i="2"/>
  <c r="I239" i="2"/>
  <c r="I220" i="2"/>
  <c r="I218" i="2" s="1"/>
  <c r="H222" i="33"/>
  <c r="H219" i="33"/>
  <c r="H221" i="33"/>
  <c r="J219" i="33"/>
  <c r="J220" i="33" s="1"/>
  <c r="J222" i="33"/>
  <c r="J221" i="33"/>
  <c r="H278" i="33"/>
  <c r="H214" i="33"/>
  <c r="H275" i="33"/>
  <c r="G239" i="2"/>
  <c r="G248" i="2" s="1"/>
  <c r="G280" i="2"/>
  <c r="J214" i="33"/>
  <c r="J275" i="33"/>
  <c r="J278" i="33"/>
  <c r="H211" i="2"/>
  <c r="H213" i="2"/>
  <c r="G197" i="33"/>
  <c r="H34" i="34"/>
  <c r="N429" i="33"/>
  <c r="E155" i="33"/>
  <c r="E147" i="33"/>
  <c r="E156" i="33" s="1"/>
  <c r="N347" i="2"/>
  <c r="N150" i="33"/>
  <c r="O57" i="2"/>
  <c r="E53" i="33"/>
  <c r="E61" i="33"/>
  <c r="C454" i="33"/>
  <c r="N254" i="33"/>
  <c r="R208" i="33"/>
  <c r="N57" i="33"/>
  <c r="O441" i="33"/>
  <c r="G312" i="2"/>
  <c r="G315" i="2"/>
  <c r="G314" i="2"/>
  <c r="N440" i="2"/>
  <c r="E240" i="33"/>
  <c r="E249" i="33" s="1"/>
  <c r="E248" i="33"/>
  <c r="I34" i="1"/>
  <c r="G290" i="2"/>
  <c r="C82" i="33"/>
  <c r="H312" i="2"/>
  <c r="H315" i="2"/>
  <c r="H314" i="2"/>
  <c r="N254" i="2"/>
  <c r="C269" i="33"/>
  <c r="O150" i="2"/>
  <c r="I312" i="2"/>
  <c r="I315" i="2"/>
  <c r="I314" i="2"/>
  <c r="H368" i="2"/>
  <c r="H371" i="2"/>
  <c r="H307" i="2"/>
  <c r="I307" i="2"/>
  <c r="I368" i="2"/>
  <c r="I371" i="2"/>
  <c r="N161" i="33"/>
  <c r="C268" i="2"/>
  <c r="E53" i="2"/>
  <c r="E61" i="2"/>
  <c r="N255" i="33"/>
  <c r="N336" i="2"/>
  <c r="N162" i="2"/>
  <c r="J128" i="33" l="1"/>
  <c r="J129" i="33"/>
  <c r="O522" i="2"/>
  <c r="H121" i="2"/>
  <c r="H185" i="2"/>
  <c r="J12" i="2"/>
  <c r="I78" i="2"/>
  <c r="I75" i="2"/>
  <c r="O346" i="33"/>
  <c r="O253" i="33"/>
  <c r="O348" i="33"/>
  <c r="L120" i="32"/>
  <c r="J129" i="2"/>
  <c r="J126" i="2"/>
  <c r="J128" i="2"/>
  <c r="G34" i="1"/>
  <c r="G104" i="2"/>
  <c r="I126" i="2"/>
  <c r="I127" i="2" s="1"/>
  <c r="I129" i="2"/>
  <c r="I128" i="2"/>
  <c r="H129" i="2"/>
  <c r="H128" i="2"/>
  <c r="H126" i="2"/>
  <c r="H127" i="2" s="1"/>
  <c r="G129" i="2"/>
  <c r="G126" i="2"/>
  <c r="G128" i="2"/>
  <c r="O336" i="33"/>
  <c r="L92" i="2"/>
  <c r="O543" i="2"/>
  <c r="O160" i="2"/>
  <c r="O439" i="2"/>
  <c r="O532" i="2"/>
  <c r="C18" i="1"/>
  <c r="G17" i="1"/>
  <c r="K17" i="1"/>
  <c r="H17" i="1" s="1"/>
  <c r="P624" i="2"/>
  <c r="P609" i="2"/>
  <c r="P618" i="2" s="1"/>
  <c r="P624" i="33"/>
  <c r="P609" i="33"/>
  <c r="P618" i="33" s="1"/>
  <c r="P531" i="33"/>
  <c r="P516" i="33"/>
  <c r="P525" i="33" s="1"/>
  <c r="P623" i="2"/>
  <c r="P531" i="2"/>
  <c r="P516" i="2"/>
  <c r="P525" i="2" s="1"/>
  <c r="P623" i="33"/>
  <c r="P513" i="33"/>
  <c r="P522" i="33" s="1"/>
  <c r="P513" i="2"/>
  <c r="P522" i="2" s="1"/>
  <c r="P530" i="2"/>
  <c r="P530" i="33"/>
  <c r="P438" i="33"/>
  <c r="P327" i="33"/>
  <c r="P141" i="33"/>
  <c r="P252" i="33"/>
  <c r="P345" i="2"/>
  <c r="P348" i="2" s="1"/>
  <c r="P330" i="2"/>
  <c r="P339" i="2" s="1"/>
  <c r="P66" i="33"/>
  <c r="P69" i="33" s="1"/>
  <c r="P237" i="2"/>
  <c r="P246" i="2" s="1"/>
  <c r="P66" i="2"/>
  <c r="P159" i="33"/>
  <c r="P162" i="33" s="1"/>
  <c r="P237" i="33"/>
  <c r="P246" i="33" s="1"/>
  <c r="P141" i="2"/>
  <c r="P150" i="2" s="1"/>
  <c r="P158" i="2"/>
  <c r="P144" i="33"/>
  <c r="P153" i="33" s="1"/>
  <c r="P344" i="33"/>
  <c r="P347" i="33" s="1"/>
  <c r="P144" i="2"/>
  <c r="P153" i="2" s="1"/>
  <c r="P423" i="33"/>
  <c r="P432" i="33" s="1"/>
  <c r="P65" i="33"/>
  <c r="P51" i="2"/>
  <c r="P60" i="2" s="1"/>
  <c r="P159" i="2"/>
  <c r="P330" i="33"/>
  <c r="P339" i="33" s="1"/>
  <c r="P251" i="33"/>
  <c r="P327" i="2"/>
  <c r="AU13" i="5"/>
  <c r="P48" i="2"/>
  <c r="P252" i="2"/>
  <c r="P423" i="2"/>
  <c r="P345" i="33"/>
  <c r="P51" i="33"/>
  <c r="P60" i="33" s="1"/>
  <c r="P158" i="33"/>
  <c r="P437" i="33"/>
  <c r="P439" i="33" s="1"/>
  <c r="P438" i="2"/>
  <c r="P441" i="2" s="1"/>
  <c r="P65" i="2"/>
  <c r="P48" i="33"/>
  <c r="P437" i="2"/>
  <c r="P344" i="2"/>
  <c r="P251" i="2"/>
  <c r="O420" i="33"/>
  <c r="O429" i="33" s="1"/>
  <c r="O392" i="33"/>
  <c r="O606" i="2"/>
  <c r="O615" i="2" s="1"/>
  <c r="O67" i="33"/>
  <c r="P432" i="2"/>
  <c r="O234" i="2"/>
  <c r="O243" i="2" s="1"/>
  <c r="O206" i="2"/>
  <c r="C38" i="1"/>
  <c r="C39" i="1" s="1"/>
  <c r="C41" i="1" s="1"/>
  <c r="C42" i="1" s="1"/>
  <c r="C43" i="1" s="1"/>
  <c r="C44" i="1" s="1"/>
  <c r="C45" i="1" s="1"/>
  <c r="C46" i="1" s="1"/>
  <c r="C48" i="1" s="1"/>
  <c r="C49" i="1" s="1"/>
  <c r="C51" i="1" s="1"/>
  <c r="C53" i="1" s="1"/>
  <c r="C54" i="1" s="1"/>
  <c r="C55" i="1" s="1"/>
  <c r="P348" i="33"/>
  <c r="O68" i="33"/>
  <c r="P574" i="33"/>
  <c r="P574" i="2"/>
  <c r="P606" i="2" s="1"/>
  <c r="P388" i="33"/>
  <c r="P392" i="33" s="1"/>
  <c r="P202" i="33"/>
  <c r="P202" i="2"/>
  <c r="N68" i="41"/>
  <c r="AU7" i="5"/>
  <c r="P388" i="2"/>
  <c r="C56" i="1"/>
  <c r="C57" i="1" s="1"/>
  <c r="O234" i="33"/>
  <c r="O206" i="33"/>
  <c r="H478" i="33"/>
  <c r="O420" i="2"/>
  <c r="O429" i="2" s="1"/>
  <c r="O392" i="2"/>
  <c r="O346" i="2"/>
  <c r="O160" i="33"/>
  <c r="AT14" i="5"/>
  <c r="AU14" i="5" s="1"/>
  <c r="O67" i="2"/>
  <c r="O253" i="2"/>
  <c r="O255" i="2"/>
  <c r="L288" i="32"/>
  <c r="L256" i="32"/>
  <c r="L272" i="32" s="1"/>
  <c r="L288" i="3"/>
  <c r="L256" i="3"/>
  <c r="L272" i="3" s="1"/>
  <c r="I265" i="32"/>
  <c r="K104" i="33" s="1"/>
  <c r="K182" i="33" s="1"/>
  <c r="K103" i="33"/>
  <c r="M160" i="32"/>
  <c r="M224" i="32" s="1"/>
  <c r="M176" i="32" s="1"/>
  <c r="N160" i="3"/>
  <c r="M224" i="3"/>
  <c r="M176" i="3" s="1"/>
  <c r="N162" i="32"/>
  <c r="N226" i="32" s="1"/>
  <c r="O162" i="3"/>
  <c r="N226" i="3"/>
  <c r="Q153" i="3"/>
  <c r="P153" i="32"/>
  <c r="P217" i="32" s="1"/>
  <c r="P217" i="3"/>
  <c r="P169" i="3" s="1"/>
  <c r="N100" i="32"/>
  <c r="O100" i="3"/>
  <c r="O197" i="3"/>
  <c r="O117" i="3"/>
  <c r="N117" i="32"/>
  <c r="Q152" i="3"/>
  <c r="P152" i="32"/>
  <c r="P216" i="32" s="1"/>
  <c r="P216" i="3"/>
  <c r="N115" i="32"/>
  <c r="O115" i="3"/>
  <c r="M34" i="34"/>
  <c r="L246" i="3"/>
  <c r="K256" i="3"/>
  <c r="K272" i="3" s="1"/>
  <c r="K288" i="3"/>
  <c r="M182" i="3"/>
  <c r="N198" i="3"/>
  <c r="N113" i="32"/>
  <c r="O113" i="3"/>
  <c r="K259" i="32"/>
  <c r="K275" i="32" s="1"/>
  <c r="K291" i="32"/>
  <c r="O91" i="32"/>
  <c r="P91" i="3"/>
  <c r="N118" i="3"/>
  <c r="M118" i="32"/>
  <c r="O96" i="3"/>
  <c r="N96" i="32"/>
  <c r="N164" i="32"/>
  <c r="N228" i="32" s="1"/>
  <c r="N180" i="32" s="1"/>
  <c r="O164" i="3"/>
  <c r="N228" i="3"/>
  <c r="N180" i="3" s="1"/>
  <c r="M99" i="32"/>
  <c r="N99" i="3"/>
  <c r="R112" i="32"/>
  <c r="S112" i="3"/>
  <c r="L131" i="32"/>
  <c r="L147" i="32" s="1"/>
  <c r="L243" i="32" s="1"/>
  <c r="L127" i="32"/>
  <c r="M134" i="32"/>
  <c r="M150" i="32" s="1"/>
  <c r="M246" i="32" s="1"/>
  <c r="M82" i="3"/>
  <c r="M72" i="3"/>
  <c r="M81" i="3"/>
  <c r="M129" i="3" s="1"/>
  <c r="M145" i="3" s="1"/>
  <c r="M79" i="3"/>
  <c r="M84" i="3"/>
  <c r="M80" i="3"/>
  <c r="M128" i="3" s="1"/>
  <c r="M144" i="3" s="1"/>
  <c r="M240" i="3" s="1"/>
  <c r="M74" i="3"/>
  <c r="M78" i="3"/>
  <c r="M73" i="3"/>
  <c r="M77" i="3"/>
  <c r="M86" i="3"/>
  <c r="M134" i="3" s="1"/>
  <c r="M150" i="3" s="1"/>
  <c r="M75" i="3"/>
  <c r="M85" i="3"/>
  <c r="M133" i="3" s="1"/>
  <c r="M149" i="3" s="1"/>
  <c r="M245" i="3" s="1"/>
  <c r="M83" i="3"/>
  <c r="M131" i="3" s="1"/>
  <c r="M147" i="3" s="1"/>
  <c r="M76" i="3"/>
  <c r="M159" i="32"/>
  <c r="M223" i="32" s="1"/>
  <c r="M175" i="32" s="1"/>
  <c r="N159" i="3"/>
  <c r="M223" i="3"/>
  <c r="M175" i="3" s="1"/>
  <c r="L243" i="3"/>
  <c r="P196" i="3"/>
  <c r="L89" i="32"/>
  <c r="L121" i="32" s="1"/>
  <c r="M89" i="3"/>
  <c r="M85" i="32"/>
  <c r="M133" i="32" s="1"/>
  <c r="M149" i="32" s="1"/>
  <c r="M245" i="32" s="1"/>
  <c r="M78" i="32"/>
  <c r="M81" i="32"/>
  <c r="M129" i="32" s="1"/>
  <c r="M145" i="32" s="1"/>
  <c r="M79" i="32"/>
  <c r="M73" i="32"/>
  <c r="M77" i="32"/>
  <c r="M82" i="32"/>
  <c r="M80" i="32"/>
  <c r="M128" i="32" s="1"/>
  <c r="M144" i="32" s="1"/>
  <c r="M240" i="32" s="1"/>
  <c r="M86" i="32"/>
  <c r="M75" i="32"/>
  <c r="M72" i="32"/>
  <c r="M120" i="32" s="1"/>
  <c r="M83" i="32"/>
  <c r="M74" i="32"/>
  <c r="M84" i="32"/>
  <c r="M76" i="32"/>
  <c r="N165" i="32"/>
  <c r="N229" i="32" s="1"/>
  <c r="N181" i="32" s="1"/>
  <c r="O165" i="3"/>
  <c r="N229" i="3"/>
  <c r="N181" i="3" s="1"/>
  <c r="L239" i="3"/>
  <c r="O166" i="3"/>
  <c r="N166" i="32"/>
  <c r="N230" i="32" s="1"/>
  <c r="N182" i="32" s="1"/>
  <c r="N230" i="3"/>
  <c r="O163" i="3"/>
  <c r="N163" i="32"/>
  <c r="N227" i="32" s="1"/>
  <c r="N179" i="32" s="1"/>
  <c r="N227" i="3"/>
  <c r="N161" i="3"/>
  <c r="M161" i="32"/>
  <c r="M225" i="32" s="1"/>
  <c r="M177" i="32" s="1"/>
  <c r="M225" i="3"/>
  <c r="O5" i="3"/>
  <c r="N5" i="32"/>
  <c r="N6" i="32" s="1"/>
  <c r="N6" i="3"/>
  <c r="L146" i="32"/>
  <c r="L242" i="32" s="1"/>
  <c r="L143" i="32"/>
  <c r="L239" i="32" s="1"/>
  <c r="L262" i="3"/>
  <c r="L294" i="3"/>
  <c r="K148" i="32"/>
  <c r="K244" i="32" s="1"/>
  <c r="P200" i="3"/>
  <c r="O168" i="3"/>
  <c r="Q208" i="3"/>
  <c r="N111" i="3"/>
  <c r="M111" i="32"/>
  <c r="M127" i="32" s="1"/>
  <c r="M143" i="32" s="1"/>
  <c r="M239" i="32" s="1"/>
  <c r="L177" i="3"/>
  <c r="L241" i="3" s="1"/>
  <c r="M193" i="3"/>
  <c r="M127" i="3"/>
  <c r="L132" i="3"/>
  <c r="L148" i="3" s="1"/>
  <c r="L244" i="3" s="1"/>
  <c r="M116" i="3"/>
  <c r="L116" i="32"/>
  <c r="L132" i="32" s="1"/>
  <c r="L148" i="32" s="1"/>
  <c r="L244" i="32" s="1"/>
  <c r="L290" i="3"/>
  <c r="L258" i="3"/>
  <c r="L274" i="3" s="1"/>
  <c r="N102" i="32"/>
  <c r="O102" i="3"/>
  <c r="O92" i="32"/>
  <c r="P92" i="3"/>
  <c r="K248" i="32"/>
  <c r="K280" i="32"/>
  <c r="L33" i="2"/>
  <c r="L36" i="2"/>
  <c r="L35" i="2"/>
  <c r="K35" i="2"/>
  <c r="K36" i="2"/>
  <c r="K33" i="2"/>
  <c r="K148" i="3"/>
  <c r="K244" i="3" s="1"/>
  <c r="L291" i="3"/>
  <c r="L259" i="3"/>
  <c r="L275" i="3" s="1"/>
  <c r="N114" i="32"/>
  <c r="O114" i="3"/>
  <c r="O97" i="32"/>
  <c r="P97" i="3"/>
  <c r="O90" i="32"/>
  <c r="P90" i="3"/>
  <c r="O194" i="3"/>
  <c r="N178" i="3"/>
  <c r="N195" i="3"/>
  <c r="M179" i="3"/>
  <c r="M243" i="3" s="1"/>
  <c r="L280" i="3"/>
  <c r="N13" i="2" s="1"/>
  <c r="L248" i="3"/>
  <c r="N101" i="32"/>
  <c r="O101" i="3"/>
  <c r="P94" i="32"/>
  <c r="Q94" i="3"/>
  <c r="M98" i="32"/>
  <c r="M130" i="32" s="1"/>
  <c r="M146" i="32" s="1"/>
  <c r="N98" i="3"/>
  <c r="M130" i="3"/>
  <c r="M146" i="3" s="1"/>
  <c r="M242" i="3" s="1"/>
  <c r="R184" i="3"/>
  <c r="K11" i="2"/>
  <c r="J264" i="32"/>
  <c r="L11" i="33" s="1"/>
  <c r="L28" i="33" s="1"/>
  <c r="L10" i="33"/>
  <c r="S207" i="3"/>
  <c r="K287" i="3"/>
  <c r="K255" i="3"/>
  <c r="K290" i="32"/>
  <c r="K258" i="32"/>
  <c r="K274" i="32" s="1"/>
  <c r="M242" i="32"/>
  <c r="N95" i="32"/>
  <c r="O95" i="3"/>
  <c r="M104" i="32"/>
  <c r="N104" i="3"/>
  <c r="K275" i="3"/>
  <c r="N88" i="32"/>
  <c r="O88" i="3"/>
  <c r="K289" i="3"/>
  <c r="K257" i="3"/>
  <c r="K273" i="3" s="1"/>
  <c r="L136" i="32"/>
  <c r="L232" i="32" s="1"/>
  <c r="N9" i="33"/>
  <c r="M261" i="3"/>
  <c r="M277" i="3" s="1"/>
  <c r="M293" i="3"/>
  <c r="K264" i="3"/>
  <c r="M11" i="2" s="1"/>
  <c r="M10" i="2"/>
  <c r="M120" i="3"/>
  <c r="L294" i="32"/>
  <c r="L262" i="32"/>
  <c r="L278" i="32" s="1"/>
  <c r="E269" i="3"/>
  <c r="G475" i="2"/>
  <c r="K33" i="1"/>
  <c r="K33" i="34"/>
  <c r="G475" i="33"/>
  <c r="E269" i="32"/>
  <c r="L33" i="1"/>
  <c r="E270" i="3"/>
  <c r="G568" i="2"/>
  <c r="G568" i="33"/>
  <c r="G594" i="33" s="1"/>
  <c r="E270" i="32"/>
  <c r="L33" i="34"/>
  <c r="C55" i="34"/>
  <c r="C56" i="34"/>
  <c r="C57" i="34" s="1"/>
  <c r="C58" i="34" s="1"/>
  <c r="G571" i="33"/>
  <c r="G581" i="33" s="1"/>
  <c r="G579" i="33" s="1"/>
  <c r="G16" i="34"/>
  <c r="C17" i="34"/>
  <c r="K16" i="34"/>
  <c r="H16" i="34" s="1"/>
  <c r="P195" i="32"/>
  <c r="D35" i="41"/>
  <c r="D53" i="41" s="1"/>
  <c r="D66" i="32"/>
  <c r="P196" i="32"/>
  <c r="U192" i="32"/>
  <c r="O193" i="32"/>
  <c r="N178" i="32"/>
  <c r="O194" i="32"/>
  <c r="O185" i="32"/>
  <c r="N169" i="32"/>
  <c r="N34" i="34"/>
  <c r="U191" i="32"/>
  <c r="M258" i="32"/>
  <c r="M274" i="32" s="1"/>
  <c r="M290" i="32"/>
  <c r="O34" i="34"/>
  <c r="P184" i="32"/>
  <c r="O168" i="32"/>
  <c r="T34" i="34"/>
  <c r="P34" i="34"/>
  <c r="P197" i="32"/>
  <c r="R34" i="34"/>
  <c r="S34" i="34"/>
  <c r="H571" i="33"/>
  <c r="H581" i="33" s="1"/>
  <c r="H579" i="33" s="1"/>
  <c r="H607" i="33" s="1"/>
  <c r="P198" i="32"/>
  <c r="I385" i="2"/>
  <c r="I395" i="2" s="1"/>
  <c r="I393" i="2" s="1"/>
  <c r="I421" i="2" s="1"/>
  <c r="H461" i="2"/>
  <c r="H400" i="2"/>
  <c r="H399" i="2" s="1"/>
  <c r="G252" i="32"/>
  <c r="G268" i="32" s="1"/>
  <c r="I383" i="33" s="1"/>
  <c r="O472" i="33"/>
  <c r="O565" i="33"/>
  <c r="E268" i="32"/>
  <c r="J33" i="34"/>
  <c r="G382" i="33"/>
  <c r="G408" i="2"/>
  <c r="G407" i="2"/>
  <c r="G405" i="2"/>
  <c r="G383" i="2"/>
  <c r="J34" i="1"/>
  <c r="F268" i="32"/>
  <c r="H383" i="33" s="1"/>
  <c r="H464" i="33" s="1"/>
  <c r="H382" i="33"/>
  <c r="T88" i="31"/>
  <c r="U88" i="31" s="1"/>
  <c r="J109" i="3"/>
  <c r="I109" i="32"/>
  <c r="I125" i="32" s="1"/>
  <c r="I125" i="3"/>
  <c r="F269" i="3"/>
  <c r="H476" i="2" s="1"/>
  <c r="H475" i="2"/>
  <c r="I266" i="3"/>
  <c r="K197" i="2" s="1"/>
  <c r="K276" i="2" s="1"/>
  <c r="K196" i="2"/>
  <c r="M106" i="3"/>
  <c r="L106" i="32"/>
  <c r="L122" i="32" s="1"/>
  <c r="L122" i="3"/>
  <c r="K104" i="2"/>
  <c r="K183" i="2" s="1"/>
  <c r="N105" i="3"/>
  <c r="M105" i="32"/>
  <c r="M121" i="3"/>
  <c r="I140" i="3"/>
  <c r="I236" i="3" s="1"/>
  <c r="K381" i="2"/>
  <c r="K138" i="32"/>
  <c r="K234" i="32" s="1"/>
  <c r="M195" i="33"/>
  <c r="G286" i="32"/>
  <c r="I571" i="33" s="1"/>
  <c r="I581" i="33" s="1"/>
  <c r="I579" i="33" s="1"/>
  <c r="I607" i="33" s="1"/>
  <c r="G254" i="32"/>
  <c r="F269" i="32"/>
  <c r="H476" i="33" s="1"/>
  <c r="H475" i="33"/>
  <c r="K249" i="3"/>
  <c r="K281" i="3"/>
  <c r="M106" i="2" s="1"/>
  <c r="M116" i="2" s="1"/>
  <c r="M114" i="2" s="1"/>
  <c r="M142" i="2" s="1"/>
  <c r="L137" i="3"/>
  <c r="L233" i="3" s="1"/>
  <c r="N102" i="2"/>
  <c r="J108" i="32"/>
  <c r="J124" i="32" s="1"/>
  <c r="K108" i="3"/>
  <c r="J124" i="3"/>
  <c r="I251" i="32"/>
  <c r="I283" i="32"/>
  <c r="K292" i="33" s="1"/>
  <c r="K302" i="33" s="1"/>
  <c r="K300" i="33" s="1"/>
  <c r="K328" i="33" s="1"/>
  <c r="J139" i="3"/>
  <c r="J235" i="3" s="1"/>
  <c r="L288" i="2"/>
  <c r="J289" i="2"/>
  <c r="H267" i="3"/>
  <c r="J290" i="2" s="1"/>
  <c r="J265" i="32"/>
  <c r="L103" i="33"/>
  <c r="J567" i="2"/>
  <c r="H142" i="3"/>
  <c r="H238" i="3" s="1"/>
  <c r="F270" i="32"/>
  <c r="H569" i="33" s="1"/>
  <c r="H568" i="33"/>
  <c r="I140" i="32"/>
  <c r="I236" i="32" s="1"/>
  <c r="K381" i="33"/>
  <c r="L107" i="3"/>
  <c r="K123" i="3"/>
  <c r="K107" i="32"/>
  <c r="K123" i="32" s="1"/>
  <c r="H142" i="32"/>
  <c r="H238" i="32" s="1"/>
  <c r="J567" i="33"/>
  <c r="J139" i="32"/>
  <c r="J235" i="32" s="1"/>
  <c r="L288" i="33"/>
  <c r="I251" i="3"/>
  <c r="I283" i="3"/>
  <c r="K292" i="2" s="1"/>
  <c r="K302" i="2" s="1"/>
  <c r="K300" i="2" s="1"/>
  <c r="J222" i="2"/>
  <c r="J221" i="2"/>
  <c r="J219" i="2"/>
  <c r="J110" i="3"/>
  <c r="I126" i="3"/>
  <c r="I110" i="32"/>
  <c r="I126" i="32" s="1"/>
  <c r="G268" i="3"/>
  <c r="I383" i="2" s="1"/>
  <c r="I382" i="2"/>
  <c r="H284" i="32"/>
  <c r="J385" i="33" s="1"/>
  <c r="J395" i="33" s="1"/>
  <c r="J393" i="33" s="1"/>
  <c r="H252" i="32"/>
  <c r="G253" i="32"/>
  <c r="G285" i="32"/>
  <c r="I478" i="33" s="1"/>
  <c r="G253" i="3"/>
  <c r="G285" i="3"/>
  <c r="I478" i="2" s="1"/>
  <c r="J278" i="2"/>
  <c r="J275" i="2"/>
  <c r="J214" i="2"/>
  <c r="J250" i="3"/>
  <c r="J282" i="3"/>
  <c r="L199" i="2" s="1"/>
  <c r="L209" i="2" s="1"/>
  <c r="L207" i="2" s="1"/>
  <c r="L235" i="2" s="1"/>
  <c r="F270" i="3"/>
  <c r="H569" i="2" s="1"/>
  <c r="H568" i="2"/>
  <c r="H141" i="3"/>
  <c r="H237" i="3" s="1"/>
  <c r="J474" i="2"/>
  <c r="K281" i="32"/>
  <c r="M106" i="33" s="1"/>
  <c r="M116" i="33" s="1"/>
  <c r="M114" i="33" s="1"/>
  <c r="K249" i="32"/>
  <c r="J265" i="3"/>
  <c r="L104" i="2" s="1"/>
  <c r="L183" i="2" s="1"/>
  <c r="L103" i="2"/>
  <c r="G286" i="3"/>
  <c r="I571" i="2" s="1"/>
  <c r="G254" i="3"/>
  <c r="H408" i="2"/>
  <c r="H405" i="2"/>
  <c r="H406" i="2" s="1"/>
  <c r="H407" i="2"/>
  <c r="J282" i="32"/>
  <c r="L199" i="33" s="1"/>
  <c r="L209" i="33" s="1"/>
  <c r="L207" i="33" s="1"/>
  <c r="J250" i="32"/>
  <c r="H141" i="32"/>
  <c r="H237" i="32" s="1"/>
  <c r="J474" i="33"/>
  <c r="K138" i="3"/>
  <c r="K234" i="3" s="1"/>
  <c r="M195" i="2"/>
  <c r="K128" i="2"/>
  <c r="K129" i="2"/>
  <c r="K126" i="2"/>
  <c r="K127" i="2" s="1"/>
  <c r="I266" i="32"/>
  <c r="K197" i="33" s="1"/>
  <c r="K196" i="33"/>
  <c r="H284" i="3"/>
  <c r="H252" i="3"/>
  <c r="I307" i="33"/>
  <c r="I304" i="33" s="1"/>
  <c r="I329" i="33" s="1"/>
  <c r="J306" i="33"/>
  <c r="C642" i="33"/>
  <c r="K580" i="33"/>
  <c r="C597" i="33"/>
  <c r="A598" i="33"/>
  <c r="G369" i="2"/>
  <c r="M158" i="32"/>
  <c r="M222" i="32" s="1"/>
  <c r="M174" i="32" s="1"/>
  <c r="N158" i="3"/>
  <c r="M222" i="3"/>
  <c r="M174" i="3" s="1"/>
  <c r="O540" i="2"/>
  <c r="J371" i="33"/>
  <c r="P472" i="2"/>
  <c r="P477" i="2" s="1"/>
  <c r="P565" i="2"/>
  <c r="G579" i="2"/>
  <c r="I580" i="2"/>
  <c r="H581" i="2"/>
  <c r="H579" i="2" s="1"/>
  <c r="C642" i="2"/>
  <c r="A585" i="2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E584" i="2"/>
  <c r="J368" i="33"/>
  <c r="I371" i="33"/>
  <c r="J314" i="33"/>
  <c r="J315" i="33"/>
  <c r="J312" i="33"/>
  <c r="J313" i="33" s="1"/>
  <c r="G314" i="33"/>
  <c r="G312" i="33"/>
  <c r="G313" i="33" s="1"/>
  <c r="G315" i="33"/>
  <c r="H314" i="33"/>
  <c r="H315" i="33"/>
  <c r="H332" i="33" s="1"/>
  <c r="H312" i="33"/>
  <c r="H313" i="33" s="1"/>
  <c r="G290" i="33"/>
  <c r="I34" i="34"/>
  <c r="I315" i="33"/>
  <c r="I312" i="33"/>
  <c r="I313" i="33" s="1"/>
  <c r="I314" i="33"/>
  <c r="C547" i="33"/>
  <c r="A483" i="33"/>
  <c r="C547" i="2"/>
  <c r="F491" i="2"/>
  <c r="G491" i="2" s="1"/>
  <c r="H491" i="2" s="1"/>
  <c r="I491" i="2" s="1"/>
  <c r="J491" i="2" s="1"/>
  <c r="K491" i="2" s="1"/>
  <c r="L491" i="2" s="1"/>
  <c r="M491" i="2" s="1"/>
  <c r="N491" i="2" s="1"/>
  <c r="O491" i="2" s="1"/>
  <c r="P491" i="2" s="1"/>
  <c r="Q491" i="2" s="1"/>
  <c r="R491" i="2" s="1"/>
  <c r="S491" i="2" s="1"/>
  <c r="T491" i="2" s="1"/>
  <c r="U491" i="2" s="1"/>
  <c r="V491" i="2" s="1"/>
  <c r="W491" i="2" s="1"/>
  <c r="X491" i="2" s="1"/>
  <c r="Y491" i="2" s="1"/>
  <c r="Z491" i="2" s="1"/>
  <c r="E492" i="2"/>
  <c r="A503" i="2"/>
  <c r="F502" i="2"/>
  <c r="G502" i="2" s="1"/>
  <c r="H502" i="2" s="1"/>
  <c r="I502" i="2" s="1"/>
  <c r="J502" i="2" s="1"/>
  <c r="K502" i="2" s="1"/>
  <c r="L502" i="2" s="1"/>
  <c r="M502" i="2" s="1"/>
  <c r="N502" i="2" s="1"/>
  <c r="O502" i="2" s="1"/>
  <c r="P502" i="2" s="1"/>
  <c r="Q502" i="2" s="1"/>
  <c r="R502" i="2" s="1"/>
  <c r="S502" i="2" s="1"/>
  <c r="T502" i="2" s="1"/>
  <c r="U502" i="2" s="1"/>
  <c r="V502" i="2" s="1"/>
  <c r="W502" i="2" s="1"/>
  <c r="X502" i="2" s="1"/>
  <c r="Y502" i="2" s="1"/>
  <c r="Z502" i="2" s="1"/>
  <c r="G486" i="2"/>
  <c r="I487" i="2"/>
  <c r="H488" i="2"/>
  <c r="H486" i="2" s="1"/>
  <c r="A15" i="2"/>
  <c r="O132" i="2"/>
  <c r="K161" i="2"/>
  <c r="O318" i="2"/>
  <c r="Q2" i="33"/>
  <c r="O1" i="32" s="1"/>
  <c r="O1" i="3"/>
  <c r="AU5" i="5"/>
  <c r="R2" i="2"/>
  <c r="L70" i="41"/>
  <c r="L88" i="41" s="1"/>
  <c r="L106" i="41" s="1"/>
  <c r="L43" i="41"/>
  <c r="L61" i="41" s="1"/>
  <c r="O193" i="33"/>
  <c r="O225" i="33" s="1"/>
  <c r="O379" i="33"/>
  <c r="O411" i="33" s="1"/>
  <c r="M4" i="32"/>
  <c r="M25" i="41" s="1"/>
  <c r="O7" i="33"/>
  <c r="O39" i="33" s="1"/>
  <c r="O100" i="33"/>
  <c r="O132" i="33" s="1"/>
  <c r="O286" i="33"/>
  <c r="O318" i="33" s="1"/>
  <c r="P193" i="2"/>
  <c r="P225" i="2" s="1"/>
  <c r="P100" i="2"/>
  <c r="P7" i="2"/>
  <c r="Q1" i="2"/>
  <c r="P1" i="33"/>
  <c r="P379" i="2"/>
  <c r="P411" i="2" s="1"/>
  <c r="P286" i="2"/>
  <c r="N4" i="3"/>
  <c r="AB86" i="31" s="1"/>
  <c r="O155" i="3"/>
  <c r="N155" i="32"/>
  <c r="N219" i="32" s="1"/>
  <c r="N171" i="32" s="1"/>
  <c r="N219" i="3"/>
  <c r="N171" i="3" s="1"/>
  <c r="M154" i="32"/>
  <c r="M218" i="32" s="1"/>
  <c r="M170" i="32" s="1"/>
  <c r="N154" i="3"/>
  <c r="M218" i="3"/>
  <c r="M170" i="3" s="1"/>
  <c r="M157" i="32"/>
  <c r="M221" i="32" s="1"/>
  <c r="M173" i="32" s="1"/>
  <c r="N157" i="3"/>
  <c r="M221" i="3"/>
  <c r="M173" i="3" s="1"/>
  <c r="N156" i="32"/>
  <c r="N220" i="32" s="1"/>
  <c r="N172" i="32" s="1"/>
  <c r="O156" i="3"/>
  <c r="N220" i="3"/>
  <c r="N172" i="3" s="1"/>
  <c r="N44" i="3"/>
  <c r="N44" i="32"/>
  <c r="M93" i="3"/>
  <c r="L93" i="32"/>
  <c r="H52" i="2"/>
  <c r="J93" i="2"/>
  <c r="J125" i="33"/>
  <c r="J186" i="33" s="1"/>
  <c r="G125" i="33"/>
  <c r="G186" i="33" s="1"/>
  <c r="I32" i="33"/>
  <c r="I52" i="33" s="1"/>
  <c r="I125" i="33"/>
  <c r="I145" i="33" s="1"/>
  <c r="K32" i="33"/>
  <c r="K93" i="33" s="1"/>
  <c r="I52" i="2"/>
  <c r="I93" i="2"/>
  <c r="C79" i="2"/>
  <c r="G75" i="2"/>
  <c r="G78" i="2"/>
  <c r="J120" i="2"/>
  <c r="J118" i="2"/>
  <c r="K440" i="33"/>
  <c r="J187" i="33"/>
  <c r="J146" i="33"/>
  <c r="H235" i="2"/>
  <c r="H276" i="2"/>
  <c r="L142" i="2"/>
  <c r="K142" i="2"/>
  <c r="H125" i="33"/>
  <c r="G52" i="2"/>
  <c r="G61" i="2" s="1"/>
  <c r="G93" i="2"/>
  <c r="G92" i="33"/>
  <c r="G89" i="33"/>
  <c r="G28" i="33"/>
  <c r="G12" i="33"/>
  <c r="G146" i="33"/>
  <c r="G155" i="33" s="1"/>
  <c r="G187" i="33"/>
  <c r="I235" i="2"/>
  <c r="I276" i="2"/>
  <c r="J235" i="2"/>
  <c r="J276" i="2"/>
  <c r="G395" i="2"/>
  <c r="G393" i="2" s="1"/>
  <c r="H187" i="33"/>
  <c r="H146" i="33"/>
  <c r="I182" i="33"/>
  <c r="I185" i="33"/>
  <c r="I121" i="33"/>
  <c r="H369" i="2"/>
  <c r="H118" i="2"/>
  <c r="H120" i="2"/>
  <c r="I146" i="33"/>
  <c r="I187" i="33"/>
  <c r="I142" i="2"/>
  <c r="I183" i="2"/>
  <c r="H62" i="2"/>
  <c r="G80" i="2"/>
  <c r="H182" i="33"/>
  <c r="H185" i="33"/>
  <c r="H121" i="33"/>
  <c r="K235" i="2"/>
  <c r="G116" i="2"/>
  <c r="G114" i="2" s="1"/>
  <c r="I94" i="33"/>
  <c r="I53" i="33"/>
  <c r="G53" i="33"/>
  <c r="G62" i="33" s="1"/>
  <c r="G94" i="33"/>
  <c r="K94" i="33"/>
  <c r="K53" i="33"/>
  <c r="G209" i="2"/>
  <c r="G207" i="2" s="1"/>
  <c r="H368" i="33"/>
  <c r="H307" i="33"/>
  <c r="H371" i="33"/>
  <c r="K28" i="33"/>
  <c r="K89" i="33"/>
  <c r="K92" i="33"/>
  <c r="H106" i="33"/>
  <c r="H116" i="33" s="1"/>
  <c r="H114" i="33" s="1"/>
  <c r="J106" i="33"/>
  <c r="J116" i="33" s="1"/>
  <c r="J114" i="33" s="1"/>
  <c r="J13" i="33"/>
  <c r="J23" i="33" s="1"/>
  <c r="J21" i="33" s="1"/>
  <c r="I13" i="33"/>
  <c r="I23" i="33" s="1"/>
  <c r="I21" i="33" s="1"/>
  <c r="G13" i="33"/>
  <c r="G106" i="33"/>
  <c r="H13" i="33"/>
  <c r="H23" i="33" s="1"/>
  <c r="H21" i="33" s="1"/>
  <c r="I106" i="33"/>
  <c r="I116" i="33" s="1"/>
  <c r="I114" i="33" s="1"/>
  <c r="K13" i="33"/>
  <c r="K23" i="33" s="1"/>
  <c r="K21" i="33" s="1"/>
  <c r="H385" i="33"/>
  <c r="H395" i="33" s="1"/>
  <c r="H393" i="33" s="1"/>
  <c r="M13" i="33"/>
  <c r="M23" i="33" s="1"/>
  <c r="M21" i="33" s="1"/>
  <c r="K106" i="33"/>
  <c r="K116" i="33" s="1"/>
  <c r="K114" i="33" s="1"/>
  <c r="I385" i="33"/>
  <c r="I395" i="33" s="1"/>
  <c r="I393" i="33" s="1"/>
  <c r="L106" i="33"/>
  <c r="L116" i="33" s="1"/>
  <c r="L114" i="33" s="1"/>
  <c r="G385" i="33"/>
  <c r="L13" i="33"/>
  <c r="L23" i="33" s="1"/>
  <c r="L21" i="33" s="1"/>
  <c r="H292" i="33"/>
  <c r="H302" i="33" s="1"/>
  <c r="H300" i="33" s="1"/>
  <c r="H328" i="33" s="1"/>
  <c r="G292" i="33"/>
  <c r="I292" i="33"/>
  <c r="I302" i="33" s="1"/>
  <c r="I300" i="33" s="1"/>
  <c r="J292" i="33"/>
  <c r="J302" i="33" s="1"/>
  <c r="J300" i="33" s="1"/>
  <c r="I199" i="33"/>
  <c r="I209" i="33" s="1"/>
  <c r="I207" i="33" s="1"/>
  <c r="G199" i="33"/>
  <c r="G209" i="33" s="1"/>
  <c r="G207" i="33" s="1"/>
  <c r="G235" i="33" s="1"/>
  <c r="G244" i="33" s="1"/>
  <c r="H199" i="33"/>
  <c r="H209" i="33" s="1"/>
  <c r="H207" i="33" s="1"/>
  <c r="J199" i="33"/>
  <c r="J209" i="33" s="1"/>
  <c r="J207" i="33" s="1"/>
  <c r="K199" i="33"/>
  <c r="K209" i="33" s="1"/>
  <c r="K207" i="33" s="1"/>
  <c r="J185" i="33"/>
  <c r="J121" i="33"/>
  <c r="J182" i="33"/>
  <c r="H32" i="33"/>
  <c r="G32" i="33"/>
  <c r="J34" i="33"/>
  <c r="J32" i="33" s="1"/>
  <c r="J142" i="2"/>
  <c r="J183" i="2"/>
  <c r="H183" i="2"/>
  <c r="H142" i="2"/>
  <c r="I28" i="33"/>
  <c r="I92" i="33"/>
  <c r="I89" i="33"/>
  <c r="G121" i="33"/>
  <c r="G185" i="33"/>
  <c r="G105" i="33"/>
  <c r="G182" i="33"/>
  <c r="H94" i="33"/>
  <c r="H53" i="33"/>
  <c r="J53" i="33"/>
  <c r="J94" i="33"/>
  <c r="H421" i="2"/>
  <c r="H462" i="2"/>
  <c r="J89" i="33"/>
  <c r="J92" i="33"/>
  <c r="J28" i="33"/>
  <c r="H92" i="33"/>
  <c r="H89" i="33"/>
  <c r="H28" i="33"/>
  <c r="I118" i="2"/>
  <c r="I120" i="2"/>
  <c r="J218" i="33"/>
  <c r="J279" i="33" s="1"/>
  <c r="G218" i="33"/>
  <c r="G238" i="33" s="1"/>
  <c r="G247" i="33" s="1"/>
  <c r="I238" i="2"/>
  <c r="I279" i="2"/>
  <c r="G279" i="2"/>
  <c r="G238" i="2"/>
  <c r="G247" i="2" s="1"/>
  <c r="G265" i="2" s="1"/>
  <c r="H236" i="2"/>
  <c r="H277" i="2"/>
  <c r="H226" i="2"/>
  <c r="H220" i="33"/>
  <c r="H218" i="33" s="1"/>
  <c r="I220" i="33"/>
  <c r="I218" i="33" s="1"/>
  <c r="H239" i="33"/>
  <c r="H280" i="33"/>
  <c r="G264" i="2"/>
  <c r="G261" i="2"/>
  <c r="G268" i="2"/>
  <c r="H198" i="2"/>
  <c r="G269" i="2"/>
  <c r="J239" i="33"/>
  <c r="J280" i="33"/>
  <c r="I239" i="33"/>
  <c r="I280" i="33"/>
  <c r="H248" i="2"/>
  <c r="G266" i="2"/>
  <c r="G213" i="2"/>
  <c r="G211" i="2"/>
  <c r="G239" i="33"/>
  <c r="G248" i="33" s="1"/>
  <c r="G280" i="33"/>
  <c r="J211" i="33"/>
  <c r="J213" i="33"/>
  <c r="H279" i="2"/>
  <c r="H238" i="2"/>
  <c r="G214" i="33"/>
  <c r="G278" i="33"/>
  <c r="G275" i="33"/>
  <c r="G198" i="33"/>
  <c r="H213" i="33"/>
  <c r="H211" i="33"/>
  <c r="I211" i="33"/>
  <c r="I213" i="33"/>
  <c r="I236" i="2"/>
  <c r="I277" i="2"/>
  <c r="I226" i="2"/>
  <c r="H313" i="2"/>
  <c r="H311" i="2" s="1"/>
  <c r="G307" i="2"/>
  <c r="G368" i="2"/>
  <c r="G371" i="2"/>
  <c r="G291" i="2"/>
  <c r="G355" i="2" s="1"/>
  <c r="O243" i="33"/>
  <c r="I332" i="2"/>
  <c r="I373" i="2"/>
  <c r="C83" i="33"/>
  <c r="I313" i="2"/>
  <c r="I311" i="2" s="1"/>
  <c r="O254" i="2"/>
  <c r="S208" i="33"/>
  <c r="P57" i="2"/>
  <c r="I306" i="2"/>
  <c r="I304" i="2"/>
  <c r="H306" i="2"/>
  <c r="H304" i="2"/>
  <c r="O336" i="2"/>
  <c r="O162" i="2"/>
  <c r="O255" i="33"/>
  <c r="H337" i="2"/>
  <c r="P441" i="33"/>
  <c r="O57" i="33"/>
  <c r="C455" i="33"/>
  <c r="O347" i="2"/>
  <c r="O161" i="33"/>
  <c r="O440" i="2"/>
  <c r="O254" i="33"/>
  <c r="H373" i="2"/>
  <c r="H332" i="2"/>
  <c r="J329" i="33"/>
  <c r="J370" i="33"/>
  <c r="E54" i="2"/>
  <c r="E63" i="2" s="1"/>
  <c r="E62" i="2"/>
  <c r="G332" i="2"/>
  <c r="G341" i="2" s="1"/>
  <c r="G373" i="2"/>
  <c r="E62" i="33"/>
  <c r="E54" i="33"/>
  <c r="E63" i="33" s="1"/>
  <c r="C269" i="2"/>
  <c r="C270" i="33"/>
  <c r="G313" i="2"/>
  <c r="G311" i="2" s="1"/>
  <c r="O150" i="33"/>
  <c r="H125" i="2" l="1"/>
  <c r="H186" i="2" s="1"/>
  <c r="H145" i="2"/>
  <c r="K12" i="2"/>
  <c r="J78" i="2"/>
  <c r="J75" i="2"/>
  <c r="H133" i="2"/>
  <c r="I125" i="2"/>
  <c r="AB388" i="33"/>
  <c r="AA392" i="33"/>
  <c r="P532" i="33"/>
  <c r="P336" i="33"/>
  <c r="I146" i="2"/>
  <c r="I187" i="2"/>
  <c r="G127" i="2"/>
  <c r="G125" i="2" s="1"/>
  <c r="G185" i="2"/>
  <c r="G121" i="2"/>
  <c r="G182" i="2"/>
  <c r="G105" i="2"/>
  <c r="G146" i="2"/>
  <c r="G155" i="2" s="1"/>
  <c r="G187" i="2"/>
  <c r="J127" i="2"/>
  <c r="J125" i="2" s="1"/>
  <c r="H146" i="2"/>
  <c r="H187" i="2"/>
  <c r="J187" i="2"/>
  <c r="J146" i="2"/>
  <c r="P346" i="2"/>
  <c r="P615" i="2"/>
  <c r="P67" i="2"/>
  <c r="P532" i="2"/>
  <c r="P160" i="2"/>
  <c r="L92" i="33"/>
  <c r="H397" i="2"/>
  <c r="H422" i="2" s="1"/>
  <c r="AV14" i="5"/>
  <c r="Q202" i="33"/>
  <c r="O68" i="41"/>
  <c r="AV7" i="5"/>
  <c r="Q202" i="2"/>
  <c r="Q606" i="2"/>
  <c r="Q624" i="2"/>
  <c r="Q609" i="2"/>
  <c r="Q618" i="2" s="1"/>
  <c r="Q624" i="33"/>
  <c r="Q609" i="33"/>
  <c r="Q618" i="33" s="1"/>
  <c r="Q531" i="33"/>
  <c r="Q606" i="33"/>
  <c r="Q623" i="33"/>
  <c r="Q513" i="2"/>
  <c r="Q522" i="2" s="1"/>
  <c r="Q531" i="2"/>
  <c r="Q516" i="2"/>
  <c r="Q525" i="2" s="1"/>
  <c r="Q516" i="33"/>
  <c r="Q525" i="33" s="1"/>
  <c r="Q623" i="2"/>
  <c r="Q530" i="33"/>
  <c r="Q532" i="33" s="1"/>
  <c r="Q513" i="33"/>
  <c r="Q522" i="33" s="1"/>
  <c r="Q530" i="2"/>
  <c r="Q420" i="33"/>
  <c r="Q327" i="33"/>
  <c r="Q423" i="33"/>
  <c r="Q432" i="33" s="1"/>
  <c r="Q437" i="33"/>
  <c r="Q330" i="2"/>
  <c r="Q339" i="2" s="1"/>
  <c r="Q48" i="2"/>
  <c r="Q57" i="2" s="1"/>
  <c r="Q345" i="33"/>
  <c r="Q65" i="33"/>
  <c r="Q67" i="33" s="1"/>
  <c r="Q327" i="2"/>
  <c r="Q420" i="2"/>
  <c r="Q330" i="33"/>
  <c r="Q339" i="33" s="1"/>
  <c r="Q158" i="33"/>
  <c r="Q159" i="2"/>
  <c r="Q438" i="2"/>
  <c r="Q441" i="2" s="1"/>
  <c r="Q66" i="33"/>
  <c r="Q69" i="33" s="1"/>
  <c r="Q251" i="33"/>
  <c r="Q423" i="2"/>
  <c r="Q345" i="2"/>
  <c r="Q348" i="2" s="1"/>
  <c r="Q51" i="33"/>
  <c r="Q60" i="33" s="1"/>
  <c r="Q252" i="2"/>
  <c r="Q237" i="2"/>
  <c r="Q246" i="2" s="1"/>
  <c r="Q144" i="33"/>
  <c r="Q153" i="33" s="1"/>
  <c r="Q252" i="33"/>
  <c r="AV13" i="5"/>
  <c r="Q66" i="2"/>
  <c r="Q159" i="33"/>
  <c r="Q144" i="2"/>
  <c r="Q153" i="2" s="1"/>
  <c r="Q237" i="33"/>
  <c r="Q246" i="33" s="1"/>
  <c r="Q438" i="33"/>
  <c r="Q441" i="33" s="1"/>
  <c r="Q51" i="2"/>
  <c r="Q60" i="2" s="1"/>
  <c r="Q141" i="33"/>
  <c r="Q141" i="2"/>
  <c r="Q344" i="2"/>
  <c r="Q437" i="2"/>
  <c r="Q65" i="2"/>
  <c r="Q158" i="2"/>
  <c r="Q48" i="33"/>
  <c r="Q344" i="33"/>
  <c r="Q346" i="33" s="1"/>
  <c r="Q251" i="2"/>
  <c r="Q348" i="33"/>
  <c r="Q432" i="2"/>
  <c r="P234" i="2"/>
  <c r="P243" i="2" s="1"/>
  <c r="P206" i="2"/>
  <c r="P160" i="33"/>
  <c r="P253" i="33"/>
  <c r="C19" i="1"/>
  <c r="G18" i="1"/>
  <c r="K18" i="1"/>
  <c r="H18" i="1" s="1"/>
  <c r="K121" i="33"/>
  <c r="K118" i="33" s="1"/>
  <c r="P234" i="33"/>
  <c r="P206" i="33"/>
  <c r="P253" i="2"/>
  <c r="K185" i="33"/>
  <c r="P346" i="33"/>
  <c r="P625" i="33"/>
  <c r="P255" i="2"/>
  <c r="AB574" i="2"/>
  <c r="P439" i="2"/>
  <c r="P543" i="2"/>
  <c r="C58" i="1"/>
  <c r="C59" i="1" s="1"/>
  <c r="C60" i="1" s="1"/>
  <c r="C61" i="1" s="1"/>
  <c r="C62" i="1" s="1"/>
  <c r="P606" i="33"/>
  <c r="P615" i="33" s="1"/>
  <c r="Q615" i="33" s="1"/>
  <c r="AB574" i="33"/>
  <c r="P67" i="33"/>
  <c r="P420" i="33"/>
  <c r="P420" i="2"/>
  <c r="P429" i="2" s="1"/>
  <c r="Q429" i="2" s="1"/>
  <c r="P392" i="2"/>
  <c r="AB388" i="2"/>
  <c r="AA392" i="2"/>
  <c r="P68" i="33"/>
  <c r="Q68" i="33" s="1"/>
  <c r="P625" i="2"/>
  <c r="L137" i="32"/>
  <c r="L233" i="32" s="1"/>
  <c r="N102" i="33"/>
  <c r="M261" i="32"/>
  <c r="M277" i="32" s="1"/>
  <c r="M293" i="32"/>
  <c r="M288" i="32"/>
  <c r="M256" i="32"/>
  <c r="M272" i="32" s="1"/>
  <c r="N86" i="32"/>
  <c r="N134" i="32" s="1"/>
  <c r="N150" i="32" s="1"/>
  <c r="N246" i="32" s="1"/>
  <c r="N85" i="32"/>
  <c r="N73" i="32"/>
  <c r="N79" i="32"/>
  <c r="N75" i="32"/>
  <c r="N77" i="32"/>
  <c r="N82" i="32"/>
  <c r="N74" i="32"/>
  <c r="N72" i="32"/>
  <c r="N78" i="32"/>
  <c r="N80" i="32"/>
  <c r="N84" i="32"/>
  <c r="N83" i="32"/>
  <c r="N81" i="32"/>
  <c r="N129" i="32" s="1"/>
  <c r="N76" i="32"/>
  <c r="M89" i="32"/>
  <c r="N89" i="3"/>
  <c r="O99" i="3"/>
  <c r="N99" i="32"/>
  <c r="N118" i="32"/>
  <c r="O118" i="3"/>
  <c r="O160" i="3"/>
  <c r="N160" i="32"/>
  <c r="N224" i="32" s="1"/>
  <c r="N176" i="32" s="1"/>
  <c r="N224" i="3"/>
  <c r="N176" i="3" s="1"/>
  <c r="M121" i="32"/>
  <c r="M137" i="32" s="1"/>
  <c r="M233" i="32" s="1"/>
  <c r="N133" i="32"/>
  <c r="N149" i="32" s="1"/>
  <c r="N245" i="32" s="1"/>
  <c r="N293" i="32" s="1"/>
  <c r="P5" i="3"/>
  <c r="O5" i="32"/>
  <c r="O6" i="32" s="1"/>
  <c r="O6" i="3"/>
  <c r="M131" i="32"/>
  <c r="M147" i="32" s="1"/>
  <c r="M243" i="32" s="1"/>
  <c r="Q91" i="3"/>
  <c r="P91" i="32"/>
  <c r="M294" i="32"/>
  <c r="M262" i="32"/>
  <c r="M278" i="32" s="1"/>
  <c r="O166" i="32"/>
  <c r="O230" i="32" s="1"/>
  <c r="O182" i="32" s="1"/>
  <c r="P166" i="3"/>
  <c r="O230" i="3"/>
  <c r="M288" i="3"/>
  <c r="M256" i="3"/>
  <c r="M272" i="3" s="1"/>
  <c r="R152" i="3"/>
  <c r="Q152" i="32"/>
  <c r="Q216" i="32" s="1"/>
  <c r="Q216" i="3"/>
  <c r="K128" i="33"/>
  <c r="K129" i="33"/>
  <c r="K126" i="33"/>
  <c r="K127" i="33" s="1"/>
  <c r="M241" i="32"/>
  <c r="L287" i="3"/>
  <c r="L255" i="3"/>
  <c r="L271" i="3" s="1"/>
  <c r="Q196" i="3"/>
  <c r="O164" i="32"/>
  <c r="O228" i="32" s="1"/>
  <c r="O180" i="32" s="1"/>
  <c r="P164" i="3"/>
  <c r="O228" i="3"/>
  <c r="O180" i="3" s="1"/>
  <c r="R153" i="3"/>
  <c r="Q153" i="32"/>
  <c r="Q217" i="32" s="1"/>
  <c r="Q217" i="3"/>
  <c r="Q169" i="3" s="1"/>
  <c r="N145" i="32"/>
  <c r="N161" i="32"/>
  <c r="N225" i="32" s="1"/>
  <c r="N177" i="32" s="1"/>
  <c r="O161" i="3"/>
  <c r="N225" i="3"/>
  <c r="L259" i="32"/>
  <c r="L275" i="32" s="1"/>
  <c r="L291" i="32"/>
  <c r="P117" i="3"/>
  <c r="O117" i="32"/>
  <c r="P165" i="3"/>
  <c r="O165" i="32"/>
  <c r="O229" i="32" s="1"/>
  <c r="O181" i="32" s="1"/>
  <c r="O229" i="3"/>
  <c r="O181" i="3" s="1"/>
  <c r="M246" i="3"/>
  <c r="N128" i="32"/>
  <c r="N144" i="32" s="1"/>
  <c r="N240" i="32" s="1"/>
  <c r="O113" i="32"/>
  <c r="P113" i="3"/>
  <c r="P197" i="3"/>
  <c r="O162" i="32"/>
  <c r="O226" i="32" s="1"/>
  <c r="P162" i="3"/>
  <c r="O226" i="3"/>
  <c r="T112" i="3"/>
  <c r="S112" i="32"/>
  <c r="P96" i="3"/>
  <c r="O96" i="32"/>
  <c r="O115" i="32"/>
  <c r="P115" i="3"/>
  <c r="N84" i="3"/>
  <c r="N75" i="3"/>
  <c r="N74" i="3"/>
  <c r="N86" i="3"/>
  <c r="N134" i="3" s="1"/>
  <c r="N150" i="3" s="1"/>
  <c r="N246" i="3" s="1"/>
  <c r="N77" i="3"/>
  <c r="N79" i="3"/>
  <c r="N127" i="3" s="1"/>
  <c r="N143" i="3" s="1"/>
  <c r="N82" i="3"/>
  <c r="N72" i="3"/>
  <c r="N80" i="3"/>
  <c r="N128" i="3" s="1"/>
  <c r="N144" i="3" s="1"/>
  <c r="N240" i="3" s="1"/>
  <c r="N83" i="3"/>
  <c r="N131" i="3" s="1"/>
  <c r="N147" i="3" s="1"/>
  <c r="N85" i="3"/>
  <c r="N133" i="3" s="1"/>
  <c r="N149" i="3" s="1"/>
  <c r="N245" i="3" s="1"/>
  <c r="N81" i="3"/>
  <c r="N129" i="3" s="1"/>
  <c r="N145" i="3" s="1"/>
  <c r="N78" i="3"/>
  <c r="N73" i="3"/>
  <c r="N76" i="3"/>
  <c r="P163" i="3"/>
  <c r="O163" i="32"/>
  <c r="O227" i="32" s="1"/>
  <c r="O179" i="32" s="1"/>
  <c r="O227" i="3"/>
  <c r="N159" i="32"/>
  <c r="N223" i="32" s="1"/>
  <c r="N175" i="32" s="1"/>
  <c r="O159" i="3"/>
  <c r="N223" i="3"/>
  <c r="N175" i="3" s="1"/>
  <c r="N182" i="3"/>
  <c r="O198" i="3"/>
  <c r="O100" i="32"/>
  <c r="P100" i="3"/>
  <c r="M287" i="32"/>
  <c r="M255" i="32"/>
  <c r="M271" i="32" s="1"/>
  <c r="O101" i="32"/>
  <c r="P101" i="3"/>
  <c r="P114" i="3"/>
  <c r="O114" i="32"/>
  <c r="M136" i="3"/>
  <c r="M232" i="3" s="1"/>
  <c r="O9" i="2"/>
  <c r="L278" i="3"/>
  <c r="M258" i="3"/>
  <c r="M290" i="3"/>
  <c r="L264" i="3"/>
  <c r="N11" i="2" s="1"/>
  <c r="N10" i="2"/>
  <c r="P90" i="32"/>
  <c r="Q90" i="3"/>
  <c r="K53" i="2"/>
  <c r="K94" i="2"/>
  <c r="N294" i="3"/>
  <c r="N262" i="3"/>
  <c r="N278" i="3" s="1"/>
  <c r="M116" i="32"/>
  <c r="M132" i="32" s="1"/>
  <c r="M148" i="32" s="1"/>
  <c r="M244" i="32" s="1"/>
  <c r="N116" i="3"/>
  <c r="M132" i="3"/>
  <c r="M148" i="3" s="1"/>
  <c r="M244" i="3" s="1"/>
  <c r="N111" i="32"/>
  <c r="N127" i="32" s="1"/>
  <c r="N143" i="32" s="1"/>
  <c r="N239" i="32" s="1"/>
  <c r="O111" i="3"/>
  <c r="M136" i="32"/>
  <c r="M232" i="32" s="1"/>
  <c r="O9" i="33"/>
  <c r="K271" i="3"/>
  <c r="K89" i="2"/>
  <c r="K92" i="2"/>
  <c r="N98" i="32"/>
  <c r="N130" i="32" s="1"/>
  <c r="N146" i="32" s="1"/>
  <c r="O98" i="3"/>
  <c r="N130" i="3"/>
  <c r="N146" i="3" s="1"/>
  <c r="N242" i="3" s="1"/>
  <c r="P194" i="3"/>
  <c r="O178" i="3"/>
  <c r="L292" i="3"/>
  <c r="L260" i="3"/>
  <c r="L276" i="3" s="1"/>
  <c r="Q200" i="3"/>
  <c r="P168" i="3"/>
  <c r="M92" i="2"/>
  <c r="M89" i="2"/>
  <c r="N104" i="32"/>
  <c r="O104" i="3"/>
  <c r="O88" i="32"/>
  <c r="P88" i="3"/>
  <c r="O95" i="32"/>
  <c r="P95" i="3"/>
  <c r="K264" i="32"/>
  <c r="M11" i="33" s="1"/>
  <c r="M90" i="33" s="1"/>
  <c r="M10" i="33"/>
  <c r="M143" i="3"/>
  <c r="M239" i="3" s="1"/>
  <c r="L248" i="32"/>
  <c r="L280" i="32"/>
  <c r="N13" i="33" s="1"/>
  <c r="N23" i="33" s="1"/>
  <c r="N21" i="33" s="1"/>
  <c r="N49" i="33" s="1"/>
  <c r="L292" i="32"/>
  <c r="L260" i="32"/>
  <c r="L276" i="32" s="1"/>
  <c r="I382" i="33"/>
  <c r="I405" i="33" s="1"/>
  <c r="N120" i="3"/>
  <c r="Q94" i="32"/>
  <c r="R94" i="3"/>
  <c r="K260" i="3"/>
  <c r="K292" i="3"/>
  <c r="Q92" i="3"/>
  <c r="P92" i="32"/>
  <c r="N193" i="3"/>
  <c r="M177" i="3"/>
  <c r="M241" i="3" s="1"/>
  <c r="K292" i="32"/>
  <c r="K260" i="32"/>
  <c r="K276" i="32" s="1"/>
  <c r="L287" i="32"/>
  <c r="L255" i="32"/>
  <c r="L271" i="32" s="1"/>
  <c r="R208" i="3"/>
  <c r="K34" i="2"/>
  <c r="K32" i="2" s="1"/>
  <c r="L89" i="33"/>
  <c r="T207" i="3"/>
  <c r="S184" i="3"/>
  <c r="M259" i="3"/>
  <c r="M291" i="3"/>
  <c r="P97" i="32"/>
  <c r="Q97" i="3"/>
  <c r="L53" i="2"/>
  <c r="L94" i="2"/>
  <c r="L289" i="3"/>
  <c r="L257" i="3"/>
  <c r="L273" i="3" s="1"/>
  <c r="O102" i="32"/>
  <c r="P102" i="3"/>
  <c r="N242" i="32"/>
  <c r="N290" i="32" s="1"/>
  <c r="M36" i="2"/>
  <c r="M35" i="2"/>
  <c r="M33" i="2"/>
  <c r="L36" i="33"/>
  <c r="L35" i="33"/>
  <c r="L33" i="33"/>
  <c r="N293" i="3"/>
  <c r="N261" i="3"/>
  <c r="N277" i="3" s="1"/>
  <c r="O195" i="3"/>
  <c r="N179" i="3"/>
  <c r="N243" i="3" s="1"/>
  <c r="L34" i="2"/>
  <c r="L32" i="2" s="1"/>
  <c r="L290" i="32"/>
  <c r="L258" i="32"/>
  <c r="L274" i="32" s="1"/>
  <c r="G569" i="2"/>
  <c r="G648" i="2" s="1"/>
  <c r="L34" i="1"/>
  <c r="G476" i="33"/>
  <c r="K34" i="34"/>
  <c r="G498" i="33"/>
  <c r="G500" i="33"/>
  <c r="G501" i="33"/>
  <c r="G569" i="33"/>
  <c r="G648" i="33" s="1"/>
  <c r="L34" i="34"/>
  <c r="G591" i="33"/>
  <c r="G593" i="33"/>
  <c r="G501" i="2"/>
  <c r="G498" i="2"/>
  <c r="G499" i="2" s="1"/>
  <c r="G500" i="2"/>
  <c r="G591" i="2"/>
  <c r="G593" i="2"/>
  <c r="G476" i="2"/>
  <c r="G555" i="2" s="1"/>
  <c r="K34" i="1"/>
  <c r="I370" i="33"/>
  <c r="C18" i="34"/>
  <c r="G17" i="34"/>
  <c r="K17" i="34"/>
  <c r="H17" i="34" s="1"/>
  <c r="G607" i="33"/>
  <c r="G616" i="33" s="1"/>
  <c r="H616" i="33" s="1"/>
  <c r="C59" i="34"/>
  <c r="C60" i="34" s="1"/>
  <c r="G611" i="33"/>
  <c r="G620" i="33" s="1"/>
  <c r="D36" i="41"/>
  <c r="D54" i="41" s="1"/>
  <c r="D67" i="32"/>
  <c r="Q198" i="32"/>
  <c r="V192" i="32"/>
  <c r="Q197" i="32"/>
  <c r="P193" i="32"/>
  <c r="Q184" i="32"/>
  <c r="P168" i="32"/>
  <c r="P185" i="32"/>
  <c r="O169" i="32"/>
  <c r="Q196" i="32"/>
  <c r="V191" i="32"/>
  <c r="Q195" i="32"/>
  <c r="O178" i="32"/>
  <c r="P194" i="32"/>
  <c r="I462" i="2"/>
  <c r="H404" i="2"/>
  <c r="H424" i="2" s="1"/>
  <c r="I461" i="33"/>
  <c r="I464" i="33"/>
  <c r="H400" i="33"/>
  <c r="H397" i="33" s="1"/>
  <c r="H461" i="33"/>
  <c r="I400" i="33"/>
  <c r="I399" i="33" s="1"/>
  <c r="I306" i="33"/>
  <c r="P540" i="2"/>
  <c r="P472" i="33"/>
  <c r="P565" i="33"/>
  <c r="G464" i="2"/>
  <c r="G400" i="2"/>
  <c r="G384" i="2"/>
  <c r="G461" i="2"/>
  <c r="G406" i="2"/>
  <c r="G404" i="2" s="1"/>
  <c r="G466" i="2"/>
  <c r="G425" i="2"/>
  <c r="G434" i="2" s="1"/>
  <c r="H407" i="33"/>
  <c r="H408" i="33"/>
  <c r="H405" i="33"/>
  <c r="G405" i="33"/>
  <c r="G406" i="33" s="1"/>
  <c r="G408" i="33"/>
  <c r="G407" i="33"/>
  <c r="V88" i="31"/>
  <c r="G383" i="33"/>
  <c r="J34" i="34"/>
  <c r="K125" i="2"/>
  <c r="H285" i="32"/>
  <c r="J478" i="33" s="1"/>
  <c r="H253" i="32"/>
  <c r="H425" i="2"/>
  <c r="H466" i="2"/>
  <c r="H253" i="3"/>
  <c r="H285" i="3"/>
  <c r="J478" i="2" s="1"/>
  <c r="I461" i="2"/>
  <c r="I464" i="2"/>
  <c r="I400" i="2"/>
  <c r="K289" i="2"/>
  <c r="I267" i="3"/>
  <c r="K290" i="2" s="1"/>
  <c r="K369" i="2" s="1"/>
  <c r="H286" i="32"/>
  <c r="J571" i="33" s="1"/>
  <c r="J581" i="33" s="1"/>
  <c r="J579" i="33" s="1"/>
  <c r="J607" i="33" s="1"/>
  <c r="H254" i="32"/>
  <c r="H650" i="33"/>
  <c r="H586" i="33"/>
  <c r="H647" i="33"/>
  <c r="H648" i="33"/>
  <c r="G270" i="32"/>
  <c r="I569" i="33" s="1"/>
  <c r="I648" i="33" s="1"/>
  <c r="I568" i="33"/>
  <c r="M137" i="3"/>
  <c r="M233" i="3" s="1"/>
  <c r="O102" i="2"/>
  <c r="K221" i="2"/>
  <c r="K219" i="2"/>
  <c r="K222" i="2"/>
  <c r="K146" i="2"/>
  <c r="K187" i="2"/>
  <c r="G270" i="3"/>
  <c r="I569" i="2" s="1"/>
  <c r="I568" i="2"/>
  <c r="H593" i="2"/>
  <c r="H591" i="2"/>
  <c r="G269" i="3"/>
  <c r="I476" i="2" s="1"/>
  <c r="I493" i="2" s="1"/>
  <c r="I475" i="2"/>
  <c r="I142" i="32"/>
  <c r="I238" i="32" s="1"/>
  <c r="K567" i="33"/>
  <c r="K139" i="32"/>
  <c r="K235" i="32" s="1"/>
  <c r="M288" i="33"/>
  <c r="H254" i="3"/>
  <c r="H286" i="3"/>
  <c r="J571" i="2" s="1"/>
  <c r="J283" i="3"/>
  <c r="L292" i="2" s="1"/>
  <c r="L302" i="2" s="1"/>
  <c r="L300" i="2" s="1"/>
  <c r="J251" i="3"/>
  <c r="K275" i="2"/>
  <c r="K278" i="2"/>
  <c r="K214" i="2"/>
  <c r="H647" i="2"/>
  <c r="H650" i="2"/>
  <c r="I142" i="3"/>
  <c r="I238" i="3" s="1"/>
  <c r="K567" i="2"/>
  <c r="K139" i="3"/>
  <c r="K235" i="3" s="1"/>
  <c r="M288" i="2"/>
  <c r="O105" i="3"/>
  <c r="N105" i="32"/>
  <c r="N121" i="3"/>
  <c r="H498" i="2"/>
  <c r="H499" i="2" s="1"/>
  <c r="H500" i="2"/>
  <c r="H501" i="2"/>
  <c r="L249" i="32"/>
  <c r="L281" i="32"/>
  <c r="N106" i="33" s="1"/>
  <c r="N116" i="33" s="1"/>
  <c r="N114" i="33" s="1"/>
  <c r="N142" i="33" s="1"/>
  <c r="J266" i="32"/>
  <c r="L197" i="33" s="1"/>
  <c r="L276" i="33" s="1"/>
  <c r="L196" i="33"/>
  <c r="L126" i="2"/>
  <c r="L127" i="2" s="1"/>
  <c r="L128" i="2"/>
  <c r="L129" i="2"/>
  <c r="G269" i="32"/>
  <c r="I476" i="33" s="1"/>
  <c r="I475" i="33"/>
  <c r="J110" i="32"/>
  <c r="J126" i="32" s="1"/>
  <c r="J126" i="3"/>
  <c r="K110" i="3"/>
  <c r="J251" i="32"/>
  <c r="J283" i="32"/>
  <c r="L292" i="33" s="1"/>
  <c r="L302" i="33" s="1"/>
  <c r="L300" i="33" s="1"/>
  <c r="L328" i="33" s="1"/>
  <c r="M107" i="3"/>
  <c r="L107" i="32"/>
  <c r="L123" i="32" s="1"/>
  <c r="L123" i="3"/>
  <c r="K289" i="33"/>
  <c r="I267" i="32"/>
  <c r="K290" i="33" s="1"/>
  <c r="K369" i="33" s="1"/>
  <c r="L249" i="3"/>
  <c r="L281" i="3"/>
  <c r="N106" i="2" s="1"/>
  <c r="N116" i="2" s="1"/>
  <c r="N114" i="2" s="1"/>
  <c r="K250" i="32"/>
  <c r="K282" i="32"/>
  <c r="M199" i="33" s="1"/>
  <c r="M209" i="33" s="1"/>
  <c r="M207" i="33" s="1"/>
  <c r="M235" i="33" s="1"/>
  <c r="K182" i="2"/>
  <c r="K121" i="2"/>
  <c r="K185" i="2"/>
  <c r="H557" i="2"/>
  <c r="H554" i="2"/>
  <c r="H553" i="2" s="1"/>
  <c r="H268" i="3"/>
  <c r="J383" i="2" s="1"/>
  <c r="J382" i="2"/>
  <c r="K250" i="3"/>
  <c r="K282" i="3"/>
  <c r="M199" i="2" s="1"/>
  <c r="M209" i="2" s="1"/>
  <c r="M207" i="2" s="1"/>
  <c r="M235" i="2" s="1"/>
  <c r="L185" i="2"/>
  <c r="L121" i="2"/>
  <c r="L182" i="2"/>
  <c r="L196" i="2"/>
  <c r="J266" i="3"/>
  <c r="L197" i="2" s="1"/>
  <c r="J220" i="2"/>
  <c r="J218" i="2" s="1"/>
  <c r="L126" i="33"/>
  <c r="L129" i="33"/>
  <c r="L128" i="33"/>
  <c r="J140" i="3"/>
  <c r="J236" i="3" s="1"/>
  <c r="L381" i="2"/>
  <c r="K474" i="2"/>
  <c r="I141" i="3"/>
  <c r="I237" i="3" s="1"/>
  <c r="V87" i="31"/>
  <c r="J385" i="2"/>
  <c r="J395" i="2" s="1"/>
  <c r="J393" i="2" s="1"/>
  <c r="K265" i="32"/>
  <c r="M104" i="33" s="1"/>
  <c r="M183" i="33" s="1"/>
  <c r="M103" i="33"/>
  <c r="J211" i="2"/>
  <c r="J213" i="2"/>
  <c r="H268" i="32"/>
  <c r="J383" i="33" s="1"/>
  <c r="J462" i="33" s="1"/>
  <c r="J382" i="33"/>
  <c r="L104" i="33"/>
  <c r="L183" i="33" s="1"/>
  <c r="L108" i="3"/>
  <c r="K124" i="3"/>
  <c r="K108" i="32"/>
  <c r="K124" i="32" s="1"/>
  <c r="K265" i="3"/>
  <c r="M104" i="2" s="1"/>
  <c r="M103" i="2"/>
  <c r="L138" i="3"/>
  <c r="L234" i="3" s="1"/>
  <c r="N195" i="2"/>
  <c r="K474" i="33"/>
  <c r="I141" i="32"/>
  <c r="I237" i="32" s="1"/>
  <c r="K222" i="33"/>
  <c r="K221" i="33"/>
  <c r="K219" i="33"/>
  <c r="K220" i="33" s="1"/>
  <c r="J239" i="2"/>
  <c r="J280" i="2"/>
  <c r="I284" i="32"/>
  <c r="I252" i="32"/>
  <c r="J307" i="2"/>
  <c r="J369" i="2"/>
  <c r="J371" i="2"/>
  <c r="J368" i="2"/>
  <c r="J140" i="32"/>
  <c r="J236" i="32" s="1"/>
  <c r="L381" i="33"/>
  <c r="H498" i="33"/>
  <c r="H500" i="33"/>
  <c r="H501" i="33"/>
  <c r="I284" i="3"/>
  <c r="I252" i="3"/>
  <c r="L138" i="32"/>
  <c r="L234" i="32" s="1"/>
  <c r="N195" i="33"/>
  <c r="J109" i="32"/>
  <c r="J125" i="32" s="1"/>
  <c r="K109" i="3"/>
  <c r="J125" i="3"/>
  <c r="K275" i="33"/>
  <c r="K214" i="33"/>
  <c r="K278" i="33"/>
  <c r="I407" i="2"/>
  <c r="I408" i="2"/>
  <c r="I405" i="2"/>
  <c r="I406" i="2" s="1"/>
  <c r="K328" i="2"/>
  <c r="H593" i="33"/>
  <c r="H591" i="33"/>
  <c r="H594" i="33"/>
  <c r="J314" i="2"/>
  <c r="J312" i="2"/>
  <c r="J313" i="2" s="1"/>
  <c r="J315" i="2"/>
  <c r="H557" i="33"/>
  <c r="H554" i="33"/>
  <c r="H553" i="33" s="1"/>
  <c r="M106" i="32"/>
  <c r="M122" i="32" s="1"/>
  <c r="N106" i="3"/>
  <c r="M122" i="3"/>
  <c r="C598" i="33"/>
  <c r="A599" i="33"/>
  <c r="A600" i="33" s="1"/>
  <c r="A601" i="33" s="1"/>
  <c r="A602" i="33" s="1"/>
  <c r="L580" i="33"/>
  <c r="N158" i="32"/>
  <c r="N222" i="32" s="1"/>
  <c r="N174" i="32" s="1"/>
  <c r="O158" i="3"/>
  <c r="N222" i="3"/>
  <c r="N174" i="3" s="1"/>
  <c r="J311" i="33"/>
  <c r="J319" i="33" s="1"/>
  <c r="J320" i="33" s="1"/>
  <c r="J333" i="33" s="1"/>
  <c r="Q472" i="2"/>
  <c r="Q477" i="2" s="1"/>
  <c r="Q565" i="2"/>
  <c r="Q570" i="2" s="1"/>
  <c r="G607" i="2"/>
  <c r="G616" i="2" s="1"/>
  <c r="E585" i="2"/>
  <c r="F584" i="2"/>
  <c r="G584" i="2" s="1"/>
  <c r="H584" i="2" s="1"/>
  <c r="I584" i="2" s="1"/>
  <c r="J584" i="2" s="1"/>
  <c r="K584" i="2" s="1"/>
  <c r="L584" i="2" s="1"/>
  <c r="M584" i="2" s="1"/>
  <c r="N584" i="2" s="1"/>
  <c r="O584" i="2" s="1"/>
  <c r="P584" i="2" s="1"/>
  <c r="Q584" i="2" s="1"/>
  <c r="R584" i="2" s="1"/>
  <c r="S584" i="2" s="1"/>
  <c r="T584" i="2" s="1"/>
  <c r="U584" i="2" s="1"/>
  <c r="V584" i="2" s="1"/>
  <c r="W584" i="2" s="1"/>
  <c r="X584" i="2" s="1"/>
  <c r="Y584" i="2" s="1"/>
  <c r="Z584" i="2" s="1"/>
  <c r="H648" i="2"/>
  <c r="H607" i="2"/>
  <c r="J580" i="2"/>
  <c r="I581" i="2"/>
  <c r="I579" i="2" s="1"/>
  <c r="F595" i="2"/>
  <c r="G595" i="2" s="1"/>
  <c r="A596" i="2"/>
  <c r="H373" i="33"/>
  <c r="H311" i="33"/>
  <c r="G371" i="33"/>
  <c r="G291" i="33"/>
  <c r="G368" i="33"/>
  <c r="G307" i="33"/>
  <c r="J145" i="33"/>
  <c r="J373" i="33"/>
  <c r="J332" i="33"/>
  <c r="I311" i="33"/>
  <c r="I319" i="33" s="1"/>
  <c r="I320" i="33" s="1"/>
  <c r="I333" i="33" s="1"/>
  <c r="G373" i="33"/>
  <c r="G332" i="33"/>
  <c r="G341" i="33" s="1"/>
  <c r="I332" i="33"/>
  <c r="I373" i="33"/>
  <c r="G311" i="33"/>
  <c r="A484" i="33"/>
  <c r="C548" i="33"/>
  <c r="G514" i="2"/>
  <c r="G523" i="2" s="1"/>
  <c r="C548" i="2"/>
  <c r="A504" i="2"/>
  <c r="F503" i="2"/>
  <c r="G503" i="2" s="1"/>
  <c r="H503" i="2" s="1"/>
  <c r="I503" i="2" s="1"/>
  <c r="J503" i="2" s="1"/>
  <c r="K503" i="2" s="1"/>
  <c r="L503" i="2" s="1"/>
  <c r="M503" i="2" s="1"/>
  <c r="N503" i="2" s="1"/>
  <c r="O503" i="2" s="1"/>
  <c r="P503" i="2" s="1"/>
  <c r="Q503" i="2" s="1"/>
  <c r="R503" i="2" s="1"/>
  <c r="S503" i="2" s="1"/>
  <c r="T503" i="2" s="1"/>
  <c r="U503" i="2" s="1"/>
  <c r="V503" i="2" s="1"/>
  <c r="W503" i="2" s="1"/>
  <c r="X503" i="2" s="1"/>
  <c r="Y503" i="2" s="1"/>
  <c r="Z503" i="2" s="1"/>
  <c r="H493" i="2"/>
  <c r="H555" i="2"/>
  <c r="H514" i="2"/>
  <c r="J487" i="2"/>
  <c r="I488" i="2"/>
  <c r="L161" i="2"/>
  <c r="P132" i="2"/>
  <c r="P291" i="2"/>
  <c r="P318" i="2"/>
  <c r="R2" i="33"/>
  <c r="P1" i="32" s="1"/>
  <c r="S2" i="2"/>
  <c r="AV5" i="5"/>
  <c r="P1" i="3"/>
  <c r="P7" i="33"/>
  <c r="P39" i="33" s="1"/>
  <c r="P286" i="33"/>
  <c r="P318" i="33" s="1"/>
  <c r="P193" i="33"/>
  <c r="P225" i="33" s="1"/>
  <c r="P379" i="33"/>
  <c r="P411" i="33" s="1"/>
  <c r="P100" i="33"/>
  <c r="P132" i="33" s="1"/>
  <c r="N4" i="32"/>
  <c r="N25" i="41" s="1"/>
  <c r="M43" i="41"/>
  <c r="M61" i="41" s="1"/>
  <c r="M70" i="41"/>
  <c r="M88" i="41" s="1"/>
  <c r="M106" i="41" s="1"/>
  <c r="A16" i="2"/>
  <c r="Q193" i="2"/>
  <c r="Q225" i="2" s="1"/>
  <c r="Q1" i="33"/>
  <c r="Q100" i="2"/>
  <c r="Q7" i="2"/>
  <c r="Q286" i="2"/>
  <c r="R1" i="2"/>
  <c r="O4" i="3"/>
  <c r="Q379" i="2"/>
  <c r="J238" i="33"/>
  <c r="O220" i="3"/>
  <c r="O172" i="3" s="1"/>
  <c r="P156" i="3"/>
  <c r="O156" i="32"/>
  <c r="O220" i="32" s="1"/>
  <c r="O172" i="32" s="1"/>
  <c r="P155" i="3"/>
  <c r="O155" i="32"/>
  <c r="O219" i="32" s="1"/>
  <c r="O171" i="32" s="1"/>
  <c r="O219" i="3"/>
  <c r="O171" i="3" s="1"/>
  <c r="N157" i="32"/>
  <c r="N221" i="32" s="1"/>
  <c r="N173" i="32" s="1"/>
  <c r="O157" i="3"/>
  <c r="N221" i="3"/>
  <c r="N173" i="3" s="1"/>
  <c r="O154" i="3"/>
  <c r="N154" i="32"/>
  <c r="N218" i="32" s="1"/>
  <c r="N170" i="32" s="1"/>
  <c r="N218" i="3"/>
  <c r="N170" i="3" s="1"/>
  <c r="O44" i="3"/>
  <c r="O44" i="32"/>
  <c r="N93" i="3"/>
  <c r="M93" i="32"/>
  <c r="I93" i="33"/>
  <c r="I186" i="33"/>
  <c r="H247" i="2"/>
  <c r="H265" i="2" s="1"/>
  <c r="G145" i="33"/>
  <c r="G154" i="33" s="1"/>
  <c r="G172" i="33" s="1"/>
  <c r="G276" i="33"/>
  <c r="K52" i="33"/>
  <c r="G279" i="33"/>
  <c r="J93" i="33"/>
  <c r="J52" i="33"/>
  <c r="G395" i="33"/>
  <c r="G393" i="33" s="1"/>
  <c r="J421" i="33"/>
  <c r="L25" i="33"/>
  <c r="L27" i="33"/>
  <c r="G421" i="2"/>
  <c r="G430" i="2" s="1"/>
  <c r="G462" i="2"/>
  <c r="H61" i="2"/>
  <c r="G79" i="2"/>
  <c r="J184" i="2"/>
  <c r="J143" i="2"/>
  <c r="H27" i="33"/>
  <c r="H25" i="33"/>
  <c r="H40" i="33" s="1"/>
  <c r="H235" i="33"/>
  <c r="H244" i="33" s="1"/>
  <c r="H276" i="33"/>
  <c r="I462" i="33"/>
  <c r="I421" i="33"/>
  <c r="M142" i="33"/>
  <c r="J49" i="33"/>
  <c r="J90" i="33"/>
  <c r="H304" i="33"/>
  <c r="H306" i="33"/>
  <c r="L440" i="33"/>
  <c r="M440" i="33" s="1"/>
  <c r="N440" i="33" s="1"/>
  <c r="O440" i="33" s="1"/>
  <c r="P440" i="33" s="1"/>
  <c r="Q440" i="33" s="1"/>
  <c r="H52" i="33"/>
  <c r="H93" i="33"/>
  <c r="I328" i="33"/>
  <c r="I369" i="33"/>
  <c r="L90" i="33"/>
  <c r="L49" i="33"/>
  <c r="K183" i="33"/>
  <c r="K142" i="33"/>
  <c r="I142" i="33"/>
  <c r="I183" i="33"/>
  <c r="J142" i="33"/>
  <c r="J183" i="33"/>
  <c r="G183" i="2"/>
  <c r="G142" i="2"/>
  <c r="G151" i="2" s="1"/>
  <c r="G82" i="33"/>
  <c r="G83" i="33"/>
  <c r="H12" i="33"/>
  <c r="G75" i="33"/>
  <c r="G78" i="33"/>
  <c r="I143" i="2"/>
  <c r="I184" i="2"/>
  <c r="G175" i="33"/>
  <c r="H105" i="33"/>
  <c r="G176" i="33"/>
  <c r="G171" i="33"/>
  <c r="G168" i="33"/>
  <c r="I25" i="33"/>
  <c r="I40" i="33" s="1"/>
  <c r="I27" i="33"/>
  <c r="M49" i="33"/>
  <c r="H49" i="33"/>
  <c r="H90" i="33"/>
  <c r="H183" i="33"/>
  <c r="H142" i="33"/>
  <c r="H369" i="33"/>
  <c r="H62" i="33"/>
  <c r="G80" i="33"/>
  <c r="G27" i="33"/>
  <c r="G25" i="33"/>
  <c r="H145" i="33"/>
  <c r="H186" i="33"/>
  <c r="J27" i="33"/>
  <c r="J25" i="33"/>
  <c r="I235" i="33"/>
  <c r="I276" i="33"/>
  <c r="H462" i="33"/>
  <c r="H421" i="33"/>
  <c r="G116" i="33"/>
  <c r="G114" i="33" s="1"/>
  <c r="G118" i="33"/>
  <c r="G120" i="33"/>
  <c r="G52" i="33"/>
  <c r="G61" i="33" s="1"/>
  <c r="G93" i="33"/>
  <c r="L142" i="33"/>
  <c r="G23" i="33"/>
  <c r="G21" i="33" s="1"/>
  <c r="H118" i="33"/>
  <c r="H133" i="33" s="1"/>
  <c r="H120" i="33"/>
  <c r="H80" i="2"/>
  <c r="I62" i="2"/>
  <c r="C80" i="2"/>
  <c r="H134" i="2"/>
  <c r="H147" i="2" s="1"/>
  <c r="J120" i="33"/>
  <c r="J118" i="33"/>
  <c r="J133" i="33" s="1"/>
  <c r="K235" i="33"/>
  <c r="K276" i="33"/>
  <c r="L235" i="33"/>
  <c r="G302" i="33"/>
  <c r="G300" i="33" s="1"/>
  <c r="I49" i="33"/>
  <c r="I90" i="33"/>
  <c r="K25" i="33"/>
  <c r="K27" i="33"/>
  <c r="I118" i="33"/>
  <c r="I133" i="33" s="1"/>
  <c r="I120" i="33"/>
  <c r="G173" i="33"/>
  <c r="H155" i="33"/>
  <c r="J235" i="33"/>
  <c r="J276" i="33"/>
  <c r="J328" i="33"/>
  <c r="J369" i="33"/>
  <c r="K49" i="33"/>
  <c r="K90" i="33"/>
  <c r="G235" i="2"/>
  <c r="G244" i="2" s="1"/>
  <c r="G276" i="2"/>
  <c r="H143" i="2"/>
  <c r="H184" i="2"/>
  <c r="I279" i="33"/>
  <c r="I238" i="33"/>
  <c r="G269" i="33"/>
  <c r="G268" i="33"/>
  <c r="G264" i="33"/>
  <c r="G261" i="33"/>
  <c r="H198" i="33"/>
  <c r="G262" i="33"/>
  <c r="I227" i="2"/>
  <c r="I240" i="2" s="1"/>
  <c r="H266" i="2"/>
  <c r="I248" i="2"/>
  <c r="H269" i="2"/>
  <c r="I198" i="2"/>
  <c r="H261" i="2"/>
  <c r="H264" i="2"/>
  <c r="H268" i="2"/>
  <c r="H277" i="33"/>
  <c r="H236" i="33"/>
  <c r="H226" i="33"/>
  <c r="G211" i="33"/>
  <c r="G213" i="33"/>
  <c r="H227" i="2"/>
  <c r="H240" i="2" s="1"/>
  <c r="H274" i="2"/>
  <c r="I277" i="33"/>
  <c r="I236" i="33"/>
  <c r="I226" i="33"/>
  <c r="H248" i="33"/>
  <c r="G266" i="33"/>
  <c r="J236" i="33"/>
  <c r="J277" i="33"/>
  <c r="J226" i="33"/>
  <c r="G236" i="2"/>
  <c r="G245" i="2" s="1"/>
  <c r="G263" i="2" s="1"/>
  <c r="G277" i="2"/>
  <c r="G226" i="2"/>
  <c r="G265" i="33"/>
  <c r="H279" i="33"/>
  <c r="H238" i="33"/>
  <c r="H247" i="33" s="1"/>
  <c r="I274" i="2"/>
  <c r="P429" i="33"/>
  <c r="H331" i="2"/>
  <c r="H372" i="2"/>
  <c r="I331" i="2"/>
  <c r="I372" i="2"/>
  <c r="P254" i="33"/>
  <c r="I337" i="2"/>
  <c r="P162" i="2"/>
  <c r="P150" i="33"/>
  <c r="G331" i="2"/>
  <c r="G340" i="2" s="1"/>
  <c r="G372" i="2"/>
  <c r="C456" i="33"/>
  <c r="G357" i="2"/>
  <c r="H291" i="2"/>
  <c r="H355" i="2" s="1"/>
  <c r="G362" i="2"/>
  <c r="G354" i="2"/>
  <c r="G361" i="2"/>
  <c r="P161" i="33"/>
  <c r="P440" i="2"/>
  <c r="Q150" i="2"/>
  <c r="P255" i="33"/>
  <c r="P254" i="2"/>
  <c r="P243" i="33"/>
  <c r="C84" i="33"/>
  <c r="C270" i="2"/>
  <c r="P336" i="2"/>
  <c r="G304" i="2"/>
  <c r="G306" i="2"/>
  <c r="P57" i="33"/>
  <c r="P347" i="2"/>
  <c r="G359" i="2"/>
  <c r="H341" i="2"/>
  <c r="H329" i="2"/>
  <c r="H370" i="2"/>
  <c r="H319" i="2"/>
  <c r="I370" i="2"/>
  <c r="I329" i="2"/>
  <c r="I319" i="2"/>
  <c r="T208" i="33"/>
  <c r="H181" i="2" l="1"/>
  <c r="K78" i="2"/>
  <c r="K75" i="2"/>
  <c r="L12" i="2"/>
  <c r="Q336" i="33"/>
  <c r="Q615" i="2"/>
  <c r="I145" i="2"/>
  <c r="I186" i="2"/>
  <c r="I181" i="2" s="1"/>
  <c r="I133" i="2"/>
  <c r="I134" i="2" s="1"/>
  <c r="I147" i="2" s="1"/>
  <c r="Q160" i="33"/>
  <c r="Q625" i="33"/>
  <c r="Q540" i="2"/>
  <c r="G118" i="2"/>
  <c r="G120" i="2"/>
  <c r="J145" i="2"/>
  <c r="J186" i="2"/>
  <c r="J181" i="2" s="1"/>
  <c r="G186" i="2"/>
  <c r="G145" i="2"/>
  <c r="G154" i="2" s="1"/>
  <c r="G173" i="2"/>
  <c r="H155" i="2"/>
  <c r="H105" i="2"/>
  <c r="G171" i="2"/>
  <c r="G168" i="2"/>
  <c r="G175" i="2"/>
  <c r="G176" i="2"/>
  <c r="J133" i="2"/>
  <c r="J134" i="2" s="1"/>
  <c r="J147" i="2" s="1"/>
  <c r="H463" i="2"/>
  <c r="Q255" i="2"/>
  <c r="Q346" i="2"/>
  <c r="Q160" i="2"/>
  <c r="Q253" i="2"/>
  <c r="Q67" i="2"/>
  <c r="Q439" i="2"/>
  <c r="Q532" i="2"/>
  <c r="G652" i="33"/>
  <c r="K125" i="33"/>
  <c r="K133" i="33" s="1"/>
  <c r="K134" i="33" s="1"/>
  <c r="K147" i="33" s="1"/>
  <c r="R525" i="33"/>
  <c r="G19" i="1"/>
  <c r="C20" i="1"/>
  <c r="K19" i="1"/>
  <c r="H19" i="1" s="1"/>
  <c r="R624" i="2"/>
  <c r="R609" i="2"/>
  <c r="R618" i="2" s="1"/>
  <c r="R624" i="33"/>
  <c r="R609" i="33"/>
  <c r="R618" i="33" s="1"/>
  <c r="R606" i="2"/>
  <c r="R606" i="33"/>
  <c r="R615" i="33" s="1"/>
  <c r="R623" i="33"/>
  <c r="R513" i="2"/>
  <c r="R522" i="2" s="1"/>
  <c r="R516" i="33"/>
  <c r="R623" i="2"/>
  <c r="R531" i="2"/>
  <c r="R516" i="2"/>
  <c r="R525" i="2" s="1"/>
  <c r="R531" i="33"/>
  <c r="R530" i="33"/>
  <c r="R532" i="33" s="1"/>
  <c r="R530" i="2"/>
  <c r="R513" i="33"/>
  <c r="R522" i="33" s="1"/>
  <c r="R420" i="33"/>
  <c r="R327" i="33"/>
  <c r="R141" i="33"/>
  <c r="R66" i="33"/>
  <c r="R420" i="2"/>
  <c r="R438" i="2"/>
  <c r="R441" i="2" s="1"/>
  <c r="R438" i="33"/>
  <c r="R51" i="33"/>
  <c r="R60" i="33" s="1"/>
  <c r="R345" i="2"/>
  <c r="R348" i="2" s="1"/>
  <c r="R437" i="2"/>
  <c r="R423" i="33"/>
  <c r="R432" i="33" s="1"/>
  <c r="R237" i="33"/>
  <c r="R246" i="33" s="1"/>
  <c r="R252" i="2"/>
  <c r="R141" i="2"/>
  <c r="R252" i="33"/>
  <c r="R344" i="33"/>
  <c r="R51" i="2"/>
  <c r="R60" i="2" s="1"/>
  <c r="R327" i="2"/>
  <c r="R345" i="33"/>
  <c r="R348" i="33" s="1"/>
  <c r="R158" i="33"/>
  <c r="R237" i="2"/>
  <c r="R246" i="2" s="1"/>
  <c r="R144" i="2"/>
  <c r="R153" i="2" s="1"/>
  <c r="R159" i="33"/>
  <c r="R251" i="33"/>
  <c r="R330" i="2"/>
  <c r="R339" i="2" s="1"/>
  <c r="AW13" i="5"/>
  <c r="R144" i="33"/>
  <c r="R153" i="33" s="1"/>
  <c r="R330" i="33"/>
  <c r="R339" i="33" s="1"/>
  <c r="R65" i="33"/>
  <c r="R48" i="2"/>
  <c r="R57" i="2" s="1"/>
  <c r="R423" i="2"/>
  <c r="R432" i="2" s="1"/>
  <c r="R66" i="2"/>
  <c r="R159" i="2"/>
  <c r="R65" i="2"/>
  <c r="R158" i="2"/>
  <c r="R437" i="33"/>
  <c r="R48" i="33"/>
  <c r="R251" i="2"/>
  <c r="R344" i="2"/>
  <c r="Q253" i="33"/>
  <c r="Q234" i="33"/>
  <c r="Q243" i="33" s="1"/>
  <c r="Q234" i="2"/>
  <c r="Q243" i="2" s="1"/>
  <c r="Q206" i="2"/>
  <c r="K120" i="33"/>
  <c r="R68" i="33"/>
  <c r="R202" i="33"/>
  <c r="AA206" i="33" s="1"/>
  <c r="P68" i="41"/>
  <c r="AW7" i="5"/>
  <c r="R202" i="2"/>
  <c r="Q625" i="2"/>
  <c r="Q162" i="33"/>
  <c r="Q439" i="33"/>
  <c r="Q206" i="33"/>
  <c r="Q347" i="33"/>
  <c r="R347" i="33" s="1"/>
  <c r="O159" i="32"/>
  <c r="O223" i="32" s="1"/>
  <c r="O175" i="32" s="1"/>
  <c r="P159" i="3"/>
  <c r="O223" i="3"/>
  <c r="O175" i="3" s="1"/>
  <c r="P113" i="32"/>
  <c r="Q113" i="3"/>
  <c r="Q117" i="3"/>
  <c r="P117" i="32"/>
  <c r="N89" i="32"/>
  <c r="O89" i="3"/>
  <c r="N261" i="32"/>
  <c r="N277" i="32" s="1"/>
  <c r="U112" i="3"/>
  <c r="T112" i="32"/>
  <c r="S152" i="3"/>
  <c r="R152" i="32"/>
  <c r="R216" i="32" s="1"/>
  <c r="R216" i="3"/>
  <c r="Q197" i="3"/>
  <c r="O99" i="32"/>
  <c r="P99" i="3"/>
  <c r="I407" i="33"/>
  <c r="N288" i="32"/>
  <c r="N256" i="32"/>
  <c r="N272" i="32" s="1"/>
  <c r="S153" i="3"/>
  <c r="R153" i="32"/>
  <c r="R217" i="32" s="1"/>
  <c r="R217" i="3"/>
  <c r="R169" i="3" s="1"/>
  <c r="M257" i="32"/>
  <c r="M273" i="32" s="1"/>
  <c r="M289" i="32"/>
  <c r="Q91" i="32"/>
  <c r="R91" i="3"/>
  <c r="I408" i="33"/>
  <c r="I466" i="33" s="1"/>
  <c r="O102" i="33"/>
  <c r="G497" i="2"/>
  <c r="G558" i="2" s="1"/>
  <c r="P100" i="32"/>
  <c r="Q100" i="3"/>
  <c r="N288" i="3"/>
  <c r="N256" i="3"/>
  <c r="N272" i="3" s="1"/>
  <c r="M294" i="3"/>
  <c r="M262" i="3"/>
  <c r="M278" i="3" s="1"/>
  <c r="M259" i="32"/>
  <c r="M275" i="32" s="1"/>
  <c r="M291" i="32"/>
  <c r="P160" i="3"/>
  <c r="O160" i="32"/>
  <c r="O224" i="32" s="1"/>
  <c r="O176" i="32" s="1"/>
  <c r="O224" i="3"/>
  <c r="O176" i="3" s="1"/>
  <c r="N121" i="32"/>
  <c r="O133" i="32"/>
  <c r="O149" i="32" s="1"/>
  <c r="O245" i="32" s="1"/>
  <c r="P163" i="32"/>
  <c r="P227" i="32" s="1"/>
  <c r="P179" i="32" s="1"/>
  <c r="Q163" i="3"/>
  <c r="P227" i="3"/>
  <c r="P115" i="32"/>
  <c r="Q115" i="3"/>
  <c r="Q162" i="3"/>
  <c r="P162" i="32"/>
  <c r="P226" i="32" s="1"/>
  <c r="P226" i="3"/>
  <c r="O161" i="32"/>
  <c r="O225" i="32" s="1"/>
  <c r="O177" i="32" s="1"/>
  <c r="O241" i="32" s="1"/>
  <c r="P161" i="3"/>
  <c r="O225" i="3"/>
  <c r="P164" i="32"/>
  <c r="P228" i="32" s="1"/>
  <c r="P180" i="32" s="1"/>
  <c r="Q164" i="3"/>
  <c r="P228" i="3"/>
  <c r="P180" i="3" s="1"/>
  <c r="O82" i="3"/>
  <c r="O72" i="3"/>
  <c r="O120" i="3" s="1"/>
  <c r="O80" i="3"/>
  <c r="O128" i="3" s="1"/>
  <c r="O144" i="3" s="1"/>
  <c r="O240" i="3" s="1"/>
  <c r="O74" i="3"/>
  <c r="O84" i="3"/>
  <c r="O75" i="3"/>
  <c r="O79" i="3"/>
  <c r="O127" i="3" s="1"/>
  <c r="O143" i="3" s="1"/>
  <c r="O239" i="3" s="1"/>
  <c r="O76" i="3"/>
  <c r="O77" i="3"/>
  <c r="O83" i="3"/>
  <c r="O131" i="3" s="1"/>
  <c r="O147" i="3" s="1"/>
  <c r="O81" i="3"/>
  <c r="O129" i="3" s="1"/>
  <c r="O145" i="3" s="1"/>
  <c r="O85" i="3"/>
  <c r="O133" i="3" s="1"/>
  <c r="O149" i="3" s="1"/>
  <c r="O245" i="3" s="1"/>
  <c r="O261" i="3" s="1"/>
  <c r="O277" i="3" s="1"/>
  <c r="O78" i="3"/>
  <c r="O73" i="3"/>
  <c r="O86" i="3"/>
  <c r="O134" i="3" s="1"/>
  <c r="O150" i="3" s="1"/>
  <c r="O246" i="3" s="1"/>
  <c r="O118" i="32"/>
  <c r="P118" i="3"/>
  <c r="P96" i="32"/>
  <c r="Q96" i="3"/>
  <c r="P198" i="3"/>
  <c r="O182" i="3"/>
  <c r="N241" i="32"/>
  <c r="K146" i="33"/>
  <c r="K187" i="33"/>
  <c r="P166" i="32"/>
  <c r="P230" i="32" s="1"/>
  <c r="P182" i="32" s="1"/>
  <c r="Q166" i="3"/>
  <c r="P230" i="3"/>
  <c r="O86" i="32"/>
  <c r="O134" i="32" s="1"/>
  <c r="O150" i="32" s="1"/>
  <c r="O246" i="32" s="1"/>
  <c r="O84" i="32"/>
  <c r="O78" i="32"/>
  <c r="O73" i="32"/>
  <c r="O79" i="32"/>
  <c r="O83" i="32"/>
  <c r="O82" i="32"/>
  <c r="O76" i="32"/>
  <c r="O85" i="32"/>
  <c r="O81" i="32"/>
  <c r="O129" i="32" s="1"/>
  <c r="O145" i="32" s="1"/>
  <c r="O72" i="32"/>
  <c r="O80" i="32"/>
  <c r="O74" i="32"/>
  <c r="O77" i="32"/>
  <c r="O75" i="32"/>
  <c r="O144" i="32"/>
  <c r="O240" i="32" s="1"/>
  <c r="N120" i="32"/>
  <c r="N136" i="32" s="1"/>
  <c r="N232" i="32" s="1"/>
  <c r="N239" i="3"/>
  <c r="O128" i="32"/>
  <c r="Q165" i="3"/>
  <c r="P165" i="32"/>
  <c r="P229" i="32" s="1"/>
  <c r="P181" i="32" s="1"/>
  <c r="P229" i="3"/>
  <c r="P181" i="3" s="1"/>
  <c r="R196" i="3"/>
  <c r="Q5" i="3"/>
  <c r="P5" i="32"/>
  <c r="P6" i="32" s="1"/>
  <c r="P6" i="3"/>
  <c r="N131" i="32"/>
  <c r="N147" i="32" s="1"/>
  <c r="N243" i="32" s="1"/>
  <c r="N287" i="32"/>
  <c r="N255" i="32"/>
  <c r="N271" i="32" s="1"/>
  <c r="L93" i="2"/>
  <c r="L52" i="2"/>
  <c r="P9" i="33"/>
  <c r="K52" i="2"/>
  <c r="K93" i="2"/>
  <c r="K276" i="3"/>
  <c r="N136" i="3"/>
  <c r="N232" i="3" s="1"/>
  <c r="P9" i="2"/>
  <c r="L264" i="32"/>
  <c r="N11" i="33" s="1"/>
  <c r="N10" i="33"/>
  <c r="R200" i="3"/>
  <c r="Q168" i="3"/>
  <c r="O98" i="32"/>
  <c r="O130" i="32" s="1"/>
  <c r="O146" i="32" s="1"/>
  <c r="O242" i="32" s="1"/>
  <c r="P98" i="3"/>
  <c r="O130" i="3"/>
  <c r="O146" i="3" s="1"/>
  <c r="O242" i="3" s="1"/>
  <c r="M248" i="32"/>
  <c r="M280" i="32"/>
  <c r="O13" i="33" s="1"/>
  <c r="O23" i="33" s="1"/>
  <c r="O21" i="33" s="1"/>
  <c r="O49" i="33" s="1"/>
  <c r="M274" i="3"/>
  <c r="L94" i="33"/>
  <c r="L53" i="33"/>
  <c r="T184" i="3"/>
  <c r="O104" i="32"/>
  <c r="P104" i="3"/>
  <c r="P111" i="3"/>
  <c r="O111" i="32"/>
  <c r="U207" i="3"/>
  <c r="N291" i="3"/>
  <c r="N259" i="3"/>
  <c r="N275" i="3" s="1"/>
  <c r="O262" i="3"/>
  <c r="O278" i="3" s="1"/>
  <c r="O294" i="3"/>
  <c r="S208" i="3"/>
  <c r="M289" i="3"/>
  <c r="M257" i="3"/>
  <c r="M273" i="3" s="1"/>
  <c r="M255" i="3"/>
  <c r="M271" i="3" s="1"/>
  <c r="M287" i="3"/>
  <c r="P95" i="32"/>
  <c r="Q95" i="3"/>
  <c r="M292" i="3"/>
  <c r="M260" i="3"/>
  <c r="M276" i="3" s="1"/>
  <c r="M248" i="3"/>
  <c r="M280" i="3"/>
  <c r="O13" i="2" s="1"/>
  <c r="P195" i="3"/>
  <c r="O179" i="3"/>
  <c r="O243" i="3" s="1"/>
  <c r="P102" i="32"/>
  <c r="Q102" i="3"/>
  <c r="Q97" i="32"/>
  <c r="R97" i="3"/>
  <c r="O193" i="3"/>
  <c r="N177" i="3"/>
  <c r="N241" i="3" s="1"/>
  <c r="R94" i="32"/>
  <c r="S94" i="3"/>
  <c r="M33" i="33"/>
  <c r="M36" i="33"/>
  <c r="M35" i="33"/>
  <c r="O127" i="32"/>
  <c r="O143" i="32" s="1"/>
  <c r="O239" i="32" s="1"/>
  <c r="N262" i="32"/>
  <c r="N278" i="32" s="1"/>
  <c r="N294" i="32"/>
  <c r="O116" i="3"/>
  <c r="N116" i="32"/>
  <c r="N132" i="32" s="1"/>
  <c r="N148" i="32" s="1"/>
  <c r="N244" i="32" s="1"/>
  <c r="N132" i="3"/>
  <c r="N148" i="3" s="1"/>
  <c r="N244" i="3" s="1"/>
  <c r="P114" i="32"/>
  <c r="Q114" i="3"/>
  <c r="G493" i="2"/>
  <c r="G490" i="2" s="1"/>
  <c r="N258" i="32"/>
  <c r="N274" i="32" s="1"/>
  <c r="M34" i="2"/>
  <c r="M32" i="2" s="1"/>
  <c r="M28" i="33"/>
  <c r="M89" i="33"/>
  <c r="M92" i="33"/>
  <c r="M260" i="32"/>
  <c r="M276" i="32" s="1"/>
  <c r="M292" i="32"/>
  <c r="N35" i="2"/>
  <c r="N33" i="2"/>
  <c r="N36" i="2"/>
  <c r="R90" i="3"/>
  <c r="Q90" i="32"/>
  <c r="R92" i="3"/>
  <c r="Q92" i="32"/>
  <c r="P88" i="32"/>
  <c r="Q88" i="3"/>
  <c r="Q194" i="3"/>
  <c r="P178" i="3"/>
  <c r="N92" i="2"/>
  <c r="N89" i="2"/>
  <c r="P101" i="32"/>
  <c r="Q101" i="3"/>
  <c r="O255" i="3"/>
  <c r="O271" i="3" s="1"/>
  <c r="O287" i="3"/>
  <c r="L34" i="33"/>
  <c r="L32" i="33" s="1"/>
  <c r="M94" i="2"/>
  <c r="M53" i="2"/>
  <c r="M275" i="3"/>
  <c r="O120" i="32"/>
  <c r="N290" i="3"/>
  <c r="N258" i="3"/>
  <c r="N274" i="3" s="1"/>
  <c r="H434" i="2"/>
  <c r="G499" i="33"/>
  <c r="G497" i="33" s="1"/>
  <c r="G518" i="2"/>
  <c r="G527" i="2" s="1"/>
  <c r="G559" i="2"/>
  <c r="G557" i="33"/>
  <c r="G477" i="33"/>
  <c r="G554" i="33"/>
  <c r="G553" i="33" s="1"/>
  <c r="G557" i="2"/>
  <c r="G477" i="2"/>
  <c r="G554" i="2"/>
  <c r="G553" i="2" s="1"/>
  <c r="G592" i="33"/>
  <c r="G590" i="33" s="1"/>
  <c r="G592" i="2"/>
  <c r="G590" i="2" s="1"/>
  <c r="G586" i="33"/>
  <c r="G650" i="33"/>
  <c r="G570" i="33"/>
  <c r="G634" i="33" s="1"/>
  <c r="G647" i="33"/>
  <c r="G559" i="33"/>
  <c r="G518" i="33"/>
  <c r="G527" i="33" s="1"/>
  <c r="G650" i="2"/>
  <c r="G647" i="2"/>
  <c r="G570" i="2"/>
  <c r="C61" i="34"/>
  <c r="C62" i="34" s="1"/>
  <c r="I616" i="33"/>
  <c r="J616" i="33" s="1"/>
  <c r="G18" i="34"/>
  <c r="C19" i="34"/>
  <c r="K18" i="34"/>
  <c r="H18" i="34" s="1"/>
  <c r="R197" i="32"/>
  <c r="R195" i="32"/>
  <c r="Q193" i="32"/>
  <c r="R198" i="32"/>
  <c r="R196" i="32"/>
  <c r="W192" i="32"/>
  <c r="Q194" i="32"/>
  <c r="P178" i="32"/>
  <c r="W191" i="32"/>
  <c r="Q185" i="32"/>
  <c r="P169" i="32"/>
  <c r="D37" i="41"/>
  <c r="D55" i="41" s="1"/>
  <c r="D68" i="32"/>
  <c r="O257" i="32"/>
  <c r="O289" i="32"/>
  <c r="R184" i="32"/>
  <c r="Q168" i="32"/>
  <c r="H399" i="33"/>
  <c r="H595" i="2"/>
  <c r="H465" i="2"/>
  <c r="H412" i="2"/>
  <c r="H413" i="2" s="1"/>
  <c r="H426" i="2" s="1"/>
  <c r="I397" i="33"/>
  <c r="I422" i="33" s="1"/>
  <c r="G448" i="2"/>
  <c r="Q472" i="33"/>
  <c r="Q565" i="33"/>
  <c r="G452" i="2"/>
  <c r="G424" i="2"/>
  <c r="G433" i="2" s="1"/>
  <c r="G465" i="2"/>
  <c r="G461" i="33"/>
  <c r="G464" i="33"/>
  <c r="G384" i="33"/>
  <c r="G400" i="33"/>
  <c r="G466" i="33"/>
  <c r="G425" i="33"/>
  <c r="G434" i="33" s="1"/>
  <c r="G404" i="33"/>
  <c r="H406" i="33"/>
  <c r="H404" i="33" s="1"/>
  <c r="G455" i="2"/>
  <c r="H384" i="2"/>
  <c r="G454" i="2"/>
  <c r="G450" i="2"/>
  <c r="G447" i="2"/>
  <c r="K218" i="33"/>
  <c r="H466" i="33"/>
  <c r="H425" i="33"/>
  <c r="G399" i="2"/>
  <c r="G397" i="2"/>
  <c r="J238" i="2"/>
  <c r="J279" i="2"/>
  <c r="M138" i="32"/>
  <c r="M234" i="32" s="1"/>
  <c r="O195" i="33"/>
  <c r="W87" i="31"/>
  <c r="K385" i="2"/>
  <c r="K395" i="2" s="1"/>
  <c r="K393" i="2" s="1"/>
  <c r="L282" i="3"/>
  <c r="N199" i="2" s="1"/>
  <c r="N209" i="2" s="1"/>
  <c r="N207" i="2" s="1"/>
  <c r="N235" i="2" s="1"/>
  <c r="L250" i="3"/>
  <c r="J407" i="33"/>
  <c r="J405" i="33"/>
  <c r="J408" i="33"/>
  <c r="I406" i="33"/>
  <c r="L219" i="2"/>
  <c r="L220" i="2" s="1"/>
  <c r="L221" i="2"/>
  <c r="L222" i="2"/>
  <c r="N142" i="2"/>
  <c r="L289" i="33"/>
  <c r="J267" i="32"/>
  <c r="L290" i="33" s="1"/>
  <c r="L125" i="2"/>
  <c r="H497" i="2"/>
  <c r="I254" i="3"/>
  <c r="I286" i="3"/>
  <c r="K571" i="2" s="1"/>
  <c r="M249" i="32"/>
  <c r="M281" i="32"/>
  <c r="O106" i="33" s="1"/>
  <c r="O116" i="33" s="1"/>
  <c r="O114" i="33" s="1"/>
  <c r="I254" i="32"/>
  <c r="I286" i="32"/>
  <c r="K571" i="33" s="1"/>
  <c r="K581" i="33" s="1"/>
  <c r="K579" i="33" s="1"/>
  <c r="K607" i="33" s="1"/>
  <c r="M281" i="3"/>
  <c r="O106" i="2" s="1"/>
  <c r="M249" i="3"/>
  <c r="H559" i="33"/>
  <c r="H518" i="33"/>
  <c r="J304" i="2"/>
  <c r="J306" i="2"/>
  <c r="K239" i="33"/>
  <c r="K280" i="33"/>
  <c r="M126" i="2"/>
  <c r="M128" i="2"/>
  <c r="M129" i="2"/>
  <c r="J400" i="33"/>
  <c r="J461" i="33"/>
  <c r="J464" i="33"/>
  <c r="J462" i="2"/>
  <c r="J421" i="2"/>
  <c r="J284" i="3"/>
  <c r="J252" i="3"/>
  <c r="L265" i="3"/>
  <c r="N104" i="2" s="1"/>
  <c r="N103" i="2"/>
  <c r="L110" i="3"/>
  <c r="K110" i="32"/>
  <c r="K126" i="32" s="1"/>
  <c r="K126" i="3"/>
  <c r="L222" i="33"/>
  <c r="L221" i="33"/>
  <c r="L219" i="33"/>
  <c r="N137" i="3"/>
  <c r="N233" i="3" s="1"/>
  <c r="P102" i="2"/>
  <c r="J267" i="3"/>
  <c r="L290" i="2" s="1"/>
  <c r="L369" i="2" s="1"/>
  <c r="L289" i="2"/>
  <c r="I501" i="2"/>
  <c r="I500" i="2"/>
  <c r="I498" i="2"/>
  <c r="I499" i="2" s="1"/>
  <c r="I594" i="33"/>
  <c r="I591" i="33"/>
  <c r="I593" i="33"/>
  <c r="K307" i="2"/>
  <c r="K371" i="2"/>
  <c r="K368" i="2"/>
  <c r="J141" i="3"/>
  <c r="J237" i="3" s="1"/>
  <c r="L474" i="2"/>
  <c r="I268" i="32"/>
  <c r="K383" i="33" s="1"/>
  <c r="K382" i="33"/>
  <c r="M182" i="2"/>
  <c r="M121" i="2"/>
  <c r="M185" i="2"/>
  <c r="M183" i="2"/>
  <c r="L120" i="2"/>
  <c r="L118" i="2"/>
  <c r="K371" i="33"/>
  <c r="K307" i="33"/>
  <c r="K368" i="33"/>
  <c r="J142" i="3"/>
  <c r="J238" i="3" s="1"/>
  <c r="L567" i="2"/>
  <c r="L275" i="33"/>
  <c r="L214" i="33"/>
  <c r="L278" i="33"/>
  <c r="N137" i="32"/>
  <c r="N233" i="32" s="1"/>
  <c r="P102" i="33"/>
  <c r="L328" i="2"/>
  <c r="I557" i="2"/>
  <c r="I554" i="2"/>
  <c r="I553" i="2" s="1"/>
  <c r="I586" i="33"/>
  <c r="I647" i="33"/>
  <c r="I650" i="33"/>
  <c r="K315" i="2"/>
  <c r="K314" i="2"/>
  <c r="K312" i="2"/>
  <c r="K313" i="2" s="1"/>
  <c r="H269" i="32"/>
  <c r="J476" i="33" s="1"/>
  <c r="J475" i="33"/>
  <c r="J373" i="2"/>
  <c r="J332" i="2"/>
  <c r="I404" i="2"/>
  <c r="L109" i="3"/>
  <c r="K109" i="32"/>
  <c r="K125" i="32" s="1"/>
  <c r="K125" i="3"/>
  <c r="H499" i="33"/>
  <c r="H497" i="33" s="1"/>
  <c r="W88" i="31"/>
  <c r="K385" i="33"/>
  <c r="K395" i="33" s="1"/>
  <c r="K393" i="33" s="1"/>
  <c r="K140" i="32"/>
  <c r="K236" i="32" s="1"/>
  <c r="M381" i="33"/>
  <c r="J277" i="2"/>
  <c r="J226" i="2"/>
  <c r="J227" i="2" s="1"/>
  <c r="J240" i="2" s="1"/>
  <c r="J236" i="2"/>
  <c r="L187" i="33"/>
  <c r="L146" i="33"/>
  <c r="K312" i="33"/>
  <c r="K314" i="33"/>
  <c r="K315" i="33"/>
  <c r="J142" i="32"/>
  <c r="J238" i="32" s="1"/>
  <c r="L567" i="33"/>
  <c r="P105" i="3"/>
  <c r="O105" i="32"/>
  <c r="O121" i="3"/>
  <c r="H592" i="2"/>
  <c r="H590" i="2" s="1"/>
  <c r="I397" i="2"/>
  <c r="I399" i="2"/>
  <c r="J311" i="2"/>
  <c r="I466" i="2"/>
  <c r="I425" i="2"/>
  <c r="J141" i="32"/>
  <c r="J237" i="32" s="1"/>
  <c r="L474" i="33"/>
  <c r="I253" i="32"/>
  <c r="I285" i="32"/>
  <c r="K478" i="33" s="1"/>
  <c r="K140" i="3"/>
  <c r="K236" i="3" s="1"/>
  <c r="M381" i="2"/>
  <c r="M126" i="33"/>
  <c r="M129" i="33"/>
  <c r="M128" i="33"/>
  <c r="I253" i="3"/>
  <c r="I285" i="3"/>
  <c r="K478" i="2" s="1"/>
  <c r="L127" i="33"/>
  <c r="L125" i="33" s="1"/>
  <c r="K118" i="2"/>
  <c r="K120" i="2"/>
  <c r="L139" i="3"/>
  <c r="L235" i="3" s="1"/>
  <c r="N288" i="2"/>
  <c r="I500" i="33"/>
  <c r="I501" i="33"/>
  <c r="I498" i="33"/>
  <c r="L265" i="32"/>
  <c r="N103" i="33"/>
  <c r="K213" i="2"/>
  <c r="K211" i="2"/>
  <c r="H270" i="3"/>
  <c r="J569" i="2" s="1"/>
  <c r="J568" i="2"/>
  <c r="K280" i="2"/>
  <c r="K239" i="2"/>
  <c r="K186" i="2"/>
  <c r="K145" i="2"/>
  <c r="J284" i="32"/>
  <c r="J252" i="32"/>
  <c r="L108" i="32"/>
  <c r="L124" i="32" s="1"/>
  <c r="M108" i="3"/>
  <c r="L124" i="3"/>
  <c r="M182" i="33"/>
  <c r="M185" i="33"/>
  <c r="M121" i="33"/>
  <c r="K266" i="3"/>
  <c r="M197" i="2" s="1"/>
  <c r="M278" i="2" s="1"/>
  <c r="M196" i="2"/>
  <c r="L139" i="32"/>
  <c r="L235" i="32" s="1"/>
  <c r="N288" i="33"/>
  <c r="I554" i="33"/>
  <c r="I553" i="33" s="1"/>
  <c r="I557" i="33"/>
  <c r="K251" i="3"/>
  <c r="K283" i="3"/>
  <c r="M292" i="2" s="1"/>
  <c r="M302" i="2" s="1"/>
  <c r="M300" i="2" s="1"/>
  <c r="K220" i="2"/>
  <c r="K218" i="2" s="1"/>
  <c r="H583" i="33"/>
  <c r="H585" i="33"/>
  <c r="M138" i="3"/>
  <c r="M234" i="3" s="1"/>
  <c r="O195" i="2"/>
  <c r="H652" i="33"/>
  <c r="H611" i="33"/>
  <c r="H620" i="33" s="1"/>
  <c r="L282" i="32"/>
  <c r="N199" i="33" s="1"/>
  <c r="N209" i="33" s="1"/>
  <c r="N207" i="33" s="1"/>
  <c r="N235" i="33" s="1"/>
  <c r="L250" i="32"/>
  <c r="L121" i="33"/>
  <c r="L182" i="33"/>
  <c r="L185" i="33"/>
  <c r="J407" i="2"/>
  <c r="J408" i="2"/>
  <c r="J405" i="2"/>
  <c r="N107" i="3"/>
  <c r="M107" i="32"/>
  <c r="M123" i="32" s="1"/>
  <c r="M123" i="3"/>
  <c r="L187" i="2"/>
  <c r="L146" i="2"/>
  <c r="H518" i="2"/>
  <c r="H559" i="2"/>
  <c r="K283" i="32"/>
  <c r="M292" i="33" s="1"/>
  <c r="M302" i="33" s="1"/>
  <c r="M300" i="33" s="1"/>
  <c r="K251" i="32"/>
  <c r="I593" i="2"/>
  <c r="I591" i="2"/>
  <c r="O106" i="3"/>
  <c r="N106" i="32"/>
  <c r="N122" i="32" s="1"/>
  <c r="N122" i="3"/>
  <c r="H592" i="33"/>
  <c r="H590" i="33" s="1"/>
  <c r="K211" i="33"/>
  <c r="K213" i="33"/>
  <c r="I268" i="3"/>
  <c r="K383" i="2" s="1"/>
  <c r="K382" i="2"/>
  <c r="L214" i="2"/>
  <c r="L278" i="2"/>
  <c r="L275" i="2"/>
  <c r="L276" i="2"/>
  <c r="J400" i="2"/>
  <c r="J464" i="2"/>
  <c r="J461" i="2"/>
  <c r="M196" i="33"/>
  <c r="K266" i="32"/>
  <c r="M197" i="33" s="1"/>
  <c r="M276" i="33" s="1"/>
  <c r="I647" i="2"/>
  <c r="I650" i="2"/>
  <c r="H270" i="32"/>
  <c r="J569" i="33" s="1"/>
  <c r="J568" i="33"/>
  <c r="H269" i="3"/>
  <c r="J476" i="2" s="1"/>
  <c r="J475" i="2"/>
  <c r="M580" i="33"/>
  <c r="A603" i="33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7" i="33" s="1"/>
  <c r="A648" i="33" s="1"/>
  <c r="A649" i="33" s="1"/>
  <c r="A650" i="33" s="1"/>
  <c r="A651" i="33" s="1"/>
  <c r="A652" i="33" s="1"/>
  <c r="A653" i="33" s="1"/>
  <c r="F602" i="33"/>
  <c r="G597" i="33" s="1"/>
  <c r="O158" i="32"/>
  <c r="O222" i="32" s="1"/>
  <c r="O174" i="32" s="1"/>
  <c r="P158" i="3"/>
  <c r="O222" i="3"/>
  <c r="O174" i="3" s="1"/>
  <c r="J331" i="33"/>
  <c r="J372" i="33"/>
  <c r="J367" i="33" s="1"/>
  <c r="Q543" i="2"/>
  <c r="R472" i="2"/>
  <c r="R477" i="2" s="1"/>
  <c r="R565" i="2"/>
  <c r="R570" i="2" s="1"/>
  <c r="Q633" i="2"/>
  <c r="Q636" i="2"/>
  <c r="A597" i="2"/>
  <c r="F596" i="2"/>
  <c r="G596" i="2" s="1"/>
  <c r="H596" i="2" s="1"/>
  <c r="I596" i="2" s="1"/>
  <c r="J596" i="2" s="1"/>
  <c r="K596" i="2" s="1"/>
  <c r="L596" i="2" s="1"/>
  <c r="M596" i="2" s="1"/>
  <c r="N596" i="2" s="1"/>
  <c r="O596" i="2" s="1"/>
  <c r="P596" i="2" s="1"/>
  <c r="Q596" i="2" s="1"/>
  <c r="R596" i="2" s="1"/>
  <c r="S596" i="2" s="1"/>
  <c r="T596" i="2" s="1"/>
  <c r="U596" i="2" s="1"/>
  <c r="V596" i="2" s="1"/>
  <c r="W596" i="2" s="1"/>
  <c r="X596" i="2" s="1"/>
  <c r="Y596" i="2" s="1"/>
  <c r="Z596" i="2" s="1"/>
  <c r="G586" i="2"/>
  <c r="I648" i="2"/>
  <c r="I607" i="2"/>
  <c r="H616" i="2"/>
  <c r="G634" i="2"/>
  <c r="K580" i="2"/>
  <c r="J581" i="2"/>
  <c r="J579" i="2" s="1"/>
  <c r="H586" i="2"/>
  <c r="I586" i="2"/>
  <c r="H331" i="33"/>
  <c r="H372" i="33"/>
  <c r="G359" i="33"/>
  <c r="H341" i="33"/>
  <c r="I331" i="33"/>
  <c r="I372" i="33"/>
  <c r="I367" i="33" s="1"/>
  <c r="G304" i="33"/>
  <c r="G306" i="33"/>
  <c r="G372" i="33"/>
  <c r="G331" i="33"/>
  <c r="G340" i="33" s="1"/>
  <c r="G362" i="33"/>
  <c r="G361" i="33"/>
  <c r="H291" i="33"/>
  <c r="G354" i="33"/>
  <c r="G357" i="33"/>
  <c r="A485" i="33"/>
  <c r="C549" i="33"/>
  <c r="I486" i="2"/>
  <c r="I555" i="2" s="1"/>
  <c r="I247" i="2"/>
  <c r="I265" i="2" s="1"/>
  <c r="I490" i="2"/>
  <c r="I492" i="2"/>
  <c r="G541" i="2"/>
  <c r="H523" i="2"/>
  <c r="H490" i="2"/>
  <c r="H492" i="2"/>
  <c r="A505" i="2"/>
  <c r="C504" i="2"/>
  <c r="K487" i="2"/>
  <c r="J488" i="2"/>
  <c r="J486" i="2" s="1"/>
  <c r="C549" i="2"/>
  <c r="I367" i="2"/>
  <c r="R1" i="33"/>
  <c r="S1" i="2"/>
  <c r="R286" i="2"/>
  <c r="R291" i="2" s="1"/>
  <c r="R193" i="2"/>
  <c r="R225" i="2" s="1"/>
  <c r="R379" i="2"/>
  <c r="R100" i="2"/>
  <c r="P4" i="3"/>
  <c r="R7" i="2"/>
  <c r="S2" i="33"/>
  <c r="Q1" i="32" s="1"/>
  <c r="T2" i="2"/>
  <c r="AW5" i="5"/>
  <c r="Q1" i="3"/>
  <c r="Q291" i="2"/>
  <c r="Q318" i="2"/>
  <c r="A17" i="2"/>
  <c r="F51" i="1"/>
  <c r="Q411" i="2"/>
  <c r="Q132" i="2"/>
  <c r="N43" i="41"/>
  <c r="N61" i="41" s="1"/>
  <c r="N70" i="41"/>
  <c r="N88" i="41" s="1"/>
  <c r="N106" i="41" s="1"/>
  <c r="P357" i="2"/>
  <c r="P362" i="2"/>
  <c r="M161" i="2"/>
  <c r="Q193" i="33"/>
  <c r="Q225" i="33" s="1"/>
  <c r="Q100" i="33"/>
  <c r="Q132" i="33" s="1"/>
  <c r="Q7" i="33"/>
  <c r="Q39" i="33" s="1"/>
  <c r="O4" i="32"/>
  <c r="O25" i="41" s="1"/>
  <c r="Q379" i="33"/>
  <c r="Q411" i="33" s="1"/>
  <c r="Q286" i="33"/>
  <c r="Q318" i="33" s="1"/>
  <c r="O157" i="32"/>
  <c r="O221" i="32" s="1"/>
  <c r="O173" i="32" s="1"/>
  <c r="P157" i="3"/>
  <c r="O221" i="3"/>
  <c r="O173" i="3" s="1"/>
  <c r="O154" i="32"/>
  <c r="O218" i="32" s="1"/>
  <c r="O170" i="32" s="1"/>
  <c r="P154" i="3"/>
  <c r="O218" i="3"/>
  <c r="O170" i="3" s="1"/>
  <c r="P155" i="32"/>
  <c r="P219" i="32" s="1"/>
  <c r="P171" i="32" s="1"/>
  <c r="Q155" i="3"/>
  <c r="P219" i="3"/>
  <c r="P171" i="3" s="1"/>
  <c r="P220" i="3"/>
  <c r="P172" i="3" s="1"/>
  <c r="P156" i="32"/>
  <c r="P220" i="32" s="1"/>
  <c r="P172" i="32" s="1"/>
  <c r="Q156" i="3"/>
  <c r="P44" i="3"/>
  <c r="P44" i="32"/>
  <c r="O93" i="3"/>
  <c r="N93" i="32"/>
  <c r="H430" i="2"/>
  <c r="I430" i="2" s="1"/>
  <c r="H367" i="2"/>
  <c r="H154" i="33"/>
  <c r="I154" i="33" s="1"/>
  <c r="J274" i="33"/>
  <c r="J134" i="33"/>
  <c r="J147" i="33" s="1"/>
  <c r="I134" i="33"/>
  <c r="I147" i="33" s="1"/>
  <c r="H134" i="33"/>
  <c r="H147" i="33" s="1"/>
  <c r="G328" i="33"/>
  <c r="G337" i="33" s="1"/>
  <c r="G369" i="33"/>
  <c r="J50" i="33"/>
  <c r="J91" i="33"/>
  <c r="J88" i="33" s="1"/>
  <c r="K143" i="33"/>
  <c r="K184" i="33"/>
  <c r="H244" i="2"/>
  <c r="G262" i="2"/>
  <c r="K91" i="33"/>
  <c r="K88" i="33" s="1"/>
  <c r="K50" i="33"/>
  <c r="I50" i="33"/>
  <c r="I91" i="33"/>
  <c r="I88" i="33" s="1"/>
  <c r="H79" i="2"/>
  <c r="I61" i="2"/>
  <c r="G274" i="2"/>
  <c r="I41" i="33"/>
  <c r="I54" i="33" s="1"/>
  <c r="C81" i="2"/>
  <c r="I80" i="2"/>
  <c r="J62" i="2"/>
  <c r="G142" i="33"/>
  <c r="G151" i="33" s="1"/>
  <c r="G169" i="33" s="1"/>
  <c r="G183" i="33"/>
  <c r="G133" i="33"/>
  <c r="H151" i="2"/>
  <c r="G169" i="2"/>
  <c r="I108" i="2"/>
  <c r="K40" i="33"/>
  <c r="H80" i="33"/>
  <c r="I62" i="33"/>
  <c r="H83" i="33"/>
  <c r="H78" i="33"/>
  <c r="I12" i="33"/>
  <c r="H75" i="33"/>
  <c r="H82" i="33"/>
  <c r="G421" i="33"/>
  <c r="G430" i="33" s="1"/>
  <c r="G462" i="33"/>
  <c r="G90" i="33"/>
  <c r="G88" i="33" s="1"/>
  <c r="G49" i="33"/>
  <c r="G58" i="33" s="1"/>
  <c r="G40" i="33"/>
  <c r="G50" i="33"/>
  <c r="G59" i="33" s="1"/>
  <c r="G91" i="33"/>
  <c r="I244" i="33"/>
  <c r="J244" i="33" s="1"/>
  <c r="K244" i="33" s="1"/>
  <c r="L244" i="33" s="1"/>
  <c r="J184" i="33"/>
  <c r="J181" i="33" s="1"/>
  <c r="J143" i="33"/>
  <c r="H184" i="33"/>
  <c r="H181" i="33" s="1"/>
  <c r="H143" i="33"/>
  <c r="G79" i="33"/>
  <c r="H61" i="33"/>
  <c r="H168" i="33"/>
  <c r="H171" i="33"/>
  <c r="H176" i="33"/>
  <c r="I105" i="33"/>
  <c r="H175" i="33"/>
  <c r="H329" i="33"/>
  <c r="H370" i="33"/>
  <c r="H319" i="33"/>
  <c r="H320" i="33" s="1"/>
  <c r="H333" i="33" s="1"/>
  <c r="H50" i="33"/>
  <c r="H91" i="33"/>
  <c r="H88" i="33" s="1"/>
  <c r="I155" i="33"/>
  <c r="H173" i="33"/>
  <c r="G184" i="33"/>
  <c r="G143" i="33"/>
  <c r="G152" i="33" s="1"/>
  <c r="G170" i="33" s="1"/>
  <c r="H41" i="33"/>
  <c r="H54" i="33" s="1"/>
  <c r="J40" i="33"/>
  <c r="I184" i="33"/>
  <c r="I181" i="33" s="1"/>
  <c r="I143" i="33"/>
  <c r="H108" i="2"/>
  <c r="H463" i="33"/>
  <c r="H422" i="33"/>
  <c r="L50" i="33"/>
  <c r="L91" i="33"/>
  <c r="I201" i="2"/>
  <c r="I233" i="2" s="1"/>
  <c r="I241" i="2" s="1"/>
  <c r="I247" i="33"/>
  <c r="H265" i="33"/>
  <c r="J227" i="33"/>
  <c r="J240" i="33" s="1"/>
  <c r="G236" i="33"/>
  <c r="G245" i="33" s="1"/>
  <c r="G277" i="33"/>
  <c r="G274" i="33" s="1"/>
  <c r="G226" i="33"/>
  <c r="H227" i="33"/>
  <c r="H240" i="33" s="1"/>
  <c r="I227" i="33"/>
  <c r="I240" i="33" s="1"/>
  <c r="H201" i="2"/>
  <c r="H281" i="2" s="1"/>
  <c r="H274" i="33"/>
  <c r="I274" i="33"/>
  <c r="I266" i="2"/>
  <c r="J248" i="2"/>
  <c r="G227" i="2"/>
  <c r="G240" i="2" s="1"/>
  <c r="G249" i="2" s="1"/>
  <c r="G267" i="2" s="1"/>
  <c r="H245" i="2"/>
  <c r="I248" i="33"/>
  <c r="H266" i="33"/>
  <c r="I261" i="2"/>
  <c r="I264" i="2"/>
  <c r="J198" i="2"/>
  <c r="I269" i="2"/>
  <c r="I268" i="2"/>
  <c r="H261" i="33"/>
  <c r="I198" i="33"/>
  <c r="H269" i="33"/>
  <c r="H268" i="33"/>
  <c r="H264" i="33"/>
  <c r="H262" i="33"/>
  <c r="R440" i="33"/>
  <c r="Q429" i="33"/>
  <c r="J294" i="33"/>
  <c r="J326" i="33" s="1"/>
  <c r="U208" i="33"/>
  <c r="R429" i="2"/>
  <c r="Q255" i="33"/>
  <c r="R150" i="2"/>
  <c r="J337" i="2"/>
  <c r="H359" i="2"/>
  <c r="I341" i="2"/>
  <c r="H320" i="2"/>
  <c r="H333" i="2" s="1"/>
  <c r="Q336" i="2"/>
  <c r="P354" i="2"/>
  <c r="I294" i="33"/>
  <c r="G329" i="2"/>
  <c r="G338" i="2" s="1"/>
  <c r="G370" i="2"/>
  <c r="G367" i="2" s="1"/>
  <c r="G319" i="2"/>
  <c r="Q440" i="2"/>
  <c r="Q161" i="33"/>
  <c r="Q347" i="2"/>
  <c r="P361" i="2"/>
  <c r="Q254" i="2"/>
  <c r="R441" i="33"/>
  <c r="H340" i="2"/>
  <c r="G358" i="2"/>
  <c r="Q150" i="33"/>
  <c r="Q254" i="33"/>
  <c r="I320" i="2"/>
  <c r="I333" i="2" s="1"/>
  <c r="Q57" i="33"/>
  <c r="I291" i="2"/>
  <c r="I355" i="2" s="1"/>
  <c r="H357" i="2"/>
  <c r="H362" i="2"/>
  <c r="H361" i="2"/>
  <c r="H354" i="2"/>
  <c r="Q162" i="2"/>
  <c r="R253" i="33" l="1"/>
  <c r="R336" i="33"/>
  <c r="R255" i="2"/>
  <c r="R615" i="2"/>
  <c r="L78" i="2"/>
  <c r="L75" i="2"/>
  <c r="M12" i="2"/>
  <c r="J108" i="2"/>
  <c r="H460" i="2"/>
  <c r="H527" i="33"/>
  <c r="R346" i="33"/>
  <c r="R625" i="33"/>
  <c r="I404" i="33"/>
  <c r="I465" i="33" s="1"/>
  <c r="I425" i="33"/>
  <c r="G181" i="33"/>
  <c r="G172" i="2"/>
  <c r="H154" i="2"/>
  <c r="H175" i="2"/>
  <c r="I105" i="2"/>
  <c r="H176" i="2"/>
  <c r="H171" i="2"/>
  <c r="H168" i="2"/>
  <c r="I155" i="2"/>
  <c r="H173" i="2"/>
  <c r="G184" i="2"/>
  <c r="G181" i="2" s="1"/>
  <c r="G143" i="2"/>
  <c r="G152" i="2" s="1"/>
  <c r="G133" i="2"/>
  <c r="G134" i="2" s="1"/>
  <c r="G147" i="2" s="1"/>
  <c r="G156" i="2" s="1"/>
  <c r="G492" i="2"/>
  <c r="G517" i="2"/>
  <c r="G526" i="2" s="1"/>
  <c r="R160" i="2"/>
  <c r="R625" i="2"/>
  <c r="R346" i="2"/>
  <c r="I434" i="2"/>
  <c r="R532" i="2"/>
  <c r="R253" i="2"/>
  <c r="G545" i="33"/>
  <c r="K145" i="33"/>
  <c r="K186" i="33"/>
  <c r="K181" i="33" s="1"/>
  <c r="R206" i="33"/>
  <c r="AB202" i="33"/>
  <c r="G638" i="33"/>
  <c r="G20" i="1"/>
  <c r="K20" i="1"/>
  <c r="H20" i="1" s="1"/>
  <c r="R162" i="33"/>
  <c r="R439" i="33"/>
  <c r="R160" i="33"/>
  <c r="R67" i="33"/>
  <c r="R357" i="2"/>
  <c r="R543" i="2"/>
  <c r="R234" i="33"/>
  <c r="R234" i="2"/>
  <c r="R243" i="2" s="1"/>
  <c r="R206" i="2"/>
  <c r="AB202" i="2"/>
  <c r="AA206" i="2"/>
  <c r="R67" i="2"/>
  <c r="S624" i="33"/>
  <c r="S609" i="33"/>
  <c r="S618" i="33" s="1"/>
  <c r="S609" i="2"/>
  <c r="S618" i="2" s="1"/>
  <c r="S624" i="2"/>
  <c r="S606" i="2"/>
  <c r="S615" i="2" s="1"/>
  <c r="S513" i="2"/>
  <c r="S522" i="2" s="1"/>
  <c r="S606" i="33"/>
  <c r="S615" i="33" s="1"/>
  <c r="S531" i="2"/>
  <c r="S516" i="2"/>
  <c r="S525" i="2" s="1"/>
  <c r="S623" i="2"/>
  <c r="S531" i="33"/>
  <c r="S516" i="33"/>
  <c r="S525" i="33" s="1"/>
  <c r="S623" i="33"/>
  <c r="S513" i="33"/>
  <c r="S522" i="33" s="1"/>
  <c r="S530" i="33"/>
  <c r="S532" i="33" s="1"/>
  <c r="S530" i="2"/>
  <c r="S532" i="2" s="1"/>
  <c r="S420" i="33"/>
  <c r="S327" i="33"/>
  <c r="S336" i="33" s="1"/>
  <c r="S141" i="33"/>
  <c r="S234" i="33"/>
  <c r="S51" i="33"/>
  <c r="S60" i="33" s="1"/>
  <c r="S437" i="33"/>
  <c r="S66" i="2"/>
  <c r="S345" i="2"/>
  <c r="S348" i="2" s="1"/>
  <c r="S438" i="33"/>
  <c r="S441" i="33" s="1"/>
  <c r="S65" i="33"/>
  <c r="S68" i="33" s="1"/>
  <c r="S423" i="2"/>
  <c r="S432" i="2" s="1"/>
  <c r="S327" i="2"/>
  <c r="S252" i="33"/>
  <c r="S344" i="33"/>
  <c r="S346" i="33" s="1"/>
  <c r="S237" i="2"/>
  <c r="S246" i="2" s="1"/>
  <c r="S159" i="2"/>
  <c r="S237" i="33"/>
  <c r="S246" i="33" s="1"/>
  <c r="AX13" i="5"/>
  <c r="S252" i="2"/>
  <c r="S255" i="2" s="1"/>
  <c r="S423" i="33"/>
  <c r="S432" i="33" s="1"/>
  <c r="S330" i="2"/>
  <c r="S339" i="2" s="1"/>
  <c r="S144" i="2"/>
  <c r="S153" i="2" s="1"/>
  <c r="S65" i="2"/>
  <c r="S330" i="33"/>
  <c r="S339" i="33" s="1"/>
  <c r="S144" i="33"/>
  <c r="S153" i="33" s="1"/>
  <c r="S438" i="2"/>
  <c r="S441" i="2" s="1"/>
  <c r="S234" i="2"/>
  <c r="S66" i="33"/>
  <c r="S251" i="2"/>
  <c r="S253" i="2" s="1"/>
  <c r="S159" i="33"/>
  <c r="S251" i="33"/>
  <c r="S51" i="2"/>
  <c r="S60" i="2" s="1"/>
  <c r="S48" i="2"/>
  <c r="S57" i="2" s="1"/>
  <c r="S141" i="2"/>
  <c r="S345" i="33"/>
  <c r="S348" i="33" s="1"/>
  <c r="S420" i="2"/>
  <c r="S158" i="2"/>
  <c r="S437" i="2"/>
  <c r="S439" i="2" s="1"/>
  <c r="S344" i="2"/>
  <c r="S48" i="33"/>
  <c r="S158" i="33"/>
  <c r="S160" i="33" s="1"/>
  <c r="R439" i="2"/>
  <c r="AW14" i="5"/>
  <c r="AX14" i="5" s="1"/>
  <c r="R69" i="33"/>
  <c r="S69" i="33" s="1"/>
  <c r="Q68" i="41"/>
  <c r="AX7" i="5"/>
  <c r="H527" i="2"/>
  <c r="H545" i="2" s="1"/>
  <c r="J274" i="2"/>
  <c r="O294" i="32"/>
  <c r="O262" i="32"/>
  <c r="O278" i="32" s="1"/>
  <c r="T153" i="3"/>
  <c r="S153" i="32"/>
  <c r="S217" i="32" s="1"/>
  <c r="S217" i="3"/>
  <c r="S169" i="3" s="1"/>
  <c r="Q166" i="32"/>
  <c r="Q230" i="32" s="1"/>
  <c r="Q182" i="32" s="1"/>
  <c r="R166" i="3"/>
  <c r="Q230" i="3"/>
  <c r="O256" i="3"/>
  <c r="O272" i="3" s="1"/>
  <c r="O288" i="3"/>
  <c r="R117" i="3"/>
  <c r="Q117" i="32"/>
  <c r="O261" i="32"/>
  <c r="O277" i="32" s="1"/>
  <c r="O293" i="32"/>
  <c r="R91" i="32"/>
  <c r="S91" i="3"/>
  <c r="S152" i="32"/>
  <c r="S216" i="32" s="1"/>
  <c r="T152" i="3"/>
  <c r="S216" i="3"/>
  <c r="Q113" i="32"/>
  <c r="R113" i="3"/>
  <c r="S196" i="3"/>
  <c r="N291" i="32"/>
  <c r="N259" i="32"/>
  <c r="N275" i="32" s="1"/>
  <c r="R165" i="3"/>
  <c r="Q165" i="32"/>
  <c r="Q229" i="32" s="1"/>
  <c r="Q181" i="32" s="1"/>
  <c r="Q229" i="3"/>
  <c r="Q181" i="3" s="1"/>
  <c r="Q118" i="3"/>
  <c r="P118" i="32"/>
  <c r="Q96" i="32"/>
  <c r="R96" i="3"/>
  <c r="P161" i="32"/>
  <c r="P225" i="32" s="1"/>
  <c r="P177" i="32" s="1"/>
  <c r="P241" i="32" s="1"/>
  <c r="Q161" i="3"/>
  <c r="P225" i="3"/>
  <c r="P82" i="3"/>
  <c r="P72" i="3"/>
  <c r="P120" i="3" s="1"/>
  <c r="P84" i="3"/>
  <c r="P79" i="3"/>
  <c r="P127" i="3" s="1"/>
  <c r="P143" i="3" s="1"/>
  <c r="P75" i="3"/>
  <c r="P74" i="3"/>
  <c r="P77" i="3"/>
  <c r="P80" i="3"/>
  <c r="P128" i="3" s="1"/>
  <c r="P144" i="3" s="1"/>
  <c r="P81" i="3"/>
  <c r="P129" i="3" s="1"/>
  <c r="P145" i="3" s="1"/>
  <c r="P85" i="3"/>
  <c r="P133" i="3" s="1"/>
  <c r="P149" i="3" s="1"/>
  <c r="P245" i="3" s="1"/>
  <c r="P73" i="3"/>
  <c r="P76" i="3"/>
  <c r="P78" i="3"/>
  <c r="P83" i="3"/>
  <c r="P131" i="3" s="1"/>
  <c r="P147" i="3" s="1"/>
  <c r="P86" i="3"/>
  <c r="P134" i="3" s="1"/>
  <c r="P150" i="3" s="1"/>
  <c r="R162" i="3"/>
  <c r="Q162" i="32"/>
  <c r="Q226" i="32" s="1"/>
  <c r="Q178" i="32" s="1"/>
  <c r="Q226" i="3"/>
  <c r="P99" i="32"/>
  <c r="Q99" i="3"/>
  <c r="V112" i="3"/>
  <c r="U112" i="32"/>
  <c r="I463" i="33"/>
  <c r="P75" i="32"/>
  <c r="P74" i="32"/>
  <c r="P82" i="32"/>
  <c r="P81" i="32"/>
  <c r="P129" i="32" s="1"/>
  <c r="P145" i="32" s="1"/>
  <c r="P77" i="32"/>
  <c r="P86" i="32"/>
  <c r="P134" i="32" s="1"/>
  <c r="P150" i="32" s="1"/>
  <c r="P246" i="32" s="1"/>
  <c r="P73" i="32"/>
  <c r="P80" i="32"/>
  <c r="P128" i="32" s="1"/>
  <c r="P144" i="32" s="1"/>
  <c r="P240" i="32" s="1"/>
  <c r="P76" i="32"/>
  <c r="P72" i="32"/>
  <c r="P84" i="32"/>
  <c r="P79" i="32"/>
  <c r="P83" i="32"/>
  <c r="P78" i="32"/>
  <c r="P85" i="32"/>
  <c r="P133" i="32" s="1"/>
  <c r="P149" i="32" s="1"/>
  <c r="P245" i="32" s="1"/>
  <c r="N255" i="3"/>
  <c r="N271" i="3" s="1"/>
  <c r="N287" i="3"/>
  <c r="N257" i="32"/>
  <c r="N273" i="32" s="1"/>
  <c r="N289" i="32"/>
  <c r="Q164" i="32"/>
  <c r="Q228" i="32" s="1"/>
  <c r="Q180" i="32" s="1"/>
  <c r="R164" i="3"/>
  <c r="Q228" i="3"/>
  <c r="Q180" i="3" s="1"/>
  <c r="R115" i="3"/>
  <c r="Q115" i="32"/>
  <c r="R100" i="3"/>
  <c r="Q100" i="32"/>
  <c r="O131" i="32"/>
  <c r="O147" i="32" s="1"/>
  <c r="O243" i="32" s="1"/>
  <c r="P159" i="32"/>
  <c r="P223" i="32" s="1"/>
  <c r="P175" i="32" s="1"/>
  <c r="Q159" i="3"/>
  <c r="P223" i="3"/>
  <c r="P175" i="3" s="1"/>
  <c r="Q163" i="32"/>
  <c r="Q227" i="32" s="1"/>
  <c r="Q179" i="32" s="1"/>
  <c r="R163" i="3"/>
  <c r="Q227" i="3"/>
  <c r="O293" i="3"/>
  <c r="R5" i="3"/>
  <c r="Q5" i="32"/>
  <c r="Q6" i="32" s="1"/>
  <c r="Q6" i="3"/>
  <c r="Q160" i="3"/>
  <c r="P160" i="32"/>
  <c r="P224" i="32" s="1"/>
  <c r="P176" i="32" s="1"/>
  <c r="P224" i="3"/>
  <c r="P176" i="3" s="1"/>
  <c r="O89" i="32"/>
  <c r="O121" i="32" s="1"/>
  <c r="P89" i="3"/>
  <c r="O256" i="32"/>
  <c r="O272" i="32" s="1"/>
  <c r="O288" i="32"/>
  <c r="Q198" i="3"/>
  <c r="P182" i="3"/>
  <c r="R197" i="3"/>
  <c r="L52" i="33"/>
  <c r="L93" i="33"/>
  <c r="L88" i="33" s="1"/>
  <c r="L40" i="33"/>
  <c r="L41" i="33" s="1"/>
  <c r="L54" i="33" s="1"/>
  <c r="O290" i="32"/>
  <c r="O258" i="32"/>
  <c r="O136" i="32"/>
  <c r="O232" i="32" s="1"/>
  <c r="Q9" i="33"/>
  <c r="N260" i="32"/>
  <c r="N276" i="32" s="1"/>
  <c r="N292" i="32"/>
  <c r="M94" i="33"/>
  <c r="M53" i="33"/>
  <c r="V207" i="3"/>
  <c r="U184" i="3"/>
  <c r="O290" i="3"/>
  <c r="O258" i="3"/>
  <c r="O274" i="3" s="1"/>
  <c r="N92" i="33"/>
  <c r="N28" i="33"/>
  <c r="N89" i="33"/>
  <c r="N90" i="33"/>
  <c r="P261" i="3"/>
  <c r="P277" i="3" s="1"/>
  <c r="P293" i="3"/>
  <c r="S90" i="3"/>
  <c r="R90" i="32"/>
  <c r="O116" i="32"/>
  <c r="O132" i="32" s="1"/>
  <c r="O148" i="32" s="1"/>
  <c r="O244" i="32" s="1"/>
  <c r="P116" i="3"/>
  <c r="O132" i="3"/>
  <c r="O148" i="3" s="1"/>
  <c r="O244" i="3" s="1"/>
  <c r="M34" i="33"/>
  <c r="M32" i="33" s="1"/>
  <c r="Q102" i="32"/>
  <c r="R102" i="3"/>
  <c r="P98" i="32"/>
  <c r="P130" i="32" s="1"/>
  <c r="P146" i="32" s="1"/>
  <c r="P242" i="32" s="1"/>
  <c r="Q98" i="3"/>
  <c r="P130" i="3"/>
  <c r="P146" i="3" s="1"/>
  <c r="P242" i="3" s="1"/>
  <c r="Q88" i="32"/>
  <c r="R88" i="3"/>
  <c r="R114" i="3"/>
  <c r="Q114" i="32"/>
  <c r="Q95" i="32"/>
  <c r="R95" i="3"/>
  <c r="N248" i="32"/>
  <c r="N280" i="32"/>
  <c r="P13" i="33" s="1"/>
  <c r="P23" i="33" s="1"/>
  <c r="P21" i="33" s="1"/>
  <c r="P49" i="33" s="1"/>
  <c r="Q101" i="32"/>
  <c r="R101" i="3"/>
  <c r="O136" i="3"/>
  <c r="O232" i="3" s="1"/>
  <c r="Q9" i="2"/>
  <c r="N289" i="3"/>
  <c r="N257" i="3"/>
  <c r="N273" i="3" s="1"/>
  <c r="M264" i="3"/>
  <c r="O11" i="2" s="1"/>
  <c r="O10" i="2"/>
  <c r="P127" i="32"/>
  <c r="P143" i="32" s="1"/>
  <c r="P239" i="32" s="1"/>
  <c r="P111" i="32"/>
  <c r="Q111" i="3"/>
  <c r="S200" i="3"/>
  <c r="R168" i="3"/>
  <c r="N94" i="2"/>
  <c r="N53" i="2"/>
  <c r="M27" i="33"/>
  <c r="M25" i="33"/>
  <c r="P193" i="3"/>
  <c r="O177" i="3"/>
  <c r="O241" i="3" s="1"/>
  <c r="P104" i="32"/>
  <c r="P120" i="32" s="1"/>
  <c r="Q104" i="3"/>
  <c r="P136" i="3"/>
  <c r="P232" i="3" s="1"/>
  <c r="R9" i="2"/>
  <c r="M93" i="2"/>
  <c r="M52" i="2"/>
  <c r="S94" i="32"/>
  <c r="T94" i="3"/>
  <c r="T208" i="3"/>
  <c r="N34" i="2"/>
  <c r="N32" i="2" s="1"/>
  <c r="O287" i="32"/>
  <c r="O255" i="32"/>
  <c r="O271" i="32" s="1"/>
  <c r="R97" i="32"/>
  <c r="S97" i="3"/>
  <c r="O259" i="3"/>
  <c r="O275" i="3" s="1"/>
  <c r="O291" i="3"/>
  <c r="N248" i="3"/>
  <c r="N280" i="3"/>
  <c r="P13" i="2" s="1"/>
  <c r="R194" i="3"/>
  <c r="Q178" i="3"/>
  <c r="R92" i="32"/>
  <c r="S92" i="3"/>
  <c r="N292" i="3"/>
  <c r="N260" i="3"/>
  <c r="N276" i="3" s="1"/>
  <c r="Q195" i="3"/>
  <c r="P179" i="3"/>
  <c r="P243" i="3" s="1"/>
  <c r="M264" i="32"/>
  <c r="O11" i="33" s="1"/>
  <c r="O10" i="33"/>
  <c r="N35" i="33"/>
  <c r="N36" i="33"/>
  <c r="N33" i="33"/>
  <c r="N34" i="33" s="1"/>
  <c r="G543" i="2"/>
  <c r="G540" i="2"/>
  <c r="H570" i="2"/>
  <c r="H634" i="2" s="1"/>
  <c r="G633" i="2"/>
  <c r="G636" i="2"/>
  <c r="G583" i="33"/>
  <c r="G598" i="33" s="1"/>
  <c r="G599" i="33" s="1"/>
  <c r="G612" i="33" s="1"/>
  <c r="G621" i="33" s="1"/>
  <c r="G585" i="33"/>
  <c r="G558" i="33"/>
  <c r="G517" i="33"/>
  <c r="G526" i="33" s="1"/>
  <c r="G544" i="33" s="1"/>
  <c r="G610" i="2"/>
  <c r="G619" i="2" s="1"/>
  <c r="G637" i="2" s="1"/>
  <c r="G651" i="2"/>
  <c r="G540" i="33"/>
  <c r="G543" i="33"/>
  <c r="H477" i="33"/>
  <c r="H545" i="33" s="1"/>
  <c r="G544" i="2"/>
  <c r="G610" i="33"/>
  <c r="G619" i="33" s="1"/>
  <c r="G637" i="33" s="1"/>
  <c r="G651" i="33"/>
  <c r="J247" i="2"/>
  <c r="G633" i="33"/>
  <c r="G636" i="33"/>
  <c r="H570" i="33"/>
  <c r="G545" i="2"/>
  <c r="C20" i="34"/>
  <c r="G19" i="34"/>
  <c r="K19" i="34"/>
  <c r="H19" i="34" s="1"/>
  <c r="O273" i="32"/>
  <c r="R185" i="32"/>
  <c r="Q169" i="32"/>
  <c r="S196" i="32"/>
  <c r="S195" i="32"/>
  <c r="X192" i="32"/>
  <c r="X191" i="32"/>
  <c r="S198" i="32"/>
  <c r="O274" i="32"/>
  <c r="R193" i="32"/>
  <c r="S197" i="32"/>
  <c r="S184" i="32"/>
  <c r="R168" i="32"/>
  <c r="D38" i="41"/>
  <c r="D56" i="41" s="1"/>
  <c r="D69" i="32"/>
  <c r="R194" i="32"/>
  <c r="P289" i="32"/>
  <c r="P257" i="32"/>
  <c r="P273" i="32" s="1"/>
  <c r="H387" i="2"/>
  <c r="H418" i="2" s="1"/>
  <c r="H443" i="2" s="1"/>
  <c r="G594" i="2"/>
  <c r="I595" i="2"/>
  <c r="H594" i="2"/>
  <c r="M214" i="2"/>
  <c r="M213" i="2" s="1"/>
  <c r="J586" i="2"/>
  <c r="J583" i="2" s="1"/>
  <c r="M275" i="2"/>
  <c r="M276" i="2"/>
  <c r="J334" i="33"/>
  <c r="G448" i="33"/>
  <c r="M278" i="33"/>
  <c r="M275" i="33"/>
  <c r="M214" i="33"/>
  <c r="M213" i="33" s="1"/>
  <c r="J201" i="2"/>
  <c r="J233" i="2" s="1"/>
  <c r="J241" i="2" s="1"/>
  <c r="R472" i="33"/>
  <c r="R565" i="33"/>
  <c r="G452" i="33"/>
  <c r="H434" i="33"/>
  <c r="G422" i="2"/>
  <c r="G431" i="2" s="1"/>
  <c r="G463" i="2"/>
  <c r="G460" i="2" s="1"/>
  <c r="G412" i="2"/>
  <c r="G413" i="2" s="1"/>
  <c r="G426" i="2" s="1"/>
  <c r="G435" i="2" s="1"/>
  <c r="I384" i="2"/>
  <c r="I448" i="2" s="1"/>
  <c r="H455" i="2"/>
  <c r="H452" i="2"/>
  <c r="H454" i="2"/>
  <c r="H447" i="2"/>
  <c r="H450" i="2"/>
  <c r="G397" i="33"/>
  <c r="G399" i="33"/>
  <c r="G447" i="33"/>
  <c r="G450" i="33"/>
  <c r="H384" i="33"/>
  <c r="G455" i="33"/>
  <c r="G454" i="33"/>
  <c r="H465" i="33"/>
  <c r="H460" i="33" s="1"/>
  <c r="H424" i="33"/>
  <c r="L218" i="2"/>
  <c r="L238" i="2" s="1"/>
  <c r="K279" i="33"/>
  <c r="K238" i="33"/>
  <c r="H412" i="33"/>
  <c r="H413" i="33" s="1"/>
  <c r="H426" i="33" s="1"/>
  <c r="I497" i="2"/>
  <c r="I558" i="2" s="1"/>
  <c r="G465" i="33"/>
  <c r="G424" i="33"/>
  <c r="G433" i="33" s="1"/>
  <c r="H433" i="2"/>
  <c r="H451" i="2" s="1"/>
  <c r="G451" i="2"/>
  <c r="H517" i="33"/>
  <c r="H558" i="33"/>
  <c r="H651" i="33"/>
  <c r="H610" i="33"/>
  <c r="I412" i="33"/>
  <c r="I413" i="33" s="1"/>
  <c r="I426" i="33" s="1"/>
  <c r="H610" i="2"/>
  <c r="H651" i="2"/>
  <c r="K277" i="33"/>
  <c r="K236" i="33"/>
  <c r="K226" i="33"/>
  <c r="K227" i="33" s="1"/>
  <c r="K240" i="33" s="1"/>
  <c r="M139" i="3"/>
  <c r="M235" i="3" s="1"/>
  <c r="O288" i="2"/>
  <c r="M250" i="3"/>
  <c r="M282" i="3"/>
  <c r="O199" i="2" s="1"/>
  <c r="O209" i="2" s="1"/>
  <c r="O207" i="2" s="1"/>
  <c r="O235" i="2" s="1"/>
  <c r="M289" i="2"/>
  <c r="K267" i="3"/>
  <c r="M290" i="2" s="1"/>
  <c r="M369" i="2" s="1"/>
  <c r="M120" i="33"/>
  <c r="M118" i="33"/>
  <c r="I559" i="33"/>
  <c r="I518" i="33"/>
  <c r="I527" i="33" s="1"/>
  <c r="K475" i="33"/>
  <c r="I269" i="32"/>
  <c r="K476" i="33" s="1"/>
  <c r="I583" i="33"/>
  <c r="I585" i="33"/>
  <c r="L211" i="33"/>
  <c r="L213" i="33"/>
  <c r="J285" i="3"/>
  <c r="L478" i="2" s="1"/>
  <c r="J253" i="3"/>
  <c r="L220" i="33"/>
  <c r="L218" i="33" s="1"/>
  <c r="N185" i="2"/>
  <c r="N121" i="2"/>
  <c r="N182" i="2"/>
  <c r="M146" i="2"/>
  <c r="M187" i="2"/>
  <c r="L280" i="2"/>
  <c r="L239" i="2"/>
  <c r="L266" i="3"/>
  <c r="N197" i="2" s="1"/>
  <c r="N196" i="2"/>
  <c r="K267" i="32"/>
  <c r="M290" i="33" s="1"/>
  <c r="M369" i="33" s="1"/>
  <c r="M289" i="33"/>
  <c r="M139" i="32"/>
  <c r="M235" i="32" s="1"/>
  <c r="O288" i="33"/>
  <c r="L120" i="33"/>
  <c r="L118" i="33"/>
  <c r="J591" i="2"/>
  <c r="J593" i="2"/>
  <c r="K475" i="2"/>
  <c r="I269" i="3"/>
  <c r="K476" i="2" s="1"/>
  <c r="J286" i="32"/>
  <c r="L571" i="33" s="1"/>
  <c r="L581" i="33" s="1"/>
  <c r="L579" i="33" s="1"/>
  <c r="L607" i="33" s="1"/>
  <c r="J254" i="32"/>
  <c r="M474" i="2"/>
  <c r="K141" i="3"/>
  <c r="K237" i="3" s="1"/>
  <c r="J498" i="33"/>
  <c r="J500" i="33"/>
  <c r="J501" i="33"/>
  <c r="J268" i="3"/>
  <c r="L383" i="2" s="1"/>
  <c r="L382" i="2"/>
  <c r="I270" i="3"/>
  <c r="K569" i="2" s="1"/>
  <c r="K568" i="2"/>
  <c r="L211" i="2"/>
  <c r="L213" i="2"/>
  <c r="M328" i="33"/>
  <c r="N107" i="32"/>
  <c r="N123" i="32" s="1"/>
  <c r="O107" i="3"/>
  <c r="N123" i="3"/>
  <c r="J650" i="2"/>
  <c r="J647" i="2"/>
  <c r="J253" i="32"/>
  <c r="J285" i="32"/>
  <c r="L478" i="33" s="1"/>
  <c r="I412" i="2"/>
  <c r="I463" i="2"/>
  <c r="I422" i="2"/>
  <c r="K332" i="33"/>
  <c r="K373" i="33"/>
  <c r="M474" i="33"/>
  <c r="K141" i="32"/>
  <c r="K237" i="32" s="1"/>
  <c r="J557" i="33"/>
  <c r="J554" i="33"/>
  <c r="J553" i="33" s="1"/>
  <c r="I518" i="2"/>
  <c r="I559" i="2"/>
  <c r="L239" i="33"/>
  <c r="L280" i="33"/>
  <c r="X87" i="31"/>
  <c r="L385" i="2"/>
  <c r="L395" i="2" s="1"/>
  <c r="L393" i="2" s="1"/>
  <c r="M127" i="2"/>
  <c r="M125" i="2" s="1"/>
  <c r="M265" i="3"/>
  <c r="O104" i="2" s="1"/>
  <c r="O103" i="2"/>
  <c r="H558" i="2"/>
  <c r="H517" i="2"/>
  <c r="H526" i="2" s="1"/>
  <c r="K421" i="2"/>
  <c r="K462" i="2"/>
  <c r="J498" i="2"/>
  <c r="J499" i="2" s="1"/>
  <c r="J500" i="2"/>
  <c r="J501" i="2"/>
  <c r="M219" i="33"/>
  <c r="M220" i="33" s="1"/>
  <c r="M221" i="33"/>
  <c r="M222" i="33"/>
  <c r="N138" i="3"/>
  <c r="N234" i="3" s="1"/>
  <c r="P195" i="2"/>
  <c r="J406" i="2"/>
  <c r="J404" i="2" s="1"/>
  <c r="N196" i="33"/>
  <c r="L266" i="32"/>
  <c r="N197" i="33" s="1"/>
  <c r="L140" i="3"/>
  <c r="L236" i="3" s="1"/>
  <c r="N381" i="2"/>
  <c r="K277" i="2"/>
  <c r="K236" i="2"/>
  <c r="K226" i="2"/>
  <c r="L283" i="3"/>
  <c r="N292" i="2" s="1"/>
  <c r="N302" i="2" s="1"/>
  <c r="N300" i="2" s="1"/>
  <c r="L251" i="3"/>
  <c r="M146" i="33"/>
  <c r="M187" i="33"/>
  <c r="L109" i="32"/>
  <c r="L125" i="32" s="1"/>
  <c r="M109" i="3"/>
  <c r="L125" i="3"/>
  <c r="K311" i="2"/>
  <c r="J254" i="3"/>
  <c r="J286" i="3"/>
  <c r="L571" i="2" s="1"/>
  <c r="M118" i="2"/>
  <c r="M120" i="2"/>
  <c r="L315" i="2"/>
  <c r="L314" i="2"/>
  <c r="L312" i="2"/>
  <c r="L313" i="2" s="1"/>
  <c r="K142" i="3"/>
  <c r="K238" i="3" s="1"/>
  <c r="M567" i="2"/>
  <c r="O116" i="2"/>
  <c r="O114" i="2" s="1"/>
  <c r="L186" i="2"/>
  <c r="L145" i="2"/>
  <c r="J557" i="2"/>
  <c r="J554" i="2"/>
  <c r="J553" i="2" s="1"/>
  <c r="J493" i="2"/>
  <c r="N138" i="32"/>
  <c r="N234" i="32" s="1"/>
  <c r="P195" i="33"/>
  <c r="J425" i="2"/>
  <c r="J466" i="2"/>
  <c r="H649" i="33"/>
  <c r="H646" i="33" s="1"/>
  <c r="H608" i="33"/>
  <c r="M124" i="3"/>
  <c r="M108" i="32"/>
  <c r="M124" i="32" s="1"/>
  <c r="N108" i="3"/>
  <c r="M127" i="33"/>
  <c r="M125" i="33" s="1"/>
  <c r="K313" i="33"/>
  <c r="K311" i="33" s="1"/>
  <c r="K284" i="32"/>
  <c r="K252" i="32"/>
  <c r="I424" i="2"/>
  <c r="I465" i="2"/>
  <c r="K304" i="2"/>
  <c r="K306" i="2"/>
  <c r="L307" i="2"/>
  <c r="L368" i="2"/>
  <c r="L371" i="2"/>
  <c r="K142" i="32"/>
  <c r="K238" i="32" s="1"/>
  <c r="M567" i="33"/>
  <c r="L307" i="33"/>
  <c r="L371" i="33"/>
  <c r="L368" i="33"/>
  <c r="L369" i="33"/>
  <c r="J591" i="33"/>
  <c r="J592" i="33" s="1"/>
  <c r="J593" i="33"/>
  <c r="J594" i="33"/>
  <c r="K405" i="2"/>
  <c r="K406" i="2" s="1"/>
  <c r="K408" i="2"/>
  <c r="K407" i="2"/>
  <c r="P106" i="3"/>
  <c r="O106" i="32"/>
  <c r="O122" i="32" s="1"/>
  <c r="O122" i="3"/>
  <c r="H638" i="33"/>
  <c r="K279" i="2"/>
  <c r="K238" i="2"/>
  <c r="L251" i="32"/>
  <c r="L283" i="32"/>
  <c r="N292" i="33" s="1"/>
  <c r="N302" i="33" s="1"/>
  <c r="N300" i="33" s="1"/>
  <c r="L140" i="32"/>
  <c r="L236" i="32" s="1"/>
  <c r="N381" i="33"/>
  <c r="N129" i="33"/>
  <c r="N128" i="33"/>
  <c r="N126" i="33"/>
  <c r="N127" i="33" s="1"/>
  <c r="K133" i="2"/>
  <c r="K143" i="2"/>
  <c r="K184" i="2"/>
  <c r="K181" i="2" s="1"/>
  <c r="J372" i="2"/>
  <c r="J331" i="2"/>
  <c r="O137" i="3"/>
  <c r="O233" i="3" s="1"/>
  <c r="Q102" i="2"/>
  <c r="K421" i="33"/>
  <c r="K462" i="33"/>
  <c r="K332" i="2"/>
  <c r="K373" i="2"/>
  <c r="K304" i="33"/>
  <c r="K306" i="33"/>
  <c r="K407" i="33"/>
  <c r="K408" i="33"/>
  <c r="K405" i="33"/>
  <c r="M110" i="3"/>
  <c r="L110" i="32"/>
  <c r="L126" i="32" s="1"/>
  <c r="L126" i="3"/>
  <c r="I270" i="32"/>
  <c r="K569" i="33" s="1"/>
  <c r="K568" i="33"/>
  <c r="L314" i="33"/>
  <c r="L315" i="33"/>
  <c r="L312" i="33"/>
  <c r="L313" i="33" s="1"/>
  <c r="J425" i="33"/>
  <c r="J466" i="33"/>
  <c r="M250" i="32"/>
  <c r="M282" i="32"/>
  <c r="O199" i="33" s="1"/>
  <c r="O209" i="33" s="1"/>
  <c r="O207" i="33" s="1"/>
  <c r="O235" i="33" s="1"/>
  <c r="J650" i="33"/>
  <c r="J647" i="33"/>
  <c r="J586" i="33"/>
  <c r="J648" i="33"/>
  <c r="J399" i="2"/>
  <c r="J397" i="2"/>
  <c r="K464" i="2"/>
  <c r="K461" i="2"/>
  <c r="K400" i="2"/>
  <c r="I592" i="2"/>
  <c r="I590" i="2" s="1"/>
  <c r="M221" i="2"/>
  <c r="M222" i="2"/>
  <c r="M219" i="2"/>
  <c r="M220" i="2" s="1"/>
  <c r="J268" i="32"/>
  <c r="L383" i="33" s="1"/>
  <c r="L382" i="33"/>
  <c r="N104" i="33"/>
  <c r="L186" i="33"/>
  <c r="L145" i="33"/>
  <c r="K284" i="3"/>
  <c r="K252" i="3"/>
  <c r="N281" i="32"/>
  <c r="P106" i="33" s="1"/>
  <c r="N249" i="32"/>
  <c r="K461" i="33"/>
  <c r="K400" i="33"/>
  <c r="K464" i="33"/>
  <c r="I592" i="33"/>
  <c r="I590" i="33" s="1"/>
  <c r="J329" i="2"/>
  <c r="J370" i="2"/>
  <c r="J319" i="2"/>
  <c r="J320" i="2" s="1"/>
  <c r="J333" i="2" s="1"/>
  <c r="O142" i="33"/>
  <c r="N183" i="2"/>
  <c r="J406" i="33"/>
  <c r="J404" i="33" s="1"/>
  <c r="M328" i="2"/>
  <c r="X88" i="31"/>
  <c r="L385" i="33"/>
  <c r="L395" i="33" s="1"/>
  <c r="L393" i="33" s="1"/>
  <c r="I499" i="33"/>
  <c r="I497" i="33" s="1"/>
  <c r="P105" i="32"/>
  <c r="P121" i="3"/>
  <c r="Q105" i="3"/>
  <c r="L143" i="2"/>
  <c r="L184" i="2"/>
  <c r="L133" i="2"/>
  <c r="L134" i="2" s="1"/>
  <c r="L147" i="2" s="1"/>
  <c r="I652" i="33"/>
  <c r="I611" i="33"/>
  <c r="I620" i="33" s="1"/>
  <c r="N249" i="3"/>
  <c r="N281" i="3"/>
  <c r="P106" i="2" s="1"/>
  <c r="P116" i="2" s="1"/>
  <c r="P114" i="2" s="1"/>
  <c r="N129" i="2"/>
  <c r="N128" i="2"/>
  <c r="N126" i="2"/>
  <c r="N127" i="2" s="1"/>
  <c r="J399" i="33"/>
  <c r="J397" i="33"/>
  <c r="M265" i="32"/>
  <c r="O104" i="33" s="1"/>
  <c r="O103" i="33"/>
  <c r="K616" i="33"/>
  <c r="F624" i="33"/>
  <c r="F627" i="33" s="1"/>
  <c r="G627" i="33" s="1"/>
  <c r="F601" i="33"/>
  <c r="R578" i="33"/>
  <c r="L578" i="33"/>
  <c r="AA578" i="33"/>
  <c r="K578" i="33"/>
  <c r="Z578" i="33"/>
  <c r="J578" i="33"/>
  <c r="T578" i="33"/>
  <c r="P578" i="33"/>
  <c r="S578" i="33"/>
  <c r="N578" i="33"/>
  <c r="Q578" i="33"/>
  <c r="W578" i="33"/>
  <c r="X578" i="33"/>
  <c r="M578" i="33"/>
  <c r="V578" i="33"/>
  <c r="I578" i="33"/>
  <c r="Y578" i="33"/>
  <c r="G578" i="33"/>
  <c r="O578" i="33"/>
  <c r="U578" i="33"/>
  <c r="H578" i="33"/>
  <c r="H597" i="33"/>
  <c r="N580" i="33"/>
  <c r="P158" i="32"/>
  <c r="P222" i="32" s="1"/>
  <c r="P174" i="32" s="1"/>
  <c r="Q158" i="3"/>
  <c r="P222" i="3"/>
  <c r="P174" i="3" s="1"/>
  <c r="R540" i="2"/>
  <c r="H367" i="33"/>
  <c r="R633" i="2"/>
  <c r="R636" i="2"/>
  <c r="S472" i="2"/>
  <c r="S477" i="2" s="1"/>
  <c r="S565" i="2"/>
  <c r="S570" i="2" s="1"/>
  <c r="I616" i="2"/>
  <c r="I583" i="2"/>
  <c r="I585" i="2"/>
  <c r="H583" i="2"/>
  <c r="H585" i="2"/>
  <c r="J648" i="2"/>
  <c r="J607" i="2"/>
  <c r="A598" i="2"/>
  <c r="C597" i="2"/>
  <c r="L580" i="2"/>
  <c r="K581" i="2"/>
  <c r="K579" i="2" s="1"/>
  <c r="G583" i="2"/>
  <c r="G585" i="2"/>
  <c r="J374" i="33"/>
  <c r="J325" i="33"/>
  <c r="J350" i="33" s="1"/>
  <c r="H294" i="33"/>
  <c r="H326" i="33" s="1"/>
  <c r="H334" i="33" s="1"/>
  <c r="I232" i="2"/>
  <c r="I257" i="2" s="1"/>
  <c r="R362" i="2"/>
  <c r="I514" i="2"/>
  <c r="I523" i="2" s="1"/>
  <c r="H361" i="33"/>
  <c r="H357" i="33"/>
  <c r="H354" i="33"/>
  <c r="I291" i="33"/>
  <c r="H362" i="33"/>
  <c r="G358" i="33"/>
  <c r="H340" i="33"/>
  <c r="H359" i="33"/>
  <c r="I341" i="33"/>
  <c r="I281" i="2"/>
  <c r="G329" i="33"/>
  <c r="G338" i="33" s="1"/>
  <c r="G356" i="33" s="1"/>
  <c r="G370" i="33"/>
  <c r="G367" i="33" s="1"/>
  <c r="G319" i="33"/>
  <c r="G320" i="33" s="1"/>
  <c r="G333" i="33" s="1"/>
  <c r="G342" i="33" s="1"/>
  <c r="H342" i="33" s="1"/>
  <c r="A486" i="33"/>
  <c r="A506" i="2"/>
  <c r="A507" i="2" s="1"/>
  <c r="A508" i="2" s="1"/>
  <c r="A509" i="2" s="1"/>
  <c r="C505" i="2"/>
  <c r="J555" i="2"/>
  <c r="J514" i="2"/>
  <c r="H541" i="2"/>
  <c r="L487" i="2"/>
  <c r="K488" i="2"/>
  <c r="K486" i="2" s="1"/>
  <c r="I556" i="2"/>
  <c r="I515" i="2"/>
  <c r="G556" i="2"/>
  <c r="G515" i="2"/>
  <c r="G524" i="2" s="1"/>
  <c r="H556" i="2"/>
  <c r="H515" i="2"/>
  <c r="N161" i="2"/>
  <c r="T2" i="33"/>
  <c r="R1" i="32" s="1"/>
  <c r="AX5" i="5"/>
  <c r="U2" i="2"/>
  <c r="R1" i="3"/>
  <c r="S1" i="33"/>
  <c r="Q4" i="3"/>
  <c r="T1" i="2"/>
  <c r="S100" i="2"/>
  <c r="S7" i="2"/>
  <c r="S286" i="2"/>
  <c r="S291" i="2" s="1"/>
  <c r="S193" i="2"/>
  <c r="S379" i="2"/>
  <c r="R100" i="33"/>
  <c r="R132" i="33" s="1"/>
  <c r="R7" i="33"/>
  <c r="R39" i="33" s="1"/>
  <c r="R193" i="33"/>
  <c r="R225" i="33" s="1"/>
  <c r="P4" i="32"/>
  <c r="P25" i="41" s="1"/>
  <c r="R379" i="33"/>
  <c r="R411" i="33" s="1"/>
  <c r="R286" i="33"/>
  <c r="R318" i="33" s="1"/>
  <c r="A18" i="2"/>
  <c r="O70" i="41"/>
  <c r="O88" i="41" s="1"/>
  <c r="O106" i="41" s="1"/>
  <c r="O43" i="41"/>
  <c r="O61" i="41" s="1"/>
  <c r="R318" i="2"/>
  <c r="Q357" i="2"/>
  <c r="Q362" i="2"/>
  <c r="R105" i="2"/>
  <c r="R171" i="2" s="1"/>
  <c r="R132" i="2"/>
  <c r="R384" i="2"/>
  <c r="R447" i="2" s="1"/>
  <c r="R411" i="2"/>
  <c r="M211" i="33"/>
  <c r="P157" i="32"/>
  <c r="P221" i="32" s="1"/>
  <c r="P173" i="32" s="1"/>
  <c r="Q157" i="3"/>
  <c r="P221" i="3"/>
  <c r="P173" i="3" s="1"/>
  <c r="R155" i="3"/>
  <c r="Q155" i="32"/>
  <c r="Q219" i="32" s="1"/>
  <c r="Q171" i="32" s="1"/>
  <c r="Q219" i="3"/>
  <c r="Q171" i="3" s="1"/>
  <c r="P154" i="32"/>
  <c r="P218" i="32" s="1"/>
  <c r="P170" i="32" s="1"/>
  <c r="Q154" i="3"/>
  <c r="P218" i="3"/>
  <c r="P170" i="3" s="1"/>
  <c r="M211" i="2"/>
  <c r="Q220" i="3"/>
  <c r="Q172" i="3" s="1"/>
  <c r="Q156" i="32"/>
  <c r="Q220" i="32" s="1"/>
  <c r="Q172" i="32" s="1"/>
  <c r="R156" i="3"/>
  <c r="Q44" i="3"/>
  <c r="Q44" i="32"/>
  <c r="O93" i="32"/>
  <c r="P93" i="3"/>
  <c r="H172" i="33"/>
  <c r="H448" i="2"/>
  <c r="H151" i="33"/>
  <c r="I151" i="33" s="1"/>
  <c r="H430" i="33"/>
  <c r="I430" i="33" s="1"/>
  <c r="I108" i="33"/>
  <c r="I188" i="33" s="1"/>
  <c r="I15" i="33"/>
  <c r="I47" i="33" s="1"/>
  <c r="I55" i="33" s="1"/>
  <c r="H15" i="33"/>
  <c r="H95" i="33" s="1"/>
  <c r="H152" i="33"/>
  <c r="I152" i="33" s="1"/>
  <c r="K108" i="33"/>
  <c r="K139" i="33" s="1"/>
  <c r="K164" i="33" s="1"/>
  <c r="J155" i="33"/>
  <c r="I173" i="33"/>
  <c r="G77" i="33"/>
  <c r="H59" i="33"/>
  <c r="I244" i="2"/>
  <c r="H262" i="2"/>
  <c r="J140" i="2"/>
  <c r="J148" i="2" s="1"/>
  <c r="J139" i="2"/>
  <c r="J164" i="2" s="1"/>
  <c r="J188" i="2"/>
  <c r="H79" i="33"/>
  <c r="I61" i="33"/>
  <c r="I139" i="2"/>
  <c r="I164" i="2" s="1"/>
  <c r="I140" i="2"/>
  <c r="I148" i="2" s="1"/>
  <c r="I188" i="2"/>
  <c r="J41" i="33"/>
  <c r="J54" i="33" s="1"/>
  <c r="G108" i="2"/>
  <c r="J108" i="33"/>
  <c r="G134" i="33"/>
  <c r="G147" i="33" s="1"/>
  <c r="G156" i="33" s="1"/>
  <c r="G174" i="2"/>
  <c r="H156" i="2"/>
  <c r="H337" i="33"/>
  <c r="G355" i="33"/>
  <c r="G41" i="33"/>
  <c r="G54" i="33" s="1"/>
  <c r="G63" i="33" s="1"/>
  <c r="J62" i="33"/>
  <c r="I80" i="33"/>
  <c r="C82" i="2"/>
  <c r="J430" i="2"/>
  <c r="H108" i="33"/>
  <c r="H139" i="2"/>
  <c r="H164" i="2" s="1"/>
  <c r="H140" i="2"/>
  <c r="H148" i="2" s="1"/>
  <c r="H188" i="2"/>
  <c r="G76" i="33"/>
  <c r="H58" i="33"/>
  <c r="G387" i="2"/>
  <c r="I78" i="33"/>
  <c r="J12" i="33"/>
  <c r="I75" i="33"/>
  <c r="I82" i="33"/>
  <c r="I83" i="33"/>
  <c r="I151" i="2"/>
  <c r="H169" i="2"/>
  <c r="J80" i="2"/>
  <c r="K62" i="2"/>
  <c r="H435" i="2"/>
  <c r="G453" i="2"/>
  <c r="J154" i="33"/>
  <c r="I172" i="33"/>
  <c r="K41" i="33"/>
  <c r="K54" i="33" s="1"/>
  <c r="I175" i="33"/>
  <c r="I171" i="33"/>
  <c r="I168" i="33"/>
  <c r="J105" i="33"/>
  <c r="I176" i="33"/>
  <c r="J61" i="2"/>
  <c r="I79" i="2"/>
  <c r="H201" i="33"/>
  <c r="H281" i="33" s="1"/>
  <c r="I201" i="33"/>
  <c r="I281" i="33" s="1"/>
  <c r="G201" i="2"/>
  <c r="G233" i="2" s="1"/>
  <c r="H249" i="2"/>
  <c r="M244" i="33"/>
  <c r="G227" i="33"/>
  <c r="G240" i="33" s="1"/>
  <c r="G249" i="33" s="1"/>
  <c r="J201" i="33"/>
  <c r="I268" i="33"/>
  <c r="I261" i="33"/>
  <c r="J198" i="33"/>
  <c r="I264" i="33"/>
  <c r="I269" i="33"/>
  <c r="I262" i="33"/>
  <c r="J269" i="2"/>
  <c r="J268" i="2"/>
  <c r="J264" i="2"/>
  <c r="J261" i="2"/>
  <c r="K198" i="2"/>
  <c r="J248" i="33"/>
  <c r="I266" i="33"/>
  <c r="H232" i="2"/>
  <c r="H257" i="2" s="1"/>
  <c r="H233" i="2"/>
  <c r="H241" i="2" s="1"/>
  <c r="G263" i="33"/>
  <c r="H245" i="33"/>
  <c r="H263" i="2"/>
  <c r="I245" i="2"/>
  <c r="J265" i="2"/>
  <c r="K248" i="2"/>
  <c r="J266" i="2"/>
  <c r="J247" i="33"/>
  <c r="I265" i="33"/>
  <c r="S440" i="33"/>
  <c r="R429" i="33"/>
  <c r="R243" i="33"/>
  <c r="R440" i="2"/>
  <c r="I326" i="33"/>
  <c r="I334" i="33" s="1"/>
  <c r="I325" i="33"/>
  <c r="I350" i="33" s="1"/>
  <c r="I374" i="33"/>
  <c r="I359" i="2"/>
  <c r="J341" i="2"/>
  <c r="R57" i="33"/>
  <c r="G320" i="2"/>
  <c r="G333" i="2" s="1"/>
  <c r="G342" i="2" s="1"/>
  <c r="R162" i="2"/>
  <c r="I294" i="2"/>
  <c r="H294" i="2"/>
  <c r="S150" i="2"/>
  <c r="S429" i="2"/>
  <c r="I340" i="2"/>
  <c r="H358" i="2"/>
  <c r="Q361" i="2"/>
  <c r="R347" i="2"/>
  <c r="R255" i="33"/>
  <c r="V208" i="33"/>
  <c r="R254" i="33"/>
  <c r="I357" i="2"/>
  <c r="J291" i="2"/>
  <c r="J355" i="2" s="1"/>
  <c r="I362" i="2"/>
  <c r="I361" i="2"/>
  <c r="I354" i="2"/>
  <c r="K337" i="2"/>
  <c r="R254" i="2"/>
  <c r="R336" i="2"/>
  <c r="Q354" i="2"/>
  <c r="R161" i="33"/>
  <c r="R150" i="33"/>
  <c r="G356" i="2"/>
  <c r="H338" i="2"/>
  <c r="H619" i="33" l="1"/>
  <c r="H637" i="33" s="1"/>
  <c r="J434" i="2"/>
  <c r="J232" i="2"/>
  <c r="J257" i="2" s="1"/>
  <c r="J585" i="2"/>
  <c r="M78" i="2"/>
  <c r="N12" i="2"/>
  <c r="M75" i="2"/>
  <c r="L279" i="2"/>
  <c r="I424" i="33"/>
  <c r="J155" i="2"/>
  <c r="I173" i="2"/>
  <c r="J105" i="2"/>
  <c r="I176" i="2"/>
  <c r="I171" i="2"/>
  <c r="I168" i="2"/>
  <c r="I175" i="2"/>
  <c r="G170" i="2"/>
  <c r="H152" i="2"/>
  <c r="I154" i="2"/>
  <c r="H172" i="2"/>
  <c r="L15" i="33"/>
  <c r="L95" i="33" s="1"/>
  <c r="S67" i="2"/>
  <c r="I527" i="2"/>
  <c r="I545" i="2" s="1"/>
  <c r="K247" i="2"/>
  <c r="K265" i="2" s="1"/>
  <c r="L181" i="2"/>
  <c r="S243" i="2"/>
  <c r="J281" i="2"/>
  <c r="I460" i="33"/>
  <c r="S346" i="2"/>
  <c r="S540" i="2"/>
  <c r="R68" i="41"/>
  <c r="AY7" i="5"/>
  <c r="S439" i="33"/>
  <c r="S160" i="2"/>
  <c r="S253" i="33"/>
  <c r="S625" i="33"/>
  <c r="S162" i="33"/>
  <c r="S347" i="33"/>
  <c r="S357" i="2"/>
  <c r="T609" i="2"/>
  <c r="T618" i="2" s="1"/>
  <c r="T624" i="33"/>
  <c r="T609" i="33"/>
  <c r="T618" i="33" s="1"/>
  <c r="T606" i="33"/>
  <c r="T615" i="33" s="1"/>
  <c r="T606" i="2"/>
  <c r="T615" i="2" s="1"/>
  <c r="T624" i="2"/>
  <c r="T623" i="2"/>
  <c r="T623" i="33"/>
  <c r="T531" i="2"/>
  <c r="T516" i="2"/>
  <c r="T525" i="2" s="1"/>
  <c r="T513" i="2"/>
  <c r="T522" i="2" s="1"/>
  <c r="T531" i="33"/>
  <c r="T516" i="33"/>
  <c r="T525" i="33" s="1"/>
  <c r="T530" i="2"/>
  <c r="T513" i="33"/>
  <c r="T522" i="33" s="1"/>
  <c r="T530" i="33"/>
  <c r="T234" i="33"/>
  <c r="T48" i="33"/>
  <c r="T159" i="33"/>
  <c r="T345" i="33"/>
  <c r="T348" i="33" s="1"/>
  <c r="T423" i="2"/>
  <c r="T432" i="2" s="1"/>
  <c r="AY13" i="5"/>
  <c r="T144" i="33"/>
  <c r="T153" i="33" s="1"/>
  <c r="T330" i="33"/>
  <c r="T339" i="33" s="1"/>
  <c r="T234" i="2"/>
  <c r="T438" i="2"/>
  <c r="T441" i="2" s="1"/>
  <c r="T66" i="33"/>
  <c r="T69" i="33" s="1"/>
  <c r="T438" i="33"/>
  <c r="T252" i="2"/>
  <c r="T255" i="2" s="1"/>
  <c r="T237" i="2"/>
  <c r="T246" i="2" s="1"/>
  <c r="T51" i="33"/>
  <c r="T60" i="33" s="1"/>
  <c r="T423" i="33"/>
  <c r="T432" i="33" s="1"/>
  <c r="T141" i="2"/>
  <c r="T150" i="2" s="1"/>
  <c r="T144" i="2"/>
  <c r="T153" i="2" s="1"/>
  <c r="T420" i="33"/>
  <c r="T437" i="33"/>
  <c r="T439" i="33" s="1"/>
  <c r="T51" i="2"/>
  <c r="T60" i="2" s="1"/>
  <c r="T327" i="2"/>
  <c r="T327" i="33"/>
  <c r="T237" i="33"/>
  <c r="T246" i="33" s="1"/>
  <c r="T344" i="33"/>
  <c r="T345" i="2"/>
  <c r="T348" i="2" s="1"/>
  <c r="T66" i="2"/>
  <c r="T65" i="2"/>
  <c r="T252" i="33"/>
  <c r="T330" i="2"/>
  <c r="T339" i="2" s="1"/>
  <c r="T48" i="2"/>
  <c r="T57" i="2" s="1"/>
  <c r="T141" i="33"/>
  <c r="T159" i="2"/>
  <c r="T420" i="2"/>
  <c r="T429" i="2" s="1"/>
  <c r="T65" i="33"/>
  <c r="T67" i="33" s="1"/>
  <c r="T344" i="2"/>
  <c r="T158" i="33"/>
  <c r="T160" i="33" s="1"/>
  <c r="T251" i="33"/>
  <c r="T158" i="2"/>
  <c r="T251" i="2"/>
  <c r="T437" i="2"/>
  <c r="S67" i="33"/>
  <c r="S625" i="2"/>
  <c r="P261" i="32"/>
  <c r="P277" i="32" s="1"/>
  <c r="P293" i="32"/>
  <c r="P294" i="32"/>
  <c r="P262" i="32"/>
  <c r="P278" i="32" s="1"/>
  <c r="O137" i="32"/>
  <c r="O233" i="32" s="1"/>
  <c r="Q102" i="33"/>
  <c r="P256" i="32"/>
  <c r="P272" i="32" s="1"/>
  <c r="P288" i="32"/>
  <c r="S197" i="3"/>
  <c r="R100" i="32"/>
  <c r="S100" i="3"/>
  <c r="R166" i="32"/>
  <c r="R230" i="32" s="1"/>
  <c r="R182" i="32" s="1"/>
  <c r="S166" i="3"/>
  <c r="R230" i="3"/>
  <c r="R163" i="32"/>
  <c r="R227" i="32" s="1"/>
  <c r="R179" i="32" s="1"/>
  <c r="S163" i="3"/>
  <c r="R227" i="3"/>
  <c r="S162" i="3"/>
  <c r="R162" i="32"/>
  <c r="R226" i="32" s="1"/>
  <c r="R226" i="3"/>
  <c r="P240" i="3"/>
  <c r="R115" i="32"/>
  <c r="S115" i="3"/>
  <c r="P246" i="3"/>
  <c r="Q161" i="32"/>
  <c r="Q225" i="32" s="1"/>
  <c r="Q177" i="32" s="1"/>
  <c r="R161" i="3"/>
  <c r="Q225" i="3"/>
  <c r="R165" i="32"/>
  <c r="R229" i="32" s="1"/>
  <c r="R181" i="32" s="1"/>
  <c r="S165" i="3"/>
  <c r="R229" i="3"/>
  <c r="R181" i="3" s="1"/>
  <c r="T152" i="32"/>
  <c r="T216" i="32" s="1"/>
  <c r="U152" i="3"/>
  <c r="T216" i="3"/>
  <c r="R117" i="32"/>
  <c r="S117" i="3"/>
  <c r="R198" i="3"/>
  <c r="Q182" i="3"/>
  <c r="Q160" i="32"/>
  <c r="Q224" i="32" s="1"/>
  <c r="Q176" i="32" s="1"/>
  <c r="R160" i="3"/>
  <c r="Q224" i="3"/>
  <c r="Q176" i="3" s="1"/>
  <c r="Q78" i="3"/>
  <c r="Q72" i="3"/>
  <c r="Q120" i="3" s="1"/>
  <c r="Q73" i="3"/>
  <c r="Q121" i="3" s="1"/>
  <c r="Q84" i="3"/>
  <c r="Q74" i="3"/>
  <c r="Q82" i="3"/>
  <c r="Q86" i="3"/>
  <c r="Q134" i="3" s="1"/>
  <c r="Q150" i="3" s="1"/>
  <c r="Q85" i="3"/>
  <c r="Q133" i="3" s="1"/>
  <c r="Q149" i="3" s="1"/>
  <c r="Q245" i="3" s="1"/>
  <c r="Q83" i="3"/>
  <c r="Q131" i="3" s="1"/>
  <c r="Q147" i="3" s="1"/>
  <c r="Q75" i="3"/>
  <c r="Q76" i="3"/>
  <c r="Q77" i="3"/>
  <c r="Q81" i="3"/>
  <c r="Q129" i="3" s="1"/>
  <c r="Q145" i="3" s="1"/>
  <c r="Q79" i="3"/>
  <c r="Q80" i="3"/>
  <c r="Q128" i="3" s="1"/>
  <c r="Q144" i="3" s="1"/>
  <c r="Q240" i="3" s="1"/>
  <c r="R159" i="3"/>
  <c r="Q159" i="32"/>
  <c r="Q223" i="32" s="1"/>
  <c r="Q175" i="32" s="1"/>
  <c r="Q223" i="3"/>
  <c r="Q175" i="3" s="1"/>
  <c r="R164" i="32"/>
  <c r="R228" i="32" s="1"/>
  <c r="R180" i="32" s="1"/>
  <c r="S164" i="3"/>
  <c r="R228" i="3"/>
  <c r="R180" i="3" s="1"/>
  <c r="W112" i="3"/>
  <c r="V112" i="32"/>
  <c r="R96" i="32"/>
  <c r="S96" i="3"/>
  <c r="T91" i="3"/>
  <c r="S91" i="32"/>
  <c r="Q80" i="32"/>
  <c r="Q73" i="32"/>
  <c r="Q78" i="32"/>
  <c r="Q79" i="32"/>
  <c r="Q75" i="32"/>
  <c r="Q84" i="32"/>
  <c r="Q77" i="32"/>
  <c r="Q76" i="32"/>
  <c r="Q74" i="32"/>
  <c r="Q72" i="32"/>
  <c r="Q86" i="32"/>
  <c r="Q134" i="32" s="1"/>
  <c r="Q150" i="32" s="1"/>
  <c r="Q246" i="32" s="1"/>
  <c r="Q83" i="32"/>
  <c r="Q85" i="32"/>
  <c r="Q133" i="32" s="1"/>
  <c r="Q149" i="32" s="1"/>
  <c r="Q245" i="32" s="1"/>
  <c r="Q82" i="32"/>
  <c r="Q81" i="32"/>
  <c r="Q129" i="32" s="1"/>
  <c r="Q145" i="32" s="1"/>
  <c r="Q99" i="32"/>
  <c r="R99" i="3"/>
  <c r="P239" i="3"/>
  <c r="Q128" i="32"/>
  <c r="Q144" i="32" s="1"/>
  <c r="T196" i="3"/>
  <c r="T153" i="32"/>
  <c r="T217" i="32" s="1"/>
  <c r="U153" i="3"/>
  <c r="T217" i="3"/>
  <c r="T169" i="3" s="1"/>
  <c r="H526" i="33"/>
  <c r="H544" i="33" s="1"/>
  <c r="R5" i="32"/>
  <c r="R6" i="32" s="1"/>
  <c r="S5" i="3"/>
  <c r="R6" i="3"/>
  <c r="O259" i="32"/>
  <c r="O275" i="32" s="1"/>
  <c r="O291" i="32"/>
  <c r="P131" i="32"/>
  <c r="P147" i="32" s="1"/>
  <c r="P243" i="32" s="1"/>
  <c r="P89" i="32"/>
  <c r="P121" i="32" s="1"/>
  <c r="Q89" i="3"/>
  <c r="R118" i="3"/>
  <c r="Q118" i="32"/>
  <c r="S113" i="3"/>
  <c r="R113" i="32"/>
  <c r="H619" i="2"/>
  <c r="H637" i="2" s="1"/>
  <c r="N52" i="2"/>
  <c r="N93" i="2"/>
  <c r="P290" i="32"/>
  <c r="P258" i="32"/>
  <c r="P274" i="32" s="1"/>
  <c r="O257" i="3"/>
  <c r="O273" i="3" s="1"/>
  <c r="O289" i="3"/>
  <c r="O280" i="32"/>
  <c r="Q13" i="33" s="1"/>
  <c r="Q23" i="33" s="1"/>
  <c r="Q21" i="33" s="1"/>
  <c r="O248" i="32"/>
  <c r="O35" i="33"/>
  <c r="O36" i="33"/>
  <c r="O33" i="33"/>
  <c r="Q193" i="3"/>
  <c r="P177" i="3"/>
  <c r="P241" i="3" s="1"/>
  <c r="R101" i="32"/>
  <c r="S101" i="3"/>
  <c r="S90" i="32"/>
  <c r="T90" i="3"/>
  <c r="N25" i="33"/>
  <c r="N27" i="33"/>
  <c r="Q293" i="3"/>
  <c r="Q261" i="3"/>
  <c r="Q277" i="3" s="1"/>
  <c r="R102" i="32"/>
  <c r="S102" i="3"/>
  <c r="O90" i="33"/>
  <c r="O92" i="33"/>
  <c r="O89" i="33"/>
  <c r="O28" i="33"/>
  <c r="R111" i="3"/>
  <c r="Q111" i="32"/>
  <c r="Q127" i="3"/>
  <c r="Q143" i="3" s="1"/>
  <c r="P290" i="3"/>
  <c r="P258" i="3"/>
  <c r="P274" i="3" s="1"/>
  <c r="M52" i="33"/>
  <c r="M93" i="33"/>
  <c r="N264" i="32"/>
  <c r="P11" i="33" s="1"/>
  <c r="P10" i="33"/>
  <c r="T92" i="3"/>
  <c r="S92" i="32"/>
  <c r="R95" i="32"/>
  <c r="S95" i="3"/>
  <c r="Q98" i="32"/>
  <c r="Q130" i="3"/>
  <c r="Q146" i="3" s="1"/>
  <c r="Q242" i="3" s="1"/>
  <c r="R98" i="3"/>
  <c r="S97" i="32"/>
  <c r="T97" i="3"/>
  <c r="W207" i="3"/>
  <c r="U208" i="3"/>
  <c r="P248" i="3"/>
  <c r="P280" i="3"/>
  <c r="R13" i="2" s="1"/>
  <c r="M40" i="33"/>
  <c r="M41" i="33" s="1"/>
  <c r="M54" i="33" s="1"/>
  <c r="M91" i="33"/>
  <c r="M88" i="33" s="1"/>
  <c r="M50" i="33"/>
  <c r="P287" i="32"/>
  <c r="P255" i="32"/>
  <c r="P271" i="32" s="1"/>
  <c r="Q127" i="32"/>
  <c r="Q143" i="32" s="1"/>
  <c r="Q239" i="32" s="1"/>
  <c r="O292" i="3"/>
  <c r="O260" i="3"/>
  <c r="O276" i="3" s="1"/>
  <c r="R88" i="32"/>
  <c r="S88" i="3"/>
  <c r="Q116" i="3"/>
  <c r="P116" i="32"/>
  <c r="P132" i="32" s="1"/>
  <c r="P148" i="32" s="1"/>
  <c r="P244" i="32" s="1"/>
  <c r="P132" i="3"/>
  <c r="P148" i="3" s="1"/>
  <c r="P244" i="3" s="1"/>
  <c r="N264" i="3"/>
  <c r="P11" i="2" s="1"/>
  <c r="P10" i="2"/>
  <c r="T200" i="3"/>
  <c r="S168" i="3"/>
  <c r="N32" i="33"/>
  <c r="P291" i="3"/>
  <c r="P259" i="3"/>
  <c r="P275" i="3" s="1"/>
  <c r="R178" i="3"/>
  <c r="S194" i="3"/>
  <c r="Q104" i="32"/>
  <c r="R104" i="3"/>
  <c r="O36" i="2"/>
  <c r="O35" i="2"/>
  <c r="O33" i="2"/>
  <c r="S114" i="3"/>
  <c r="R114" i="32"/>
  <c r="O260" i="32"/>
  <c r="O276" i="32" s="1"/>
  <c r="O292" i="32"/>
  <c r="V184" i="3"/>
  <c r="N53" i="33"/>
  <c r="N94" i="33"/>
  <c r="R195" i="3"/>
  <c r="Q179" i="3"/>
  <c r="Q243" i="3" s="1"/>
  <c r="T94" i="32"/>
  <c r="U94" i="3"/>
  <c r="P136" i="32"/>
  <c r="P232" i="32" s="1"/>
  <c r="R9" i="33"/>
  <c r="O89" i="2"/>
  <c r="O92" i="2"/>
  <c r="O280" i="3"/>
  <c r="Q13" i="2" s="1"/>
  <c r="O248" i="3"/>
  <c r="H540" i="33"/>
  <c r="H543" i="33"/>
  <c r="I477" i="33"/>
  <c r="I545" i="33" s="1"/>
  <c r="H636" i="33"/>
  <c r="H633" i="33"/>
  <c r="H634" i="33"/>
  <c r="I570" i="33"/>
  <c r="I638" i="33" s="1"/>
  <c r="G649" i="33"/>
  <c r="G646" i="33" s="1"/>
  <c r="G608" i="33"/>
  <c r="G617" i="33" s="1"/>
  <c r="G635" i="33" s="1"/>
  <c r="H636" i="2"/>
  <c r="I570" i="2"/>
  <c r="I634" i="2" s="1"/>
  <c r="H633" i="2"/>
  <c r="H419" i="2"/>
  <c r="H427" i="2" s="1"/>
  <c r="H467" i="2"/>
  <c r="G20" i="34"/>
  <c r="K20" i="34"/>
  <c r="H20" i="34" s="1"/>
  <c r="K274" i="33"/>
  <c r="S194" i="32"/>
  <c r="R178" i="32"/>
  <c r="T198" i="32"/>
  <c r="T196" i="32"/>
  <c r="T197" i="32"/>
  <c r="D39" i="41"/>
  <c r="D57" i="41" s="1"/>
  <c r="D70" i="32"/>
  <c r="D40" i="41" s="1"/>
  <c r="D58" i="41" s="1"/>
  <c r="R169" i="32"/>
  <c r="S185" i="32"/>
  <c r="S193" i="32"/>
  <c r="T195" i="32"/>
  <c r="T184" i="32"/>
  <c r="S168" i="32"/>
  <c r="K430" i="2"/>
  <c r="I517" i="2"/>
  <c r="I526" i="2" s="1"/>
  <c r="K404" i="2"/>
  <c r="K424" i="2" s="1"/>
  <c r="I433" i="2"/>
  <c r="I451" i="2" s="1"/>
  <c r="H652" i="2"/>
  <c r="H611" i="2"/>
  <c r="J595" i="2"/>
  <c r="I594" i="2"/>
  <c r="G611" i="2"/>
  <c r="G620" i="2" s="1"/>
  <c r="G638" i="2" s="1"/>
  <c r="G652" i="2"/>
  <c r="I387" i="33"/>
  <c r="H387" i="33"/>
  <c r="H418" i="33" s="1"/>
  <c r="H443" i="33" s="1"/>
  <c r="K201" i="33"/>
  <c r="J590" i="33"/>
  <c r="J651" i="33" s="1"/>
  <c r="S543" i="2"/>
  <c r="L108" i="2"/>
  <c r="L139" i="2" s="1"/>
  <c r="L164" i="2" s="1"/>
  <c r="S472" i="33"/>
  <c r="S565" i="33"/>
  <c r="M218" i="2"/>
  <c r="M226" i="2" s="1"/>
  <c r="I454" i="2"/>
  <c r="I450" i="2"/>
  <c r="I452" i="2"/>
  <c r="I455" i="2"/>
  <c r="J384" i="2"/>
  <c r="J448" i="2" s="1"/>
  <c r="I447" i="2"/>
  <c r="G451" i="33"/>
  <c r="H433" i="33"/>
  <c r="G422" i="33"/>
  <c r="G431" i="33" s="1"/>
  <c r="G463" i="33"/>
  <c r="G460" i="33" s="1"/>
  <c r="G412" i="33"/>
  <c r="G413" i="33" s="1"/>
  <c r="G426" i="33" s="1"/>
  <c r="G435" i="33" s="1"/>
  <c r="G453" i="33" s="1"/>
  <c r="J497" i="2"/>
  <c r="J558" i="2" s="1"/>
  <c r="H431" i="2"/>
  <c r="G449" i="2"/>
  <c r="J294" i="2"/>
  <c r="J325" i="2" s="1"/>
  <c r="J350" i="2" s="1"/>
  <c r="I434" i="33"/>
  <c r="H452" i="33"/>
  <c r="H454" i="33"/>
  <c r="H455" i="33"/>
  <c r="H450" i="33"/>
  <c r="I384" i="33"/>
  <c r="I448" i="33" s="1"/>
  <c r="H447" i="33"/>
  <c r="K372" i="33"/>
  <c r="K331" i="33"/>
  <c r="J465" i="2"/>
  <c r="J424" i="2"/>
  <c r="M186" i="2"/>
  <c r="M145" i="2"/>
  <c r="J424" i="33"/>
  <c r="J465" i="33"/>
  <c r="O121" i="33"/>
  <c r="O182" i="33"/>
  <c r="O185" i="33"/>
  <c r="P142" i="2"/>
  <c r="P137" i="3"/>
  <c r="P233" i="3" s="1"/>
  <c r="R102" i="2"/>
  <c r="M382" i="2"/>
  <c r="K268" i="3"/>
  <c r="M383" i="2" s="1"/>
  <c r="J412" i="2"/>
  <c r="J463" i="2"/>
  <c r="J422" i="2"/>
  <c r="K647" i="33"/>
  <c r="K586" i="33"/>
  <c r="K650" i="33"/>
  <c r="K648" i="33"/>
  <c r="K329" i="33"/>
  <c r="K370" i="33"/>
  <c r="K319" i="33"/>
  <c r="L284" i="32"/>
  <c r="L252" i="32"/>
  <c r="N108" i="32"/>
  <c r="N124" i="32" s="1"/>
  <c r="O108" i="3"/>
  <c r="N124" i="3"/>
  <c r="N282" i="32"/>
  <c r="P199" i="33" s="1"/>
  <c r="P209" i="33" s="1"/>
  <c r="P207" i="33" s="1"/>
  <c r="P235" i="33" s="1"/>
  <c r="N250" i="32"/>
  <c r="M143" i="2"/>
  <c r="M133" i="2"/>
  <c r="M184" i="2"/>
  <c r="L284" i="3"/>
  <c r="L252" i="3"/>
  <c r="M280" i="33"/>
  <c r="M239" i="33"/>
  <c r="J518" i="33"/>
  <c r="J527" i="33" s="1"/>
  <c r="J559" i="33"/>
  <c r="K500" i="2"/>
  <c r="K501" i="2"/>
  <c r="K498" i="2"/>
  <c r="K499" i="2" s="1"/>
  <c r="M315" i="33"/>
  <c r="M312" i="33"/>
  <c r="M314" i="33"/>
  <c r="M251" i="3"/>
  <c r="M283" i="3"/>
  <c r="O292" i="2" s="1"/>
  <c r="O302" i="2" s="1"/>
  <c r="O300" i="2" s="1"/>
  <c r="N265" i="3"/>
  <c r="P104" i="2" s="1"/>
  <c r="P183" i="2" s="1"/>
  <c r="P103" i="2"/>
  <c r="O183" i="33"/>
  <c r="Y87" i="31"/>
  <c r="M385" i="2"/>
  <c r="M395" i="2" s="1"/>
  <c r="M393" i="2" s="1"/>
  <c r="M239" i="2"/>
  <c r="M280" i="2"/>
  <c r="O196" i="33"/>
  <c r="M266" i="32"/>
  <c r="O197" i="33" s="1"/>
  <c r="L142" i="3"/>
  <c r="L238" i="3" s="1"/>
  <c r="N567" i="2"/>
  <c r="N328" i="33"/>
  <c r="O138" i="3"/>
  <c r="O234" i="3" s="1"/>
  <c r="Q195" i="2"/>
  <c r="M140" i="32"/>
  <c r="M236" i="32" s="1"/>
  <c r="O381" i="33"/>
  <c r="J490" i="2"/>
  <c r="J492" i="2"/>
  <c r="O142" i="2"/>
  <c r="O183" i="2"/>
  <c r="L267" i="3"/>
  <c r="N290" i="2" s="1"/>
  <c r="N369" i="2" s="1"/>
  <c r="N289" i="2"/>
  <c r="L421" i="2"/>
  <c r="L462" i="2"/>
  <c r="K253" i="32"/>
  <c r="K285" i="32"/>
  <c r="M478" i="33" s="1"/>
  <c r="J269" i="32"/>
  <c r="L476" i="33" s="1"/>
  <c r="L475" i="33"/>
  <c r="M307" i="33"/>
  <c r="M368" i="33"/>
  <c r="M371" i="33"/>
  <c r="N120" i="2"/>
  <c r="N118" i="2"/>
  <c r="M133" i="33"/>
  <c r="M184" i="33"/>
  <c r="M143" i="33"/>
  <c r="I558" i="33"/>
  <c r="I517" i="33"/>
  <c r="K399" i="33"/>
  <c r="K397" i="33"/>
  <c r="N567" i="33"/>
  <c r="L142" i="32"/>
  <c r="L238" i="32" s="1"/>
  <c r="N289" i="33"/>
  <c r="L267" i="32"/>
  <c r="N290" i="33" s="1"/>
  <c r="N369" i="33" s="1"/>
  <c r="O138" i="32"/>
  <c r="O234" i="32" s="1"/>
  <c r="Q195" i="33"/>
  <c r="K254" i="32"/>
  <c r="K286" i="32"/>
  <c r="M571" i="33" s="1"/>
  <c r="M581" i="33" s="1"/>
  <c r="M579" i="33" s="1"/>
  <c r="M607" i="33" s="1"/>
  <c r="M382" i="33"/>
  <c r="K268" i="32"/>
  <c r="M383" i="33" s="1"/>
  <c r="M140" i="3"/>
  <c r="M236" i="3" s="1"/>
  <c r="O381" i="2"/>
  <c r="J270" i="3"/>
  <c r="L569" i="2" s="1"/>
  <c r="L568" i="2"/>
  <c r="N328" i="2"/>
  <c r="N276" i="33"/>
  <c r="N275" i="33"/>
  <c r="N214" i="33"/>
  <c r="N278" i="33"/>
  <c r="M218" i="33"/>
  <c r="M226" i="33" s="1"/>
  <c r="L236" i="2"/>
  <c r="L226" i="2"/>
  <c r="L277" i="2"/>
  <c r="J499" i="33"/>
  <c r="J497" i="33" s="1"/>
  <c r="N222" i="2"/>
  <c r="N219" i="2"/>
  <c r="N220" i="2" s="1"/>
  <c r="N221" i="2"/>
  <c r="L277" i="33"/>
  <c r="L226" i="33"/>
  <c r="L236" i="33"/>
  <c r="J463" i="33"/>
  <c r="J412" i="33"/>
  <c r="J413" i="33" s="1"/>
  <c r="J426" i="33" s="1"/>
  <c r="J422" i="33"/>
  <c r="I651" i="2"/>
  <c r="I610" i="2"/>
  <c r="J583" i="33"/>
  <c r="J585" i="33"/>
  <c r="M126" i="3"/>
  <c r="N110" i="3"/>
  <c r="M110" i="32"/>
  <c r="M126" i="32" s="1"/>
  <c r="K134" i="2"/>
  <c r="K147" i="2" s="1"/>
  <c r="P106" i="32"/>
  <c r="P122" i="32" s="1"/>
  <c r="Q106" i="3"/>
  <c r="P122" i="3"/>
  <c r="Y88" i="31"/>
  <c r="M385" i="33"/>
  <c r="M395" i="33" s="1"/>
  <c r="M393" i="33" s="1"/>
  <c r="K286" i="3"/>
  <c r="M571" i="2" s="1"/>
  <c r="K254" i="3"/>
  <c r="K372" i="2"/>
  <c r="K331" i="2"/>
  <c r="K227" i="2"/>
  <c r="K240" i="2" s="1"/>
  <c r="N219" i="33"/>
  <c r="N220" i="33" s="1"/>
  <c r="N221" i="33"/>
  <c r="N222" i="33"/>
  <c r="J518" i="2"/>
  <c r="J559" i="2"/>
  <c r="H544" i="2"/>
  <c r="K253" i="3"/>
  <c r="K285" i="3"/>
  <c r="M478" i="2" s="1"/>
  <c r="J592" i="2"/>
  <c r="J590" i="2" s="1"/>
  <c r="N278" i="2"/>
  <c r="N275" i="2"/>
  <c r="N276" i="2"/>
  <c r="N214" i="2"/>
  <c r="L238" i="33"/>
  <c r="L279" i="33"/>
  <c r="M368" i="2"/>
  <c r="M371" i="2"/>
  <c r="M307" i="2"/>
  <c r="L462" i="33"/>
  <c r="L421" i="33"/>
  <c r="J367" i="2"/>
  <c r="N265" i="32"/>
  <c r="P104" i="33" s="1"/>
  <c r="P103" i="33"/>
  <c r="L311" i="33"/>
  <c r="K406" i="33"/>
  <c r="K404" i="33" s="1"/>
  <c r="N125" i="33"/>
  <c r="L311" i="2"/>
  <c r="L141" i="3"/>
  <c r="L237" i="3" s="1"/>
  <c r="N474" i="2"/>
  <c r="N139" i="3"/>
  <c r="N235" i="3" s="1"/>
  <c r="P288" i="2"/>
  <c r="K591" i="2"/>
  <c r="K593" i="2"/>
  <c r="L133" i="33"/>
  <c r="L143" i="33"/>
  <c r="L184" i="33"/>
  <c r="L181" i="33" s="1"/>
  <c r="I649" i="33"/>
  <c r="I608" i="33"/>
  <c r="M315" i="2"/>
  <c r="M314" i="2"/>
  <c r="M312" i="2"/>
  <c r="M313" i="2" s="1"/>
  <c r="N125" i="2"/>
  <c r="P116" i="33"/>
  <c r="P114" i="33" s="1"/>
  <c r="N185" i="33"/>
  <c r="N121" i="33"/>
  <c r="N182" i="33"/>
  <c r="N183" i="33"/>
  <c r="K397" i="2"/>
  <c r="K399" i="2"/>
  <c r="L332" i="33"/>
  <c r="L373" i="33"/>
  <c r="K425" i="33"/>
  <c r="K466" i="33"/>
  <c r="K425" i="2"/>
  <c r="K434" i="2" s="1"/>
  <c r="K466" i="2"/>
  <c r="L304" i="2"/>
  <c r="L306" i="2"/>
  <c r="N109" i="3"/>
  <c r="M109" i="32"/>
  <c r="M125" i="32" s="1"/>
  <c r="M125" i="3"/>
  <c r="K274" i="2"/>
  <c r="O129" i="2"/>
  <c r="O128" i="2"/>
  <c r="O126" i="2"/>
  <c r="O127" i="2" s="1"/>
  <c r="P107" i="3"/>
  <c r="O107" i="32"/>
  <c r="O123" i="32" s="1"/>
  <c r="O123" i="3"/>
  <c r="K650" i="2"/>
  <c r="K647" i="2"/>
  <c r="K586" i="2"/>
  <c r="J270" i="32"/>
  <c r="L569" i="33" s="1"/>
  <c r="L568" i="33"/>
  <c r="K557" i="33"/>
  <c r="K554" i="33"/>
  <c r="K553" i="33" s="1"/>
  <c r="L407" i="33"/>
  <c r="L408" i="33"/>
  <c r="L405" i="33"/>
  <c r="L406" i="33" s="1"/>
  <c r="O281" i="3"/>
  <c r="Q106" i="2" s="1"/>
  <c r="Q116" i="2" s="1"/>
  <c r="Q114" i="2" s="1"/>
  <c r="O249" i="3"/>
  <c r="N146" i="33"/>
  <c r="N187" i="33"/>
  <c r="M186" i="33"/>
  <c r="M145" i="33"/>
  <c r="L332" i="2"/>
  <c r="L373" i="2"/>
  <c r="L141" i="32"/>
  <c r="L237" i="32" s="1"/>
  <c r="N474" i="33"/>
  <c r="O185" i="2"/>
  <c r="O182" i="2"/>
  <c r="O121" i="2"/>
  <c r="I460" i="2"/>
  <c r="N139" i="32"/>
  <c r="N235" i="32" s="1"/>
  <c r="P288" i="33"/>
  <c r="L405" i="2"/>
  <c r="L406" i="2" s="1"/>
  <c r="L408" i="2"/>
  <c r="L407" i="2"/>
  <c r="K500" i="33"/>
  <c r="K501" i="33"/>
  <c r="K498" i="33"/>
  <c r="K499" i="33" s="1"/>
  <c r="M266" i="3"/>
  <c r="O197" i="2" s="1"/>
  <c r="O196" i="2"/>
  <c r="O128" i="33"/>
  <c r="O126" i="33"/>
  <c r="O129" i="33"/>
  <c r="N146" i="2"/>
  <c r="N187" i="2"/>
  <c r="R105" i="3"/>
  <c r="Q105" i="32"/>
  <c r="I651" i="33"/>
  <c r="I610" i="33"/>
  <c r="O249" i="32"/>
  <c r="O281" i="32"/>
  <c r="Q106" i="33" s="1"/>
  <c r="Q116" i="33" s="1"/>
  <c r="Q114" i="33" s="1"/>
  <c r="L461" i="33"/>
  <c r="L400" i="33"/>
  <c r="L464" i="33"/>
  <c r="K593" i="33"/>
  <c r="K594" i="33"/>
  <c r="K591" i="33"/>
  <c r="J611" i="33"/>
  <c r="J620" i="33" s="1"/>
  <c r="J652" i="33"/>
  <c r="L306" i="33"/>
  <c r="L304" i="33"/>
  <c r="K370" i="2"/>
  <c r="K319" i="2"/>
  <c r="K329" i="2"/>
  <c r="N282" i="3"/>
  <c r="P199" i="2" s="1"/>
  <c r="P209" i="2" s="1"/>
  <c r="P207" i="2" s="1"/>
  <c r="P235" i="2" s="1"/>
  <c r="N250" i="3"/>
  <c r="I413" i="2"/>
  <c r="I426" i="2" s="1"/>
  <c r="I435" i="2" s="1"/>
  <c r="L400" i="2"/>
  <c r="L464" i="2"/>
  <c r="L461" i="2"/>
  <c r="K557" i="2"/>
  <c r="K554" i="2"/>
  <c r="K553" i="2" s="1"/>
  <c r="K493" i="2"/>
  <c r="M251" i="32"/>
  <c r="M283" i="32"/>
  <c r="O292" i="33" s="1"/>
  <c r="O302" i="33" s="1"/>
  <c r="O300" i="33" s="1"/>
  <c r="J269" i="3"/>
  <c r="L476" i="2" s="1"/>
  <c r="L475" i="2"/>
  <c r="H598" i="33"/>
  <c r="H599" i="33" s="1"/>
  <c r="H612" i="33" s="1"/>
  <c r="H621" i="33" s="1"/>
  <c r="G639" i="33"/>
  <c r="G573" i="33"/>
  <c r="I597" i="33"/>
  <c r="I598" i="33" s="1"/>
  <c r="I599" i="33" s="1"/>
  <c r="I612" i="33" s="1"/>
  <c r="F623" i="33"/>
  <c r="F604" i="33"/>
  <c r="F629" i="33" s="1"/>
  <c r="F630" i="33" s="1"/>
  <c r="O580" i="33"/>
  <c r="G641" i="33"/>
  <c r="H627" i="33"/>
  <c r="L616" i="33"/>
  <c r="Q158" i="32"/>
  <c r="Q222" i="32" s="1"/>
  <c r="Q174" i="32" s="1"/>
  <c r="R158" i="3"/>
  <c r="Q222" i="3"/>
  <c r="Q174" i="3" s="1"/>
  <c r="H374" i="33"/>
  <c r="S318" i="2"/>
  <c r="T472" i="2"/>
  <c r="T477" i="2" s="1"/>
  <c r="T565" i="2"/>
  <c r="T570" i="2" s="1"/>
  <c r="S633" i="2"/>
  <c r="S636" i="2"/>
  <c r="G649" i="2"/>
  <c r="G608" i="2"/>
  <c r="G617" i="2" s="1"/>
  <c r="K607" i="2"/>
  <c r="K648" i="2"/>
  <c r="J616" i="2"/>
  <c r="H649" i="2"/>
  <c r="H608" i="2"/>
  <c r="I608" i="2"/>
  <c r="I649" i="2"/>
  <c r="M580" i="2"/>
  <c r="L581" i="2"/>
  <c r="L579" i="2" s="1"/>
  <c r="A599" i="2"/>
  <c r="A600" i="2" s="1"/>
  <c r="A601" i="2" s="1"/>
  <c r="A602" i="2" s="1"/>
  <c r="C598" i="2"/>
  <c r="J649" i="2"/>
  <c r="J608" i="2"/>
  <c r="G360" i="33"/>
  <c r="G294" i="33"/>
  <c r="G374" i="33" s="1"/>
  <c r="H325" i="33"/>
  <c r="H350" i="33" s="1"/>
  <c r="S362" i="2"/>
  <c r="H169" i="33"/>
  <c r="J291" i="33"/>
  <c r="I357" i="33"/>
  <c r="I354" i="33"/>
  <c r="I361" i="33"/>
  <c r="I362" i="33"/>
  <c r="J341" i="33"/>
  <c r="I359" i="33"/>
  <c r="H338" i="33"/>
  <c r="H358" i="33"/>
  <c r="I340" i="33"/>
  <c r="A487" i="33"/>
  <c r="A510" i="2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F509" i="2"/>
  <c r="G504" i="2" s="1"/>
  <c r="I541" i="2"/>
  <c r="J523" i="2"/>
  <c r="H524" i="2"/>
  <c r="G542" i="2"/>
  <c r="K555" i="2"/>
  <c r="K514" i="2"/>
  <c r="M487" i="2"/>
  <c r="L488" i="2"/>
  <c r="L486" i="2" s="1"/>
  <c r="R168" i="2"/>
  <c r="S384" i="2"/>
  <c r="S447" i="2" s="1"/>
  <c r="S411" i="2"/>
  <c r="S225" i="2"/>
  <c r="U2" i="33"/>
  <c r="S1" i="32" s="1"/>
  <c r="S1" i="3"/>
  <c r="V2" i="2"/>
  <c r="AY5" i="5"/>
  <c r="P43" i="41"/>
  <c r="P61" i="41" s="1"/>
  <c r="P70" i="41"/>
  <c r="P88" i="41" s="1"/>
  <c r="P106" i="41" s="1"/>
  <c r="S105" i="2"/>
  <c r="S171" i="2" s="1"/>
  <c r="S132" i="2"/>
  <c r="U1" i="2"/>
  <c r="T1" i="33"/>
  <c r="T100" i="2"/>
  <c r="T379" i="2"/>
  <c r="R4" i="3"/>
  <c r="T286" i="2"/>
  <c r="T193" i="2"/>
  <c r="T198" i="2" s="1"/>
  <c r="T7" i="2"/>
  <c r="O161" i="2"/>
  <c r="R450" i="2"/>
  <c r="R455" i="2"/>
  <c r="A19" i="2"/>
  <c r="S286" i="33"/>
  <c r="S318" i="33" s="1"/>
  <c r="S379" i="33"/>
  <c r="S411" i="33" s="1"/>
  <c r="S100" i="33"/>
  <c r="S132" i="33" s="1"/>
  <c r="S7" i="33"/>
  <c r="S39" i="33" s="1"/>
  <c r="S193" i="33"/>
  <c r="S225" i="33" s="1"/>
  <c r="Q4" i="32"/>
  <c r="Q25" i="41" s="1"/>
  <c r="M236" i="33"/>
  <c r="M277" i="33"/>
  <c r="R156" i="32"/>
  <c r="R220" i="32" s="1"/>
  <c r="R172" i="32" s="1"/>
  <c r="R220" i="3"/>
  <c r="R172" i="3" s="1"/>
  <c r="S156" i="3"/>
  <c r="Q157" i="32"/>
  <c r="Q221" i="32" s="1"/>
  <c r="Q173" i="32" s="1"/>
  <c r="R157" i="3"/>
  <c r="Q221" i="3"/>
  <c r="Q173" i="3" s="1"/>
  <c r="R154" i="3"/>
  <c r="Q154" i="32"/>
  <c r="Q218" i="32" s="1"/>
  <c r="Q170" i="32" s="1"/>
  <c r="Q218" i="3"/>
  <c r="Q170" i="3" s="1"/>
  <c r="M236" i="2"/>
  <c r="M277" i="2"/>
  <c r="S155" i="3"/>
  <c r="R155" i="32"/>
  <c r="R219" i="32" s="1"/>
  <c r="R171" i="32" s="1"/>
  <c r="R219" i="3"/>
  <c r="R171" i="3" s="1"/>
  <c r="R44" i="3"/>
  <c r="R44" i="32"/>
  <c r="Q93" i="3"/>
  <c r="P93" i="32"/>
  <c r="H448" i="33"/>
  <c r="I139" i="33"/>
  <c r="I164" i="33" s="1"/>
  <c r="I140" i="33"/>
  <c r="I148" i="33" s="1"/>
  <c r="H170" i="33"/>
  <c r="G108" i="33"/>
  <c r="G140" i="33" s="1"/>
  <c r="H46" i="33"/>
  <c r="H71" i="33" s="1"/>
  <c r="I95" i="33"/>
  <c r="L46" i="33"/>
  <c r="L71" i="33" s="1"/>
  <c r="G281" i="2"/>
  <c r="H47" i="33"/>
  <c r="H55" i="33" s="1"/>
  <c r="I46" i="33"/>
  <c r="I71" i="33" s="1"/>
  <c r="K140" i="33"/>
  <c r="K148" i="33" s="1"/>
  <c r="J15" i="33"/>
  <c r="J95" i="33" s="1"/>
  <c r="G15" i="33"/>
  <c r="G46" i="33" s="1"/>
  <c r="G71" i="33" s="1"/>
  <c r="G72" i="33" s="1"/>
  <c r="I232" i="33"/>
  <c r="I257" i="33" s="1"/>
  <c r="K15" i="33"/>
  <c r="K47" i="33" s="1"/>
  <c r="K55" i="33" s="1"/>
  <c r="I233" i="33"/>
  <c r="I241" i="33" s="1"/>
  <c r="K188" i="33"/>
  <c r="M15" i="33"/>
  <c r="M47" i="33" s="1"/>
  <c r="J172" i="33"/>
  <c r="K154" i="33"/>
  <c r="K80" i="2"/>
  <c r="L62" i="2"/>
  <c r="C83" i="2"/>
  <c r="G139" i="2"/>
  <c r="G164" i="2" s="1"/>
  <c r="G165" i="2" s="1"/>
  <c r="G140" i="2"/>
  <c r="G188" i="2"/>
  <c r="J173" i="33"/>
  <c r="K155" i="33"/>
  <c r="I337" i="33"/>
  <c r="H355" i="33"/>
  <c r="J140" i="33"/>
  <c r="J148" i="33" s="1"/>
  <c r="J139" i="33"/>
  <c r="J164" i="33" s="1"/>
  <c r="J188" i="33"/>
  <c r="J61" i="33"/>
  <c r="I79" i="33"/>
  <c r="J168" i="33"/>
  <c r="J175" i="33"/>
  <c r="J171" i="33"/>
  <c r="K105" i="33"/>
  <c r="J176" i="33"/>
  <c r="H76" i="33"/>
  <c r="I58" i="33"/>
  <c r="H174" i="2"/>
  <c r="I156" i="2"/>
  <c r="J244" i="2"/>
  <c r="I262" i="2"/>
  <c r="K61" i="2"/>
  <c r="J79" i="2"/>
  <c r="I169" i="2"/>
  <c r="J151" i="2"/>
  <c r="I59" i="33"/>
  <c r="H77" i="33"/>
  <c r="H453" i="2"/>
  <c r="J75" i="33"/>
  <c r="K12" i="33"/>
  <c r="J82" i="33"/>
  <c r="J83" i="33"/>
  <c r="J78" i="33"/>
  <c r="J151" i="33"/>
  <c r="K151" i="33" s="1"/>
  <c r="I169" i="33"/>
  <c r="H140" i="33"/>
  <c r="H148" i="33" s="1"/>
  <c r="H139" i="33"/>
  <c r="H164" i="33" s="1"/>
  <c r="H188" i="33"/>
  <c r="K62" i="33"/>
  <c r="J80" i="33"/>
  <c r="G174" i="33"/>
  <c r="H156" i="33"/>
  <c r="J430" i="33"/>
  <c r="G467" i="2"/>
  <c r="G419" i="2"/>
  <c r="G418" i="2"/>
  <c r="G443" i="2" s="1"/>
  <c r="G444" i="2" s="1"/>
  <c r="G81" i="33"/>
  <c r="H63" i="33"/>
  <c r="I170" i="33"/>
  <c r="J152" i="33"/>
  <c r="G232" i="2"/>
  <c r="G257" i="2" s="1"/>
  <c r="G258" i="2" s="1"/>
  <c r="G270" i="2" s="1"/>
  <c r="H233" i="33"/>
  <c r="H241" i="33" s="1"/>
  <c r="H232" i="33"/>
  <c r="H257" i="33" s="1"/>
  <c r="J265" i="33"/>
  <c r="K247" i="33"/>
  <c r="G201" i="33"/>
  <c r="L247" i="2"/>
  <c r="H249" i="33"/>
  <c r="G267" i="33"/>
  <c r="J245" i="2"/>
  <c r="I263" i="2"/>
  <c r="N244" i="33"/>
  <c r="H263" i="33"/>
  <c r="I245" i="33"/>
  <c r="K248" i="33"/>
  <c r="L248" i="33" s="1"/>
  <c r="J266" i="33"/>
  <c r="J268" i="33"/>
  <c r="J269" i="33"/>
  <c r="J264" i="33"/>
  <c r="K198" i="33"/>
  <c r="J261" i="33"/>
  <c r="J262" i="33"/>
  <c r="L198" i="2"/>
  <c r="K261" i="2"/>
  <c r="K264" i="2"/>
  <c r="K269" i="2"/>
  <c r="K268" i="2"/>
  <c r="G242" i="2"/>
  <c r="G241" i="2"/>
  <c r="K266" i="2"/>
  <c r="L248" i="2"/>
  <c r="J233" i="33"/>
  <c r="J241" i="33" s="1"/>
  <c r="J232" i="33"/>
  <c r="J257" i="33" s="1"/>
  <c r="J281" i="33"/>
  <c r="I249" i="2"/>
  <c r="H267" i="2"/>
  <c r="S429" i="33"/>
  <c r="T440" i="33"/>
  <c r="S162" i="2"/>
  <c r="R176" i="2"/>
  <c r="J359" i="2"/>
  <c r="K341" i="2"/>
  <c r="S254" i="33"/>
  <c r="H326" i="2"/>
  <c r="H334" i="2" s="1"/>
  <c r="H325" i="2"/>
  <c r="H350" i="2" s="1"/>
  <c r="H374" i="2"/>
  <c r="H356" i="2"/>
  <c r="I338" i="2"/>
  <c r="S254" i="2"/>
  <c r="H360" i="33"/>
  <c r="I342" i="33"/>
  <c r="T336" i="33"/>
  <c r="S336" i="2"/>
  <c r="R354" i="2"/>
  <c r="I326" i="2"/>
  <c r="I334" i="2" s="1"/>
  <c r="I325" i="2"/>
  <c r="I350" i="2" s="1"/>
  <c r="I374" i="2"/>
  <c r="L337" i="2"/>
  <c r="J340" i="2"/>
  <c r="I358" i="2"/>
  <c r="K291" i="2"/>
  <c r="K355" i="2" s="1"/>
  <c r="J357" i="2"/>
  <c r="J362" i="2"/>
  <c r="J354" i="2"/>
  <c r="J361" i="2"/>
  <c r="G294" i="2"/>
  <c r="S440" i="2"/>
  <c r="R454" i="2"/>
  <c r="S243" i="33"/>
  <c r="S150" i="33"/>
  <c r="S161" i="33"/>
  <c r="H342" i="2"/>
  <c r="G360" i="2"/>
  <c r="S57" i="33"/>
  <c r="W208" i="33"/>
  <c r="S255" i="33"/>
  <c r="S347" i="2"/>
  <c r="R361" i="2"/>
  <c r="T441" i="33"/>
  <c r="I619" i="33" l="1"/>
  <c r="L274" i="2"/>
  <c r="M181" i="2"/>
  <c r="L430" i="2"/>
  <c r="N78" i="2"/>
  <c r="N75" i="2"/>
  <c r="O12" i="2"/>
  <c r="L47" i="33"/>
  <c r="L55" i="33" s="1"/>
  <c r="J326" i="2"/>
  <c r="J334" i="2" s="1"/>
  <c r="J527" i="2"/>
  <c r="J545" i="2" s="1"/>
  <c r="Q120" i="32"/>
  <c r="M181" i="33"/>
  <c r="J171" i="2"/>
  <c r="K105" i="2"/>
  <c r="J168" i="2"/>
  <c r="J176" i="2"/>
  <c r="J175" i="2"/>
  <c r="I172" i="2"/>
  <c r="J154" i="2"/>
  <c r="I152" i="2"/>
  <c r="H170" i="2"/>
  <c r="K155" i="2"/>
  <c r="J173" i="2"/>
  <c r="I526" i="33"/>
  <c r="I544" i="33" s="1"/>
  <c r="T243" i="2"/>
  <c r="T261" i="2" s="1"/>
  <c r="K465" i="2"/>
  <c r="L188" i="2"/>
  <c r="G646" i="2"/>
  <c r="T625" i="2"/>
  <c r="T346" i="2"/>
  <c r="T67" i="2"/>
  <c r="T439" i="2"/>
  <c r="L140" i="2"/>
  <c r="L148" i="2" s="1"/>
  <c r="T269" i="2"/>
  <c r="I467" i="33"/>
  <c r="T162" i="33"/>
  <c r="T68" i="33"/>
  <c r="U68" i="33" s="1"/>
  <c r="T540" i="2"/>
  <c r="T346" i="33"/>
  <c r="T253" i="2"/>
  <c r="T532" i="33"/>
  <c r="T625" i="33"/>
  <c r="T160" i="2"/>
  <c r="T347" i="33"/>
  <c r="S68" i="41"/>
  <c r="AZ7" i="5"/>
  <c r="T253" i="33"/>
  <c r="U606" i="2"/>
  <c r="U615" i="2" s="1"/>
  <c r="U624" i="2"/>
  <c r="U609" i="2"/>
  <c r="U618" i="2" s="1"/>
  <c r="U624" i="33"/>
  <c r="U609" i="33"/>
  <c r="U618" i="33" s="1"/>
  <c r="U513" i="2"/>
  <c r="U522" i="2" s="1"/>
  <c r="U623" i="33"/>
  <c r="U516" i="2"/>
  <c r="U525" i="2" s="1"/>
  <c r="U623" i="2"/>
  <c r="U531" i="2"/>
  <c r="U531" i="33"/>
  <c r="U516" i="33"/>
  <c r="U525" i="33" s="1"/>
  <c r="U606" i="33"/>
  <c r="U615" i="33" s="1"/>
  <c r="U530" i="2"/>
  <c r="U530" i="33"/>
  <c r="U532" i="33" s="1"/>
  <c r="U513" i="33"/>
  <c r="U522" i="33" s="1"/>
  <c r="U141" i="33"/>
  <c r="U327" i="33"/>
  <c r="U336" i="33" s="1"/>
  <c r="U237" i="33"/>
  <c r="U246" i="33" s="1"/>
  <c r="U437" i="33"/>
  <c r="U51" i="2"/>
  <c r="U60" i="2" s="1"/>
  <c r="U158" i="2"/>
  <c r="U159" i="33"/>
  <c r="U251" i="33"/>
  <c r="U253" i="33" s="1"/>
  <c r="U66" i="2"/>
  <c r="U48" i="2"/>
  <c r="U144" i="33"/>
  <c r="U153" i="33" s="1"/>
  <c r="U344" i="33"/>
  <c r="U234" i="2"/>
  <c r="U345" i="2"/>
  <c r="U348" i="2" s="1"/>
  <c r="U66" i="33"/>
  <c r="U69" i="33" s="1"/>
  <c r="U423" i="33"/>
  <c r="U432" i="33" s="1"/>
  <c r="U423" i="2"/>
  <c r="U432" i="2" s="1"/>
  <c r="U420" i="2"/>
  <c r="U51" i="33"/>
  <c r="U60" i="33" s="1"/>
  <c r="U345" i="33"/>
  <c r="U348" i="33" s="1"/>
  <c r="U252" i="2"/>
  <c r="U255" i="2" s="1"/>
  <c r="U251" i="2"/>
  <c r="U159" i="2"/>
  <c r="U420" i="33"/>
  <c r="U438" i="33"/>
  <c r="U65" i="33"/>
  <c r="U330" i="2"/>
  <c r="U339" i="2" s="1"/>
  <c r="U144" i="2"/>
  <c r="U153" i="2" s="1"/>
  <c r="AZ13" i="5"/>
  <c r="U234" i="33"/>
  <c r="U237" i="2"/>
  <c r="U246" i="2" s="1"/>
  <c r="U141" i="2"/>
  <c r="U150" i="2" s="1"/>
  <c r="U327" i="2"/>
  <c r="U252" i="33"/>
  <c r="U330" i="33"/>
  <c r="U339" i="33" s="1"/>
  <c r="U158" i="33"/>
  <c r="U438" i="2"/>
  <c r="U441" i="2" s="1"/>
  <c r="U344" i="2"/>
  <c r="U346" i="2" s="1"/>
  <c r="U48" i="33"/>
  <c r="U65" i="2"/>
  <c r="U437" i="2"/>
  <c r="T532" i="2"/>
  <c r="AY14" i="5"/>
  <c r="J460" i="2"/>
  <c r="I619" i="2"/>
  <c r="Q262" i="32"/>
  <c r="Q278" i="32" s="1"/>
  <c r="Q294" i="32"/>
  <c r="Q293" i="32"/>
  <c r="Q261" i="32"/>
  <c r="Q277" i="32" s="1"/>
  <c r="P137" i="32"/>
  <c r="P233" i="32" s="1"/>
  <c r="R102" i="33"/>
  <c r="R86" i="3"/>
  <c r="R134" i="3" s="1"/>
  <c r="R150" i="3" s="1"/>
  <c r="R75" i="3"/>
  <c r="R81" i="3"/>
  <c r="R129" i="3" s="1"/>
  <c r="R145" i="3" s="1"/>
  <c r="R85" i="3"/>
  <c r="R133" i="3" s="1"/>
  <c r="R149" i="3" s="1"/>
  <c r="R245" i="3" s="1"/>
  <c r="R83" i="3"/>
  <c r="R131" i="3" s="1"/>
  <c r="R147" i="3" s="1"/>
  <c r="R79" i="3"/>
  <c r="R127" i="3" s="1"/>
  <c r="R143" i="3" s="1"/>
  <c r="R77" i="3"/>
  <c r="R84" i="3"/>
  <c r="R72" i="3"/>
  <c r="R120" i="3" s="1"/>
  <c r="R73" i="3"/>
  <c r="R82" i="3"/>
  <c r="R76" i="3"/>
  <c r="R80" i="3"/>
  <c r="R128" i="3" s="1"/>
  <c r="R144" i="3" s="1"/>
  <c r="R74" i="3"/>
  <c r="R78" i="3"/>
  <c r="U196" i="3"/>
  <c r="T91" i="32"/>
  <c r="U91" i="3"/>
  <c r="S165" i="32"/>
  <c r="S229" i="32" s="1"/>
  <c r="S181" i="32" s="1"/>
  <c r="T165" i="3"/>
  <c r="S229" i="3"/>
  <c r="Q239" i="3"/>
  <c r="Q287" i="3" s="1"/>
  <c r="S118" i="3"/>
  <c r="R118" i="32"/>
  <c r="S5" i="32"/>
  <c r="S6" i="32" s="1"/>
  <c r="T5" i="3"/>
  <c r="S6" i="3"/>
  <c r="S96" i="32"/>
  <c r="T96" i="3"/>
  <c r="S198" i="3"/>
  <c r="R182" i="3"/>
  <c r="P256" i="3"/>
  <c r="P272" i="3" s="1"/>
  <c r="P288" i="3"/>
  <c r="S166" i="32"/>
  <c r="S230" i="32" s="1"/>
  <c r="S182" i="32" s="1"/>
  <c r="T166" i="3"/>
  <c r="S230" i="3"/>
  <c r="Q89" i="32"/>
  <c r="Q121" i="32" s="1"/>
  <c r="R89" i="3"/>
  <c r="R73" i="32"/>
  <c r="R72" i="32"/>
  <c r="R82" i="32"/>
  <c r="R76" i="32"/>
  <c r="R74" i="32"/>
  <c r="R84" i="32"/>
  <c r="R85" i="32"/>
  <c r="R133" i="32" s="1"/>
  <c r="R149" i="32" s="1"/>
  <c r="R245" i="32" s="1"/>
  <c r="R75" i="32"/>
  <c r="R83" i="32"/>
  <c r="R79" i="32"/>
  <c r="R78" i="32"/>
  <c r="R77" i="32"/>
  <c r="R80" i="32"/>
  <c r="R128" i="32" s="1"/>
  <c r="R144" i="32" s="1"/>
  <c r="R240" i="32" s="1"/>
  <c r="R86" i="32"/>
  <c r="R134" i="32" s="1"/>
  <c r="R150" i="32" s="1"/>
  <c r="R246" i="32" s="1"/>
  <c r="R81" i="32"/>
  <c r="R129" i="32" s="1"/>
  <c r="R145" i="32" s="1"/>
  <c r="Q240" i="32"/>
  <c r="S159" i="3"/>
  <c r="R159" i="32"/>
  <c r="R223" i="32" s="1"/>
  <c r="R175" i="32" s="1"/>
  <c r="R223" i="3"/>
  <c r="R175" i="3" s="1"/>
  <c r="S117" i="32"/>
  <c r="T117" i="3"/>
  <c r="T113" i="3"/>
  <c r="S113" i="32"/>
  <c r="P287" i="3"/>
  <c r="P255" i="3"/>
  <c r="P271" i="3" s="1"/>
  <c r="Q256" i="3"/>
  <c r="Q272" i="3" s="1"/>
  <c r="Q288" i="3"/>
  <c r="Q246" i="3"/>
  <c r="R161" i="32"/>
  <c r="R225" i="32" s="1"/>
  <c r="R177" i="32" s="1"/>
  <c r="S161" i="3"/>
  <c r="R225" i="3"/>
  <c r="S100" i="32"/>
  <c r="T100" i="3"/>
  <c r="R99" i="32"/>
  <c r="R131" i="32" s="1"/>
  <c r="R147" i="32" s="1"/>
  <c r="R243" i="32" s="1"/>
  <c r="S99" i="3"/>
  <c r="X112" i="3"/>
  <c r="X112" i="32" s="1"/>
  <c r="W112" i="32"/>
  <c r="Q241" i="32"/>
  <c r="S162" i="32"/>
  <c r="S226" i="32" s="1"/>
  <c r="T162" i="3"/>
  <c r="S226" i="3"/>
  <c r="Q130" i="32"/>
  <c r="Q146" i="32" s="1"/>
  <c r="Q242" i="32" s="1"/>
  <c r="P259" i="32"/>
  <c r="P275" i="32" s="1"/>
  <c r="P291" i="32"/>
  <c r="Q131" i="32"/>
  <c r="Q147" i="32" s="1"/>
  <c r="Q243" i="32" s="1"/>
  <c r="U152" i="32"/>
  <c r="U216" i="32" s="1"/>
  <c r="U216" i="3"/>
  <c r="V152" i="3"/>
  <c r="P262" i="3"/>
  <c r="P278" i="3" s="1"/>
  <c r="P294" i="3"/>
  <c r="V153" i="3"/>
  <c r="U153" i="32"/>
  <c r="U217" i="32" s="1"/>
  <c r="U217" i="3"/>
  <c r="U169" i="3" s="1"/>
  <c r="S164" i="32"/>
  <c r="S228" i="32" s="1"/>
  <c r="S180" i="32" s="1"/>
  <c r="T164" i="3"/>
  <c r="S228" i="3"/>
  <c r="S180" i="3" s="1"/>
  <c r="R160" i="32"/>
  <c r="R224" i="32" s="1"/>
  <c r="R176" i="32" s="1"/>
  <c r="S160" i="3"/>
  <c r="R224" i="3"/>
  <c r="R176" i="3" s="1"/>
  <c r="T115" i="3"/>
  <c r="S115" i="32"/>
  <c r="S163" i="32"/>
  <c r="S227" i="32" s="1"/>
  <c r="S179" i="32" s="1"/>
  <c r="T163" i="3"/>
  <c r="S227" i="3"/>
  <c r="T197" i="3"/>
  <c r="S181" i="3"/>
  <c r="Q290" i="32"/>
  <c r="Q258" i="32"/>
  <c r="Q274" i="32" s="1"/>
  <c r="Q136" i="32"/>
  <c r="Q232" i="32" s="1"/>
  <c r="S9" i="33"/>
  <c r="R104" i="32"/>
  <c r="S104" i="3"/>
  <c r="M55" i="33"/>
  <c r="S195" i="3"/>
  <c r="R179" i="3"/>
  <c r="R243" i="3" s="1"/>
  <c r="P33" i="2"/>
  <c r="P36" i="2"/>
  <c r="P35" i="2"/>
  <c r="P264" i="3"/>
  <c r="R11" i="2" s="1"/>
  <c r="R10" i="2"/>
  <c r="O53" i="33"/>
  <c r="O94" i="33"/>
  <c r="T194" i="3"/>
  <c r="S178" i="3"/>
  <c r="P92" i="2"/>
  <c r="P89" i="2"/>
  <c r="R98" i="32"/>
  <c r="R130" i="32" s="1"/>
  <c r="R146" i="32" s="1"/>
  <c r="R242" i="32" s="1"/>
  <c r="R130" i="3"/>
  <c r="R146" i="3" s="1"/>
  <c r="R242" i="3" s="1"/>
  <c r="S98" i="3"/>
  <c r="N40" i="33"/>
  <c r="N91" i="33"/>
  <c r="N50" i="33"/>
  <c r="P292" i="3"/>
  <c r="P260" i="3"/>
  <c r="P276" i="3" s="1"/>
  <c r="S88" i="32"/>
  <c r="T88" i="3"/>
  <c r="V208" i="3"/>
  <c r="X207" i="3"/>
  <c r="Q290" i="3"/>
  <c r="Q258" i="3"/>
  <c r="Q274" i="3" s="1"/>
  <c r="P33" i="33"/>
  <c r="P35" i="33"/>
  <c r="P36" i="33"/>
  <c r="U90" i="3"/>
  <c r="T90" i="32"/>
  <c r="P257" i="3"/>
  <c r="P273" i="3" s="1"/>
  <c r="P289" i="3"/>
  <c r="P280" i="32"/>
  <c r="R13" i="33" s="1"/>
  <c r="R23" i="33" s="1"/>
  <c r="R21" i="33" s="1"/>
  <c r="R49" i="33" s="1"/>
  <c r="P248" i="32"/>
  <c r="S114" i="32"/>
  <c r="T114" i="3"/>
  <c r="P292" i="32"/>
  <c r="P260" i="32"/>
  <c r="P276" i="32" s="1"/>
  <c r="P90" i="33"/>
  <c r="P28" i="33"/>
  <c r="P92" i="33"/>
  <c r="P89" i="33"/>
  <c r="S102" i="32"/>
  <c r="T102" i="3"/>
  <c r="R193" i="3"/>
  <c r="Q177" i="3"/>
  <c r="Q241" i="3" s="1"/>
  <c r="U94" i="32"/>
  <c r="V94" i="3"/>
  <c r="O34" i="2"/>
  <c r="O32" i="2" s="1"/>
  <c r="R116" i="3"/>
  <c r="Q116" i="32"/>
  <c r="Q132" i="32" s="1"/>
  <c r="Q148" i="32" s="1"/>
  <c r="Q244" i="32" s="1"/>
  <c r="Q132" i="3"/>
  <c r="Q148" i="3" s="1"/>
  <c r="Q244" i="3" s="1"/>
  <c r="S95" i="32"/>
  <c r="T95" i="3"/>
  <c r="S111" i="3"/>
  <c r="R111" i="32"/>
  <c r="R127" i="32" s="1"/>
  <c r="R143" i="32" s="1"/>
  <c r="R239" i="32" s="1"/>
  <c r="Q10" i="33"/>
  <c r="O264" i="32"/>
  <c r="Q11" i="33" s="1"/>
  <c r="Q90" i="33" s="1"/>
  <c r="W184" i="3"/>
  <c r="U200" i="3"/>
  <c r="T168" i="3"/>
  <c r="Q136" i="3"/>
  <c r="Q232" i="3" s="1"/>
  <c r="S9" i="2"/>
  <c r="N93" i="33"/>
  <c r="N52" i="33"/>
  <c r="T97" i="32"/>
  <c r="U97" i="3"/>
  <c r="U92" i="3"/>
  <c r="T92" i="32"/>
  <c r="S101" i="32"/>
  <c r="T101" i="3"/>
  <c r="Q49" i="33"/>
  <c r="Q291" i="3"/>
  <c r="Q259" i="3"/>
  <c r="Q275" i="3" s="1"/>
  <c r="O264" i="3"/>
  <c r="Q11" i="2" s="1"/>
  <c r="Q10" i="2"/>
  <c r="O94" i="2"/>
  <c r="O53" i="2"/>
  <c r="Q255" i="32"/>
  <c r="Q287" i="32"/>
  <c r="O25" i="33"/>
  <c r="O27" i="33"/>
  <c r="R293" i="3"/>
  <c r="R261" i="3"/>
  <c r="R277" i="3" s="1"/>
  <c r="O34" i="33"/>
  <c r="O32" i="33" s="1"/>
  <c r="I633" i="2"/>
  <c r="I636" i="2"/>
  <c r="J570" i="2"/>
  <c r="J634" i="2" s="1"/>
  <c r="H617" i="33"/>
  <c r="H635" i="33" s="1"/>
  <c r="I543" i="33"/>
  <c r="I540" i="33"/>
  <c r="J477" i="33"/>
  <c r="J545" i="33" s="1"/>
  <c r="I636" i="33"/>
  <c r="I634" i="33"/>
  <c r="J570" i="33"/>
  <c r="J638" i="33" s="1"/>
  <c r="I633" i="33"/>
  <c r="H646" i="2"/>
  <c r="K281" i="33"/>
  <c r="U196" i="32"/>
  <c r="T185" i="32"/>
  <c r="S169" i="32"/>
  <c r="T168" i="32"/>
  <c r="U184" i="32"/>
  <c r="U197" i="32"/>
  <c r="U198" i="32"/>
  <c r="T193" i="32"/>
  <c r="U195" i="32"/>
  <c r="T194" i="32"/>
  <c r="S178" i="32"/>
  <c r="K233" i="33"/>
  <c r="K241" i="33" s="1"/>
  <c r="J610" i="33"/>
  <c r="J619" i="33" s="1"/>
  <c r="I646" i="33"/>
  <c r="H435" i="33"/>
  <c r="I435" i="33" s="1"/>
  <c r="I453" i="33" s="1"/>
  <c r="G387" i="33"/>
  <c r="G467" i="33" s="1"/>
  <c r="J374" i="2"/>
  <c r="I652" i="2"/>
  <c r="I646" i="2" s="1"/>
  <c r="I611" i="2"/>
  <c r="J433" i="2"/>
  <c r="K433" i="2" s="1"/>
  <c r="K595" i="2"/>
  <c r="J594" i="2"/>
  <c r="H620" i="2"/>
  <c r="H638" i="2" s="1"/>
  <c r="K497" i="2"/>
  <c r="K558" i="2" s="1"/>
  <c r="K232" i="33"/>
  <c r="K257" i="33" s="1"/>
  <c r="I419" i="33"/>
  <c r="I427" i="33" s="1"/>
  <c r="I418" i="33"/>
  <c r="I443" i="33" s="1"/>
  <c r="J460" i="33"/>
  <c r="K367" i="33"/>
  <c r="H419" i="33"/>
  <c r="H427" i="33" s="1"/>
  <c r="H467" i="33"/>
  <c r="M248" i="33"/>
  <c r="K367" i="2"/>
  <c r="J387" i="33"/>
  <c r="J419" i="33" s="1"/>
  <c r="J427" i="33" s="1"/>
  <c r="T472" i="33"/>
  <c r="T565" i="33"/>
  <c r="J517" i="2"/>
  <c r="J526" i="2" s="1"/>
  <c r="M238" i="2"/>
  <c r="M247" i="2" s="1"/>
  <c r="M279" i="2"/>
  <c r="M274" i="2" s="1"/>
  <c r="J434" i="33"/>
  <c r="I452" i="33"/>
  <c r="H451" i="33"/>
  <c r="I433" i="33"/>
  <c r="K201" i="2"/>
  <c r="K232" i="2" s="1"/>
  <c r="K257" i="2" s="1"/>
  <c r="L274" i="33"/>
  <c r="N218" i="2"/>
  <c r="I455" i="33"/>
  <c r="I447" i="33"/>
  <c r="J384" i="33"/>
  <c r="J448" i="33" s="1"/>
  <c r="I454" i="33"/>
  <c r="I450" i="33"/>
  <c r="I431" i="2"/>
  <c r="H449" i="2"/>
  <c r="J455" i="2"/>
  <c r="J447" i="2"/>
  <c r="J450" i="2"/>
  <c r="K384" i="2"/>
  <c r="J452" i="2"/>
  <c r="J454" i="2"/>
  <c r="M311" i="2"/>
  <c r="M331" i="2" s="1"/>
  <c r="I387" i="2"/>
  <c r="I418" i="2" s="1"/>
  <c r="I443" i="2" s="1"/>
  <c r="G449" i="33"/>
  <c r="H431" i="33"/>
  <c r="K424" i="33"/>
  <c r="K465" i="33"/>
  <c r="J558" i="33"/>
  <c r="J517" i="33"/>
  <c r="J526" i="33" s="1"/>
  <c r="I637" i="33"/>
  <c r="K490" i="2"/>
  <c r="K492" i="2"/>
  <c r="N266" i="3"/>
  <c r="P197" i="2" s="1"/>
  <c r="P275" i="2" s="1"/>
  <c r="P196" i="2"/>
  <c r="O265" i="32"/>
  <c r="Q104" i="33" s="1"/>
  <c r="Q183" i="33" s="1"/>
  <c r="Q103" i="33"/>
  <c r="O146" i="33"/>
  <c r="O187" i="33"/>
  <c r="O139" i="32"/>
  <c r="O235" i="32" s="1"/>
  <c r="Q288" i="33"/>
  <c r="M141" i="3"/>
  <c r="M237" i="3" s="1"/>
  <c r="O474" i="2"/>
  <c r="K592" i="2"/>
  <c r="K590" i="2" s="1"/>
  <c r="N218" i="33"/>
  <c r="M142" i="3"/>
  <c r="M238" i="3" s="1"/>
  <c r="O567" i="2"/>
  <c r="K270" i="32"/>
  <c r="M569" i="33" s="1"/>
  <c r="M568" i="33"/>
  <c r="M134" i="33"/>
  <c r="M147" i="33" s="1"/>
  <c r="O221" i="33"/>
  <c r="O219" i="33"/>
  <c r="O220" i="33" s="1"/>
  <c r="O222" i="33"/>
  <c r="P129" i="2"/>
  <c r="P128" i="2"/>
  <c r="P126" i="2"/>
  <c r="P127" i="2" s="1"/>
  <c r="P196" i="33"/>
  <c r="N266" i="32"/>
  <c r="P197" i="33" s="1"/>
  <c r="Z88" i="31"/>
  <c r="N385" i="33"/>
  <c r="N395" i="33" s="1"/>
  <c r="N393" i="33" s="1"/>
  <c r="K592" i="33"/>
  <c r="K590" i="33" s="1"/>
  <c r="O127" i="33"/>
  <c r="O125" i="33" s="1"/>
  <c r="L466" i="2"/>
  <c r="L425" i="2"/>
  <c r="L434" i="2" s="1"/>
  <c r="P107" i="32"/>
  <c r="P123" i="32" s="1"/>
  <c r="Q107" i="3"/>
  <c r="P123" i="3"/>
  <c r="M141" i="32"/>
  <c r="M237" i="32" s="1"/>
  <c r="O474" i="33"/>
  <c r="M332" i="2"/>
  <c r="M373" i="2"/>
  <c r="N186" i="33"/>
  <c r="N145" i="33"/>
  <c r="M475" i="2"/>
  <c r="K269" i="3"/>
  <c r="M476" i="2" s="1"/>
  <c r="P138" i="3"/>
  <c r="P234" i="3" s="1"/>
  <c r="R195" i="2"/>
  <c r="N280" i="2"/>
  <c r="N239" i="2"/>
  <c r="M238" i="33"/>
  <c r="M279" i="33"/>
  <c r="M274" i="33" s="1"/>
  <c r="L591" i="2"/>
  <c r="L593" i="2"/>
  <c r="N133" i="2"/>
  <c r="N143" i="2"/>
  <c r="N184" i="2"/>
  <c r="M475" i="33"/>
  <c r="K269" i="32"/>
  <c r="M476" i="33" s="1"/>
  <c r="O282" i="3"/>
  <c r="Q199" i="2" s="1"/>
  <c r="Q209" i="2" s="1"/>
  <c r="Q207" i="2" s="1"/>
  <c r="Q235" i="2" s="1"/>
  <c r="O250" i="3"/>
  <c r="P121" i="2"/>
  <c r="P182" i="2"/>
  <c r="P185" i="2"/>
  <c r="M313" i="33"/>
  <c r="M311" i="33" s="1"/>
  <c r="K320" i="33"/>
  <c r="K333" i="33" s="1"/>
  <c r="K611" i="33"/>
  <c r="K620" i="33" s="1"/>
  <c r="K652" i="33"/>
  <c r="L404" i="2"/>
  <c r="L285" i="32"/>
  <c r="N478" i="33" s="1"/>
  <c r="L253" i="32"/>
  <c r="L594" i="33"/>
  <c r="L591" i="33"/>
  <c r="L593" i="33"/>
  <c r="O125" i="2"/>
  <c r="O109" i="3"/>
  <c r="N109" i="32"/>
  <c r="N125" i="32" s="1"/>
  <c r="N125" i="3"/>
  <c r="P183" i="33"/>
  <c r="P142" i="33"/>
  <c r="N211" i="2"/>
  <c r="N213" i="2"/>
  <c r="R106" i="3"/>
  <c r="Q122" i="3"/>
  <c r="Q106" i="32"/>
  <c r="Q122" i="32" s="1"/>
  <c r="J649" i="33"/>
  <c r="J646" i="33" s="1"/>
  <c r="J608" i="33"/>
  <c r="L650" i="2"/>
  <c r="L647" i="2"/>
  <c r="L586" i="2"/>
  <c r="O250" i="32"/>
  <c r="O282" i="32"/>
  <c r="Q199" i="33" s="1"/>
  <c r="Q209" i="33" s="1"/>
  <c r="Q207" i="33" s="1"/>
  <c r="Q235" i="33" s="1"/>
  <c r="M332" i="33"/>
  <c r="M373" i="33"/>
  <c r="L268" i="3"/>
  <c r="N383" i="2" s="1"/>
  <c r="N382" i="2"/>
  <c r="N140" i="3"/>
  <c r="N236" i="3" s="1"/>
  <c r="P381" i="2"/>
  <c r="J413" i="2"/>
  <c r="J426" i="2" s="1"/>
  <c r="J435" i="2" s="1"/>
  <c r="I637" i="2"/>
  <c r="K320" i="2"/>
  <c r="K333" i="2" s="1"/>
  <c r="O221" i="2"/>
  <c r="O222" i="2"/>
  <c r="O219" i="2"/>
  <c r="O220" i="2" s="1"/>
  <c r="O265" i="3"/>
  <c r="Q104" i="2" s="1"/>
  <c r="Q183" i="2" s="1"/>
  <c r="Q103" i="2"/>
  <c r="L586" i="33"/>
  <c r="L647" i="33"/>
  <c r="L650" i="33"/>
  <c r="L648" i="33"/>
  <c r="N145" i="2"/>
  <c r="N186" i="2"/>
  <c r="N283" i="3"/>
  <c r="P292" i="2" s="1"/>
  <c r="P302" i="2" s="1"/>
  <c r="P300" i="2" s="1"/>
  <c r="N251" i="3"/>
  <c r="I544" i="2"/>
  <c r="P138" i="32"/>
  <c r="P234" i="32" s="1"/>
  <c r="R195" i="33"/>
  <c r="N213" i="33"/>
  <c r="N211" i="33"/>
  <c r="N307" i="33"/>
  <c r="N371" i="33"/>
  <c r="N368" i="33"/>
  <c r="J556" i="2"/>
  <c r="J515" i="2"/>
  <c r="M462" i="2"/>
  <c r="M421" i="2"/>
  <c r="M430" i="2" s="1"/>
  <c r="Z87" i="31"/>
  <c r="N385" i="2"/>
  <c r="N395" i="2" s="1"/>
  <c r="N393" i="2" s="1"/>
  <c r="O124" i="3"/>
  <c r="O108" i="32"/>
  <c r="O124" i="32" s="1"/>
  <c r="P108" i="3"/>
  <c r="M461" i="2"/>
  <c r="M464" i="2"/>
  <c r="M400" i="2"/>
  <c r="L500" i="2"/>
  <c r="L498" i="2"/>
  <c r="L499" i="2" s="1"/>
  <c r="L501" i="2"/>
  <c r="R121" i="3"/>
  <c r="S105" i="3"/>
  <c r="R105" i="32"/>
  <c r="O275" i="2"/>
  <c r="O276" i="2"/>
  <c r="O214" i="2"/>
  <c r="O278" i="2"/>
  <c r="N251" i="32"/>
  <c r="N283" i="32"/>
  <c r="P292" i="33" s="1"/>
  <c r="P302" i="33" s="1"/>
  <c r="P300" i="33" s="1"/>
  <c r="Q142" i="2"/>
  <c r="K583" i="2"/>
  <c r="K585" i="2"/>
  <c r="O187" i="2"/>
  <c r="O146" i="2"/>
  <c r="L319" i="2"/>
  <c r="L370" i="2"/>
  <c r="L329" i="2"/>
  <c r="K412" i="2"/>
  <c r="K422" i="2"/>
  <c r="K463" i="2"/>
  <c r="L331" i="33"/>
  <c r="L372" i="33"/>
  <c r="K108" i="2"/>
  <c r="M284" i="3"/>
  <c r="M252" i="3"/>
  <c r="N315" i="33"/>
  <c r="N312" i="33"/>
  <c r="N314" i="33"/>
  <c r="K518" i="2"/>
  <c r="K559" i="2"/>
  <c r="N140" i="32"/>
  <c r="N236" i="32" s="1"/>
  <c r="P381" i="33"/>
  <c r="M405" i="2"/>
  <c r="M406" i="2" s="1"/>
  <c r="M408" i="2"/>
  <c r="M407" i="2"/>
  <c r="O118" i="33"/>
  <c r="O120" i="33"/>
  <c r="L557" i="2"/>
  <c r="L554" i="2"/>
  <c r="L553" i="2" s="1"/>
  <c r="L493" i="2"/>
  <c r="L399" i="2"/>
  <c r="L397" i="2"/>
  <c r="L370" i="33"/>
  <c r="L329" i="33"/>
  <c r="L319" i="33"/>
  <c r="L399" i="33"/>
  <c r="L397" i="33"/>
  <c r="Q137" i="3"/>
  <c r="Q233" i="3" s="1"/>
  <c r="S102" i="2"/>
  <c r="K497" i="33"/>
  <c r="L404" i="33"/>
  <c r="L285" i="3"/>
  <c r="N478" i="2" s="1"/>
  <c r="L253" i="3"/>
  <c r="M306" i="2"/>
  <c r="M304" i="2"/>
  <c r="K270" i="3"/>
  <c r="M569" i="2" s="1"/>
  <c r="M568" i="2"/>
  <c r="L227" i="33"/>
  <c r="L240" i="33" s="1"/>
  <c r="M464" i="33"/>
  <c r="M461" i="33"/>
  <c r="M400" i="33"/>
  <c r="L286" i="32"/>
  <c r="N571" i="33" s="1"/>
  <c r="N581" i="33" s="1"/>
  <c r="N579" i="33" s="1"/>
  <c r="N607" i="33" s="1"/>
  <c r="L254" i="32"/>
  <c r="M306" i="33"/>
  <c r="M304" i="33"/>
  <c r="N315" i="2"/>
  <c r="N314" i="2"/>
  <c r="N312" i="2"/>
  <c r="N313" i="2" s="1"/>
  <c r="M284" i="32"/>
  <c r="M252" i="32"/>
  <c r="M134" i="2"/>
  <c r="M147" i="2" s="1"/>
  <c r="O328" i="33"/>
  <c r="K559" i="33"/>
  <c r="K518" i="33"/>
  <c r="K527" i="33" s="1"/>
  <c r="O118" i="2"/>
  <c r="O120" i="2"/>
  <c r="L425" i="33"/>
  <c r="L466" i="33"/>
  <c r="L134" i="33"/>
  <c r="L147" i="33" s="1"/>
  <c r="L331" i="2"/>
  <c r="L372" i="2"/>
  <c r="P128" i="33"/>
  <c r="P129" i="33"/>
  <c r="P126" i="33"/>
  <c r="P127" i="33" s="1"/>
  <c r="J651" i="2"/>
  <c r="J610" i="2"/>
  <c r="J619" i="2" s="1"/>
  <c r="N280" i="33"/>
  <c r="N239" i="33"/>
  <c r="M142" i="32"/>
  <c r="M238" i="32" s="1"/>
  <c r="O567" i="33"/>
  <c r="M407" i="33"/>
  <c r="M408" i="33"/>
  <c r="M405" i="33"/>
  <c r="M406" i="33" s="1"/>
  <c r="L500" i="33"/>
  <c r="L501" i="33"/>
  <c r="L498" i="33"/>
  <c r="N371" i="2"/>
  <c r="N307" i="2"/>
  <c r="N368" i="2"/>
  <c r="L254" i="3"/>
  <c r="L286" i="3"/>
  <c r="N571" i="2" s="1"/>
  <c r="O328" i="2"/>
  <c r="K583" i="33"/>
  <c r="K585" i="33"/>
  <c r="P281" i="3"/>
  <c r="R106" i="2" s="1"/>
  <c r="R116" i="2" s="1"/>
  <c r="R114" i="2" s="1"/>
  <c r="P249" i="3"/>
  <c r="O289" i="33"/>
  <c r="M267" i="32"/>
  <c r="O290" i="33" s="1"/>
  <c r="Q142" i="33"/>
  <c r="O139" i="3"/>
  <c r="O235" i="3" s="1"/>
  <c r="Q288" i="2"/>
  <c r="N118" i="33"/>
  <c r="N120" i="33"/>
  <c r="P185" i="33"/>
  <c r="P121" i="33"/>
  <c r="P182" i="33"/>
  <c r="M421" i="33"/>
  <c r="M462" i="33"/>
  <c r="N126" i="3"/>
  <c r="O110" i="3"/>
  <c r="N110" i="32"/>
  <c r="N126" i="32" s="1"/>
  <c r="L227" i="2"/>
  <c r="L240" i="2" s="1"/>
  <c r="K412" i="33"/>
  <c r="K422" i="33"/>
  <c r="K463" i="33"/>
  <c r="L557" i="33"/>
  <c r="L554" i="33"/>
  <c r="L553" i="33" s="1"/>
  <c r="O275" i="33"/>
  <c r="O214" i="33"/>
  <c r="O278" i="33"/>
  <c r="O276" i="33"/>
  <c r="P249" i="32"/>
  <c r="P281" i="32"/>
  <c r="R106" i="33" s="1"/>
  <c r="R116" i="33" s="1"/>
  <c r="R114" i="33" s="1"/>
  <c r="M267" i="3"/>
  <c r="O290" i="2" s="1"/>
  <c r="O289" i="2"/>
  <c r="N382" i="33"/>
  <c r="L268" i="32"/>
  <c r="N383" i="33" s="1"/>
  <c r="G653" i="33"/>
  <c r="G605" i="33"/>
  <c r="G604" i="33"/>
  <c r="G629" i="33" s="1"/>
  <c r="G630" i="33" s="1"/>
  <c r="G642" i="33" s="1"/>
  <c r="H639" i="33"/>
  <c r="I621" i="33"/>
  <c r="H573" i="33"/>
  <c r="H641" i="33"/>
  <c r="I627" i="33"/>
  <c r="I573" i="33"/>
  <c r="M616" i="33"/>
  <c r="J597" i="33"/>
  <c r="J598" i="33" s="1"/>
  <c r="J599" i="33" s="1"/>
  <c r="J612" i="33" s="1"/>
  <c r="P580" i="33"/>
  <c r="F626" i="33"/>
  <c r="G626" i="33" s="1"/>
  <c r="F625" i="33"/>
  <c r="R158" i="32"/>
  <c r="R222" i="32" s="1"/>
  <c r="R174" i="32" s="1"/>
  <c r="S158" i="3"/>
  <c r="R222" i="3"/>
  <c r="R174" i="3" s="1"/>
  <c r="G325" i="33"/>
  <c r="G350" i="33" s="1"/>
  <c r="G351" i="33" s="1"/>
  <c r="H351" i="33" s="1"/>
  <c r="T543" i="2"/>
  <c r="S168" i="2"/>
  <c r="U472" i="2"/>
  <c r="U477" i="2" s="1"/>
  <c r="U565" i="2"/>
  <c r="U570" i="2" s="1"/>
  <c r="T636" i="2"/>
  <c r="T633" i="2"/>
  <c r="A603" i="2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F602" i="2"/>
  <c r="G597" i="2" s="1"/>
  <c r="L607" i="2"/>
  <c r="L648" i="2"/>
  <c r="N580" i="2"/>
  <c r="M581" i="2"/>
  <c r="M579" i="2" s="1"/>
  <c r="G635" i="2"/>
  <c r="H617" i="2"/>
  <c r="K616" i="2"/>
  <c r="G326" i="33"/>
  <c r="G335" i="33" s="1"/>
  <c r="H335" i="33" s="1"/>
  <c r="J359" i="33"/>
  <c r="K341" i="33"/>
  <c r="J340" i="33"/>
  <c r="I358" i="33"/>
  <c r="J362" i="33"/>
  <c r="K291" i="33"/>
  <c r="J354" i="33"/>
  <c r="J361" i="33"/>
  <c r="J357" i="33"/>
  <c r="I338" i="33"/>
  <c r="H356" i="33"/>
  <c r="A488" i="33"/>
  <c r="F487" i="33"/>
  <c r="G505" i="2"/>
  <c r="G506" i="2" s="1"/>
  <c r="G519" i="2" s="1"/>
  <c r="G528" i="2" s="1"/>
  <c r="T225" i="2"/>
  <c r="H504" i="2"/>
  <c r="N487" i="2"/>
  <c r="M488" i="2"/>
  <c r="H542" i="2"/>
  <c r="I524" i="2"/>
  <c r="F531" i="2"/>
  <c r="F534" i="2" s="1"/>
  <c r="G534" i="2" s="1"/>
  <c r="T485" i="2"/>
  <c r="F508" i="2"/>
  <c r="Z485" i="2"/>
  <c r="R485" i="2"/>
  <c r="X485" i="2"/>
  <c r="U485" i="2"/>
  <c r="Y485" i="2"/>
  <c r="V485" i="2"/>
  <c r="S485" i="2"/>
  <c r="Q485" i="2"/>
  <c r="AA485" i="2"/>
  <c r="W485" i="2"/>
  <c r="I485" i="2"/>
  <c r="O485" i="2"/>
  <c r="M485" i="2"/>
  <c r="P485" i="2"/>
  <c r="N485" i="2"/>
  <c r="J485" i="2"/>
  <c r="L485" i="2"/>
  <c r="H485" i="2"/>
  <c r="G485" i="2"/>
  <c r="K485" i="2"/>
  <c r="J504" i="2"/>
  <c r="L555" i="2"/>
  <c r="L514" i="2"/>
  <c r="J541" i="2"/>
  <c r="K523" i="2"/>
  <c r="I504" i="2"/>
  <c r="P161" i="2"/>
  <c r="U7" i="2"/>
  <c r="U379" i="2"/>
  <c r="U384" i="2" s="1"/>
  <c r="U1" i="33"/>
  <c r="S4" i="3"/>
  <c r="U286" i="2"/>
  <c r="U291" i="2" s="1"/>
  <c r="U193" i="2"/>
  <c r="U198" i="2" s="1"/>
  <c r="U269" i="2" s="1"/>
  <c r="V1" i="2"/>
  <c r="U100" i="2"/>
  <c r="T264" i="2"/>
  <c r="T291" i="2"/>
  <c r="T318" i="2"/>
  <c r="A20" i="2"/>
  <c r="T384" i="2"/>
  <c r="T447" i="2" s="1"/>
  <c r="T411" i="2"/>
  <c r="T105" i="2"/>
  <c r="T171" i="2" s="1"/>
  <c r="T132" i="2"/>
  <c r="V2" i="33"/>
  <c r="T1" i="32" s="1"/>
  <c r="AZ5" i="5"/>
  <c r="T1" i="3"/>
  <c r="W2" i="2"/>
  <c r="Q70" i="41"/>
  <c r="Q88" i="41" s="1"/>
  <c r="Q106" i="41" s="1"/>
  <c r="Q43" i="41"/>
  <c r="Q61" i="41" s="1"/>
  <c r="T193" i="33"/>
  <c r="T225" i="33" s="1"/>
  <c r="T100" i="33"/>
  <c r="T132" i="33" s="1"/>
  <c r="R4" i="32"/>
  <c r="R25" i="41" s="1"/>
  <c r="T379" i="33"/>
  <c r="T411" i="33" s="1"/>
  <c r="T286" i="33"/>
  <c r="T318" i="33" s="1"/>
  <c r="T7" i="33"/>
  <c r="T39" i="33" s="1"/>
  <c r="S450" i="2"/>
  <c r="S455" i="2"/>
  <c r="T155" i="3"/>
  <c r="S155" i="32"/>
  <c r="S219" i="32" s="1"/>
  <c r="S171" i="32" s="1"/>
  <c r="S219" i="3"/>
  <c r="S171" i="3" s="1"/>
  <c r="M227" i="33"/>
  <c r="M240" i="33" s="1"/>
  <c r="S154" i="3"/>
  <c r="R154" i="32"/>
  <c r="R218" i="32" s="1"/>
  <c r="R170" i="32" s="1"/>
  <c r="R218" i="3"/>
  <c r="R170" i="3" s="1"/>
  <c r="M227" i="2"/>
  <c r="M240" i="2" s="1"/>
  <c r="T156" i="3"/>
  <c r="S156" i="32"/>
  <c r="S220" i="32" s="1"/>
  <c r="S172" i="32" s="1"/>
  <c r="S220" i="3"/>
  <c r="S172" i="3" s="1"/>
  <c r="R157" i="32"/>
  <c r="R221" i="32" s="1"/>
  <c r="R173" i="32" s="1"/>
  <c r="S157" i="3"/>
  <c r="R221" i="3"/>
  <c r="R173" i="3" s="1"/>
  <c r="S44" i="3"/>
  <c r="S44" i="32"/>
  <c r="K95" i="33"/>
  <c r="R93" i="3"/>
  <c r="Q93" i="32"/>
  <c r="G188" i="33"/>
  <c r="G139" i="33"/>
  <c r="G164" i="33" s="1"/>
  <c r="G165" i="33" s="1"/>
  <c r="G177" i="33" s="1"/>
  <c r="H453" i="33"/>
  <c r="M95" i="33"/>
  <c r="K46" i="33"/>
  <c r="K71" i="33" s="1"/>
  <c r="J47" i="33"/>
  <c r="J55" i="33" s="1"/>
  <c r="M46" i="33"/>
  <c r="M71" i="33" s="1"/>
  <c r="J46" i="33"/>
  <c r="J71" i="33" s="1"/>
  <c r="G95" i="33"/>
  <c r="G47" i="33"/>
  <c r="G55" i="33" s="1"/>
  <c r="G149" i="33"/>
  <c r="G148" i="33"/>
  <c r="J169" i="33"/>
  <c r="G177" i="2"/>
  <c r="H165" i="2"/>
  <c r="L80" i="2"/>
  <c r="M62" i="2"/>
  <c r="H81" i="33"/>
  <c r="I63" i="33"/>
  <c r="L151" i="33"/>
  <c r="K169" i="33"/>
  <c r="L61" i="2"/>
  <c r="K79" i="2"/>
  <c r="K152" i="33"/>
  <c r="J170" i="33"/>
  <c r="I174" i="2"/>
  <c r="J156" i="2"/>
  <c r="K61" i="33"/>
  <c r="J79" i="33"/>
  <c r="K172" i="33"/>
  <c r="L154" i="33"/>
  <c r="J169" i="2"/>
  <c r="K151" i="2"/>
  <c r="L62" i="33"/>
  <c r="K80" i="33"/>
  <c r="I453" i="2"/>
  <c r="J59" i="33"/>
  <c r="I77" i="33"/>
  <c r="K168" i="33"/>
  <c r="L105" i="33"/>
  <c r="K176" i="33"/>
  <c r="K175" i="33"/>
  <c r="K171" i="33"/>
  <c r="G456" i="2"/>
  <c r="H444" i="2"/>
  <c r="H72" i="33"/>
  <c r="G84" i="33"/>
  <c r="K78" i="33"/>
  <c r="L12" i="33"/>
  <c r="K83" i="33"/>
  <c r="K82" i="33"/>
  <c r="K75" i="33"/>
  <c r="G428" i="2"/>
  <c r="G427" i="2"/>
  <c r="K430" i="33"/>
  <c r="K244" i="2"/>
  <c r="J262" i="2"/>
  <c r="I76" i="33"/>
  <c r="J58" i="33"/>
  <c r="K173" i="33"/>
  <c r="L155" i="33"/>
  <c r="I156" i="33"/>
  <c r="H174" i="33"/>
  <c r="J337" i="33"/>
  <c r="I355" i="33"/>
  <c r="G149" i="2"/>
  <c r="G148" i="2"/>
  <c r="C84" i="2"/>
  <c r="H258" i="2"/>
  <c r="G260" i="2"/>
  <c r="G272" i="2" s="1"/>
  <c r="H242" i="2"/>
  <c r="H267" i="33"/>
  <c r="I249" i="33"/>
  <c r="J245" i="33"/>
  <c r="I263" i="33"/>
  <c r="L265" i="2"/>
  <c r="J249" i="2"/>
  <c r="I267" i="2"/>
  <c r="K266" i="33"/>
  <c r="K269" i="33"/>
  <c r="K261" i="33"/>
  <c r="L198" i="33"/>
  <c r="K268" i="33"/>
  <c r="K264" i="33"/>
  <c r="K262" i="33"/>
  <c r="G232" i="33"/>
  <c r="G257" i="33" s="1"/>
  <c r="G258" i="33" s="1"/>
  <c r="G233" i="33"/>
  <c r="G281" i="33"/>
  <c r="L266" i="2"/>
  <c r="M248" i="2"/>
  <c r="O244" i="33"/>
  <c r="K265" i="33"/>
  <c r="L247" i="33"/>
  <c r="L261" i="2"/>
  <c r="L269" i="2"/>
  <c r="M198" i="2"/>
  <c r="L268" i="2"/>
  <c r="L264" i="2"/>
  <c r="J263" i="2"/>
  <c r="K245" i="2"/>
  <c r="U440" i="33"/>
  <c r="T429" i="33"/>
  <c r="T243" i="33"/>
  <c r="U429" i="2"/>
  <c r="I356" i="2"/>
  <c r="J338" i="2"/>
  <c r="T255" i="33"/>
  <c r="X208" i="33"/>
  <c r="T254" i="2"/>
  <c r="L341" i="2"/>
  <c r="K359" i="2"/>
  <c r="I360" i="33"/>
  <c r="J342" i="33"/>
  <c r="S454" i="2"/>
  <c r="T440" i="2"/>
  <c r="K357" i="2"/>
  <c r="L291" i="2"/>
  <c r="K362" i="2"/>
  <c r="K361" i="2"/>
  <c r="K354" i="2"/>
  <c r="M337" i="2"/>
  <c r="U441" i="33"/>
  <c r="S361" i="2"/>
  <c r="T347" i="2"/>
  <c r="T150" i="33"/>
  <c r="T254" i="33"/>
  <c r="H360" i="2"/>
  <c r="I342" i="2"/>
  <c r="U57" i="2"/>
  <c r="T161" i="33"/>
  <c r="T57" i="33"/>
  <c r="G326" i="2"/>
  <c r="G325" i="2"/>
  <c r="G350" i="2" s="1"/>
  <c r="G351" i="2" s="1"/>
  <c r="G374" i="2"/>
  <c r="K340" i="2"/>
  <c r="J358" i="2"/>
  <c r="T336" i="2"/>
  <c r="S354" i="2"/>
  <c r="S176" i="2"/>
  <c r="T162" i="2"/>
  <c r="U625" i="33" l="1"/>
  <c r="N88" i="33"/>
  <c r="K527" i="2"/>
  <c r="O78" i="2"/>
  <c r="P12" i="2"/>
  <c r="O75" i="2"/>
  <c r="U243" i="2"/>
  <c r="R120" i="32"/>
  <c r="I170" i="2"/>
  <c r="J152" i="2"/>
  <c r="K154" i="2"/>
  <c r="J172" i="2"/>
  <c r="K173" i="2"/>
  <c r="L155" i="2"/>
  <c r="K176" i="2"/>
  <c r="K175" i="2"/>
  <c r="K171" i="2"/>
  <c r="K168" i="2"/>
  <c r="L105" i="2"/>
  <c r="K460" i="2"/>
  <c r="U625" i="2"/>
  <c r="U67" i="2"/>
  <c r="U253" i="2"/>
  <c r="U532" i="2"/>
  <c r="N181" i="2"/>
  <c r="K517" i="2"/>
  <c r="V525" i="2"/>
  <c r="T68" i="41"/>
  <c r="BA7" i="5"/>
  <c r="U160" i="2"/>
  <c r="U357" i="2"/>
  <c r="V606" i="2"/>
  <c r="V615" i="2" s="1"/>
  <c r="V624" i="2"/>
  <c r="V609" i="2"/>
  <c r="V618" i="2" s="1"/>
  <c r="V624" i="33"/>
  <c r="V609" i="33"/>
  <c r="V618" i="33" s="1"/>
  <c r="V623" i="33"/>
  <c r="V625" i="33" s="1"/>
  <c r="V531" i="33"/>
  <c r="V516" i="33"/>
  <c r="V525" i="33" s="1"/>
  <c r="V516" i="2"/>
  <c r="V623" i="2"/>
  <c r="V625" i="2" s="1"/>
  <c r="V606" i="33"/>
  <c r="V615" i="33" s="1"/>
  <c r="V513" i="2"/>
  <c r="V522" i="2" s="1"/>
  <c r="V531" i="2"/>
  <c r="V530" i="33"/>
  <c r="V532" i="33" s="1"/>
  <c r="V513" i="33"/>
  <c r="V522" i="33" s="1"/>
  <c r="V530" i="2"/>
  <c r="V234" i="33"/>
  <c r="V420" i="33"/>
  <c r="V141" i="33"/>
  <c r="V237" i="33"/>
  <c r="V246" i="33" s="1"/>
  <c r="V330" i="33"/>
  <c r="V339" i="33" s="1"/>
  <c r="V438" i="2"/>
  <c r="V441" i="2" s="1"/>
  <c r="V48" i="2"/>
  <c r="V57" i="2" s="1"/>
  <c r="V158" i="2"/>
  <c r="V159" i="33"/>
  <c r="V66" i="33"/>
  <c r="V69" i="33" s="1"/>
  <c r="V159" i="2"/>
  <c r="V345" i="2"/>
  <c r="V348" i="2" s="1"/>
  <c r="V237" i="2"/>
  <c r="V246" i="2" s="1"/>
  <c r="V144" i="33"/>
  <c r="V153" i="33" s="1"/>
  <c r="V344" i="33"/>
  <c r="V423" i="2"/>
  <c r="V432" i="2" s="1"/>
  <c r="V420" i="2"/>
  <c r="V51" i="33"/>
  <c r="V60" i="33" s="1"/>
  <c r="V437" i="33"/>
  <c r="V330" i="2"/>
  <c r="V339" i="2" s="1"/>
  <c r="V437" i="2"/>
  <c r="V439" i="2" s="1"/>
  <c r="V438" i="33"/>
  <c r="V441" i="33" s="1"/>
  <c r="V158" i="33"/>
  <c r="V160" i="33" s="1"/>
  <c r="V234" i="2"/>
  <c r="V243" i="2" s="1"/>
  <c r="V66" i="2"/>
  <c r="V327" i="33"/>
  <c r="V141" i="2"/>
  <c r="V327" i="2"/>
  <c r="V51" i="2"/>
  <c r="V60" i="2" s="1"/>
  <c r="V144" i="2"/>
  <c r="V153" i="2" s="1"/>
  <c r="V252" i="2"/>
  <c r="V255" i="2" s="1"/>
  <c r="V252" i="33"/>
  <c r="BA13" i="5"/>
  <c r="V423" i="33"/>
  <c r="V432" i="33" s="1"/>
  <c r="V345" i="33"/>
  <c r="V65" i="33"/>
  <c r="V67" i="33" s="1"/>
  <c r="V344" i="2"/>
  <c r="V346" i="2" s="1"/>
  <c r="V48" i="33"/>
  <c r="V251" i="2"/>
  <c r="V253" i="2" s="1"/>
  <c r="V251" i="33"/>
  <c r="V253" i="33" s="1"/>
  <c r="V65" i="2"/>
  <c r="V67" i="2" s="1"/>
  <c r="U347" i="33"/>
  <c r="U162" i="33"/>
  <c r="V162" i="33" s="1"/>
  <c r="U160" i="33"/>
  <c r="U346" i="33"/>
  <c r="U439" i="33"/>
  <c r="AZ14" i="5"/>
  <c r="BA14" i="5" s="1"/>
  <c r="U450" i="2"/>
  <c r="U67" i="33"/>
  <c r="U543" i="2"/>
  <c r="U439" i="2"/>
  <c r="R291" i="32"/>
  <c r="R259" i="32"/>
  <c r="R275" i="32" s="1"/>
  <c r="R293" i="32"/>
  <c r="R261" i="32"/>
  <c r="R277" i="32" s="1"/>
  <c r="Q137" i="32"/>
  <c r="Q233" i="32" s="1"/>
  <c r="S102" i="33"/>
  <c r="R294" i="32"/>
  <c r="R262" i="32"/>
  <c r="R278" i="32" s="1"/>
  <c r="R288" i="32"/>
  <c r="R256" i="32"/>
  <c r="R272" i="32" s="1"/>
  <c r="U117" i="3"/>
  <c r="T117" i="32"/>
  <c r="W153" i="3"/>
  <c r="V153" i="32"/>
  <c r="V217" i="32" s="1"/>
  <c r="V217" i="3"/>
  <c r="V169" i="3" s="1"/>
  <c r="S99" i="32"/>
  <c r="S131" i="32" s="1"/>
  <c r="S147" i="32" s="1"/>
  <c r="S243" i="32" s="1"/>
  <c r="T99" i="3"/>
  <c r="T198" i="3"/>
  <c r="S182" i="3"/>
  <c r="V196" i="3"/>
  <c r="S160" i="32"/>
  <c r="S224" i="32" s="1"/>
  <c r="S176" i="32" s="1"/>
  <c r="T160" i="3"/>
  <c r="S224" i="3"/>
  <c r="S176" i="3" s="1"/>
  <c r="T96" i="32"/>
  <c r="U96" i="3"/>
  <c r="S118" i="32"/>
  <c r="T118" i="3"/>
  <c r="U197" i="3"/>
  <c r="T100" i="32"/>
  <c r="U100" i="3"/>
  <c r="R239" i="3"/>
  <c r="U115" i="3"/>
  <c r="T115" i="32"/>
  <c r="Q262" i="3"/>
  <c r="Q278" i="3" s="1"/>
  <c r="Q294" i="3"/>
  <c r="R246" i="3"/>
  <c r="S134" i="32"/>
  <c r="S150" i="32" s="1"/>
  <c r="S246" i="32" s="1"/>
  <c r="V152" i="32"/>
  <c r="V216" i="32" s="1"/>
  <c r="W152" i="3"/>
  <c r="V216" i="3"/>
  <c r="T162" i="32"/>
  <c r="T226" i="32" s="1"/>
  <c r="U162" i="3"/>
  <c r="T226" i="3"/>
  <c r="T159" i="3"/>
  <c r="S159" i="32"/>
  <c r="S223" i="32" s="1"/>
  <c r="S175" i="32" s="1"/>
  <c r="S223" i="3"/>
  <c r="S175" i="3" s="1"/>
  <c r="U166" i="3"/>
  <c r="T166" i="32"/>
  <c r="T230" i="32" s="1"/>
  <c r="T182" i="32" s="1"/>
  <c r="T230" i="3"/>
  <c r="S73" i="3"/>
  <c r="S72" i="3"/>
  <c r="S120" i="3" s="1"/>
  <c r="U9" i="2" s="1"/>
  <c r="S86" i="3"/>
  <c r="S134" i="3" s="1"/>
  <c r="S150" i="3" s="1"/>
  <c r="S246" i="3" s="1"/>
  <c r="S85" i="3"/>
  <c r="S133" i="3" s="1"/>
  <c r="S149" i="3" s="1"/>
  <c r="S245" i="3" s="1"/>
  <c r="S293" i="3" s="1"/>
  <c r="S81" i="3"/>
  <c r="S129" i="3" s="1"/>
  <c r="S145" i="3" s="1"/>
  <c r="S82" i="3"/>
  <c r="S84" i="3"/>
  <c r="S74" i="3"/>
  <c r="S78" i="3"/>
  <c r="S77" i="3"/>
  <c r="S83" i="3"/>
  <c r="S131" i="3" s="1"/>
  <c r="S147" i="3" s="1"/>
  <c r="S75" i="3"/>
  <c r="S79" i="3"/>
  <c r="S76" i="3"/>
  <c r="S80" i="3"/>
  <c r="S128" i="3" s="1"/>
  <c r="S144" i="3" s="1"/>
  <c r="T165" i="32"/>
  <c r="T229" i="32" s="1"/>
  <c r="T181" i="32" s="1"/>
  <c r="U165" i="3"/>
  <c r="T229" i="3"/>
  <c r="T181" i="3" s="1"/>
  <c r="R240" i="3"/>
  <c r="Q255" i="3"/>
  <c r="Q271" i="3" s="1"/>
  <c r="T163" i="32"/>
  <c r="T227" i="32" s="1"/>
  <c r="T179" i="32" s="1"/>
  <c r="U163" i="3"/>
  <c r="T227" i="3"/>
  <c r="T164" i="32"/>
  <c r="T228" i="32" s="1"/>
  <c r="T180" i="32" s="1"/>
  <c r="U164" i="3"/>
  <c r="T228" i="3"/>
  <c r="T180" i="3" s="1"/>
  <c r="U5" i="3"/>
  <c r="T5" i="32"/>
  <c r="T6" i="32" s="1"/>
  <c r="T6" i="3"/>
  <c r="Q257" i="32"/>
  <c r="Q273" i="32" s="1"/>
  <c r="Q289" i="32"/>
  <c r="T161" i="3"/>
  <c r="S161" i="32"/>
  <c r="S225" i="32" s="1"/>
  <c r="S177" i="32" s="1"/>
  <c r="S225" i="3"/>
  <c r="Q256" i="32"/>
  <c r="Q272" i="32" s="1"/>
  <c r="Q288" i="32"/>
  <c r="S75" i="32"/>
  <c r="S85" i="32"/>
  <c r="S86" i="32"/>
  <c r="S81" i="32"/>
  <c r="S129" i="32" s="1"/>
  <c r="S145" i="32" s="1"/>
  <c r="S78" i="32"/>
  <c r="S80" i="32"/>
  <c r="S128" i="32" s="1"/>
  <c r="S144" i="32" s="1"/>
  <c r="S240" i="32" s="1"/>
  <c r="S83" i="32"/>
  <c r="S73" i="32"/>
  <c r="S84" i="32"/>
  <c r="S79" i="32"/>
  <c r="S127" i="32" s="1"/>
  <c r="S143" i="32" s="1"/>
  <c r="S239" i="32" s="1"/>
  <c r="S76" i="32"/>
  <c r="S77" i="32"/>
  <c r="S82" i="32"/>
  <c r="S74" i="32"/>
  <c r="S72" i="32"/>
  <c r="U91" i="32"/>
  <c r="V91" i="3"/>
  <c r="S133" i="32"/>
  <c r="S149" i="32" s="1"/>
  <c r="S245" i="32" s="1"/>
  <c r="S293" i="32" s="1"/>
  <c r="Q259" i="32"/>
  <c r="Q275" i="32" s="1"/>
  <c r="Q291" i="32"/>
  <c r="R241" i="32"/>
  <c r="T113" i="32"/>
  <c r="U113" i="3"/>
  <c r="R89" i="32"/>
  <c r="R121" i="32" s="1"/>
  <c r="S89" i="3"/>
  <c r="R287" i="32"/>
  <c r="R255" i="32"/>
  <c r="R271" i="32" s="1"/>
  <c r="R290" i="32"/>
  <c r="R258" i="32"/>
  <c r="R274" i="32" s="1"/>
  <c r="R258" i="3"/>
  <c r="R274" i="3" s="1"/>
  <c r="R290" i="3"/>
  <c r="Q33" i="2"/>
  <c r="Q36" i="2"/>
  <c r="Q35" i="2"/>
  <c r="T101" i="32"/>
  <c r="U101" i="3"/>
  <c r="U97" i="32"/>
  <c r="V97" i="3"/>
  <c r="Q260" i="3"/>
  <c r="Q276" i="3" s="1"/>
  <c r="Q292" i="3"/>
  <c r="R177" i="3"/>
  <c r="R241" i="3" s="1"/>
  <c r="S193" i="3"/>
  <c r="P34" i="33"/>
  <c r="P32" i="33" s="1"/>
  <c r="T88" i="32"/>
  <c r="U88" i="3"/>
  <c r="R35" i="2"/>
  <c r="R33" i="2"/>
  <c r="R36" i="2"/>
  <c r="R291" i="3"/>
  <c r="R259" i="3"/>
  <c r="R275" i="3" s="1"/>
  <c r="T178" i="3"/>
  <c r="U194" i="3"/>
  <c r="P214" i="2"/>
  <c r="P213" i="2" s="1"/>
  <c r="Q89" i="2"/>
  <c r="Q92" i="2"/>
  <c r="V200" i="3"/>
  <c r="U168" i="3"/>
  <c r="S111" i="32"/>
  <c r="T111" i="3"/>
  <c r="Q260" i="32"/>
  <c r="Q276" i="32" s="1"/>
  <c r="Q292" i="32"/>
  <c r="T102" i="32"/>
  <c r="U102" i="3"/>
  <c r="R92" i="2"/>
  <c r="R89" i="2"/>
  <c r="T195" i="3"/>
  <c r="S179" i="3"/>
  <c r="S243" i="3" s="1"/>
  <c r="Q257" i="3"/>
  <c r="Q273" i="3" s="1"/>
  <c r="Q289" i="3"/>
  <c r="S136" i="3"/>
  <c r="S232" i="3" s="1"/>
  <c r="O40" i="33"/>
  <c r="O41" i="33" s="1"/>
  <c r="O54" i="33" s="1"/>
  <c r="O91" i="33"/>
  <c r="O50" i="33"/>
  <c r="S127" i="3"/>
  <c r="S143" i="3" s="1"/>
  <c r="S239" i="3" s="1"/>
  <c r="S116" i="3"/>
  <c r="R116" i="32"/>
  <c r="R132" i="32" s="1"/>
  <c r="R148" i="32" s="1"/>
  <c r="R244" i="32" s="1"/>
  <c r="R132" i="3"/>
  <c r="R148" i="3" s="1"/>
  <c r="R244" i="3" s="1"/>
  <c r="S294" i="3"/>
  <c r="S262" i="3"/>
  <c r="S278" i="3" s="1"/>
  <c r="Q280" i="32"/>
  <c r="S13" i="33" s="1"/>
  <c r="S23" i="33" s="1"/>
  <c r="S21" i="33" s="1"/>
  <c r="Q248" i="32"/>
  <c r="X184" i="3"/>
  <c r="T95" i="32"/>
  <c r="U95" i="3"/>
  <c r="O52" i="2"/>
  <c r="O93" i="2"/>
  <c r="V90" i="3"/>
  <c r="U90" i="32"/>
  <c r="R136" i="3"/>
  <c r="R232" i="3" s="1"/>
  <c r="T9" i="2"/>
  <c r="U92" i="32"/>
  <c r="V92" i="3"/>
  <c r="Q92" i="33"/>
  <c r="Q28" i="33"/>
  <c r="Q89" i="33"/>
  <c r="U114" i="3"/>
  <c r="T114" i="32"/>
  <c r="Q280" i="3"/>
  <c r="S13" i="2" s="1"/>
  <c r="Q248" i="3"/>
  <c r="O52" i="33"/>
  <c r="O93" i="33"/>
  <c r="Q271" i="32"/>
  <c r="Q36" i="33"/>
  <c r="Q33" i="33"/>
  <c r="Q34" i="33" s="1"/>
  <c r="Q35" i="33"/>
  <c r="V94" i="32"/>
  <c r="W94" i="3"/>
  <c r="N41" i="33"/>
  <c r="N54" i="33" s="1"/>
  <c r="S104" i="32"/>
  <c r="S120" i="32" s="1"/>
  <c r="T104" i="3"/>
  <c r="P34" i="2"/>
  <c r="P32" i="2" s="1"/>
  <c r="P25" i="33"/>
  <c r="P27" i="33"/>
  <c r="R10" i="33"/>
  <c r="P264" i="32"/>
  <c r="R11" i="33" s="1"/>
  <c r="P94" i="33"/>
  <c r="P53" i="33"/>
  <c r="W208" i="3"/>
  <c r="S98" i="32"/>
  <c r="S130" i="32" s="1"/>
  <c r="S146" i="32" s="1"/>
  <c r="S242" i="32" s="1"/>
  <c r="S130" i="3"/>
  <c r="S146" i="3" s="1"/>
  <c r="S242" i="3" s="1"/>
  <c r="T98" i="3"/>
  <c r="P94" i="2"/>
  <c r="P53" i="2"/>
  <c r="R136" i="32"/>
  <c r="R232" i="32" s="1"/>
  <c r="T9" i="33"/>
  <c r="J636" i="33"/>
  <c r="K570" i="33"/>
  <c r="K638" i="33" s="1"/>
  <c r="J634" i="33"/>
  <c r="J633" i="33"/>
  <c r="J633" i="2"/>
  <c r="J636" i="2"/>
  <c r="K570" i="2"/>
  <c r="K634" i="2" s="1"/>
  <c r="J543" i="33"/>
  <c r="J540" i="33"/>
  <c r="K477" i="33"/>
  <c r="K545" i="33" s="1"/>
  <c r="I617" i="33"/>
  <c r="I635" i="33" s="1"/>
  <c r="J435" i="33"/>
  <c r="G418" i="33"/>
  <c r="G443" i="33" s="1"/>
  <c r="G444" i="33" s="1"/>
  <c r="G456" i="33" s="1"/>
  <c r="G419" i="33"/>
  <c r="G428" i="33" s="1"/>
  <c r="G446" i="33" s="1"/>
  <c r="V195" i="32"/>
  <c r="V197" i="32"/>
  <c r="V198" i="32"/>
  <c r="T178" i="32"/>
  <c r="U194" i="32"/>
  <c r="V184" i="32"/>
  <c r="U168" i="32"/>
  <c r="U185" i="32"/>
  <c r="T169" i="32"/>
  <c r="U193" i="32"/>
  <c r="V196" i="32"/>
  <c r="N248" i="33"/>
  <c r="J418" i="33"/>
  <c r="J443" i="33" s="1"/>
  <c r="J467" i="33"/>
  <c r="J451" i="2"/>
  <c r="K451" i="2"/>
  <c r="M372" i="2"/>
  <c r="L595" i="2"/>
  <c r="K594" i="2"/>
  <c r="J652" i="2"/>
  <c r="J646" i="2" s="1"/>
  <c r="J611" i="2"/>
  <c r="I620" i="2"/>
  <c r="I638" i="2" s="1"/>
  <c r="K460" i="33"/>
  <c r="P278" i="2"/>
  <c r="I467" i="2"/>
  <c r="K281" i="2"/>
  <c r="K233" i="2"/>
  <c r="K241" i="2" s="1"/>
  <c r="P276" i="2"/>
  <c r="I419" i="2"/>
  <c r="I427" i="2" s="1"/>
  <c r="L497" i="2"/>
  <c r="L517" i="2" s="1"/>
  <c r="U472" i="33"/>
  <c r="U565" i="33"/>
  <c r="K294" i="2"/>
  <c r="K326" i="2" s="1"/>
  <c r="K334" i="2" s="1"/>
  <c r="N279" i="2"/>
  <c r="N238" i="2"/>
  <c r="N247" i="2" s="1"/>
  <c r="N311" i="2"/>
  <c r="N372" i="2" s="1"/>
  <c r="I449" i="2"/>
  <c r="J431" i="2"/>
  <c r="I451" i="33"/>
  <c r="J433" i="33"/>
  <c r="M404" i="33"/>
  <c r="M424" i="33" s="1"/>
  <c r="K448" i="2"/>
  <c r="K447" i="2"/>
  <c r="K452" i="2"/>
  <c r="L384" i="2"/>
  <c r="K454" i="2"/>
  <c r="K450" i="2"/>
  <c r="K455" i="2"/>
  <c r="K384" i="33"/>
  <c r="K448" i="33" s="1"/>
  <c r="J455" i="33"/>
  <c r="J454" i="33"/>
  <c r="J450" i="33"/>
  <c r="J447" i="33"/>
  <c r="H449" i="33"/>
  <c r="I431" i="33"/>
  <c r="K434" i="33"/>
  <c r="J452" i="33"/>
  <c r="K610" i="33"/>
  <c r="K619" i="33" s="1"/>
  <c r="K651" i="33"/>
  <c r="K545" i="2"/>
  <c r="J544" i="33"/>
  <c r="J637" i="2"/>
  <c r="O186" i="33"/>
  <c r="O145" i="33"/>
  <c r="O312" i="2"/>
  <c r="O315" i="2"/>
  <c r="O314" i="2"/>
  <c r="O126" i="3"/>
  <c r="P110" i="3"/>
  <c r="O110" i="32"/>
  <c r="O126" i="32" s="1"/>
  <c r="K649" i="33"/>
  <c r="K608" i="33"/>
  <c r="L499" i="33"/>
  <c r="L497" i="33" s="1"/>
  <c r="M286" i="32"/>
  <c r="O571" i="33" s="1"/>
  <c r="O581" i="33" s="1"/>
  <c r="O579" i="33" s="1"/>
  <c r="O607" i="33" s="1"/>
  <c r="M254" i="32"/>
  <c r="N332" i="2"/>
  <c r="N373" i="2"/>
  <c r="L201" i="33"/>
  <c r="L424" i="33"/>
  <c r="L465" i="33"/>
  <c r="L367" i="33"/>
  <c r="O211" i="2"/>
  <c r="O213" i="2"/>
  <c r="N421" i="2"/>
  <c r="N430" i="2" s="1"/>
  <c r="J544" i="2"/>
  <c r="K526" i="2"/>
  <c r="Q249" i="32"/>
  <c r="Q281" i="32"/>
  <c r="S106" i="33" s="1"/>
  <c r="S116" i="33" s="1"/>
  <c r="S114" i="33" s="1"/>
  <c r="N284" i="3"/>
  <c r="N252" i="3"/>
  <c r="Q196" i="33"/>
  <c r="O266" i="32"/>
  <c r="Q197" i="33" s="1"/>
  <c r="R106" i="32"/>
  <c r="R122" i="32" s="1"/>
  <c r="S106" i="3"/>
  <c r="R122" i="3"/>
  <c r="O109" i="32"/>
  <c r="O125" i="32" s="1"/>
  <c r="P109" i="3"/>
  <c r="O125" i="3"/>
  <c r="P139" i="3"/>
  <c r="P235" i="3" s="1"/>
  <c r="R288" i="2"/>
  <c r="M650" i="33"/>
  <c r="M647" i="33"/>
  <c r="M586" i="33"/>
  <c r="M648" i="33"/>
  <c r="O368" i="2"/>
  <c r="O367" i="2" s="1"/>
  <c r="O307" i="2"/>
  <c r="O371" i="2"/>
  <c r="N142" i="3"/>
  <c r="N238" i="3" s="1"/>
  <c r="P567" i="2"/>
  <c r="O371" i="33"/>
  <c r="O307" i="33"/>
  <c r="O368" i="33"/>
  <c r="O367" i="33" s="1"/>
  <c r="O369" i="2"/>
  <c r="L559" i="33"/>
  <c r="L518" i="33"/>
  <c r="L527" i="33" s="1"/>
  <c r="M319" i="33"/>
  <c r="M370" i="33"/>
  <c r="M329" i="33"/>
  <c r="K558" i="33"/>
  <c r="K517" i="33"/>
  <c r="K526" i="33" s="1"/>
  <c r="L463" i="2"/>
  <c r="L422" i="2"/>
  <c r="L412" i="2"/>
  <c r="M466" i="2"/>
  <c r="M425" i="2"/>
  <c r="M434" i="2" s="1"/>
  <c r="N313" i="33"/>
  <c r="N311" i="33" s="1"/>
  <c r="K649" i="2"/>
  <c r="K608" i="2"/>
  <c r="L583" i="33"/>
  <c r="L585" i="33"/>
  <c r="N405" i="2"/>
  <c r="N408" i="2"/>
  <c r="N407" i="2"/>
  <c r="L583" i="2"/>
  <c r="L585" i="2"/>
  <c r="O145" i="2"/>
  <c r="O186" i="2"/>
  <c r="N134" i="2"/>
  <c r="N147" i="2" s="1"/>
  <c r="R107" i="3"/>
  <c r="Q107" i="32"/>
  <c r="Q123" i="32" s="1"/>
  <c r="Q123" i="3"/>
  <c r="P187" i="2"/>
  <c r="P146" i="2"/>
  <c r="O283" i="32"/>
  <c r="Q292" i="33" s="1"/>
  <c r="Q302" i="33" s="1"/>
  <c r="Q300" i="33" s="1"/>
  <c r="Q328" i="33" s="1"/>
  <c r="O251" i="32"/>
  <c r="K556" i="2"/>
  <c r="K515" i="2"/>
  <c r="R142" i="33"/>
  <c r="O314" i="33"/>
  <c r="O312" i="33"/>
  <c r="O315" i="33"/>
  <c r="L108" i="33"/>
  <c r="M108" i="2"/>
  <c r="M593" i="2"/>
  <c r="M591" i="2"/>
  <c r="M404" i="2"/>
  <c r="N332" i="33"/>
  <c r="N373" i="33"/>
  <c r="K413" i="2"/>
  <c r="K426" i="2" s="1"/>
  <c r="K435" i="2" s="1"/>
  <c r="M397" i="2"/>
  <c r="M399" i="2"/>
  <c r="P289" i="2"/>
  <c r="N267" i="3"/>
  <c r="P290" i="2" s="1"/>
  <c r="P369" i="2" s="1"/>
  <c r="Q129" i="2"/>
  <c r="Q128" i="2"/>
  <c r="Q126" i="2"/>
  <c r="Q127" i="2" s="1"/>
  <c r="N462" i="2"/>
  <c r="N400" i="2"/>
  <c r="N461" i="2"/>
  <c r="N464" i="2"/>
  <c r="N277" i="2"/>
  <c r="N236" i="2"/>
  <c r="N226" i="2"/>
  <c r="N227" i="2" s="1"/>
  <c r="N240" i="2" s="1"/>
  <c r="P118" i="2"/>
  <c r="P120" i="2"/>
  <c r="P282" i="3"/>
  <c r="R199" i="2" s="1"/>
  <c r="R209" i="2" s="1"/>
  <c r="R207" i="2" s="1"/>
  <c r="R235" i="2" s="1"/>
  <c r="P250" i="3"/>
  <c r="P139" i="32"/>
  <c r="P235" i="32" s="1"/>
  <c r="R288" i="33"/>
  <c r="O280" i="33"/>
  <c r="O239" i="33"/>
  <c r="M254" i="3"/>
  <c r="M286" i="3"/>
  <c r="O571" i="2" s="1"/>
  <c r="P265" i="32"/>
  <c r="R104" i="33" s="1"/>
  <c r="R183" i="33" s="1"/>
  <c r="R103" i="33"/>
  <c r="N143" i="33"/>
  <c r="N184" i="33"/>
  <c r="N181" i="33" s="1"/>
  <c r="N133" i="33"/>
  <c r="L270" i="32"/>
  <c r="N569" i="33" s="1"/>
  <c r="N568" i="33"/>
  <c r="M650" i="2"/>
  <c r="M647" i="2"/>
  <c r="M586" i="2"/>
  <c r="Q281" i="3"/>
  <c r="S106" i="2" s="1"/>
  <c r="S116" i="2" s="1"/>
  <c r="S114" i="2" s="1"/>
  <c r="Q249" i="3"/>
  <c r="L490" i="2"/>
  <c r="L492" i="2"/>
  <c r="M268" i="3"/>
  <c r="O383" i="2" s="1"/>
  <c r="O382" i="2"/>
  <c r="N304" i="33"/>
  <c r="N306" i="33"/>
  <c r="P328" i="2"/>
  <c r="Q185" i="2"/>
  <c r="Q121" i="2"/>
  <c r="Q182" i="2"/>
  <c r="Q181" i="2" s="1"/>
  <c r="L592" i="33"/>
  <c r="L590" i="33" s="1"/>
  <c r="Q196" i="2"/>
  <c r="O266" i="3"/>
  <c r="Q197" i="2" s="1"/>
  <c r="N421" i="33"/>
  <c r="N462" i="33"/>
  <c r="O218" i="33"/>
  <c r="N238" i="33"/>
  <c r="N279" i="33"/>
  <c r="K413" i="33"/>
  <c r="K426" i="33" s="1"/>
  <c r="K435" i="33" s="1"/>
  <c r="L270" i="3"/>
  <c r="N569" i="2" s="1"/>
  <c r="N568" i="2"/>
  <c r="M425" i="33"/>
  <c r="M466" i="33"/>
  <c r="M268" i="32"/>
  <c r="O383" i="33" s="1"/>
  <c r="O382" i="33"/>
  <c r="M370" i="2"/>
  <c r="M329" i="2"/>
  <c r="M319" i="2"/>
  <c r="L412" i="33"/>
  <c r="L463" i="33"/>
  <c r="L422" i="33"/>
  <c r="N284" i="32"/>
  <c r="N252" i="32"/>
  <c r="AA87" i="31"/>
  <c r="O385" i="2"/>
  <c r="O395" i="2" s="1"/>
  <c r="O393" i="2" s="1"/>
  <c r="L367" i="2"/>
  <c r="S105" i="32"/>
  <c r="S121" i="3"/>
  <c r="T105" i="3"/>
  <c r="N236" i="33"/>
  <c r="N277" i="33"/>
  <c r="N226" i="33"/>
  <c r="N227" i="33" s="1"/>
  <c r="N240" i="33" s="1"/>
  <c r="O218" i="2"/>
  <c r="L611" i="33"/>
  <c r="L620" i="33" s="1"/>
  <c r="L652" i="33"/>
  <c r="K294" i="33"/>
  <c r="L592" i="2"/>
  <c r="L590" i="2" s="1"/>
  <c r="K610" i="2"/>
  <c r="K619" i="2" s="1"/>
  <c r="K651" i="2"/>
  <c r="Q128" i="33"/>
  <c r="Q126" i="33"/>
  <c r="Q129" i="33"/>
  <c r="N461" i="33"/>
  <c r="N400" i="33"/>
  <c r="N464" i="33"/>
  <c r="L201" i="2"/>
  <c r="O283" i="3"/>
  <c r="Q292" i="2" s="1"/>
  <c r="Q302" i="2" s="1"/>
  <c r="Q300" i="2" s="1"/>
  <c r="O251" i="3"/>
  <c r="P265" i="3"/>
  <c r="R104" i="2" s="1"/>
  <c r="R183" i="2" s="1"/>
  <c r="R103" i="2"/>
  <c r="P125" i="33"/>
  <c r="O369" i="33"/>
  <c r="AA88" i="31"/>
  <c r="O385" i="33"/>
  <c r="O395" i="33" s="1"/>
  <c r="O393" i="33" s="1"/>
  <c r="M397" i="33"/>
  <c r="M399" i="33"/>
  <c r="K140" i="2"/>
  <c r="K148" i="2" s="1"/>
  <c r="K139" i="2"/>
  <c r="K164" i="2" s="1"/>
  <c r="K188" i="2"/>
  <c r="L320" i="2"/>
  <c r="L333" i="2" s="1"/>
  <c r="P328" i="33"/>
  <c r="R137" i="3"/>
  <c r="R233" i="3" s="1"/>
  <c r="T102" i="2"/>
  <c r="P108" i="32"/>
  <c r="P124" i="32" s="1"/>
  <c r="Q108" i="3"/>
  <c r="P124" i="3"/>
  <c r="O280" i="2"/>
  <c r="O239" i="2"/>
  <c r="J387" i="2"/>
  <c r="L269" i="32"/>
  <c r="N476" i="33" s="1"/>
  <c r="N475" i="33"/>
  <c r="M557" i="33"/>
  <c r="M554" i="33"/>
  <c r="M553" i="33" s="1"/>
  <c r="M554" i="2"/>
  <c r="M553" i="2" s="1"/>
  <c r="M557" i="2"/>
  <c r="M493" i="2"/>
  <c r="P276" i="33"/>
  <c r="P214" i="33"/>
  <c r="P275" i="33"/>
  <c r="P278" i="33"/>
  <c r="M108" i="33"/>
  <c r="Q182" i="33"/>
  <c r="Q181" i="33" s="1"/>
  <c r="Q185" i="33"/>
  <c r="Q121" i="33"/>
  <c r="J637" i="33"/>
  <c r="N408" i="33"/>
  <c r="N405" i="33"/>
  <c r="N406" i="33" s="1"/>
  <c r="N407" i="33"/>
  <c r="O211" i="33"/>
  <c r="O213" i="33"/>
  <c r="P120" i="33"/>
  <c r="P118" i="33"/>
  <c r="R142" i="2"/>
  <c r="N306" i="2"/>
  <c r="N304" i="2"/>
  <c r="P146" i="33"/>
  <c r="P187" i="33"/>
  <c r="L269" i="3"/>
  <c r="N476" i="2" s="1"/>
  <c r="N475" i="2"/>
  <c r="L320" i="33"/>
  <c r="L333" i="33" s="1"/>
  <c r="N267" i="32"/>
  <c r="P290" i="33" s="1"/>
  <c r="P369" i="33" s="1"/>
  <c r="P289" i="33"/>
  <c r="L559" i="2"/>
  <c r="L518" i="2"/>
  <c r="L527" i="2" s="1"/>
  <c r="O140" i="32"/>
  <c r="O236" i="32" s="1"/>
  <c r="Q381" i="33"/>
  <c r="Q138" i="32"/>
  <c r="Q234" i="32" s="1"/>
  <c r="S195" i="33"/>
  <c r="N141" i="3"/>
  <c r="N237" i="3" s="1"/>
  <c r="P474" i="2"/>
  <c r="M331" i="33"/>
  <c r="M372" i="33"/>
  <c r="M501" i="33"/>
  <c r="M498" i="33"/>
  <c r="M500" i="33"/>
  <c r="M498" i="2"/>
  <c r="M499" i="2" s="1"/>
  <c r="M500" i="2"/>
  <c r="M501" i="2"/>
  <c r="P221" i="33"/>
  <c r="P222" i="33"/>
  <c r="P219" i="33"/>
  <c r="P220" i="33" s="1"/>
  <c r="P221" i="2"/>
  <c r="P219" i="2"/>
  <c r="P220" i="2" s="1"/>
  <c r="P222" i="2"/>
  <c r="N142" i="32"/>
  <c r="N238" i="32" s="1"/>
  <c r="P567" i="33"/>
  <c r="O143" i="2"/>
  <c r="O184" i="2"/>
  <c r="O181" i="2" s="1"/>
  <c r="O133" i="2"/>
  <c r="O133" i="33"/>
  <c r="O143" i="33"/>
  <c r="O184" i="33"/>
  <c r="O181" i="33" s="1"/>
  <c r="O140" i="3"/>
  <c r="O236" i="3" s="1"/>
  <c r="Q381" i="2"/>
  <c r="P282" i="32"/>
  <c r="R199" i="33" s="1"/>
  <c r="R209" i="33" s="1"/>
  <c r="R207" i="33" s="1"/>
  <c r="R235" i="33" s="1"/>
  <c r="P250" i="32"/>
  <c r="Q138" i="3"/>
  <c r="Q234" i="3" s="1"/>
  <c r="S195" i="2"/>
  <c r="N141" i="32"/>
  <c r="N237" i="32" s="1"/>
  <c r="P474" i="33"/>
  <c r="L465" i="2"/>
  <c r="L424" i="2"/>
  <c r="L433" i="2" s="1"/>
  <c r="M253" i="32"/>
  <c r="M285" i="32"/>
  <c r="O478" i="33" s="1"/>
  <c r="P125" i="2"/>
  <c r="M591" i="33"/>
  <c r="M593" i="33"/>
  <c r="M594" i="33"/>
  <c r="M253" i="3"/>
  <c r="M285" i="3"/>
  <c r="O478" i="2" s="1"/>
  <c r="H604" i="33"/>
  <c r="H629" i="33" s="1"/>
  <c r="H630" i="33" s="1"/>
  <c r="H642" i="33" s="1"/>
  <c r="H605" i="33"/>
  <c r="H613" i="33" s="1"/>
  <c r="H653" i="33"/>
  <c r="J621" i="33"/>
  <c r="I639" i="33"/>
  <c r="G614" i="33"/>
  <c r="G613" i="33"/>
  <c r="I641" i="33"/>
  <c r="J627" i="33"/>
  <c r="H626" i="33"/>
  <c r="G640" i="33"/>
  <c r="N616" i="33"/>
  <c r="J573" i="33"/>
  <c r="K597" i="33"/>
  <c r="K598" i="33" s="1"/>
  <c r="K599" i="33" s="1"/>
  <c r="K612" i="33" s="1"/>
  <c r="Q580" i="33"/>
  <c r="I605" i="33"/>
  <c r="I613" i="33" s="1"/>
  <c r="I604" i="33"/>
  <c r="I629" i="33" s="1"/>
  <c r="I653" i="33"/>
  <c r="G598" i="2"/>
  <c r="G599" i="2" s="1"/>
  <c r="G612" i="2" s="1"/>
  <c r="G621" i="2" s="1"/>
  <c r="G363" i="33"/>
  <c r="H363" i="33"/>
  <c r="I351" i="33"/>
  <c r="I363" i="33" s="1"/>
  <c r="S158" i="32"/>
  <c r="S222" i="32" s="1"/>
  <c r="S174" i="32" s="1"/>
  <c r="T158" i="3"/>
  <c r="S222" i="3"/>
  <c r="S174" i="3" s="1"/>
  <c r="U540" i="2"/>
  <c r="H597" i="2"/>
  <c r="V472" i="2"/>
  <c r="V477" i="2" s="1"/>
  <c r="V543" i="2" s="1"/>
  <c r="V565" i="2"/>
  <c r="V570" i="2" s="1"/>
  <c r="U318" i="2"/>
  <c r="U636" i="2"/>
  <c r="U633" i="2"/>
  <c r="L616" i="2"/>
  <c r="I617" i="2"/>
  <c r="H635" i="2"/>
  <c r="F624" i="2"/>
  <c r="F627" i="2" s="1"/>
  <c r="G627" i="2" s="1"/>
  <c r="F601" i="2"/>
  <c r="AA578" i="2"/>
  <c r="S578" i="2"/>
  <c r="K578" i="2"/>
  <c r="Z578" i="2"/>
  <c r="R578" i="2"/>
  <c r="J578" i="2"/>
  <c r="Y578" i="2"/>
  <c r="Q578" i="2"/>
  <c r="I578" i="2"/>
  <c r="X578" i="2"/>
  <c r="P578" i="2"/>
  <c r="H578" i="2"/>
  <c r="W578" i="2"/>
  <c r="O578" i="2"/>
  <c r="G578" i="2"/>
  <c r="V578" i="2"/>
  <c r="N578" i="2"/>
  <c r="U578" i="2"/>
  <c r="M578" i="2"/>
  <c r="T578" i="2"/>
  <c r="L578" i="2"/>
  <c r="O580" i="2"/>
  <c r="N581" i="2"/>
  <c r="N579" i="2" s="1"/>
  <c r="A633" i="2"/>
  <c r="I597" i="2"/>
  <c r="M648" i="2"/>
  <c r="M607" i="2"/>
  <c r="G334" i="33"/>
  <c r="G353" i="33"/>
  <c r="U362" i="2"/>
  <c r="L291" i="33"/>
  <c r="K357" i="33"/>
  <c r="K361" i="33"/>
  <c r="K354" i="33"/>
  <c r="K362" i="33"/>
  <c r="J358" i="33"/>
  <c r="K340" i="33"/>
  <c r="J338" i="33"/>
  <c r="I356" i="33"/>
  <c r="L341" i="33"/>
  <c r="K359" i="33"/>
  <c r="G487" i="33"/>
  <c r="A489" i="33"/>
  <c r="M486" i="2"/>
  <c r="M555" i="2" s="1"/>
  <c r="I505" i="2"/>
  <c r="I506" i="2" s="1"/>
  <c r="I519" i="2" s="1"/>
  <c r="J505" i="2"/>
  <c r="J506" i="2" s="1"/>
  <c r="J519" i="2" s="1"/>
  <c r="H505" i="2"/>
  <c r="H506" i="2" s="1"/>
  <c r="H519" i="2" s="1"/>
  <c r="H528" i="2" s="1"/>
  <c r="G546" i="2"/>
  <c r="G480" i="2"/>
  <c r="K541" i="2"/>
  <c r="L523" i="2"/>
  <c r="I542" i="2"/>
  <c r="J524" i="2"/>
  <c r="G548" i="2"/>
  <c r="H534" i="2"/>
  <c r="F530" i="2"/>
  <c r="F511" i="2"/>
  <c r="F536" i="2" s="1"/>
  <c r="F537" i="2" s="1"/>
  <c r="O487" i="2"/>
  <c r="N488" i="2"/>
  <c r="N486" i="2" s="1"/>
  <c r="K504" i="2"/>
  <c r="K505" i="2" s="1"/>
  <c r="K506" i="2" s="1"/>
  <c r="K519" i="2" s="1"/>
  <c r="U455" i="2"/>
  <c r="U411" i="2"/>
  <c r="U1" i="3"/>
  <c r="W2" i="33"/>
  <c r="U1" i="32" s="1"/>
  <c r="X2" i="2"/>
  <c r="BA5" i="5"/>
  <c r="A21" i="2"/>
  <c r="S4" i="32"/>
  <c r="S25" i="41" s="1"/>
  <c r="U379" i="33"/>
  <c r="U411" i="33" s="1"/>
  <c r="U193" i="33"/>
  <c r="U225" i="33" s="1"/>
  <c r="U100" i="33"/>
  <c r="U132" i="33" s="1"/>
  <c r="U7" i="33"/>
  <c r="U39" i="33" s="1"/>
  <c r="U286" i="33"/>
  <c r="U318" i="33" s="1"/>
  <c r="T168" i="2"/>
  <c r="R70" i="41"/>
  <c r="R88" i="41" s="1"/>
  <c r="R106" i="41" s="1"/>
  <c r="R43" i="41"/>
  <c r="R61" i="41" s="1"/>
  <c r="U105" i="2"/>
  <c r="U171" i="2" s="1"/>
  <c r="U132" i="2"/>
  <c r="Q161" i="2"/>
  <c r="V1" i="33"/>
  <c r="T4" i="3"/>
  <c r="V286" i="2"/>
  <c r="V291" i="2" s="1"/>
  <c r="V379" i="2"/>
  <c r="V384" i="2" s="1"/>
  <c r="V100" i="2"/>
  <c r="V7" i="2"/>
  <c r="V193" i="2"/>
  <c r="V198" i="2" s="1"/>
  <c r="W1" i="2"/>
  <c r="T357" i="2"/>
  <c r="T362" i="2"/>
  <c r="U264" i="2"/>
  <c r="U261" i="2"/>
  <c r="T450" i="2"/>
  <c r="T455" i="2"/>
  <c r="U225" i="2"/>
  <c r="V225" i="2" s="1"/>
  <c r="H165" i="33"/>
  <c r="H177" i="33" s="1"/>
  <c r="U156" i="3"/>
  <c r="T156" i="32"/>
  <c r="T220" i="32" s="1"/>
  <c r="T172" i="32" s="1"/>
  <c r="T220" i="3"/>
  <c r="T172" i="3" s="1"/>
  <c r="M201" i="33"/>
  <c r="S157" i="32"/>
  <c r="S221" i="32" s="1"/>
  <c r="S173" i="32" s="1"/>
  <c r="T157" i="3"/>
  <c r="S221" i="3"/>
  <c r="S173" i="3" s="1"/>
  <c r="T155" i="32"/>
  <c r="T219" i="32" s="1"/>
  <c r="T171" i="32" s="1"/>
  <c r="U155" i="3"/>
  <c r="T219" i="3"/>
  <c r="T171" i="3" s="1"/>
  <c r="M201" i="2"/>
  <c r="S154" i="32"/>
  <c r="S218" i="32" s="1"/>
  <c r="S170" i="32" s="1"/>
  <c r="T154" i="3"/>
  <c r="S218" i="3"/>
  <c r="S170" i="3" s="1"/>
  <c r="T44" i="3"/>
  <c r="T44" i="32"/>
  <c r="R93" i="32"/>
  <c r="S93" i="3"/>
  <c r="G56" i="33"/>
  <c r="H56" i="33" s="1"/>
  <c r="M155" i="33"/>
  <c r="L173" i="33"/>
  <c r="J453" i="33"/>
  <c r="K59" i="33"/>
  <c r="J77" i="33"/>
  <c r="M61" i="2"/>
  <c r="L79" i="2"/>
  <c r="N62" i="2"/>
  <c r="M80" i="2"/>
  <c r="K337" i="33"/>
  <c r="J355" i="33"/>
  <c r="I174" i="33"/>
  <c r="J156" i="33"/>
  <c r="L430" i="33"/>
  <c r="J453" i="2"/>
  <c r="L152" i="33"/>
  <c r="K170" i="33"/>
  <c r="I165" i="2"/>
  <c r="H177" i="2"/>
  <c r="I72" i="33"/>
  <c r="H84" i="33"/>
  <c r="L175" i="33"/>
  <c r="L168" i="33"/>
  <c r="L171" i="33"/>
  <c r="M105" i="33"/>
  <c r="L176" i="33"/>
  <c r="L151" i="2"/>
  <c r="K169" i="2"/>
  <c r="L172" i="33"/>
  <c r="M154" i="33"/>
  <c r="K58" i="33"/>
  <c r="J76" i="33"/>
  <c r="I444" i="2"/>
  <c r="H456" i="2"/>
  <c r="L80" i="33"/>
  <c r="M62" i="33"/>
  <c r="H428" i="2"/>
  <c r="G446" i="2"/>
  <c r="G458" i="2" s="1"/>
  <c r="L83" i="33"/>
  <c r="L75" i="33"/>
  <c r="M12" i="33"/>
  <c r="L78" i="33"/>
  <c r="L82" i="33"/>
  <c r="M151" i="33"/>
  <c r="N151" i="33" s="1"/>
  <c r="L169" i="33"/>
  <c r="J63" i="33"/>
  <c r="I81" i="33"/>
  <c r="K79" i="33"/>
  <c r="L61" i="33"/>
  <c r="H149" i="2"/>
  <c r="G167" i="2"/>
  <c r="G179" i="2" s="1"/>
  <c r="L244" i="2"/>
  <c r="K262" i="2"/>
  <c r="K156" i="2"/>
  <c r="J174" i="2"/>
  <c r="G167" i="33"/>
  <c r="G179" i="33" s="1"/>
  <c r="H149" i="33"/>
  <c r="I258" i="2"/>
  <c r="H270" i="2"/>
  <c r="J267" i="2"/>
  <c r="K249" i="2"/>
  <c r="P244" i="33"/>
  <c r="N248" i="2"/>
  <c r="M266" i="2"/>
  <c r="L266" i="33"/>
  <c r="L261" i="33"/>
  <c r="M198" i="33"/>
  <c r="L268" i="33"/>
  <c r="L264" i="33"/>
  <c r="L269" i="33"/>
  <c r="L262" i="33"/>
  <c r="M265" i="2"/>
  <c r="M264" i="2"/>
  <c r="N198" i="2"/>
  <c r="M269" i="2"/>
  <c r="M268" i="2"/>
  <c r="M261" i="2"/>
  <c r="I242" i="2"/>
  <c r="H260" i="2"/>
  <c r="K245" i="33"/>
  <c r="J263" i="33"/>
  <c r="G241" i="33"/>
  <c r="G242" i="33"/>
  <c r="I267" i="33"/>
  <c r="J249" i="33"/>
  <c r="K263" i="2"/>
  <c r="L245" i="2"/>
  <c r="M247" i="33"/>
  <c r="L265" i="33"/>
  <c r="G270" i="33"/>
  <c r="H258" i="33"/>
  <c r="U429" i="33"/>
  <c r="V440" i="33"/>
  <c r="U347" i="2"/>
  <c r="T361" i="2"/>
  <c r="U336" i="2"/>
  <c r="T354" i="2"/>
  <c r="G363" i="2"/>
  <c r="H351" i="2"/>
  <c r="U254" i="33"/>
  <c r="N337" i="2"/>
  <c r="U243" i="33"/>
  <c r="U150" i="33"/>
  <c r="J360" i="33"/>
  <c r="K342" i="33"/>
  <c r="V429" i="2"/>
  <c r="U447" i="2"/>
  <c r="I360" i="2"/>
  <c r="J342" i="2"/>
  <c r="U440" i="2"/>
  <c r="T454" i="2"/>
  <c r="L359" i="2"/>
  <c r="M341" i="2"/>
  <c r="Y208" i="33"/>
  <c r="H353" i="33"/>
  <c r="I335" i="33"/>
  <c r="V336" i="33"/>
  <c r="M291" i="2"/>
  <c r="L357" i="2"/>
  <c r="L362" i="2"/>
  <c r="L354" i="2"/>
  <c r="L361" i="2"/>
  <c r="U161" i="33"/>
  <c r="V150" i="2"/>
  <c r="U162" i="2"/>
  <c r="T176" i="2"/>
  <c r="U57" i="33"/>
  <c r="J356" i="2"/>
  <c r="K338" i="2"/>
  <c r="K358" i="2"/>
  <c r="L340" i="2"/>
  <c r="G334" i="2"/>
  <c r="G335" i="2"/>
  <c r="U254" i="2"/>
  <c r="T268" i="2"/>
  <c r="L355" i="2"/>
  <c r="U255" i="33"/>
  <c r="O88" i="33" l="1"/>
  <c r="P78" i="2"/>
  <c r="P75" i="2"/>
  <c r="Q12" i="2"/>
  <c r="V346" i="33"/>
  <c r="V347" i="33"/>
  <c r="L173" i="2"/>
  <c r="M155" i="2"/>
  <c r="L171" i="2"/>
  <c r="L176" i="2"/>
  <c r="L168" i="2"/>
  <c r="M105" i="2"/>
  <c r="L175" i="2"/>
  <c r="K172" i="2"/>
  <c r="L154" i="2"/>
  <c r="J170" i="2"/>
  <c r="K152" i="2"/>
  <c r="K646" i="33"/>
  <c r="V269" i="2"/>
  <c r="V160" i="2"/>
  <c r="L451" i="2"/>
  <c r="V68" i="33"/>
  <c r="V348" i="33"/>
  <c r="V439" i="33"/>
  <c r="U68" i="41"/>
  <c r="BB7" i="5"/>
  <c r="V450" i="2"/>
  <c r="W606" i="2"/>
  <c r="W615" i="2" s="1"/>
  <c r="W624" i="2"/>
  <c r="W609" i="2"/>
  <c r="W618" i="2" s="1"/>
  <c r="W624" i="33"/>
  <c r="W609" i="33"/>
  <c r="W618" i="33" s="1"/>
  <c r="W513" i="33"/>
  <c r="W522" i="33" s="1"/>
  <c r="W623" i="2"/>
  <c r="W531" i="33"/>
  <c r="W516" i="33"/>
  <c r="W525" i="33" s="1"/>
  <c r="W606" i="33"/>
  <c r="W615" i="33" s="1"/>
  <c r="W513" i="2"/>
  <c r="W522" i="2" s="1"/>
  <c r="W531" i="2"/>
  <c r="W516" i="2"/>
  <c r="W525" i="2" s="1"/>
  <c r="W623" i="33"/>
  <c r="W530" i="33"/>
  <c r="W532" i="33" s="1"/>
  <c r="W530" i="2"/>
  <c r="W532" i="2" s="1"/>
  <c r="W48" i="33"/>
  <c r="W327" i="33"/>
  <c r="W336" i="33" s="1"/>
  <c r="W438" i="33"/>
  <c r="W158" i="33"/>
  <c r="W234" i="2"/>
  <c r="W243" i="2" s="1"/>
  <c r="W159" i="2"/>
  <c r="W423" i="33"/>
  <c r="W432" i="33" s="1"/>
  <c r="W437" i="33"/>
  <c r="W345" i="2"/>
  <c r="W348" i="2" s="1"/>
  <c r="W66" i="2"/>
  <c r="W252" i="33"/>
  <c r="W345" i="33"/>
  <c r="W65" i="33"/>
  <c r="W51" i="2"/>
  <c r="W60" i="2" s="1"/>
  <c r="W237" i="2"/>
  <c r="W246" i="2" s="1"/>
  <c r="W237" i="33"/>
  <c r="W246" i="33" s="1"/>
  <c r="W330" i="33"/>
  <c r="W339" i="33" s="1"/>
  <c r="W251" i="33"/>
  <c r="W253" i="33" s="1"/>
  <c r="W251" i="2"/>
  <c r="W330" i="2"/>
  <c r="W339" i="2" s="1"/>
  <c r="W141" i="33"/>
  <c r="W66" i="33"/>
  <c r="W438" i="2"/>
  <c r="W441" i="2" s="1"/>
  <c r="BB13" i="5"/>
  <c r="W159" i="33"/>
  <c r="W162" i="33" s="1"/>
  <c r="W344" i="33"/>
  <c r="W423" i="2"/>
  <c r="W432" i="2" s="1"/>
  <c r="W141" i="2"/>
  <c r="W327" i="2"/>
  <c r="W234" i="33"/>
  <c r="W420" i="2"/>
  <c r="W429" i="2" s="1"/>
  <c r="W48" i="2"/>
  <c r="W144" i="2"/>
  <c r="W153" i="2" s="1"/>
  <c r="W252" i="2"/>
  <c r="W255" i="2" s="1"/>
  <c r="W51" i="33"/>
  <c r="W60" i="33" s="1"/>
  <c r="W420" i="33"/>
  <c r="W144" i="33"/>
  <c r="W153" i="33" s="1"/>
  <c r="W437" i="2"/>
  <c r="W158" i="2"/>
  <c r="W65" i="2"/>
  <c r="W344" i="2"/>
  <c r="W346" i="2" s="1"/>
  <c r="V357" i="2"/>
  <c r="V532" i="2"/>
  <c r="H444" i="33"/>
  <c r="I444" i="33" s="1"/>
  <c r="I456" i="33" s="1"/>
  <c r="S291" i="32"/>
  <c r="S259" i="32"/>
  <c r="S275" i="32" s="1"/>
  <c r="R137" i="32"/>
  <c r="R233" i="32" s="1"/>
  <c r="T102" i="33"/>
  <c r="S288" i="32"/>
  <c r="S256" i="32"/>
  <c r="S272" i="32" s="1"/>
  <c r="U161" i="3"/>
  <c r="T161" i="32"/>
  <c r="T225" i="32" s="1"/>
  <c r="T177" i="32" s="1"/>
  <c r="T241" i="32" s="1"/>
  <c r="T289" i="32" s="1"/>
  <c r="T225" i="3"/>
  <c r="V5" i="3"/>
  <c r="U5" i="32"/>
  <c r="U6" i="32" s="1"/>
  <c r="U6" i="3"/>
  <c r="V100" i="3"/>
  <c r="U100" i="32"/>
  <c r="O15" i="33"/>
  <c r="O47" i="33" s="1"/>
  <c r="O55" i="33" s="1"/>
  <c r="R288" i="3"/>
  <c r="R256" i="3"/>
  <c r="R272" i="3" s="1"/>
  <c r="T159" i="32"/>
  <c r="T223" i="32" s="1"/>
  <c r="T175" i="32" s="1"/>
  <c r="U159" i="3"/>
  <c r="T223" i="3"/>
  <c r="T175" i="3" s="1"/>
  <c r="R262" i="3"/>
  <c r="R278" i="3" s="1"/>
  <c r="R294" i="3"/>
  <c r="T160" i="32"/>
  <c r="T224" i="32" s="1"/>
  <c r="T176" i="32" s="1"/>
  <c r="U160" i="3"/>
  <c r="T224" i="3"/>
  <c r="T176" i="3" s="1"/>
  <c r="U164" i="32"/>
  <c r="U228" i="32" s="1"/>
  <c r="U180" i="32" s="1"/>
  <c r="V164" i="3"/>
  <c r="U228" i="3"/>
  <c r="U180" i="3" s="1"/>
  <c r="S262" i="32"/>
  <c r="S278" i="32" s="1"/>
  <c r="S294" i="32"/>
  <c r="S89" i="32"/>
  <c r="S121" i="32" s="1"/>
  <c r="T89" i="3"/>
  <c r="V91" i="32"/>
  <c r="W91" i="3"/>
  <c r="U165" i="32"/>
  <c r="U229" i="32" s="1"/>
  <c r="U181" i="32" s="1"/>
  <c r="V165" i="3"/>
  <c r="U229" i="3"/>
  <c r="U181" i="3" s="1"/>
  <c r="U162" i="32"/>
  <c r="U226" i="32" s="1"/>
  <c r="V162" i="3"/>
  <c r="U226" i="3"/>
  <c r="V197" i="3"/>
  <c r="X153" i="3"/>
  <c r="W153" i="32"/>
  <c r="W217" i="32" s="1"/>
  <c r="W217" i="3"/>
  <c r="W169" i="3" s="1"/>
  <c r="S261" i="3"/>
  <c r="S277" i="3" s="1"/>
  <c r="T118" i="32"/>
  <c r="U118" i="3"/>
  <c r="W196" i="3"/>
  <c r="S261" i="32"/>
  <c r="S277" i="32" s="1"/>
  <c r="U113" i="32"/>
  <c r="V113" i="3"/>
  <c r="V163" i="3"/>
  <c r="U163" i="32"/>
  <c r="U227" i="32" s="1"/>
  <c r="U179" i="32" s="1"/>
  <c r="U227" i="3"/>
  <c r="S240" i="3"/>
  <c r="V115" i="3"/>
  <c r="U115" i="32"/>
  <c r="V117" i="3"/>
  <c r="U117" i="32"/>
  <c r="G427" i="33"/>
  <c r="T76" i="3"/>
  <c r="T75" i="3"/>
  <c r="T81" i="3"/>
  <c r="T129" i="3" s="1"/>
  <c r="T145" i="3" s="1"/>
  <c r="T85" i="3"/>
  <c r="T133" i="3" s="1"/>
  <c r="T149" i="3" s="1"/>
  <c r="T245" i="3" s="1"/>
  <c r="T74" i="3"/>
  <c r="T78" i="3"/>
  <c r="T73" i="3"/>
  <c r="T121" i="3" s="1"/>
  <c r="T82" i="3"/>
  <c r="T77" i="3"/>
  <c r="T86" i="3"/>
  <c r="T134" i="3" s="1"/>
  <c r="T150" i="3" s="1"/>
  <c r="T72" i="3"/>
  <c r="T79" i="3"/>
  <c r="T84" i="3"/>
  <c r="T80" i="3"/>
  <c r="T128" i="3" s="1"/>
  <c r="T144" i="3" s="1"/>
  <c r="T240" i="3" s="1"/>
  <c r="T83" i="3"/>
  <c r="T131" i="3" s="1"/>
  <c r="T147" i="3" s="1"/>
  <c r="V166" i="3"/>
  <c r="U166" i="32"/>
  <c r="U230" i="32" s="1"/>
  <c r="U182" i="32" s="1"/>
  <c r="U230" i="3"/>
  <c r="W152" i="32"/>
  <c r="W216" i="32" s="1"/>
  <c r="X152" i="3"/>
  <c r="W216" i="3"/>
  <c r="R287" i="3"/>
  <c r="R255" i="3"/>
  <c r="R271" i="3" s="1"/>
  <c r="U96" i="32"/>
  <c r="V96" i="3"/>
  <c r="T182" i="3"/>
  <c r="U198" i="3"/>
  <c r="P211" i="2"/>
  <c r="P236" i="2" s="1"/>
  <c r="N15" i="33"/>
  <c r="N46" i="33" s="1"/>
  <c r="N71" i="33" s="1"/>
  <c r="T133" i="32"/>
  <c r="T149" i="32" s="1"/>
  <c r="T245" i="32" s="1"/>
  <c r="R289" i="32"/>
  <c r="R257" i="32"/>
  <c r="R273" i="32" s="1"/>
  <c r="S241" i="32"/>
  <c r="T76" i="32"/>
  <c r="T82" i="32"/>
  <c r="T79" i="32"/>
  <c r="T80" i="32"/>
  <c r="T128" i="32" s="1"/>
  <c r="T144" i="32" s="1"/>
  <c r="T240" i="32" s="1"/>
  <c r="T74" i="32"/>
  <c r="T73" i="32"/>
  <c r="T86" i="32"/>
  <c r="T134" i="32" s="1"/>
  <c r="T150" i="32" s="1"/>
  <c r="T246" i="32" s="1"/>
  <c r="T72" i="32"/>
  <c r="T81" i="32"/>
  <c r="T129" i="32" s="1"/>
  <c r="T145" i="32" s="1"/>
  <c r="T83" i="32"/>
  <c r="T78" i="32"/>
  <c r="T75" i="32"/>
  <c r="T84" i="32"/>
  <c r="T77" i="32"/>
  <c r="T85" i="32"/>
  <c r="T99" i="32"/>
  <c r="T131" i="32" s="1"/>
  <c r="T147" i="32" s="1"/>
  <c r="T243" i="32" s="1"/>
  <c r="U99" i="3"/>
  <c r="M367" i="2"/>
  <c r="S258" i="32"/>
  <c r="S274" i="32" s="1"/>
  <c r="S290" i="32"/>
  <c r="P93" i="2"/>
  <c r="P52" i="2"/>
  <c r="R280" i="3"/>
  <c r="T13" i="2" s="1"/>
  <c r="R248" i="3"/>
  <c r="S259" i="3"/>
  <c r="S275" i="3" s="1"/>
  <c r="S291" i="3"/>
  <c r="R53" i="2"/>
  <c r="R94" i="2"/>
  <c r="P93" i="33"/>
  <c r="P52" i="33"/>
  <c r="X208" i="3"/>
  <c r="Q53" i="33"/>
  <c r="Q94" i="33"/>
  <c r="U195" i="3"/>
  <c r="T179" i="3"/>
  <c r="R34" i="2"/>
  <c r="R32" i="2" s="1"/>
  <c r="T293" i="3"/>
  <c r="T261" i="3"/>
  <c r="T277" i="3" s="1"/>
  <c r="U102" i="32"/>
  <c r="V102" i="3"/>
  <c r="S136" i="32"/>
  <c r="S232" i="32" s="1"/>
  <c r="U9" i="33"/>
  <c r="Q264" i="3"/>
  <c r="S11" i="2" s="1"/>
  <c r="S10" i="2"/>
  <c r="H428" i="33"/>
  <c r="I428" i="33" s="1"/>
  <c r="T98" i="32"/>
  <c r="T130" i="32" s="1"/>
  <c r="T146" i="32" s="1"/>
  <c r="T242" i="32" s="1"/>
  <c r="U98" i="3"/>
  <c r="T130" i="3"/>
  <c r="T146" i="3" s="1"/>
  <c r="T242" i="3" s="1"/>
  <c r="W90" i="3"/>
  <c r="V90" i="32"/>
  <c r="T193" i="3"/>
  <c r="S177" i="3"/>
  <c r="S241" i="3" s="1"/>
  <c r="U101" i="32"/>
  <c r="V101" i="3"/>
  <c r="Q32" i="33"/>
  <c r="S290" i="3"/>
  <c r="S258" i="3"/>
  <c r="S274" i="3" s="1"/>
  <c r="V114" i="3"/>
  <c r="U114" i="32"/>
  <c r="U111" i="3"/>
  <c r="T111" i="32"/>
  <c r="T127" i="32" s="1"/>
  <c r="T143" i="32" s="1"/>
  <c r="T239" i="32" s="1"/>
  <c r="R257" i="3"/>
  <c r="R273" i="3" s="1"/>
  <c r="R289" i="3"/>
  <c r="T104" i="32"/>
  <c r="T120" i="32" s="1"/>
  <c r="U104" i="3"/>
  <c r="S287" i="3"/>
  <c r="S255" i="3"/>
  <c r="S271" i="3" s="1"/>
  <c r="R92" i="33"/>
  <c r="R89" i="33"/>
  <c r="R28" i="33"/>
  <c r="S287" i="32"/>
  <c r="S255" i="32"/>
  <c r="R90" i="33"/>
  <c r="R292" i="3"/>
  <c r="R260" i="3"/>
  <c r="R276" i="3" s="1"/>
  <c r="S248" i="3"/>
  <c r="S280" i="3"/>
  <c r="U13" i="2" s="1"/>
  <c r="V194" i="3"/>
  <c r="U178" i="3"/>
  <c r="P50" i="33"/>
  <c r="P91" i="33"/>
  <c r="P88" i="33" s="1"/>
  <c r="P40" i="33"/>
  <c r="R35" i="33"/>
  <c r="R36" i="33"/>
  <c r="R33" i="33"/>
  <c r="R34" i="33" s="1"/>
  <c r="W94" i="32"/>
  <c r="X94" i="3"/>
  <c r="X94" i="32" s="1"/>
  <c r="T127" i="3"/>
  <c r="T143" i="3" s="1"/>
  <c r="T239" i="3" s="1"/>
  <c r="S10" i="33"/>
  <c r="Q264" i="32"/>
  <c r="S11" i="33" s="1"/>
  <c r="R260" i="32"/>
  <c r="R276" i="32" s="1"/>
  <c r="R292" i="32"/>
  <c r="T120" i="3"/>
  <c r="Q94" i="2"/>
  <c r="Q53" i="2"/>
  <c r="R280" i="32"/>
  <c r="T13" i="33" s="1"/>
  <c r="T23" i="33" s="1"/>
  <c r="T21" i="33" s="1"/>
  <c r="R248" i="32"/>
  <c r="V92" i="32"/>
  <c r="W92" i="3"/>
  <c r="Q25" i="33"/>
  <c r="Q27" i="33"/>
  <c r="U95" i="32"/>
  <c r="V95" i="3"/>
  <c r="S49" i="33"/>
  <c r="T116" i="3"/>
  <c r="S116" i="32"/>
  <c r="S132" i="32" s="1"/>
  <c r="S148" i="32" s="1"/>
  <c r="S244" i="32" s="1"/>
  <c r="S132" i="3"/>
  <c r="S148" i="3" s="1"/>
  <c r="S244" i="3" s="1"/>
  <c r="W200" i="3"/>
  <c r="V168" i="3"/>
  <c r="U88" i="32"/>
  <c r="V88" i="3"/>
  <c r="V97" i="32"/>
  <c r="W97" i="3"/>
  <c r="Q34" i="2"/>
  <c r="Q32" i="2" s="1"/>
  <c r="K540" i="33"/>
  <c r="K543" i="33"/>
  <c r="L477" i="33"/>
  <c r="L545" i="33" s="1"/>
  <c r="K634" i="33"/>
  <c r="K636" i="33"/>
  <c r="K633" i="33"/>
  <c r="L570" i="33"/>
  <c r="L638" i="33" s="1"/>
  <c r="K636" i="2"/>
  <c r="K633" i="2"/>
  <c r="L570" i="2"/>
  <c r="L634" i="2" s="1"/>
  <c r="J617" i="33"/>
  <c r="J635" i="33" s="1"/>
  <c r="G458" i="33"/>
  <c r="W196" i="32"/>
  <c r="W198" i="32"/>
  <c r="W195" i="32"/>
  <c r="N201" i="33"/>
  <c r="N233" i="33" s="1"/>
  <c r="N241" i="33" s="1"/>
  <c r="O248" i="33"/>
  <c r="V194" i="32"/>
  <c r="U178" i="32"/>
  <c r="V193" i="32"/>
  <c r="W197" i="32"/>
  <c r="U169" i="32"/>
  <c r="V185" i="32"/>
  <c r="V168" i="32"/>
  <c r="W184" i="32"/>
  <c r="M465" i="33"/>
  <c r="L460" i="33"/>
  <c r="K374" i="2"/>
  <c r="N274" i="2"/>
  <c r="L558" i="2"/>
  <c r="N201" i="2"/>
  <c r="K325" i="2"/>
  <c r="K350" i="2" s="1"/>
  <c r="N331" i="2"/>
  <c r="Q125" i="2"/>
  <c r="Q186" i="2" s="1"/>
  <c r="J620" i="2"/>
  <c r="J638" i="2" s="1"/>
  <c r="K652" i="2"/>
  <c r="K646" i="2" s="1"/>
  <c r="K611" i="2"/>
  <c r="M595" i="2"/>
  <c r="L594" i="2"/>
  <c r="N274" i="33"/>
  <c r="N404" i="33"/>
  <c r="N465" i="33" s="1"/>
  <c r="M497" i="2"/>
  <c r="M517" i="2" s="1"/>
  <c r="P218" i="2"/>
  <c r="N108" i="2"/>
  <c r="N139" i="2" s="1"/>
  <c r="N164" i="2" s="1"/>
  <c r="V472" i="33"/>
  <c r="V565" i="33"/>
  <c r="K387" i="33"/>
  <c r="K418" i="33" s="1"/>
  <c r="K443" i="33" s="1"/>
  <c r="K387" i="2"/>
  <c r="K467" i="2" s="1"/>
  <c r="L434" i="33"/>
  <c r="K452" i="33"/>
  <c r="J451" i="33"/>
  <c r="K433" i="33"/>
  <c r="J431" i="33"/>
  <c r="I449" i="33"/>
  <c r="J449" i="2"/>
  <c r="K431" i="2"/>
  <c r="L294" i="2"/>
  <c r="L374" i="2" s="1"/>
  <c r="L454" i="2"/>
  <c r="L455" i="2"/>
  <c r="M384" i="2"/>
  <c r="L452" i="2"/>
  <c r="L450" i="2"/>
  <c r="L447" i="2"/>
  <c r="L448" i="2"/>
  <c r="G573" i="2"/>
  <c r="G365" i="33"/>
  <c r="L294" i="33"/>
  <c r="L374" i="33" s="1"/>
  <c r="K455" i="33"/>
  <c r="K447" i="33"/>
  <c r="K450" i="33"/>
  <c r="L384" i="33"/>
  <c r="L448" i="33" s="1"/>
  <c r="K454" i="33"/>
  <c r="L651" i="33"/>
  <c r="L610" i="33"/>
  <c r="L619" i="33" s="1"/>
  <c r="L545" i="2"/>
  <c r="K637" i="2"/>
  <c r="K544" i="33"/>
  <c r="M611" i="33"/>
  <c r="M620" i="33" s="1"/>
  <c r="M652" i="33"/>
  <c r="P239" i="33"/>
  <c r="P280" i="33"/>
  <c r="N501" i="2"/>
  <c r="N500" i="2"/>
  <c r="N498" i="2"/>
  <c r="N499" i="2" s="1"/>
  <c r="Q108" i="32"/>
  <c r="Q124" i="32" s="1"/>
  <c r="Q124" i="3"/>
  <c r="R108" i="3"/>
  <c r="P186" i="33"/>
  <c r="P145" i="33"/>
  <c r="N399" i="33"/>
  <c r="N397" i="33"/>
  <c r="P382" i="33"/>
  <c r="N268" i="32"/>
  <c r="P383" i="33" s="1"/>
  <c r="O408" i="33"/>
  <c r="O407" i="33"/>
  <c r="O405" i="33"/>
  <c r="O406" i="33" s="1"/>
  <c r="Q221" i="2"/>
  <c r="Q222" i="2"/>
  <c r="Q219" i="2"/>
  <c r="Q220" i="2" s="1"/>
  <c r="Q265" i="3"/>
  <c r="S104" i="2" s="1"/>
  <c r="S183" i="2" s="1"/>
  <c r="S103" i="2"/>
  <c r="N372" i="33"/>
  <c r="N331" i="33"/>
  <c r="O304" i="33"/>
  <c r="O306" i="33"/>
  <c r="Q109" i="3"/>
  <c r="P109" i="32"/>
  <c r="P125" i="32" s="1"/>
  <c r="P125" i="3"/>
  <c r="P385" i="2"/>
  <c r="P395" i="2" s="1"/>
  <c r="P393" i="2" s="1"/>
  <c r="AB87" i="31"/>
  <c r="O236" i="2"/>
  <c r="O277" i="2"/>
  <c r="O226" i="2"/>
  <c r="O227" i="2" s="1"/>
  <c r="O240" i="2" s="1"/>
  <c r="N253" i="32"/>
  <c r="N285" i="32"/>
  <c r="P478" i="33" s="1"/>
  <c r="N254" i="32"/>
  <c r="N286" i="32"/>
  <c r="P571" i="33" s="1"/>
  <c r="P581" i="33" s="1"/>
  <c r="P579" i="33" s="1"/>
  <c r="P607" i="33" s="1"/>
  <c r="O284" i="32"/>
  <c r="Q385" i="33" s="1"/>
  <c r="Q395" i="33" s="1"/>
  <c r="Q393" i="33" s="1"/>
  <c r="O252" i="32"/>
  <c r="N554" i="2"/>
  <c r="N553" i="2" s="1"/>
  <c r="N557" i="2"/>
  <c r="N493" i="2"/>
  <c r="N466" i="33"/>
  <c r="N425" i="33"/>
  <c r="P140" i="32"/>
  <c r="P236" i="32" s="1"/>
  <c r="R381" i="33"/>
  <c r="L651" i="2"/>
  <c r="L610" i="2"/>
  <c r="L619" i="2" s="1"/>
  <c r="AB88" i="31"/>
  <c r="P385" i="33"/>
  <c r="P395" i="33" s="1"/>
  <c r="P393" i="33" s="1"/>
  <c r="O462" i="33"/>
  <c r="O464" i="33"/>
  <c r="O461" i="33"/>
  <c r="O400" i="33"/>
  <c r="N370" i="33"/>
  <c r="N329" i="33"/>
  <c r="N319" i="33"/>
  <c r="S142" i="2"/>
  <c r="N134" i="33"/>
  <c r="N147" i="33" s="1"/>
  <c r="M270" i="3"/>
  <c r="O569" i="2" s="1"/>
  <c r="O568" i="2"/>
  <c r="N399" i="2"/>
  <c r="N397" i="2"/>
  <c r="M463" i="2"/>
  <c r="M422" i="2"/>
  <c r="M412" i="2"/>
  <c r="O141" i="32"/>
  <c r="O237" i="32" s="1"/>
  <c r="Q474" i="33"/>
  <c r="S142" i="33"/>
  <c r="L558" i="33"/>
  <c r="L517" i="33"/>
  <c r="L526" i="33" s="1"/>
  <c r="O373" i="2"/>
  <c r="O332" i="2"/>
  <c r="M592" i="33"/>
  <c r="M590" i="33" s="1"/>
  <c r="M559" i="2"/>
  <c r="M518" i="2"/>
  <c r="M527" i="2" s="1"/>
  <c r="K637" i="33"/>
  <c r="P213" i="33"/>
  <c r="P211" i="33"/>
  <c r="N501" i="33"/>
  <c r="N498" i="33"/>
  <c r="N500" i="33"/>
  <c r="R126" i="2"/>
  <c r="R128" i="2"/>
  <c r="R129" i="2"/>
  <c r="T105" i="32"/>
  <c r="U105" i="3"/>
  <c r="M583" i="2"/>
  <c r="M585" i="2"/>
  <c r="M140" i="2"/>
  <c r="M148" i="2" s="1"/>
  <c r="M139" i="2"/>
  <c r="M164" i="2" s="1"/>
  <c r="M188" i="2"/>
  <c r="M367" i="33"/>
  <c r="M585" i="33"/>
  <c r="M583" i="33"/>
  <c r="R138" i="3"/>
  <c r="R234" i="3" s="1"/>
  <c r="T195" i="2"/>
  <c r="Q265" i="32"/>
  <c r="S104" i="33" s="1"/>
  <c r="S183" i="33" s="1"/>
  <c r="S103" i="33"/>
  <c r="O313" i="2"/>
  <c r="O311" i="2" s="1"/>
  <c r="P186" i="2"/>
  <c r="P145" i="2"/>
  <c r="Q282" i="3"/>
  <c r="S199" i="2" s="1"/>
  <c r="S209" i="2" s="1"/>
  <c r="S207" i="2" s="1"/>
  <c r="S235" i="2" s="1"/>
  <c r="Q250" i="3"/>
  <c r="N253" i="3"/>
  <c r="N285" i="3"/>
  <c r="P478" i="2" s="1"/>
  <c r="P143" i="33"/>
  <c r="P184" i="33"/>
  <c r="P181" i="33" s="1"/>
  <c r="P133" i="33"/>
  <c r="N557" i="33"/>
  <c r="N554" i="33"/>
  <c r="N553" i="33" s="1"/>
  <c r="R249" i="3"/>
  <c r="R281" i="3"/>
  <c r="T106" i="2" s="1"/>
  <c r="R121" i="2"/>
  <c r="R182" i="2"/>
  <c r="R181" i="2" s="1"/>
  <c r="R185" i="2"/>
  <c r="K325" i="33"/>
  <c r="K350" i="33" s="1"/>
  <c r="K374" i="33"/>
  <c r="K326" i="33"/>
  <c r="K334" i="33" s="1"/>
  <c r="S137" i="3"/>
  <c r="S233" i="3" s="1"/>
  <c r="U102" i="2"/>
  <c r="R281" i="32"/>
  <c r="T106" i="33" s="1"/>
  <c r="R249" i="32"/>
  <c r="P184" i="2"/>
  <c r="P143" i="2"/>
  <c r="P133" i="2"/>
  <c r="L188" i="33"/>
  <c r="L140" i="33"/>
  <c r="L148" i="33" s="1"/>
  <c r="L139" i="33"/>
  <c r="L164" i="33" s="1"/>
  <c r="Q139" i="3"/>
  <c r="Q235" i="3" s="1"/>
  <c r="S288" i="2"/>
  <c r="M320" i="33"/>
  <c r="M333" i="33" s="1"/>
  <c r="N254" i="3"/>
  <c r="N286" i="3"/>
  <c r="P571" i="2" s="1"/>
  <c r="S106" i="32"/>
  <c r="S122" i="32" s="1"/>
  <c r="S122" i="3"/>
  <c r="T106" i="3"/>
  <c r="K544" i="2"/>
  <c r="L526" i="2"/>
  <c r="P266" i="32"/>
  <c r="R197" i="33" s="1"/>
  <c r="R275" i="33" s="1"/>
  <c r="R196" i="33"/>
  <c r="O134" i="33"/>
  <c r="O147" i="33" s="1"/>
  <c r="P280" i="2"/>
  <c r="P239" i="2"/>
  <c r="P314" i="33"/>
  <c r="P312" i="33"/>
  <c r="P315" i="33"/>
  <c r="Q120" i="33"/>
  <c r="Q118" i="33"/>
  <c r="J467" i="2"/>
  <c r="J419" i="2"/>
  <c r="J427" i="2" s="1"/>
  <c r="J418" i="2"/>
  <c r="J443" i="2" s="1"/>
  <c r="J444" i="2" s="1"/>
  <c r="M412" i="33"/>
  <c r="M463" i="33"/>
  <c r="M422" i="33"/>
  <c r="O267" i="3"/>
  <c r="Q290" i="2" s="1"/>
  <c r="Q369" i="2" s="1"/>
  <c r="Q289" i="2"/>
  <c r="Q187" i="33"/>
  <c r="Q146" i="33"/>
  <c r="L413" i="33"/>
  <c r="L426" i="33" s="1"/>
  <c r="L435" i="33" s="1"/>
  <c r="N591" i="2"/>
  <c r="N593" i="2"/>
  <c r="O279" i="33"/>
  <c r="O238" i="33"/>
  <c r="Q118" i="2"/>
  <c r="Q120" i="2"/>
  <c r="O408" i="2"/>
  <c r="O407" i="2"/>
  <c r="O405" i="2"/>
  <c r="O406" i="2" s="1"/>
  <c r="R126" i="33"/>
  <c r="R129" i="33"/>
  <c r="R128" i="33"/>
  <c r="O332" i="33"/>
  <c r="O373" i="33"/>
  <c r="Q139" i="32"/>
  <c r="Q235" i="32" s="1"/>
  <c r="S288" i="33"/>
  <c r="L608" i="2"/>
  <c r="L649" i="2"/>
  <c r="L649" i="33"/>
  <c r="L608" i="33"/>
  <c r="L413" i="2"/>
  <c r="L426" i="2" s="1"/>
  <c r="L435" i="2" s="1"/>
  <c r="R138" i="32"/>
  <c r="R234" i="32" s="1"/>
  <c r="T195" i="33"/>
  <c r="L281" i="33"/>
  <c r="L233" i="33"/>
  <c r="L241" i="33" s="1"/>
  <c r="L232" i="33"/>
  <c r="L257" i="33" s="1"/>
  <c r="M269" i="32"/>
  <c r="O476" i="33" s="1"/>
  <c r="O475" i="33"/>
  <c r="O134" i="2"/>
  <c r="O147" i="2" s="1"/>
  <c r="Q282" i="32"/>
  <c r="S199" i="33" s="1"/>
  <c r="S209" i="33" s="1"/>
  <c r="S207" i="33" s="1"/>
  <c r="S235" i="33" s="1"/>
  <c r="Q250" i="32"/>
  <c r="P371" i="33"/>
  <c r="P368" i="33"/>
  <c r="P367" i="33" s="1"/>
  <c r="P307" i="33"/>
  <c r="M490" i="2"/>
  <c r="M492" i="2"/>
  <c r="O421" i="33"/>
  <c r="Q328" i="2"/>
  <c r="Q127" i="33"/>
  <c r="Q125" i="33" s="1"/>
  <c r="M320" i="2"/>
  <c r="M333" i="2" s="1"/>
  <c r="N586" i="2"/>
  <c r="N647" i="2"/>
  <c r="N650" i="2"/>
  <c r="O461" i="2"/>
  <c r="O464" i="2"/>
  <c r="O400" i="2"/>
  <c r="N591" i="33"/>
  <c r="N592" i="33" s="1"/>
  <c r="N593" i="33"/>
  <c r="N594" i="33"/>
  <c r="R182" i="33"/>
  <c r="R181" i="33" s="1"/>
  <c r="R121" i="33"/>
  <c r="R185" i="33"/>
  <c r="P283" i="32"/>
  <c r="R292" i="33" s="1"/>
  <c r="R302" i="33" s="1"/>
  <c r="R300" i="33" s="1"/>
  <c r="P251" i="32"/>
  <c r="Q146" i="2"/>
  <c r="Q187" i="2"/>
  <c r="O313" i="33"/>
  <c r="O311" i="33" s="1"/>
  <c r="R107" i="32"/>
  <c r="R123" i="32" s="1"/>
  <c r="S107" i="3"/>
  <c r="R123" i="3"/>
  <c r="O306" i="2"/>
  <c r="O304" i="2"/>
  <c r="Q276" i="33"/>
  <c r="Q278" i="33"/>
  <c r="Q214" i="33"/>
  <c r="Q275" i="33"/>
  <c r="Q567" i="33"/>
  <c r="O142" i="32"/>
  <c r="O238" i="32" s="1"/>
  <c r="M499" i="33"/>
  <c r="M497" i="33" s="1"/>
  <c r="N370" i="2"/>
  <c r="N367" i="2" s="1"/>
  <c r="N329" i="2"/>
  <c r="N319" i="2"/>
  <c r="O277" i="33"/>
  <c r="O236" i="33"/>
  <c r="O226" i="33"/>
  <c r="O227" i="33" s="1"/>
  <c r="O240" i="33" s="1"/>
  <c r="L232" i="2"/>
  <c r="L257" i="2" s="1"/>
  <c r="L233" i="2"/>
  <c r="L241" i="2" s="1"/>
  <c r="L281" i="2"/>
  <c r="O238" i="2"/>
  <c r="O279" i="2"/>
  <c r="O421" i="2"/>
  <c r="O430" i="2" s="1"/>
  <c r="O462" i="2"/>
  <c r="N647" i="33"/>
  <c r="N586" i="33"/>
  <c r="N650" i="33"/>
  <c r="N648" i="33"/>
  <c r="R196" i="2"/>
  <c r="P266" i="3"/>
  <c r="R197" i="2" s="1"/>
  <c r="P368" i="2"/>
  <c r="P367" i="2" s="1"/>
  <c r="P307" i="2"/>
  <c r="P371" i="2"/>
  <c r="M465" i="2"/>
  <c r="M460" i="2" s="1"/>
  <c r="M424" i="2"/>
  <c r="M433" i="2" s="1"/>
  <c r="N425" i="2"/>
  <c r="N434" i="2" s="1"/>
  <c r="N466" i="2"/>
  <c r="L460" i="2"/>
  <c r="P283" i="3"/>
  <c r="R292" i="2" s="1"/>
  <c r="R302" i="2" s="1"/>
  <c r="R300" i="2" s="1"/>
  <c r="R328" i="2" s="1"/>
  <c r="P251" i="3"/>
  <c r="Q219" i="33"/>
  <c r="Q220" i="33" s="1"/>
  <c r="Q222" i="33"/>
  <c r="Q221" i="33"/>
  <c r="P110" i="32"/>
  <c r="P126" i="32" s="1"/>
  <c r="P126" i="3"/>
  <c r="Q110" i="3"/>
  <c r="M269" i="3"/>
  <c r="O476" i="2" s="1"/>
  <c r="O475" i="2"/>
  <c r="O284" i="3"/>
  <c r="Q385" i="2" s="1"/>
  <c r="Q395" i="2" s="1"/>
  <c r="Q393" i="2" s="1"/>
  <c r="O252" i="3"/>
  <c r="P218" i="33"/>
  <c r="M559" i="33"/>
  <c r="M518" i="33"/>
  <c r="M527" i="33" s="1"/>
  <c r="M139" i="33"/>
  <c r="M164" i="33" s="1"/>
  <c r="M188" i="33"/>
  <c r="M140" i="33"/>
  <c r="M148" i="33" s="1"/>
  <c r="P140" i="3"/>
  <c r="P236" i="3" s="1"/>
  <c r="R381" i="2"/>
  <c r="Q276" i="2"/>
  <c r="Q275" i="2"/>
  <c r="Q278" i="2"/>
  <c r="Q214" i="2"/>
  <c r="L556" i="2"/>
  <c r="L515" i="2"/>
  <c r="P314" i="2"/>
  <c r="P312" i="2"/>
  <c r="P315" i="2"/>
  <c r="M592" i="2"/>
  <c r="M590" i="2" s="1"/>
  <c r="Q289" i="33"/>
  <c r="O267" i="32"/>
  <c r="Q290" i="33" s="1"/>
  <c r="N406" i="2"/>
  <c r="N404" i="2" s="1"/>
  <c r="O141" i="3"/>
  <c r="O237" i="3" s="1"/>
  <c r="Q474" i="2"/>
  <c r="P382" i="2"/>
  <c r="N268" i="3"/>
  <c r="P383" i="2" s="1"/>
  <c r="O568" i="33"/>
  <c r="M270" i="32"/>
  <c r="O569" i="33" s="1"/>
  <c r="Q567" i="2"/>
  <c r="O142" i="3"/>
  <c r="O238" i="3" s="1"/>
  <c r="G632" i="33"/>
  <c r="G644" i="33" s="1"/>
  <c r="H614" i="33"/>
  <c r="I630" i="33"/>
  <c r="I642" i="33" s="1"/>
  <c r="J639" i="33"/>
  <c r="K621" i="33"/>
  <c r="J604" i="33"/>
  <c r="J629" i="33" s="1"/>
  <c r="J605" i="33"/>
  <c r="J613" i="33" s="1"/>
  <c r="J653" i="33"/>
  <c r="R580" i="33"/>
  <c r="I626" i="33"/>
  <c r="H640" i="33"/>
  <c r="O616" i="33"/>
  <c r="K627" i="33"/>
  <c r="J641" i="33"/>
  <c r="K573" i="33"/>
  <c r="L597" i="33"/>
  <c r="L598" i="33" s="1"/>
  <c r="L599" i="33" s="1"/>
  <c r="L612" i="33" s="1"/>
  <c r="I598" i="2"/>
  <c r="I599" i="2" s="1"/>
  <c r="I612" i="2" s="1"/>
  <c r="H598" i="2"/>
  <c r="H599" i="2" s="1"/>
  <c r="H612" i="2" s="1"/>
  <c r="H621" i="2" s="1"/>
  <c r="G639" i="2"/>
  <c r="H365" i="33"/>
  <c r="J351" i="33"/>
  <c r="T158" i="32"/>
  <c r="T222" i="32" s="1"/>
  <c r="T174" i="32" s="1"/>
  <c r="U158" i="3"/>
  <c r="T222" i="3"/>
  <c r="T174" i="3" s="1"/>
  <c r="V540" i="2"/>
  <c r="V455" i="2"/>
  <c r="W472" i="2"/>
  <c r="W477" i="2" s="1"/>
  <c r="W543" i="2" s="1"/>
  <c r="W565" i="2"/>
  <c r="W570" i="2" s="1"/>
  <c r="V318" i="2"/>
  <c r="V633" i="2"/>
  <c r="V636" i="2"/>
  <c r="F623" i="2"/>
  <c r="F604" i="2"/>
  <c r="F629" i="2" s="1"/>
  <c r="F630" i="2" s="1"/>
  <c r="I635" i="2"/>
  <c r="J617" i="2"/>
  <c r="H627" i="2"/>
  <c r="G641" i="2"/>
  <c r="A634" i="2"/>
  <c r="N648" i="2"/>
  <c r="N607" i="2"/>
  <c r="P580" i="2"/>
  <c r="O581" i="2"/>
  <c r="O579" i="2" s="1"/>
  <c r="M616" i="2"/>
  <c r="J597" i="2"/>
  <c r="J598" i="2" s="1"/>
  <c r="J599" i="2" s="1"/>
  <c r="J612" i="2" s="1"/>
  <c r="K338" i="33"/>
  <c r="J356" i="33"/>
  <c r="K358" i="33"/>
  <c r="L340" i="33"/>
  <c r="M514" i="2"/>
  <c r="M523" i="2" s="1"/>
  <c r="M341" i="33"/>
  <c r="L359" i="33"/>
  <c r="L357" i="33"/>
  <c r="L354" i="33"/>
  <c r="L361" i="33"/>
  <c r="L362" i="33"/>
  <c r="M291" i="33"/>
  <c r="F489" i="33"/>
  <c r="G489" i="33" s="1"/>
  <c r="H489" i="33" s="1"/>
  <c r="I489" i="33" s="1"/>
  <c r="J489" i="33" s="1"/>
  <c r="K489" i="33" s="1"/>
  <c r="L489" i="33" s="1"/>
  <c r="M489" i="33" s="1"/>
  <c r="N489" i="33" s="1"/>
  <c r="O489" i="33" s="1"/>
  <c r="P489" i="33" s="1"/>
  <c r="Q489" i="33" s="1"/>
  <c r="R489" i="33" s="1"/>
  <c r="S489" i="33" s="1"/>
  <c r="T489" i="33" s="1"/>
  <c r="U489" i="33" s="1"/>
  <c r="V489" i="33" s="1"/>
  <c r="W489" i="33" s="1"/>
  <c r="X489" i="33" s="1"/>
  <c r="Y489" i="33" s="1"/>
  <c r="Z489" i="33" s="1"/>
  <c r="A490" i="33"/>
  <c r="H487" i="33"/>
  <c r="G488" i="33"/>
  <c r="H480" i="2"/>
  <c r="H511" i="2" s="1"/>
  <c r="H536" i="2" s="1"/>
  <c r="H546" i="2"/>
  <c r="I528" i="2"/>
  <c r="J480" i="2"/>
  <c r="G560" i="2"/>
  <c r="G512" i="2"/>
  <c r="G511" i="2"/>
  <c r="G536" i="2" s="1"/>
  <c r="G537" i="2" s="1"/>
  <c r="I480" i="2"/>
  <c r="U168" i="2"/>
  <c r="J444" i="33"/>
  <c r="J456" i="33" s="1"/>
  <c r="K480" i="2"/>
  <c r="J542" i="2"/>
  <c r="K524" i="2"/>
  <c r="L504" i="2"/>
  <c r="L541" i="2"/>
  <c r="N555" i="2"/>
  <c r="N514" i="2"/>
  <c r="H548" i="2"/>
  <c r="I534" i="2"/>
  <c r="F532" i="2"/>
  <c r="F533" i="2"/>
  <c r="G533" i="2" s="1"/>
  <c r="P487" i="2"/>
  <c r="O488" i="2"/>
  <c r="O486" i="2" s="1"/>
  <c r="W1" i="33"/>
  <c r="W286" i="2"/>
  <c r="W291" i="2" s="1"/>
  <c r="W100" i="2"/>
  <c r="W193" i="2"/>
  <c r="W198" i="2" s="1"/>
  <c r="W7" i="2"/>
  <c r="U4" i="3"/>
  <c r="X1" i="2"/>
  <c r="W379" i="2"/>
  <c r="V362" i="2"/>
  <c r="V264" i="2"/>
  <c r="V261" i="2"/>
  <c r="V411" i="2"/>
  <c r="V105" i="2"/>
  <c r="V171" i="2" s="1"/>
  <c r="V132" i="2"/>
  <c r="S70" i="41"/>
  <c r="S88" i="41" s="1"/>
  <c r="S106" i="41" s="1"/>
  <c r="S43" i="41"/>
  <c r="S61" i="41" s="1"/>
  <c r="R161" i="2"/>
  <c r="A22" i="2"/>
  <c r="X2" i="33"/>
  <c r="V1" i="32" s="1"/>
  <c r="BB5" i="5"/>
  <c r="Y2" i="2"/>
  <c r="V1" i="3"/>
  <c r="V7" i="33"/>
  <c r="V39" i="33" s="1"/>
  <c r="V286" i="33"/>
  <c r="V318" i="33" s="1"/>
  <c r="T4" i="32"/>
  <c r="T25" i="41" s="1"/>
  <c r="V100" i="33"/>
  <c r="V132" i="33" s="1"/>
  <c r="V379" i="33"/>
  <c r="V411" i="33" s="1"/>
  <c r="V193" i="33"/>
  <c r="V225" i="33" s="1"/>
  <c r="N233" i="2"/>
  <c r="N241" i="2" s="1"/>
  <c r="I165" i="33"/>
  <c r="I177" i="33" s="1"/>
  <c r="M281" i="33"/>
  <c r="M233" i="33"/>
  <c r="M241" i="33" s="1"/>
  <c r="M232" i="33"/>
  <c r="M257" i="33" s="1"/>
  <c r="V155" i="3"/>
  <c r="U155" i="32"/>
  <c r="U219" i="32" s="1"/>
  <c r="U171" i="32" s="1"/>
  <c r="U219" i="3"/>
  <c r="U171" i="3" s="1"/>
  <c r="M233" i="2"/>
  <c r="M241" i="2" s="1"/>
  <c r="M232" i="2"/>
  <c r="M257" i="2" s="1"/>
  <c r="M281" i="2"/>
  <c r="P277" i="2"/>
  <c r="T157" i="32"/>
  <c r="T221" i="32" s="1"/>
  <c r="T173" i="32" s="1"/>
  <c r="U157" i="3"/>
  <c r="T221" i="3"/>
  <c r="T173" i="3" s="1"/>
  <c r="V156" i="3"/>
  <c r="U156" i="32"/>
  <c r="U220" i="32" s="1"/>
  <c r="U172" i="32" s="1"/>
  <c r="U220" i="3"/>
  <c r="U172" i="3" s="1"/>
  <c r="T154" i="32"/>
  <c r="T218" i="32" s="1"/>
  <c r="T170" i="32" s="1"/>
  <c r="U154" i="3"/>
  <c r="T218" i="3"/>
  <c r="T170" i="3" s="1"/>
  <c r="U44" i="3"/>
  <c r="U44" i="32"/>
  <c r="T93" i="3"/>
  <c r="S93" i="32"/>
  <c r="H456" i="33"/>
  <c r="G74" i="33"/>
  <c r="G86" i="33" s="1"/>
  <c r="I428" i="2"/>
  <c r="H446" i="2"/>
  <c r="H458" i="2" s="1"/>
  <c r="I456" i="2"/>
  <c r="I84" i="33"/>
  <c r="J72" i="33"/>
  <c r="L170" i="33"/>
  <c r="M152" i="33"/>
  <c r="O62" i="2"/>
  <c r="N80" i="2"/>
  <c r="L156" i="2"/>
  <c r="K174" i="2"/>
  <c r="M61" i="33"/>
  <c r="L79" i="33"/>
  <c r="K76" i="33"/>
  <c r="L58" i="33"/>
  <c r="N61" i="2"/>
  <c r="M79" i="2"/>
  <c r="M169" i="33"/>
  <c r="N105" i="33"/>
  <c r="N169" i="33" s="1"/>
  <c r="M175" i="33"/>
  <c r="M168" i="33"/>
  <c r="M171" i="33"/>
  <c r="M176" i="33"/>
  <c r="K453" i="2"/>
  <c r="J174" i="33"/>
  <c r="K156" i="33"/>
  <c r="H167" i="33"/>
  <c r="H179" i="33" s="1"/>
  <c r="I149" i="33"/>
  <c r="M75" i="33"/>
  <c r="M82" i="33"/>
  <c r="N12" i="33"/>
  <c r="M78" i="33"/>
  <c r="M83" i="33"/>
  <c r="N154" i="33"/>
  <c r="M172" i="33"/>
  <c r="M244" i="2"/>
  <c r="L262" i="2"/>
  <c r="J81" i="33"/>
  <c r="K63" i="33"/>
  <c r="M80" i="33"/>
  <c r="N62" i="33"/>
  <c r="M430" i="33"/>
  <c r="I56" i="33"/>
  <c r="H74" i="33"/>
  <c r="H86" i="33" s="1"/>
  <c r="K453" i="33"/>
  <c r="J165" i="2"/>
  <c r="I177" i="2"/>
  <c r="L337" i="33"/>
  <c r="K355" i="33"/>
  <c r="H272" i="2"/>
  <c r="H167" i="2"/>
  <c r="H179" i="2" s="1"/>
  <c r="I149" i="2"/>
  <c r="O151" i="33"/>
  <c r="M151" i="2"/>
  <c r="L169" i="2"/>
  <c r="K77" i="33"/>
  <c r="L59" i="33"/>
  <c r="N155" i="33"/>
  <c r="M173" i="33"/>
  <c r="J258" i="2"/>
  <c r="I270" i="2"/>
  <c r="Q244" i="33"/>
  <c r="N261" i="2"/>
  <c r="O198" i="2"/>
  <c r="N268" i="2"/>
  <c r="N264" i="2"/>
  <c r="N269" i="2"/>
  <c r="M265" i="33"/>
  <c r="N247" i="33"/>
  <c r="K263" i="33"/>
  <c r="L245" i="33"/>
  <c r="L263" i="2"/>
  <c r="M245" i="2"/>
  <c r="M269" i="33"/>
  <c r="M261" i="33"/>
  <c r="M264" i="33"/>
  <c r="N198" i="33"/>
  <c r="M268" i="33"/>
  <c r="M262" i="33"/>
  <c r="M266" i="33"/>
  <c r="I260" i="2"/>
  <c r="J242" i="2"/>
  <c r="N265" i="2"/>
  <c r="O247" i="2"/>
  <c r="K267" i="2"/>
  <c r="L249" i="2"/>
  <c r="K249" i="33"/>
  <c r="J267" i="33"/>
  <c r="I258" i="33"/>
  <c r="H270" i="33"/>
  <c r="G260" i="33"/>
  <c r="G272" i="33" s="1"/>
  <c r="H242" i="33"/>
  <c r="N266" i="2"/>
  <c r="O248" i="2"/>
  <c r="W440" i="33"/>
  <c r="V429" i="33"/>
  <c r="I353" i="33"/>
  <c r="I365" i="33" s="1"/>
  <c r="J335" i="33"/>
  <c r="M359" i="2"/>
  <c r="N341" i="2"/>
  <c r="V243" i="33"/>
  <c r="V255" i="33"/>
  <c r="K356" i="2"/>
  <c r="L338" i="2"/>
  <c r="V447" i="2"/>
  <c r="N291" i="2"/>
  <c r="M357" i="2"/>
  <c r="M362" i="2"/>
  <c r="M361" i="2"/>
  <c r="M354" i="2"/>
  <c r="I351" i="2"/>
  <c r="H363" i="2"/>
  <c r="V57" i="33"/>
  <c r="W441" i="33"/>
  <c r="U454" i="2"/>
  <c r="V440" i="2"/>
  <c r="V162" i="2"/>
  <c r="U176" i="2"/>
  <c r="J360" i="2"/>
  <c r="K342" i="2"/>
  <c r="V336" i="2"/>
  <c r="U354" i="2"/>
  <c r="Z208" i="33"/>
  <c r="V150" i="33"/>
  <c r="M355" i="2"/>
  <c r="U268" i="2"/>
  <c r="V254" i="2"/>
  <c r="M340" i="2"/>
  <c r="L358" i="2"/>
  <c r="W57" i="2"/>
  <c r="G353" i="2"/>
  <c r="G365" i="2" s="1"/>
  <c r="H335" i="2"/>
  <c r="W150" i="2"/>
  <c r="V161" i="33"/>
  <c r="K360" i="33"/>
  <c r="L342" i="33"/>
  <c r="O337" i="2"/>
  <c r="V347" i="2"/>
  <c r="U361" i="2"/>
  <c r="V254" i="33"/>
  <c r="P226" i="2" l="1"/>
  <c r="Q78" i="2"/>
  <c r="Q75" i="2"/>
  <c r="R12" i="2"/>
  <c r="N95" i="33"/>
  <c r="W67" i="33"/>
  <c r="W346" i="33"/>
  <c r="N47" i="33"/>
  <c r="N55" i="33" s="1"/>
  <c r="N355" i="2"/>
  <c r="O291" i="2"/>
  <c r="N105" i="2"/>
  <c r="M168" i="2"/>
  <c r="M176" i="2"/>
  <c r="M175" i="2"/>
  <c r="M171" i="2"/>
  <c r="K170" i="2"/>
  <c r="L152" i="2"/>
  <c r="M173" i="2"/>
  <c r="N155" i="2"/>
  <c r="L172" i="2"/>
  <c r="M154" i="2"/>
  <c r="W160" i="2"/>
  <c r="W67" i="2"/>
  <c r="W439" i="2"/>
  <c r="P181" i="2"/>
  <c r="W269" i="2"/>
  <c r="W357" i="2"/>
  <c r="W160" i="33"/>
  <c r="W253" i="2"/>
  <c r="W348" i="33"/>
  <c r="X606" i="2"/>
  <c r="X615" i="2" s="1"/>
  <c r="X624" i="2"/>
  <c r="X609" i="2"/>
  <c r="X618" i="2" s="1"/>
  <c r="X624" i="33"/>
  <c r="X609" i="33"/>
  <c r="X618" i="33" s="1"/>
  <c r="X606" i="33"/>
  <c r="X615" i="33" s="1"/>
  <c r="X623" i="2"/>
  <c r="X531" i="33"/>
  <c r="X516" i="33"/>
  <c r="X525" i="33" s="1"/>
  <c r="X623" i="33"/>
  <c r="X513" i="2"/>
  <c r="X522" i="2" s="1"/>
  <c r="X531" i="2"/>
  <c r="X516" i="2"/>
  <c r="X525" i="2" s="1"/>
  <c r="X530" i="2"/>
  <c r="X530" i="33"/>
  <c r="X513" i="33"/>
  <c r="X522" i="33" s="1"/>
  <c r="X48" i="33"/>
  <c r="X327" i="33"/>
  <c r="X336" i="33" s="1"/>
  <c r="X234" i="33"/>
  <c r="X141" i="33"/>
  <c r="X423" i="33"/>
  <c r="X432" i="33" s="1"/>
  <c r="X158" i="33"/>
  <c r="X141" i="2"/>
  <c r="X327" i="2"/>
  <c r="X66" i="33"/>
  <c r="X251" i="33"/>
  <c r="X420" i="2"/>
  <c r="X429" i="2" s="1"/>
  <c r="X438" i="2"/>
  <c r="X441" i="2" s="1"/>
  <c r="X437" i="33"/>
  <c r="X144" i="2"/>
  <c r="X153" i="2" s="1"/>
  <c r="X66" i="2"/>
  <c r="X345" i="33"/>
  <c r="X51" i="33"/>
  <c r="X60" i="33" s="1"/>
  <c r="X330" i="33"/>
  <c r="X339" i="33" s="1"/>
  <c r="X423" i="2"/>
  <c r="X432" i="2" s="1"/>
  <c r="X330" i="2"/>
  <c r="X339" i="2" s="1"/>
  <c r="X420" i="33"/>
  <c r="X252" i="33"/>
  <c r="X234" i="2"/>
  <c r="X243" i="2" s="1"/>
  <c r="X159" i="2"/>
  <c r="X158" i="2"/>
  <c r="X144" i="33"/>
  <c r="X153" i="33" s="1"/>
  <c r="X344" i="33"/>
  <c r="X345" i="2"/>
  <c r="X348" i="2" s="1"/>
  <c r="X237" i="2"/>
  <c r="X246" i="2" s="1"/>
  <c r="X237" i="33"/>
  <c r="X246" i="33" s="1"/>
  <c r="BC13" i="5"/>
  <c r="X65" i="33"/>
  <c r="X252" i="2"/>
  <c r="X255" i="2" s="1"/>
  <c r="X48" i="2"/>
  <c r="X57" i="2" s="1"/>
  <c r="X51" i="2"/>
  <c r="X60" i="2" s="1"/>
  <c r="X159" i="33"/>
  <c r="X162" i="33" s="1"/>
  <c r="X438" i="33"/>
  <c r="X65" i="2"/>
  <c r="X67" i="2" s="1"/>
  <c r="X437" i="2"/>
  <c r="X344" i="2"/>
  <c r="X251" i="2"/>
  <c r="X253" i="2" s="1"/>
  <c r="W439" i="33"/>
  <c r="W68" i="33"/>
  <c r="W69" i="33"/>
  <c r="W625" i="2"/>
  <c r="V68" i="41"/>
  <c r="BC7" i="5"/>
  <c r="BB14" i="5"/>
  <c r="BC14" i="5" s="1"/>
  <c r="W625" i="33"/>
  <c r="W347" i="33"/>
  <c r="X347" i="33" s="1"/>
  <c r="U102" i="33"/>
  <c r="S137" i="32"/>
  <c r="S233" i="32" s="1"/>
  <c r="S281" i="32" s="1"/>
  <c r="U106" i="33" s="1"/>
  <c r="U116" i="33" s="1"/>
  <c r="U114" i="33" s="1"/>
  <c r="T259" i="32"/>
  <c r="T275" i="32" s="1"/>
  <c r="T291" i="32"/>
  <c r="T294" i="32"/>
  <c r="T262" i="32"/>
  <c r="T278" i="32" s="1"/>
  <c r="T288" i="32"/>
  <c r="T256" i="32"/>
  <c r="T272" i="32" s="1"/>
  <c r="U133" i="32"/>
  <c r="U149" i="32" s="1"/>
  <c r="U245" i="32" s="1"/>
  <c r="U261" i="32" s="1"/>
  <c r="U277" i="32" s="1"/>
  <c r="T293" i="32"/>
  <c r="T261" i="32"/>
  <c r="T277" i="32" s="1"/>
  <c r="V113" i="32"/>
  <c r="W113" i="3"/>
  <c r="T256" i="3"/>
  <c r="T272" i="3" s="1"/>
  <c r="T288" i="3"/>
  <c r="W117" i="3"/>
  <c r="V117" i="32"/>
  <c r="V161" i="3"/>
  <c r="U161" i="32"/>
  <c r="U225" i="32" s="1"/>
  <c r="U177" i="32" s="1"/>
  <c r="U225" i="3"/>
  <c r="H446" i="33"/>
  <c r="H458" i="33" s="1"/>
  <c r="Q145" i="2"/>
  <c r="X152" i="32"/>
  <c r="X216" i="32" s="1"/>
  <c r="X216" i="3"/>
  <c r="V99" i="3"/>
  <c r="U99" i="32"/>
  <c r="V198" i="3"/>
  <c r="U182" i="3"/>
  <c r="W115" i="3"/>
  <c r="V115" i="32"/>
  <c r="V165" i="32"/>
  <c r="V229" i="32" s="1"/>
  <c r="V181" i="32" s="1"/>
  <c r="W165" i="3"/>
  <c r="V229" i="3"/>
  <c r="V100" i="32"/>
  <c r="W100" i="3"/>
  <c r="T243" i="3"/>
  <c r="T259" i="3" s="1"/>
  <c r="T275" i="3" s="1"/>
  <c r="S288" i="3"/>
  <c r="S256" i="3"/>
  <c r="S272" i="3" s="1"/>
  <c r="X153" i="32"/>
  <c r="X217" i="32" s="1"/>
  <c r="X217" i="3"/>
  <c r="X169" i="3" s="1"/>
  <c r="V164" i="32"/>
  <c r="V228" i="32" s="1"/>
  <c r="V180" i="32" s="1"/>
  <c r="W164" i="3"/>
  <c r="V228" i="3"/>
  <c r="V180" i="3" s="1"/>
  <c r="U159" i="32"/>
  <c r="U223" i="32" s="1"/>
  <c r="U175" i="32" s="1"/>
  <c r="V159" i="3"/>
  <c r="U223" i="3"/>
  <c r="U175" i="3" s="1"/>
  <c r="U82" i="3"/>
  <c r="U84" i="3"/>
  <c r="U81" i="3"/>
  <c r="U129" i="3" s="1"/>
  <c r="U145" i="3" s="1"/>
  <c r="U75" i="3"/>
  <c r="U83" i="3"/>
  <c r="U131" i="3" s="1"/>
  <c r="U147" i="3" s="1"/>
  <c r="U74" i="3"/>
  <c r="U85" i="3"/>
  <c r="U133" i="3" s="1"/>
  <c r="U149" i="3" s="1"/>
  <c r="U245" i="3" s="1"/>
  <c r="U261" i="3" s="1"/>
  <c r="U277" i="3" s="1"/>
  <c r="U76" i="3"/>
  <c r="U78" i="3"/>
  <c r="U79" i="3"/>
  <c r="U127" i="3" s="1"/>
  <c r="U143" i="3" s="1"/>
  <c r="U239" i="3" s="1"/>
  <c r="U77" i="3"/>
  <c r="U80" i="3"/>
  <c r="U128" i="3" s="1"/>
  <c r="U144" i="3" s="1"/>
  <c r="U86" i="3"/>
  <c r="U134" i="3" s="1"/>
  <c r="U150" i="3" s="1"/>
  <c r="U246" i="3" s="1"/>
  <c r="U262" i="3" s="1"/>
  <c r="U278" i="3" s="1"/>
  <c r="U72" i="3"/>
  <c r="U120" i="3" s="1"/>
  <c r="W9" i="2" s="1"/>
  <c r="U73" i="3"/>
  <c r="V162" i="32"/>
  <c r="V226" i="32" s="1"/>
  <c r="W162" i="3"/>
  <c r="V226" i="3"/>
  <c r="O46" i="33"/>
  <c r="O71" i="33" s="1"/>
  <c r="S257" i="32"/>
  <c r="S273" i="32" s="1"/>
  <c r="S289" i="32"/>
  <c r="V96" i="32"/>
  <c r="W96" i="3"/>
  <c r="T246" i="3"/>
  <c r="X196" i="3"/>
  <c r="W91" i="32"/>
  <c r="X91" i="3"/>
  <c r="X91" i="32" s="1"/>
  <c r="U74" i="32"/>
  <c r="U78" i="32"/>
  <c r="U76" i="32"/>
  <c r="U72" i="32"/>
  <c r="U83" i="32"/>
  <c r="U86" i="32"/>
  <c r="U134" i="32" s="1"/>
  <c r="U150" i="32" s="1"/>
  <c r="U246" i="32" s="1"/>
  <c r="U75" i="32"/>
  <c r="U85" i="32"/>
  <c r="U82" i="32"/>
  <c r="U77" i="32"/>
  <c r="U73" i="32"/>
  <c r="U79" i="32"/>
  <c r="U81" i="32"/>
  <c r="U129" i="32" s="1"/>
  <c r="U145" i="32" s="1"/>
  <c r="U84" i="32"/>
  <c r="U80" i="32"/>
  <c r="O95" i="33"/>
  <c r="T257" i="32"/>
  <c r="T273" i="32" s="1"/>
  <c r="U128" i="32"/>
  <c r="U144" i="32" s="1"/>
  <c r="U240" i="32" s="1"/>
  <c r="W166" i="3"/>
  <c r="V166" i="32"/>
  <c r="V230" i="32" s="1"/>
  <c r="V182" i="32" s="1"/>
  <c r="V230" i="3"/>
  <c r="U118" i="32"/>
  <c r="V118" i="3"/>
  <c r="V181" i="3"/>
  <c r="W197" i="3"/>
  <c r="W5" i="3"/>
  <c r="V5" i="32"/>
  <c r="V6" i="32" s="1"/>
  <c r="V6" i="3"/>
  <c r="W163" i="3"/>
  <c r="V163" i="32"/>
  <c r="V227" i="32" s="1"/>
  <c r="V179" i="32" s="1"/>
  <c r="V227" i="3"/>
  <c r="U89" i="3"/>
  <c r="T89" i="32"/>
  <c r="T121" i="32" s="1"/>
  <c r="U160" i="32"/>
  <c r="U224" i="32" s="1"/>
  <c r="U176" i="32" s="1"/>
  <c r="V160" i="3"/>
  <c r="U224" i="3"/>
  <c r="U176" i="3" s="1"/>
  <c r="K351" i="33"/>
  <c r="K363" i="33" s="1"/>
  <c r="Q93" i="2"/>
  <c r="Q52" i="2"/>
  <c r="T258" i="32"/>
  <c r="T274" i="32" s="1"/>
  <c r="T290" i="32"/>
  <c r="U293" i="32"/>
  <c r="X200" i="3"/>
  <c r="X168" i="3" s="1"/>
  <c r="W168" i="3"/>
  <c r="T258" i="3"/>
  <c r="T274" i="3" s="1"/>
  <c r="T290" i="3"/>
  <c r="W97" i="32"/>
  <c r="X97" i="3"/>
  <c r="V95" i="32"/>
  <c r="W95" i="3"/>
  <c r="X92" i="3"/>
  <c r="X92" i="32" s="1"/>
  <c r="W92" i="32"/>
  <c r="R27" i="33"/>
  <c r="R25" i="33"/>
  <c r="U293" i="3"/>
  <c r="U98" i="32"/>
  <c r="V98" i="3"/>
  <c r="U130" i="3"/>
  <c r="U146" i="3" s="1"/>
  <c r="U242" i="3" s="1"/>
  <c r="U294" i="3"/>
  <c r="V195" i="3"/>
  <c r="U179" i="3"/>
  <c r="T136" i="3"/>
  <c r="T232" i="3" s="1"/>
  <c r="V9" i="2"/>
  <c r="V101" i="32"/>
  <c r="W101" i="3"/>
  <c r="M460" i="33"/>
  <c r="P41" i="33"/>
  <c r="P54" i="33" s="1"/>
  <c r="S264" i="3"/>
  <c r="U11" i="2" s="1"/>
  <c r="U10" i="2"/>
  <c r="V102" i="32"/>
  <c r="W102" i="3"/>
  <c r="U287" i="3"/>
  <c r="U255" i="3"/>
  <c r="U271" i="3" s="1"/>
  <c r="T136" i="32"/>
  <c r="T232" i="32" s="1"/>
  <c r="V9" i="33"/>
  <c r="W114" i="3"/>
  <c r="V114" i="32"/>
  <c r="T291" i="3"/>
  <c r="S292" i="3"/>
  <c r="S260" i="3"/>
  <c r="S276" i="3" s="1"/>
  <c r="S28" i="33"/>
  <c r="S89" i="33"/>
  <c r="S92" i="33"/>
  <c r="R32" i="33"/>
  <c r="S257" i="3"/>
  <c r="S273" i="3" s="1"/>
  <c r="S289" i="3"/>
  <c r="M558" i="2"/>
  <c r="V88" i="32"/>
  <c r="W88" i="3"/>
  <c r="S260" i="32"/>
  <c r="S276" i="32" s="1"/>
  <c r="S292" i="32"/>
  <c r="Q91" i="33"/>
  <c r="Q50" i="33"/>
  <c r="Q40" i="33"/>
  <c r="R264" i="32"/>
  <c r="T11" i="33" s="1"/>
  <c r="T10" i="33"/>
  <c r="S33" i="33"/>
  <c r="S36" i="33"/>
  <c r="S35" i="33"/>
  <c r="R94" i="33"/>
  <c r="R53" i="33"/>
  <c r="U193" i="3"/>
  <c r="T177" i="3"/>
  <c r="T241" i="3" s="1"/>
  <c r="S33" i="2"/>
  <c r="S35" i="2"/>
  <c r="S36" i="2"/>
  <c r="U136" i="3"/>
  <c r="U232" i="3" s="1"/>
  <c r="U116" i="3"/>
  <c r="T116" i="32"/>
  <c r="T132" i="32" s="1"/>
  <c r="T148" i="32" s="1"/>
  <c r="T244" i="32" s="1"/>
  <c r="T132" i="3"/>
  <c r="T148" i="3" s="1"/>
  <c r="T244" i="3" s="1"/>
  <c r="T49" i="33"/>
  <c r="T287" i="3"/>
  <c r="T255" i="3"/>
  <c r="T271" i="3" s="1"/>
  <c r="T255" i="32"/>
  <c r="T271" i="32" s="1"/>
  <c r="T287" i="32"/>
  <c r="S92" i="2"/>
  <c r="S89" i="2"/>
  <c r="R264" i="3"/>
  <c r="T11" i="2" s="1"/>
  <c r="T10" i="2"/>
  <c r="V178" i="3"/>
  <c r="W194" i="3"/>
  <c r="U111" i="32"/>
  <c r="U127" i="32" s="1"/>
  <c r="U143" i="32" s="1"/>
  <c r="U239" i="32" s="1"/>
  <c r="V111" i="3"/>
  <c r="X90" i="3"/>
  <c r="X90" i="32" s="1"/>
  <c r="W90" i="32"/>
  <c r="R93" i="2"/>
  <c r="R52" i="2"/>
  <c r="S90" i="33"/>
  <c r="S271" i="32"/>
  <c r="U104" i="32"/>
  <c r="U120" i="32" s="1"/>
  <c r="V104" i="3"/>
  <c r="Q52" i="33"/>
  <c r="Q93" i="33"/>
  <c r="S280" i="32"/>
  <c r="U13" i="33" s="1"/>
  <c r="U23" i="33" s="1"/>
  <c r="U21" i="33" s="1"/>
  <c r="U49" i="33" s="1"/>
  <c r="S248" i="32"/>
  <c r="N281" i="2"/>
  <c r="L636" i="2"/>
  <c r="L633" i="2"/>
  <c r="M570" i="2"/>
  <c r="M634" i="2" s="1"/>
  <c r="L540" i="33"/>
  <c r="L543" i="33"/>
  <c r="M477" i="33"/>
  <c r="M545" i="33" s="1"/>
  <c r="L636" i="33"/>
  <c r="L633" i="33"/>
  <c r="L634" i="33"/>
  <c r="M570" i="33"/>
  <c r="M638" i="33" s="1"/>
  <c r="K617" i="33"/>
  <c r="K635" i="33" s="1"/>
  <c r="N232" i="2"/>
  <c r="N257" i="2" s="1"/>
  <c r="P248" i="33"/>
  <c r="N281" i="33"/>
  <c r="N232" i="33"/>
  <c r="N257" i="33" s="1"/>
  <c r="V169" i="32"/>
  <c r="W185" i="32"/>
  <c r="X197" i="32"/>
  <c r="X195" i="32"/>
  <c r="X184" i="32"/>
  <c r="X168" i="32" s="1"/>
  <c r="W168" i="32"/>
  <c r="V178" i="32"/>
  <c r="W194" i="32"/>
  <c r="X198" i="32"/>
  <c r="W193" i="32"/>
  <c r="X196" i="32"/>
  <c r="O201" i="2"/>
  <c r="O233" i="2" s="1"/>
  <c r="O241" i="2" s="1"/>
  <c r="L326" i="2"/>
  <c r="L334" i="2" s="1"/>
  <c r="L325" i="2"/>
  <c r="L350" i="2" s="1"/>
  <c r="K620" i="2"/>
  <c r="K638" i="2" s="1"/>
  <c r="L646" i="33"/>
  <c r="N140" i="2"/>
  <c r="N148" i="2" s="1"/>
  <c r="M451" i="2"/>
  <c r="N188" i="2"/>
  <c r="N424" i="33"/>
  <c r="L611" i="2"/>
  <c r="L652" i="2"/>
  <c r="L646" i="2" s="1"/>
  <c r="N595" i="2"/>
  <c r="M594" i="2"/>
  <c r="N367" i="33"/>
  <c r="R276" i="33"/>
  <c r="R214" i="33"/>
  <c r="R213" i="33" s="1"/>
  <c r="R278" i="33"/>
  <c r="K467" i="33"/>
  <c r="K419" i="33"/>
  <c r="K427" i="33" s="1"/>
  <c r="N108" i="33"/>
  <c r="N188" i="33" s="1"/>
  <c r="J630" i="33"/>
  <c r="J642" i="33" s="1"/>
  <c r="K419" i="2"/>
  <c r="K427" i="2" s="1"/>
  <c r="K418" i="2"/>
  <c r="K443" i="2" s="1"/>
  <c r="K444" i="2" s="1"/>
  <c r="P238" i="2"/>
  <c r="P247" i="2" s="1"/>
  <c r="P279" i="2"/>
  <c r="P274" i="2" s="1"/>
  <c r="W472" i="33"/>
  <c r="W565" i="33"/>
  <c r="L326" i="33"/>
  <c r="L334" i="33" s="1"/>
  <c r="L325" i="33"/>
  <c r="L350" i="33" s="1"/>
  <c r="O201" i="33"/>
  <c r="O233" i="33" s="1"/>
  <c r="O241" i="33" s="1"/>
  <c r="N590" i="33"/>
  <c r="N610" i="33" s="1"/>
  <c r="O404" i="2"/>
  <c r="O424" i="2" s="1"/>
  <c r="O108" i="33"/>
  <c r="O139" i="33" s="1"/>
  <c r="O164" i="33" s="1"/>
  <c r="N497" i="2"/>
  <c r="N517" i="2" s="1"/>
  <c r="O274" i="33"/>
  <c r="K431" i="33"/>
  <c r="J449" i="33"/>
  <c r="M448" i="2"/>
  <c r="M454" i="2"/>
  <c r="M450" i="2"/>
  <c r="M452" i="2"/>
  <c r="N384" i="2"/>
  <c r="M455" i="2"/>
  <c r="M447" i="2"/>
  <c r="L433" i="33"/>
  <c r="K451" i="33"/>
  <c r="G605" i="2"/>
  <c r="G604" i="2"/>
  <c r="G629" i="2" s="1"/>
  <c r="G630" i="2" s="1"/>
  <c r="G642" i="2" s="1"/>
  <c r="G653" i="2"/>
  <c r="M434" i="33"/>
  <c r="L452" i="33"/>
  <c r="M384" i="33"/>
  <c r="M448" i="33" s="1"/>
  <c r="L455" i="33"/>
  <c r="L447" i="33"/>
  <c r="L450" i="33"/>
  <c r="L454" i="33"/>
  <c r="K449" i="2"/>
  <c r="L431" i="2"/>
  <c r="Q218" i="2"/>
  <c r="M651" i="2"/>
  <c r="M610" i="2"/>
  <c r="M619" i="2" s="1"/>
  <c r="O372" i="2"/>
  <c r="O331" i="2"/>
  <c r="L544" i="33"/>
  <c r="L637" i="2"/>
  <c r="N424" i="2"/>
  <c r="N433" i="2" s="1"/>
  <c r="N465" i="2"/>
  <c r="M517" i="33"/>
  <c r="M526" i="33" s="1"/>
  <c r="M558" i="33"/>
  <c r="M545" i="2"/>
  <c r="M651" i="33"/>
  <c r="M610" i="33"/>
  <c r="M619" i="33" s="1"/>
  <c r="I573" i="2"/>
  <c r="O253" i="3"/>
  <c r="O285" i="3"/>
  <c r="Q478" i="2" s="1"/>
  <c r="P332" i="2"/>
  <c r="P373" i="2"/>
  <c r="P279" i="33"/>
  <c r="P238" i="33"/>
  <c r="P142" i="3"/>
  <c r="P238" i="3" s="1"/>
  <c r="R567" i="2"/>
  <c r="P306" i="2"/>
  <c r="P304" i="2"/>
  <c r="N320" i="2"/>
  <c r="N333" i="2" s="1"/>
  <c r="N652" i="33"/>
  <c r="N611" i="33"/>
  <c r="N620" i="33" s="1"/>
  <c r="N583" i="2"/>
  <c r="N585" i="2"/>
  <c r="O108" i="2"/>
  <c r="R250" i="32"/>
  <c r="R282" i="32"/>
  <c r="T199" i="33" s="1"/>
  <c r="T209" i="33" s="1"/>
  <c r="T207" i="33" s="1"/>
  <c r="T235" i="33" s="1"/>
  <c r="Q283" i="32"/>
  <c r="S292" i="33" s="1"/>
  <c r="S302" i="33" s="1"/>
  <c r="S300" i="33" s="1"/>
  <c r="S328" i="33" s="1"/>
  <c r="Q251" i="32"/>
  <c r="O425" i="2"/>
  <c r="O434" i="2" s="1"/>
  <c r="O466" i="2"/>
  <c r="L387" i="33"/>
  <c r="P332" i="33"/>
  <c r="P373" i="33"/>
  <c r="S138" i="3"/>
  <c r="S234" i="3" s="1"/>
  <c r="U195" i="2"/>
  <c r="R265" i="32"/>
  <c r="T104" i="33" s="1"/>
  <c r="T103" i="33"/>
  <c r="M649" i="2"/>
  <c r="M608" i="2"/>
  <c r="N499" i="33"/>
  <c r="N497" i="33" s="1"/>
  <c r="P141" i="3"/>
  <c r="P237" i="3" s="1"/>
  <c r="R474" i="2"/>
  <c r="R108" i="32"/>
  <c r="R124" i="32" s="1"/>
  <c r="S108" i="3"/>
  <c r="R124" i="3"/>
  <c r="N559" i="2"/>
  <c r="N518" i="2"/>
  <c r="N527" i="2" s="1"/>
  <c r="O254" i="3"/>
  <c r="O286" i="3"/>
  <c r="Q571" i="2" s="1"/>
  <c r="P313" i="2"/>
  <c r="P311" i="2" s="1"/>
  <c r="Q382" i="2"/>
  <c r="O268" i="3"/>
  <c r="Q383" i="2" s="1"/>
  <c r="Q462" i="2" s="1"/>
  <c r="P142" i="32"/>
  <c r="P238" i="32" s="1"/>
  <c r="R567" i="33"/>
  <c r="M294" i="2"/>
  <c r="L387" i="2"/>
  <c r="L467" i="2" s="1"/>
  <c r="P313" i="33"/>
  <c r="P311" i="33" s="1"/>
  <c r="R221" i="33"/>
  <c r="R219" i="33"/>
  <c r="R220" i="33" s="1"/>
  <c r="R222" i="33"/>
  <c r="S138" i="32"/>
  <c r="S234" i="32" s="1"/>
  <c r="U195" i="33"/>
  <c r="T116" i="33"/>
  <c r="T114" i="33" s="1"/>
  <c r="V105" i="3"/>
  <c r="U105" i="32"/>
  <c r="U121" i="3"/>
  <c r="N518" i="33"/>
  <c r="N527" i="33" s="1"/>
  <c r="N559" i="33"/>
  <c r="N422" i="2"/>
  <c r="N463" i="2"/>
  <c r="N412" i="2"/>
  <c r="P421" i="33"/>
  <c r="P462" i="33"/>
  <c r="N490" i="2"/>
  <c r="N492" i="2"/>
  <c r="P475" i="33"/>
  <c r="N269" i="32"/>
  <c r="P476" i="33" s="1"/>
  <c r="P141" i="32"/>
  <c r="P237" i="32" s="1"/>
  <c r="R474" i="33"/>
  <c r="O466" i="33"/>
  <c r="O425" i="33"/>
  <c r="Q140" i="3"/>
  <c r="Q236" i="3" s="1"/>
  <c r="S381" i="2"/>
  <c r="P284" i="3"/>
  <c r="R385" i="2" s="1"/>
  <c r="R395" i="2" s="1"/>
  <c r="R393" i="2" s="1"/>
  <c r="P252" i="3"/>
  <c r="Q421" i="2"/>
  <c r="R276" i="2"/>
  <c r="R214" i="2"/>
  <c r="R278" i="2"/>
  <c r="R275" i="2"/>
  <c r="O370" i="2"/>
  <c r="O329" i="2"/>
  <c r="O319" i="2"/>
  <c r="M556" i="2"/>
  <c r="M515" i="2"/>
  <c r="O501" i="33"/>
  <c r="O498" i="33"/>
  <c r="O500" i="33"/>
  <c r="Q143" i="2"/>
  <c r="Q184" i="2"/>
  <c r="Q133" i="2"/>
  <c r="M413" i="33"/>
  <c r="M426" i="33" s="1"/>
  <c r="M435" i="33" s="1"/>
  <c r="R120" i="2"/>
  <c r="R118" i="2"/>
  <c r="S128" i="33"/>
  <c r="S129" i="33"/>
  <c r="S126" i="33"/>
  <c r="T137" i="3"/>
  <c r="T233" i="3" s="1"/>
  <c r="V102" i="2"/>
  <c r="P277" i="33"/>
  <c r="P236" i="33"/>
  <c r="P226" i="33"/>
  <c r="P227" i="33" s="1"/>
  <c r="P240" i="33" s="1"/>
  <c r="N320" i="33"/>
  <c r="N333" i="33" s="1"/>
  <c r="R109" i="3"/>
  <c r="Q109" i="32"/>
  <c r="Q125" i="32" s="1"/>
  <c r="Q125" i="3"/>
  <c r="S128" i="2"/>
  <c r="S129" i="2"/>
  <c r="S126" i="2"/>
  <c r="P461" i="33"/>
  <c r="P400" i="33"/>
  <c r="P464" i="33"/>
  <c r="Q140" i="32"/>
  <c r="Q236" i="32" s="1"/>
  <c r="S381" i="33"/>
  <c r="O586" i="33"/>
  <c r="O650" i="33"/>
  <c r="O647" i="33"/>
  <c r="O648" i="33"/>
  <c r="Q369" i="33"/>
  <c r="Q371" i="33"/>
  <c r="Q368" i="33"/>
  <c r="Q367" i="33" s="1"/>
  <c r="Q307" i="33"/>
  <c r="O500" i="2"/>
  <c r="O501" i="2"/>
  <c r="O498" i="2"/>
  <c r="O499" i="2" s="1"/>
  <c r="Q239" i="33"/>
  <c r="Q280" i="33"/>
  <c r="R219" i="2"/>
  <c r="R220" i="2" s="1"/>
  <c r="R221" i="2"/>
  <c r="R222" i="2"/>
  <c r="R289" i="33"/>
  <c r="P267" i="32"/>
  <c r="R290" i="33" s="1"/>
  <c r="R369" i="33" s="1"/>
  <c r="O399" i="2"/>
  <c r="O397" i="2"/>
  <c r="Q186" i="33"/>
  <c r="Q145" i="33"/>
  <c r="P306" i="33"/>
  <c r="P304" i="33"/>
  <c r="O557" i="33"/>
  <c r="O554" i="33"/>
  <c r="O553" i="33" s="1"/>
  <c r="N270" i="3"/>
  <c r="P569" i="2" s="1"/>
  <c r="P568" i="2"/>
  <c r="T116" i="2"/>
  <c r="T114" i="2" s="1"/>
  <c r="N269" i="3"/>
  <c r="P476" i="2" s="1"/>
  <c r="P475" i="2"/>
  <c r="S185" i="33"/>
  <c r="S182" i="33"/>
  <c r="S181" i="33" s="1"/>
  <c r="S121" i="33"/>
  <c r="O591" i="2"/>
  <c r="O592" i="2" s="1"/>
  <c r="O593" i="2"/>
  <c r="S121" i="2"/>
  <c r="S182" i="2"/>
  <c r="S181" i="2" s="1"/>
  <c r="S185" i="2"/>
  <c r="P405" i="33"/>
  <c r="P406" i="33" s="1"/>
  <c r="P407" i="33"/>
  <c r="P408" i="33"/>
  <c r="O591" i="33"/>
  <c r="O594" i="33"/>
  <c r="O593" i="33"/>
  <c r="Q315" i="33"/>
  <c r="Q314" i="33"/>
  <c r="Q312" i="33"/>
  <c r="O557" i="2"/>
  <c r="O554" i="2"/>
  <c r="O553" i="2" s="1"/>
  <c r="O493" i="2"/>
  <c r="Q218" i="33"/>
  <c r="O286" i="32"/>
  <c r="Q571" i="33" s="1"/>
  <c r="Q581" i="33" s="1"/>
  <c r="Q579" i="33" s="1"/>
  <c r="Q607" i="33" s="1"/>
  <c r="O254" i="32"/>
  <c r="R139" i="3"/>
  <c r="R235" i="3" s="1"/>
  <c r="T288" i="2"/>
  <c r="R328" i="33"/>
  <c r="R146" i="33"/>
  <c r="R187" i="33"/>
  <c r="M294" i="33"/>
  <c r="M374" i="33" s="1"/>
  <c r="S281" i="3"/>
  <c r="U106" i="2" s="1"/>
  <c r="U116" i="2" s="1"/>
  <c r="U114" i="2" s="1"/>
  <c r="S249" i="3"/>
  <c r="R265" i="3"/>
  <c r="T104" i="2" s="1"/>
  <c r="T103" i="2"/>
  <c r="Q266" i="3"/>
  <c r="S197" i="2" s="1"/>
  <c r="S214" i="2" s="1"/>
  <c r="S196" i="2"/>
  <c r="R187" i="2"/>
  <c r="R146" i="2"/>
  <c r="L637" i="33"/>
  <c r="O586" i="2"/>
  <c r="O650" i="2"/>
  <c r="O647" i="2"/>
  <c r="O268" i="32"/>
  <c r="Q383" i="33" s="1"/>
  <c r="Q462" i="33" s="1"/>
  <c r="Q382" i="33"/>
  <c r="O274" i="2"/>
  <c r="O370" i="33"/>
  <c r="O329" i="33"/>
  <c r="O319" i="33"/>
  <c r="N422" i="33"/>
  <c r="N463" i="33"/>
  <c r="N460" i="33" s="1"/>
  <c r="P464" i="2"/>
  <c r="P400" i="2"/>
  <c r="P461" i="2"/>
  <c r="Q211" i="2"/>
  <c r="Q213" i="2"/>
  <c r="P267" i="3"/>
  <c r="R290" i="2" s="1"/>
  <c r="R289" i="2"/>
  <c r="S123" i="3"/>
  <c r="S107" i="32"/>
  <c r="S123" i="32" s="1"/>
  <c r="T107" i="3"/>
  <c r="R127" i="33"/>
  <c r="R125" i="33" s="1"/>
  <c r="L544" i="2"/>
  <c r="M526" i="2"/>
  <c r="P134" i="2"/>
  <c r="P147" i="2" s="1"/>
  <c r="R250" i="3"/>
  <c r="R282" i="3"/>
  <c r="T199" i="2" s="1"/>
  <c r="T209" i="2" s="1"/>
  <c r="T207" i="2" s="1"/>
  <c r="T235" i="2" s="1"/>
  <c r="O285" i="32"/>
  <c r="Q478" i="33" s="1"/>
  <c r="O253" i="32"/>
  <c r="O397" i="33"/>
  <c r="O399" i="33"/>
  <c r="Q421" i="33"/>
  <c r="Q239" i="2"/>
  <c r="Q280" i="2"/>
  <c r="N412" i="33"/>
  <c r="P405" i="2"/>
  <c r="P407" i="2"/>
  <c r="P408" i="2"/>
  <c r="N585" i="33"/>
  <c r="N583" i="33"/>
  <c r="R139" i="32"/>
  <c r="R235" i="32" s="1"/>
  <c r="T288" i="33"/>
  <c r="R118" i="33"/>
  <c r="R120" i="33"/>
  <c r="S196" i="33"/>
  <c r="Q266" i="32"/>
  <c r="S197" i="33" s="1"/>
  <c r="Q315" i="2"/>
  <c r="Q314" i="2"/>
  <c r="Q312" i="2"/>
  <c r="Q143" i="33"/>
  <c r="Q184" i="33"/>
  <c r="Q133" i="33"/>
  <c r="M608" i="33"/>
  <c r="M649" i="33"/>
  <c r="R127" i="2"/>
  <c r="R125" i="2" s="1"/>
  <c r="M413" i="2"/>
  <c r="M426" i="2" s="1"/>
  <c r="M435" i="2" s="1"/>
  <c r="P284" i="32"/>
  <c r="R385" i="33" s="1"/>
  <c r="R395" i="33" s="1"/>
  <c r="R393" i="33" s="1"/>
  <c r="P252" i="32"/>
  <c r="Q126" i="3"/>
  <c r="R110" i="3"/>
  <c r="Q110" i="32"/>
  <c r="Q126" i="32" s="1"/>
  <c r="Q211" i="33"/>
  <c r="Q213" i="33"/>
  <c r="O331" i="33"/>
  <c r="O372" i="33"/>
  <c r="N592" i="2"/>
  <c r="N590" i="2" s="1"/>
  <c r="Q371" i="2"/>
  <c r="Q368" i="2"/>
  <c r="Q367" i="2" s="1"/>
  <c r="Q307" i="2"/>
  <c r="T106" i="32"/>
  <c r="T122" i="32" s="1"/>
  <c r="U106" i="3"/>
  <c r="T122" i="3"/>
  <c r="Q251" i="3"/>
  <c r="Q283" i="3"/>
  <c r="S292" i="2" s="1"/>
  <c r="S302" i="2" s="1"/>
  <c r="S300" i="2" s="1"/>
  <c r="P134" i="33"/>
  <c r="P147" i="33" s="1"/>
  <c r="N270" i="32"/>
  <c r="P569" i="33" s="1"/>
  <c r="P568" i="33"/>
  <c r="P421" i="2"/>
  <c r="P430" i="2" s="1"/>
  <c r="P462" i="2"/>
  <c r="O404" i="33"/>
  <c r="K639" i="33"/>
  <c r="L621" i="33"/>
  <c r="H632" i="33"/>
  <c r="H644" i="33" s="1"/>
  <c r="I614" i="33"/>
  <c r="I632" i="33" s="1"/>
  <c r="M597" i="33"/>
  <c r="M598" i="33" s="1"/>
  <c r="M599" i="33" s="1"/>
  <c r="M612" i="33" s="1"/>
  <c r="L573" i="33"/>
  <c r="K604" i="33"/>
  <c r="K629" i="33" s="1"/>
  <c r="K605" i="33"/>
  <c r="K613" i="33" s="1"/>
  <c r="K653" i="33"/>
  <c r="P616" i="33"/>
  <c r="S580" i="33"/>
  <c r="J626" i="33"/>
  <c r="I640" i="33"/>
  <c r="L627" i="33"/>
  <c r="K641" i="33"/>
  <c r="H639" i="2"/>
  <c r="I621" i="2"/>
  <c r="H573" i="2"/>
  <c r="J363" i="33"/>
  <c r="U158" i="32"/>
  <c r="U222" i="32" s="1"/>
  <c r="U174" i="32" s="1"/>
  <c r="V158" i="3"/>
  <c r="U222" i="3"/>
  <c r="U174" i="3" s="1"/>
  <c r="V168" i="2"/>
  <c r="W540" i="2"/>
  <c r="K444" i="33"/>
  <c r="K456" i="33" s="1"/>
  <c r="W362" i="2"/>
  <c r="W318" i="2"/>
  <c r="W225" i="2"/>
  <c r="X472" i="2"/>
  <c r="X477" i="2" s="1"/>
  <c r="X565" i="2"/>
  <c r="X570" i="2" s="1"/>
  <c r="W636" i="2"/>
  <c r="W633" i="2"/>
  <c r="J573" i="2"/>
  <c r="J635" i="2"/>
  <c r="K617" i="2"/>
  <c r="H641" i="2"/>
  <c r="I627" i="2"/>
  <c r="A635" i="2"/>
  <c r="F625" i="2"/>
  <c r="F626" i="2"/>
  <c r="G626" i="2" s="1"/>
  <c r="K597" i="2"/>
  <c r="K598" i="2" s="1"/>
  <c r="K599" i="2" s="1"/>
  <c r="K612" i="2" s="1"/>
  <c r="O648" i="2"/>
  <c r="O607" i="2"/>
  <c r="N616" i="2"/>
  <c r="Q580" i="2"/>
  <c r="P581" i="2"/>
  <c r="P579" i="2" s="1"/>
  <c r="H512" i="2"/>
  <c r="H520" i="2" s="1"/>
  <c r="N341" i="33"/>
  <c r="M359" i="33"/>
  <c r="M354" i="33"/>
  <c r="N291" i="33"/>
  <c r="M357" i="33"/>
  <c r="M361" i="33"/>
  <c r="M362" i="33"/>
  <c r="M340" i="33"/>
  <c r="L358" i="33"/>
  <c r="L338" i="33"/>
  <c r="K356" i="33"/>
  <c r="G486" i="33"/>
  <c r="I487" i="33"/>
  <c r="H488" i="33"/>
  <c r="H486" i="33" s="1"/>
  <c r="A491" i="33"/>
  <c r="H560" i="2"/>
  <c r="H537" i="2"/>
  <c r="H549" i="2" s="1"/>
  <c r="G549" i="2"/>
  <c r="G521" i="2"/>
  <c r="G520" i="2"/>
  <c r="M504" i="2"/>
  <c r="L505" i="2"/>
  <c r="L506" i="2" s="1"/>
  <c r="L519" i="2" s="1"/>
  <c r="J512" i="2"/>
  <c r="J520" i="2" s="1"/>
  <c r="J511" i="2"/>
  <c r="J536" i="2" s="1"/>
  <c r="J560" i="2"/>
  <c r="I546" i="2"/>
  <c r="J528" i="2"/>
  <c r="I560" i="2"/>
  <c r="I511" i="2"/>
  <c r="I536" i="2" s="1"/>
  <c r="I512" i="2"/>
  <c r="I520" i="2" s="1"/>
  <c r="O555" i="2"/>
  <c r="O514" i="2"/>
  <c r="Q487" i="2"/>
  <c r="P488" i="2"/>
  <c r="P486" i="2" s="1"/>
  <c r="H533" i="2"/>
  <c r="G547" i="2"/>
  <c r="K542" i="2"/>
  <c r="L524" i="2"/>
  <c r="N523" i="2"/>
  <c r="M541" i="2"/>
  <c r="I548" i="2"/>
  <c r="J534" i="2"/>
  <c r="K511" i="2"/>
  <c r="K536" i="2" s="1"/>
  <c r="K512" i="2"/>
  <c r="K520" i="2" s="1"/>
  <c r="K560" i="2"/>
  <c r="W384" i="2"/>
  <c r="W447" i="2" s="1"/>
  <c r="W411" i="2"/>
  <c r="X1" i="33"/>
  <c r="X286" i="2"/>
  <c r="X291" i="2" s="1"/>
  <c r="Y1" i="2"/>
  <c r="X193" i="2"/>
  <c r="X198" i="2" s="1"/>
  <c r="X100" i="2"/>
  <c r="X379" i="2"/>
  <c r="X7" i="2"/>
  <c r="V4" i="3"/>
  <c r="T43" i="41"/>
  <c r="T61" i="41" s="1"/>
  <c r="T70" i="41"/>
  <c r="T88" i="41" s="1"/>
  <c r="T106" i="41" s="1"/>
  <c r="A23" i="2"/>
  <c r="F22" i="2"/>
  <c r="Y2" i="33"/>
  <c r="W1" i="32" s="1"/>
  <c r="Z2" i="2"/>
  <c r="BC5" i="5"/>
  <c r="W1" i="3"/>
  <c r="R175" i="2"/>
  <c r="S161" i="2"/>
  <c r="W264" i="2"/>
  <c r="W261" i="2"/>
  <c r="W105" i="2"/>
  <c r="W171" i="2" s="1"/>
  <c r="W132" i="2"/>
  <c r="W286" i="33"/>
  <c r="W318" i="33" s="1"/>
  <c r="U4" i="32"/>
  <c r="U25" i="41" s="1"/>
  <c r="W193" i="33"/>
  <c r="W225" i="33" s="1"/>
  <c r="W379" i="33"/>
  <c r="W411" i="33" s="1"/>
  <c r="W100" i="33"/>
  <c r="W132" i="33" s="1"/>
  <c r="W7" i="33"/>
  <c r="W39" i="33" s="1"/>
  <c r="J165" i="33"/>
  <c r="J177" i="33" s="1"/>
  <c r="P227" i="2"/>
  <c r="P240" i="2" s="1"/>
  <c r="V154" i="3"/>
  <c r="U154" i="32"/>
  <c r="U218" i="32" s="1"/>
  <c r="U170" i="32" s="1"/>
  <c r="U218" i="3"/>
  <c r="U170" i="3" s="1"/>
  <c r="W155" i="3"/>
  <c r="V155" i="32"/>
  <c r="V219" i="32" s="1"/>
  <c r="V171" i="32" s="1"/>
  <c r="V219" i="3"/>
  <c r="V171" i="3" s="1"/>
  <c r="V157" i="3"/>
  <c r="U157" i="32"/>
  <c r="U221" i="32" s="1"/>
  <c r="U173" i="32" s="1"/>
  <c r="U221" i="3"/>
  <c r="U173" i="3" s="1"/>
  <c r="W156" i="3"/>
  <c r="V156" i="32"/>
  <c r="V220" i="32" s="1"/>
  <c r="V172" i="32" s="1"/>
  <c r="V220" i="3"/>
  <c r="V172" i="3" s="1"/>
  <c r="V44" i="3"/>
  <c r="V44" i="32"/>
  <c r="T93" i="32"/>
  <c r="U93" i="3"/>
  <c r="I272" i="2"/>
  <c r="L453" i="33"/>
  <c r="I167" i="33"/>
  <c r="I179" i="33" s="1"/>
  <c r="J149" i="33"/>
  <c r="J84" i="33"/>
  <c r="K72" i="33"/>
  <c r="N173" i="33"/>
  <c r="O155" i="33"/>
  <c r="P151" i="33"/>
  <c r="Q151" i="33" s="1"/>
  <c r="O105" i="33"/>
  <c r="O169" i="33" s="1"/>
  <c r="N175" i="33"/>
  <c r="N171" i="33"/>
  <c r="N176" i="33"/>
  <c r="N168" i="33"/>
  <c r="O61" i="2"/>
  <c r="N79" i="2"/>
  <c r="L77" i="33"/>
  <c r="M59" i="33"/>
  <c r="M337" i="33"/>
  <c r="L355" i="33"/>
  <c r="I74" i="33"/>
  <c r="I86" i="33" s="1"/>
  <c r="J56" i="33"/>
  <c r="L453" i="2"/>
  <c r="N61" i="33"/>
  <c r="M79" i="33"/>
  <c r="L174" i="2"/>
  <c r="M156" i="2"/>
  <c r="J456" i="2"/>
  <c r="J149" i="2"/>
  <c r="I167" i="2"/>
  <c r="I179" i="2" s="1"/>
  <c r="K165" i="2"/>
  <c r="J177" i="2"/>
  <c r="N430" i="33"/>
  <c r="N244" i="2"/>
  <c r="M262" i="2"/>
  <c r="N82" i="33"/>
  <c r="O12" i="33"/>
  <c r="N83" i="33"/>
  <c r="N75" i="33"/>
  <c r="N78" i="33"/>
  <c r="M58" i="33"/>
  <c r="L76" i="33"/>
  <c r="N80" i="33"/>
  <c r="O62" i="33"/>
  <c r="P62" i="2"/>
  <c r="O80" i="2"/>
  <c r="I446" i="2"/>
  <c r="I458" i="2" s="1"/>
  <c r="J428" i="2"/>
  <c r="J428" i="33"/>
  <c r="I446" i="33"/>
  <c r="I458" i="33" s="1"/>
  <c r="M170" i="33"/>
  <c r="N152" i="33"/>
  <c r="N151" i="2"/>
  <c r="M169" i="2"/>
  <c r="K81" i="33"/>
  <c r="L63" i="33"/>
  <c r="N172" i="33"/>
  <c r="O154" i="33"/>
  <c r="K174" i="33"/>
  <c r="L156" i="33"/>
  <c r="J270" i="2"/>
  <c r="K258" i="2"/>
  <c r="L249" i="33"/>
  <c r="K267" i="33"/>
  <c r="H260" i="33"/>
  <c r="H272" i="33" s="1"/>
  <c r="I242" i="33"/>
  <c r="N245" i="2"/>
  <c r="M263" i="2"/>
  <c r="M249" i="2"/>
  <c r="L267" i="2"/>
  <c r="I270" i="33"/>
  <c r="J258" i="33"/>
  <c r="L263" i="33"/>
  <c r="M245" i="33"/>
  <c r="O269" i="2"/>
  <c r="O268" i="2"/>
  <c r="O261" i="2"/>
  <c r="P198" i="2"/>
  <c r="O264" i="2"/>
  <c r="O265" i="2"/>
  <c r="N261" i="33"/>
  <c r="N268" i="33"/>
  <c r="O198" i="33"/>
  <c r="N264" i="33"/>
  <c r="N269" i="33"/>
  <c r="N262" i="33"/>
  <c r="N266" i="33"/>
  <c r="O247" i="33"/>
  <c r="N265" i="33"/>
  <c r="O266" i="2"/>
  <c r="P248" i="2"/>
  <c r="J260" i="2"/>
  <c r="K242" i="2"/>
  <c r="R244" i="33"/>
  <c r="W429" i="33"/>
  <c r="X440" i="33"/>
  <c r="N359" i="2"/>
  <c r="O341" i="2"/>
  <c r="W440" i="2"/>
  <c r="V454" i="2"/>
  <c r="M338" i="2"/>
  <c r="L356" i="2"/>
  <c r="J353" i="33"/>
  <c r="K335" i="33"/>
  <c r="L342" i="2"/>
  <c r="K360" i="2"/>
  <c r="W161" i="33"/>
  <c r="N340" i="2"/>
  <c r="M358" i="2"/>
  <c r="W57" i="33"/>
  <c r="X150" i="2"/>
  <c r="V176" i="2"/>
  <c r="W162" i="2"/>
  <c r="X441" i="33"/>
  <c r="W243" i="33"/>
  <c r="V268" i="2"/>
  <c r="W254" i="2"/>
  <c r="I363" i="2"/>
  <c r="J351" i="2"/>
  <c r="W254" i="33"/>
  <c r="W347" i="2"/>
  <c r="V361" i="2"/>
  <c r="L360" i="33"/>
  <c r="M342" i="33"/>
  <c r="H353" i="2"/>
  <c r="H365" i="2" s="1"/>
  <c r="I335" i="2"/>
  <c r="W150" i="33"/>
  <c r="O355" i="2"/>
  <c r="P337" i="2"/>
  <c r="W336" i="2"/>
  <c r="V354" i="2"/>
  <c r="N357" i="2"/>
  <c r="N362" i="2"/>
  <c r="N361" i="2"/>
  <c r="N354" i="2"/>
  <c r="W255" i="33"/>
  <c r="X67" i="33" l="1"/>
  <c r="X68" i="33"/>
  <c r="X346" i="33"/>
  <c r="Q88" i="33"/>
  <c r="R78" i="2"/>
  <c r="S12" i="2"/>
  <c r="R75" i="2"/>
  <c r="O281" i="2"/>
  <c r="O232" i="2"/>
  <c r="O257" i="2" s="1"/>
  <c r="X253" i="33"/>
  <c r="X625" i="33"/>
  <c r="R211" i="33"/>
  <c r="O361" i="2"/>
  <c r="AC361" i="2" s="1" a="1"/>
  <c r="AC361" i="2" s="1"/>
  <c r="O357" i="2"/>
  <c r="AC357" i="2" s="1" a="1"/>
  <c r="AC357" i="2" s="1"/>
  <c r="O362" i="2"/>
  <c r="AC362" i="2" s="1" a="1"/>
  <c r="AC362" i="2" s="1"/>
  <c r="O354" i="2"/>
  <c r="AC354" i="2" s="1" a="1"/>
  <c r="AC354" i="2" s="1"/>
  <c r="AC355" i="2" a="1"/>
  <c r="AC355" i="2" s="1"/>
  <c r="L170" i="2"/>
  <c r="M152" i="2"/>
  <c r="N154" i="2"/>
  <c r="M172" i="2"/>
  <c r="O155" i="2"/>
  <c r="N173" i="2"/>
  <c r="N171" i="2"/>
  <c r="O105" i="2"/>
  <c r="N168" i="2"/>
  <c r="N176" i="2"/>
  <c r="N175" i="2"/>
  <c r="L351" i="33"/>
  <c r="Q248" i="33"/>
  <c r="X269" i="2"/>
  <c r="X160" i="2"/>
  <c r="X346" i="2"/>
  <c r="X439" i="2"/>
  <c r="X532" i="2"/>
  <c r="S249" i="32"/>
  <c r="M646" i="33"/>
  <c r="Y522" i="2"/>
  <c r="X540" i="2"/>
  <c r="W68" i="41"/>
  <c r="BD7" i="5"/>
  <c r="X68" i="41" s="1"/>
  <c r="X348" i="33"/>
  <c r="Y606" i="2"/>
  <c r="Y615" i="2" s="1"/>
  <c r="Y624" i="2"/>
  <c r="Y609" i="2"/>
  <c r="Y618" i="2" s="1"/>
  <c r="Y624" i="33"/>
  <c r="Y609" i="33"/>
  <c r="Y618" i="33" s="1"/>
  <c r="Y606" i="33"/>
  <c r="Y615" i="33" s="1"/>
  <c r="Y516" i="33"/>
  <c r="Y525" i="33" s="1"/>
  <c r="Y623" i="2"/>
  <c r="Y513" i="2"/>
  <c r="Y623" i="33"/>
  <c r="Y531" i="2"/>
  <c r="Y516" i="2"/>
  <c r="Y525" i="2" s="1"/>
  <c r="Y531" i="33"/>
  <c r="Y530" i="2"/>
  <c r="Y513" i="33"/>
  <c r="Y522" i="33" s="1"/>
  <c r="Y530" i="33"/>
  <c r="Y327" i="33"/>
  <c r="Y336" i="33" s="1"/>
  <c r="Y420" i="33"/>
  <c r="Y234" i="33"/>
  <c r="Y141" i="33"/>
  <c r="Y51" i="33"/>
  <c r="Y60" i="33" s="1"/>
  <c r="Y345" i="2"/>
  <c r="Y348" i="2" s="1"/>
  <c r="Y420" i="2"/>
  <c r="Y144" i="33"/>
  <c r="Y153" i="33" s="1"/>
  <c r="Y437" i="33"/>
  <c r="Y51" i="2"/>
  <c r="Y60" i="2" s="1"/>
  <c r="Y159" i="33"/>
  <c r="Y252" i="33"/>
  <c r="Y330" i="2"/>
  <c r="Y339" i="2" s="1"/>
  <c r="Y344" i="2"/>
  <c r="Y346" i="2" s="1"/>
  <c r="Y141" i="2"/>
  <c r="Y237" i="33"/>
  <c r="Y246" i="33" s="1"/>
  <c r="Y327" i="2"/>
  <c r="Y144" i="2"/>
  <c r="Y153" i="2" s="1"/>
  <c r="Y438" i="2"/>
  <c r="Y441" i="2" s="1"/>
  <c r="Y438" i="33"/>
  <c r="Y423" i="33"/>
  <c r="Y432" i="33" s="1"/>
  <c r="Y65" i="33"/>
  <c r="Y159" i="2"/>
  <c r="Y66" i="2"/>
  <c r="Y330" i="33"/>
  <c r="Y339" i="33" s="1"/>
  <c r="Y158" i="33"/>
  <c r="Y48" i="2"/>
  <c r="Y423" i="2"/>
  <c r="Y432" i="2" s="1"/>
  <c r="Y345" i="33"/>
  <c r="Y66" i="33"/>
  <c r="Y251" i="33"/>
  <c r="Y234" i="2"/>
  <c r="Y243" i="2" s="1"/>
  <c r="BD13" i="5"/>
  <c r="BD14" i="5" s="1"/>
  <c r="Y237" i="2"/>
  <c r="Y246" i="2" s="1"/>
  <c r="Y252" i="2"/>
  <c r="Y255" i="2" s="1"/>
  <c r="Y437" i="2"/>
  <c r="Y65" i="2"/>
  <c r="Y158" i="2"/>
  <c r="Y48" i="33"/>
  <c r="Y251" i="2"/>
  <c r="Y344" i="33"/>
  <c r="Y347" i="33" s="1"/>
  <c r="X532" i="33"/>
  <c r="X625" i="2"/>
  <c r="X160" i="33"/>
  <c r="X439" i="33"/>
  <c r="X357" i="2"/>
  <c r="X69" i="33"/>
  <c r="U262" i="32"/>
  <c r="U278" i="32" s="1"/>
  <c r="U294" i="32"/>
  <c r="T137" i="32"/>
  <c r="T233" i="32" s="1"/>
  <c r="V102" i="33"/>
  <c r="U256" i="32"/>
  <c r="U272" i="32" s="1"/>
  <c r="U288" i="32"/>
  <c r="U89" i="32"/>
  <c r="U121" i="32" s="1"/>
  <c r="V89" i="3"/>
  <c r="W118" i="3"/>
  <c r="V118" i="32"/>
  <c r="U240" i="3"/>
  <c r="W164" i="32"/>
  <c r="W228" i="32" s="1"/>
  <c r="W180" i="32" s="1"/>
  <c r="X164" i="3"/>
  <c r="W228" i="3"/>
  <c r="W180" i="3" s="1"/>
  <c r="X100" i="3"/>
  <c r="X100" i="32" s="1"/>
  <c r="W100" i="32"/>
  <c r="W198" i="3"/>
  <c r="V182" i="3"/>
  <c r="U241" i="32"/>
  <c r="X113" i="3"/>
  <c r="X113" i="32" s="1"/>
  <c r="W113" i="32"/>
  <c r="U131" i="32"/>
  <c r="U147" i="32" s="1"/>
  <c r="U243" i="32" s="1"/>
  <c r="V161" i="32"/>
  <c r="V225" i="32" s="1"/>
  <c r="V177" i="32" s="1"/>
  <c r="W161" i="3"/>
  <c r="V225" i="3"/>
  <c r="X163" i="3"/>
  <c r="W163" i="32"/>
  <c r="W227" i="32" s="1"/>
  <c r="W179" i="32" s="1"/>
  <c r="W227" i="3"/>
  <c r="W99" i="3"/>
  <c r="V99" i="32"/>
  <c r="X115" i="3"/>
  <c r="X115" i="32" s="1"/>
  <c r="W115" i="32"/>
  <c r="U130" i="32"/>
  <c r="U146" i="32" s="1"/>
  <c r="U242" i="32" s="1"/>
  <c r="V84" i="3"/>
  <c r="V86" i="3"/>
  <c r="V134" i="3" s="1"/>
  <c r="V150" i="3" s="1"/>
  <c r="V246" i="3" s="1"/>
  <c r="V294" i="3" s="1"/>
  <c r="V80" i="3"/>
  <c r="V128" i="3" s="1"/>
  <c r="V144" i="3" s="1"/>
  <c r="V77" i="3"/>
  <c r="V74" i="3"/>
  <c r="V83" i="3"/>
  <c r="V131" i="3" s="1"/>
  <c r="V147" i="3" s="1"/>
  <c r="V73" i="3"/>
  <c r="V78" i="3"/>
  <c r="V76" i="3"/>
  <c r="V72" i="3"/>
  <c r="V120" i="3" s="1"/>
  <c r="V136" i="3" s="1"/>
  <c r="V232" i="3" s="1"/>
  <c r="V85" i="3"/>
  <c r="V133" i="3" s="1"/>
  <c r="V149" i="3" s="1"/>
  <c r="V245" i="3" s="1"/>
  <c r="V75" i="3"/>
  <c r="V82" i="3"/>
  <c r="V79" i="3"/>
  <c r="V127" i="3" s="1"/>
  <c r="V143" i="3" s="1"/>
  <c r="V239" i="3" s="1"/>
  <c r="V255" i="3" s="1"/>
  <c r="V271" i="3" s="1"/>
  <c r="V81" i="3"/>
  <c r="V129" i="3" s="1"/>
  <c r="V145" i="3" s="1"/>
  <c r="W162" i="32"/>
  <c r="W226" i="32" s="1"/>
  <c r="X162" i="3"/>
  <c r="W226" i="3"/>
  <c r="X165" i="3"/>
  <c r="W165" i="32"/>
  <c r="W229" i="32" s="1"/>
  <c r="W181" i="32" s="1"/>
  <c r="W229" i="3"/>
  <c r="W181" i="3" s="1"/>
  <c r="W117" i="32"/>
  <c r="X117" i="3"/>
  <c r="X117" i="32" s="1"/>
  <c r="X197" i="3"/>
  <c r="V128" i="32"/>
  <c r="V144" i="32" s="1"/>
  <c r="W160" i="3"/>
  <c r="V160" i="32"/>
  <c r="V224" i="32" s="1"/>
  <c r="V176" i="32" s="1"/>
  <c r="V224" i="3"/>
  <c r="V176" i="3" s="1"/>
  <c r="V81" i="32"/>
  <c r="V129" i="32" s="1"/>
  <c r="V145" i="32" s="1"/>
  <c r="V74" i="32"/>
  <c r="V83" i="32"/>
  <c r="V73" i="32"/>
  <c r="V86" i="32"/>
  <c r="V134" i="32" s="1"/>
  <c r="V150" i="32" s="1"/>
  <c r="V246" i="32" s="1"/>
  <c r="V84" i="32"/>
  <c r="V72" i="32"/>
  <c r="V79" i="32"/>
  <c r="V78" i="32"/>
  <c r="V82" i="32"/>
  <c r="V80" i="32"/>
  <c r="V76" i="32"/>
  <c r="V85" i="32"/>
  <c r="V133" i="32" s="1"/>
  <c r="V149" i="32" s="1"/>
  <c r="V245" i="32" s="1"/>
  <c r="V75" i="32"/>
  <c r="V77" i="32"/>
  <c r="T262" i="3"/>
  <c r="T278" i="3" s="1"/>
  <c r="T294" i="3"/>
  <c r="U243" i="3"/>
  <c r="X5" i="3"/>
  <c r="W5" i="32"/>
  <c r="W6" i="32" s="1"/>
  <c r="W6" i="3"/>
  <c r="W166" i="32"/>
  <c r="W230" i="32" s="1"/>
  <c r="W182" i="32" s="1"/>
  <c r="X166" i="3"/>
  <c r="W230" i="3"/>
  <c r="W96" i="32"/>
  <c r="X96" i="3"/>
  <c r="X96" i="32" s="1"/>
  <c r="V159" i="32"/>
  <c r="V223" i="32" s="1"/>
  <c r="V175" i="32" s="1"/>
  <c r="W159" i="3"/>
  <c r="V223" i="3"/>
  <c r="V175" i="3" s="1"/>
  <c r="U136" i="32"/>
  <c r="U232" i="32" s="1"/>
  <c r="W9" i="33"/>
  <c r="U258" i="32"/>
  <c r="U274" i="32" s="1"/>
  <c r="U290" i="32"/>
  <c r="S94" i="2"/>
  <c r="S53" i="2"/>
  <c r="S94" i="33"/>
  <c r="S53" i="33"/>
  <c r="S34" i="33"/>
  <c r="S32" i="33" s="1"/>
  <c r="S34" i="2"/>
  <c r="S32" i="2" s="1"/>
  <c r="T33" i="33"/>
  <c r="T34" i="33" s="1"/>
  <c r="T36" i="33"/>
  <c r="T35" i="33"/>
  <c r="W88" i="32"/>
  <c r="X88" i="3"/>
  <c r="X114" i="3"/>
  <c r="X114" i="32" s="1"/>
  <c r="W114" i="32"/>
  <c r="U291" i="3"/>
  <c r="U259" i="3"/>
  <c r="U275" i="3" s="1"/>
  <c r="T280" i="3"/>
  <c r="V13" i="2" s="1"/>
  <c r="T248" i="3"/>
  <c r="V287" i="3"/>
  <c r="X9" i="2"/>
  <c r="U287" i="32"/>
  <c r="U255" i="32"/>
  <c r="S264" i="32"/>
  <c r="U11" i="33" s="1"/>
  <c r="U10" i="33"/>
  <c r="T292" i="3"/>
  <c r="T260" i="3"/>
  <c r="T276" i="3" s="1"/>
  <c r="T289" i="3"/>
  <c r="T257" i="3"/>
  <c r="T273" i="3" s="1"/>
  <c r="T28" i="33"/>
  <c r="T89" i="33"/>
  <c r="T92" i="33"/>
  <c r="S27" i="33"/>
  <c r="S25" i="33"/>
  <c r="W102" i="32"/>
  <c r="X102" i="3"/>
  <c r="W195" i="3"/>
  <c r="V179" i="3"/>
  <c r="V243" i="3" s="1"/>
  <c r="R91" i="33"/>
  <c r="R50" i="33"/>
  <c r="R40" i="33"/>
  <c r="R41" i="33" s="1"/>
  <c r="R54" i="33" s="1"/>
  <c r="X97" i="32"/>
  <c r="T89" i="2"/>
  <c r="T92" i="2"/>
  <c r="V111" i="32"/>
  <c r="W111" i="3"/>
  <c r="T292" i="32"/>
  <c r="T260" i="32"/>
  <c r="T276" i="32" s="1"/>
  <c r="V193" i="3"/>
  <c r="U177" i="3"/>
  <c r="U241" i="3" s="1"/>
  <c r="Q41" i="33"/>
  <c r="Q54" i="33" s="1"/>
  <c r="T280" i="32"/>
  <c r="V13" i="33" s="1"/>
  <c r="V23" i="33" s="1"/>
  <c r="V21" i="33" s="1"/>
  <c r="V49" i="33" s="1"/>
  <c r="T248" i="32"/>
  <c r="W101" i="32"/>
  <c r="X101" i="3"/>
  <c r="V116" i="3"/>
  <c r="U116" i="32"/>
  <c r="U132" i="32" s="1"/>
  <c r="U148" i="32" s="1"/>
  <c r="U244" i="32" s="1"/>
  <c r="U132" i="3"/>
  <c r="U148" i="3" s="1"/>
  <c r="U244" i="3" s="1"/>
  <c r="U36" i="2"/>
  <c r="U35" i="2"/>
  <c r="U33" i="2"/>
  <c r="U34" i="2" s="1"/>
  <c r="V293" i="3"/>
  <c r="V261" i="3"/>
  <c r="V277" i="3" s="1"/>
  <c r="R52" i="33"/>
  <c r="R93" i="33"/>
  <c r="X194" i="3"/>
  <c r="W178" i="3"/>
  <c r="U89" i="2"/>
  <c r="U92" i="2"/>
  <c r="U290" i="3"/>
  <c r="U258" i="3"/>
  <c r="U274" i="3" s="1"/>
  <c r="V104" i="32"/>
  <c r="W104" i="3"/>
  <c r="T33" i="2"/>
  <c r="T34" i="2" s="1"/>
  <c r="T36" i="2"/>
  <c r="T35" i="2"/>
  <c r="T90" i="33"/>
  <c r="U280" i="3"/>
  <c r="W13" i="2" s="1"/>
  <c r="U248" i="3"/>
  <c r="P15" i="33"/>
  <c r="V98" i="32"/>
  <c r="V130" i="32" s="1"/>
  <c r="V146" i="32" s="1"/>
  <c r="V242" i="32" s="1"/>
  <c r="W98" i="3"/>
  <c r="V130" i="3"/>
  <c r="V146" i="3" s="1"/>
  <c r="V242" i="3" s="1"/>
  <c r="W95" i="32"/>
  <c r="X95" i="3"/>
  <c r="M636" i="2"/>
  <c r="M633" i="2"/>
  <c r="N570" i="2"/>
  <c r="N634" i="2" s="1"/>
  <c r="M634" i="33"/>
  <c r="M636" i="33"/>
  <c r="M633" i="33"/>
  <c r="N570" i="33"/>
  <c r="N638" i="33" s="1"/>
  <c r="M543" i="33"/>
  <c r="M540" i="33"/>
  <c r="N477" i="33"/>
  <c r="N545" i="33" s="1"/>
  <c r="L617" i="33"/>
  <c r="L635" i="33" s="1"/>
  <c r="X193" i="32"/>
  <c r="X194" i="32"/>
  <c r="W178" i="32"/>
  <c r="X185" i="32"/>
  <c r="X169" i="32" s="1"/>
  <c r="W169" i="32"/>
  <c r="N651" i="33"/>
  <c r="L620" i="2"/>
  <c r="L638" i="2" s="1"/>
  <c r="P274" i="33"/>
  <c r="O497" i="2"/>
  <c r="O517" i="2" s="1"/>
  <c r="N460" i="2"/>
  <c r="M611" i="2"/>
  <c r="M652" i="2"/>
  <c r="M646" i="2" s="1"/>
  <c r="O595" i="2"/>
  <c r="N594" i="2"/>
  <c r="N294" i="2"/>
  <c r="N374" i="2" s="1"/>
  <c r="Q430" i="2"/>
  <c r="N451" i="2"/>
  <c r="P201" i="33"/>
  <c r="P232" i="33" s="1"/>
  <c r="P257" i="33" s="1"/>
  <c r="K630" i="33"/>
  <c r="K642" i="33" s="1"/>
  <c r="N140" i="33"/>
  <c r="N148" i="33" s="1"/>
  <c r="N139" i="33"/>
  <c r="N164" i="33" s="1"/>
  <c r="J365" i="33"/>
  <c r="P108" i="33"/>
  <c r="P188" i="33" s="1"/>
  <c r="S275" i="2"/>
  <c r="S274" i="2" s="1"/>
  <c r="N558" i="2"/>
  <c r="O433" i="2"/>
  <c r="S278" i="2"/>
  <c r="X225" i="2"/>
  <c r="O140" i="33"/>
  <c r="O148" i="33" s="1"/>
  <c r="S276" i="2"/>
  <c r="X543" i="2"/>
  <c r="X472" i="33"/>
  <c r="X565" i="33"/>
  <c r="O465" i="2"/>
  <c r="O188" i="33"/>
  <c r="M447" i="33"/>
  <c r="N384" i="33"/>
  <c r="N448" i="33" s="1"/>
  <c r="M450" i="33"/>
  <c r="M455" i="33"/>
  <c r="M454" i="33"/>
  <c r="K449" i="33"/>
  <c r="L431" i="33"/>
  <c r="Q238" i="2"/>
  <c r="Q247" i="2" s="1"/>
  <c r="Q279" i="2"/>
  <c r="M431" i="2"/>
  <c r="L449" i="2"/>
  <c r="N434" i="33"/>
  <c r="M452" i="33"/>
  <c r="N448" i="2"/>
  <c r="O384" i="2"/>
  <c r="N450" i="2"/>
  <c r="N455" i="2"/>
  <c r="N447" i="2"/>
  <c r="N452" i="2"/>
  <c r="N454" i="2"/>
  <c r="G613" i="2"/>
  <c r="G614" i="2"/>
  <c r="G632" i="2" s="1"/>
  <c r="O281" i="33"/>
  <c r="O232" i="33"/>
  <c r="O257" i="33" s="1"/>
  <c r="L451" i="33"/>
  <c r="M433" i="33"/>
  <c r="R186" i="2"/>
  <c r="R145" i="2"/>
  <c r="R186" i="33"/>
  <c r="R145" i="33"/>
  <c r="N610" i="2"/>
  <c r="N619" i="2" s="1"/>
  <c r="N651" i="2"/>
  <c r="P331" i="2"/>
  <c r="P372" i="2"/>
  <c r="M544" i="33"/>
  <c r="N545" i="2"/>
  <c r="P647" i="33"/>
  <c r="P586" i="33"/>
  <c r="P650" i="33"/>
  <c r="P648" i="33"/>
  <c r="S567" i="2"/>
  <c r="Q142" i="3"/>
  <c r="Q238" i="3" s="1"/>
  <c r="O320" i="33"/>
  <c r="O333" i="33" s="1"/>
  <c r="T128" i="2"/>
  <c r="T126" i="2"/>
  <c r="T129" i="2"/>
  <c r="S120" i="2"/>
  <c r="S118" i="2"/>
  <c r="S265" i="32"/>
  <c r="U104" i="33" s="1"/>
  <c r="U183" i="33" s="1"/>
  <c r="U103" i="33"/>
  <c r="W105" i="3"/>
  <c r="V105" i="32"/>
  <c r="V121" i="3"/>
  <c r="Q464" i="2"/>
  <c r="Q461" i="2"/>
  <c r="Q460" i="2" s="1"/>
  <c r="Q400" i="2"/>
  <c r="O140" i="2"/>
  <c r="O148" i="2" s="1"/>
  <c r="O139" i="2"/>
  <c r="O164" i="2" s="1"/>
  <c r="O188" i="2"/>
  <c r="O269" i="3"/>
  <c r="Q476" i="2" s="1"/>
  <c r="Q475" i="2"/>
  <c r="Q332" i="2"/>
  <c r="Q373" i="2"/>
  <c r="R283" i="32"/>
  <c r="T292" i="33" s="1"/>
  <c r="T302" i="33" s="1"/>
  <c r="T300" i="33" s="1"/>
  <c r="R251" i="32"/>
  <c r="T196" i="2"/>
  <c r="R266" i="3"/>
  <c r="T197" i="2" s="1"/>
  <c r="Q236" i="2"/>
  <c r="Q277" i="2"/>
  <c r="Q226" i="2"/>
  <c r="Q227" i="2" s="1"/>
  <c r="Q240" i="2" s="1"/>
  <c r="O583" i="2"/>
  <c r="O585" i="2"/>
  <c r="T121" i="2"/>
  <c r="T185" i="2"/>
  <c r="T182" i="2"/>
  <c r="T181" i="2" s="1"/>
  <c r="Q313" i="33"/>
  <c r="Q311" i="33" s="1"/>
  <c r="P500" i="2"/>
  <c r="P501" i="2"/>
  <c r="P498" i="2"/>
  <c r="P499" i="2" s="1"/>
  <c r="R371" i="33"/>
  <c r="R307" i="33"/>
  <c r="R368" i="33"/>
  <c r="R367" i="33" s="1"/>
  <c r="O559" i="2"/>
  <c r="O518" i="2"/>
  <c r="O527" i="2" s="1"/>
  <c r="S127" i="2"/>
  <c r="S125" i="2" s="1"/>
  <c r="R184" i="2"/>
  <c r="R143" i="2"/>
  <c r="R133" i="2"/>
  <c r="O499" i="33"/>
  <c r="O497" i="33" s="1"/>
  <c r="P285" i="32"/>
  <c r="R478" i="33" s="1"/>
  <c r="P253" i="32"/>
  <c r="N413" i="2"/>
  <c r="N426" i="2" s="1"/>
  <c r="N435" i="2" s="1"/>
  <c r="P372" i="33"/>
  <c r="P331" i="33"/>
  <c r="Q405" i="2"/>
  <c r="Q406" i="2" s="1"/>
  <c r="Q407" i="2"/>
  <c r="Q408" i="2"/>
  <c r="R140" i="3"/>
  <c r="R236" i="3" s="1"/>
  <c r="T381" i="2"/>
  <c r="L467" i="33"/>
  <c r="L419" i="33"/>
  <c r="L427" i="33" s="1"/>
  <c r="L418" i="33"/>
  <c r="L443" i="33" s="1"/>
  <c r="L444" i="33" s="1"/>
  <c r="L456" i="33" s="1"/>
  <c r="I605" i="2"/>
  <c r="I613" i="2" s="1"/>
  <c r="I604" i="2"/>
  <c r="I629" i="2" s="1"/>
  <c r="I653" i="2"/>
  <c r="N608" i="33"/>
  <c r="N649" i="33"/>
  <c r="N646" i="33" s="1"/>
  <c r="O422" i="33"/>
  <c r="O463" i="33"/>
  <c r="O412" i="33"/>
  <c r="P108" i="2"/>
  <c r="S265" i="3"/>
  <c r="U104" i="2" s="1"/>
  <c r="U183" i="2" s="1"/>
  <c r="U103" i="2"/>
  <c r="R283" i="3"/>
  <c r="T292" i="2" s="1"/>
  <c r="T302" i="2" s="1"/>
  <c r="T300" i="2" s="1"/>
  <c r="T328" i="2" s="1"/>
  <c r="R251" i="3"/>
  <c r="O590" i="2"/>
  <c r="P557" i="2"/>
  <c r="P554" i="2"/>
  <c r="P553" i="2" s="1"/>
  <c r="P493" i="2"/>
  <c r="R312" i="33"/>
  <c r="R315" i="33"/>
  <c r="R314" i="33"/>
  <c r="O585" i="33"/>
  <c r="O583" i="33"/>
  <c r="S187" i="2"/>
  <c r="S146" i="2"/>
  <c r="O559" i="33"/>
  <c r="O518" i="33"/>
  <c r="O527" i="33" s="1"/>
  <c r="P268" i="3"/>
  <c r="R383" i="2" s="1"/>
  <c r="R462" i="2" s="1"/>
  <c r="R382" i="2"/>
  <c r="P557" i="33"/>
  <c r="P554" i="33"/>
  <c r="P553" i="33" s="1"/>
  <c r="S108" i="32"/>
  <c r="S124" i="32" s="1"/>
  <c r="S124" i="3"/>
  <c r="T108" i="3"/>
  <c r="N608" i="2"/>
  <c r="N649" i="2"/>
  <c r="P286" i="3"/>
  <c r="R571" i="2" s="1"/>
  <c r="P254" i="3"/>
  <c r="O465" i="33"/>
  <c r="O424" i="33"/>
  <c r="S328" i="2"/>
  <c r="Q306" i="2"/>
  <c r="Q304" i="2"/>
  <c r="P268" i="32"/>
  <c r="R383" i="33" s="1"/>
  <c r="R462" i="33" s="1"/>
  <c r="R382" i="33"/>
  <c r="N413" i="33"/>
  <c r="N426" i="33" s="1"/>
  <c r="N435" i="33" s="1"/>
  <c r="T107" i="32"/>
  <c r="T123" i="32" s="1"/>
  <c r="U107" i="3"/>
  <c r="T123" i="3"/>
  <c r="P399" i="2"/>
  <c r="P397" i="2"/>
  <c r="M637" i="33"/>
  <c r="N619" i="33"/>
  <c r="U142" i="2"/>
  <c r="O270" i="32"/>
  <c r="Q569" i="33" s="1"/>
  <c r="Q568" i="33"/>
  <c r="Q332" i="33"/>
  <c r="Q373" i="33"/>
  <c r="P425" i="33"/>
  <c r="P466" i="33"/>
  <c r="P370" i="33"/>
  <c r="P329" i="33"/>
  <c r="P319" i="33"/>
  <c r="R239" i="2"/>
  <c r="R280" i="2"/>
  <c r="Q304" i="33"/>
  <c r="Q306" i="33"/>
  <c r="M387" i="33"/>
  <c r="R421" i="2"/>
  <c r="P498" i="33"/>
  <c r="P500" i="33"/>
  <c r="P501" i="33"/>
  <c r="T142" i="33"/>
  <c r="T183" i="33"/>
  <c r="R140" i="32"/>
  <c r="R236" i="32" s="1"/>
  <c r="T381" i="33"/>
  <c r="T128" i="33"/>
  <c r="T126" i="33"/>
  <c r="T127" i="33" s="1"/>
  <c r="T129" i="33"/>
  <c r="S289" i="2"/>
  <c r="Q267" i="3"/>
  <c r="S290" i="2" s="1"/>
  <c r="Q226" i="33"/>
  <c r="Q227" i="33" s="1"/>
  <c r="Q240" i="33" s="1"/>
  <c r="Q236" i="33"/>
  <c r="Q277" i="33"/>
  <c r="R421" i="33"/>
  <c r="Q134" i="33"/>
  <c r="Q147" i="33" s="1"/>
  <c r="S276" i="33"/>
  <c r="S278" i="33"/>
  <c r="S275" i="33"/>
  <c r="S274" i="33" s="1"/>
  <c r="S214" i="33"/>
  <c r="M544" i="2"/>
  <c r="N526" i="2"/>
  <c r="S139" i="32"/>
  <c r="S235" i="32" s="1"/>
  <c r="U288" i="33"/>
  <c r="Q405" i="33"/>
  <c r="Q406" i="33" s="1"/>
  <c r="Q408" i="33"/>
  <c r="Q407" i="33"/>
  <c r="M326" i="33"/>
  <c r="M334" i="33" s="1"/>
  <c r="M325" i="33"/>
  <c r="M350" i="33" s="1"/>
  <c r="M351" i="33" s="1"/>
  <c r="T142" i="2"/>
  <c r="T183" i="2"/>
  <c r="Q141" i="3"/>
  <c r="Q237" i="3" s="1"/>
  <c r="S474" i="2"/>
  <c r="L418" i="2"/>
  <c r="L443" i="2" s="1"/>
  <c r="L444" i="2" s="1"/>
  <c r="L419" i="2"/>
  <c r="L427" i="2" s="1"/>
  <c r="T121" i="33"/>
  <c r="T182" i="33"/>
  <c r="T181" i="33" s="1"/>
  <c r="T185" i="33"/>
  <c r="Q267" i="32"/>
  <c r="S290" i="33" s="1"/>
  <c r="S289" i="33"/>
  <c r="T138" i="3"/>
  <c r="T234" i="3" s="1"/>
  <c r="V195" i="2"/>
  <c r="S222" i="33"/>
  <c r="S221" i="33"/>
  <c r="S219" i="33"/>
  <c r="S220" i="33" s="1"/>
  <c r="P425" i="2"/>
  <c r="P434" i="2" s="1"/>
  <c r="P466" i="2"/>
  <c r="S139" i="3"/>
  <c r="S235" i="3" s="1"/>
  <c r="U288" i="2"/>
  <c r="Q464" i="33"/>
  <c r="Q400" i="33"/>
  <c r="Q461" i="33"/>
  <c r="Q460" i="33" s="1"/>
  <c r="Q279" i="33"/>
  <c r="Q238" i="33"/>
  <c r="O611" i="33"/>
  <c r="O620" i="33" s="1"/>
  <c r="O652" i="33"/>
  <c r="P404" i="33"/>
  <c r="T249" i="32"/>
  <c r="T281" i="32"/>
  <c r="V106" i="33" s="1"/>
  <c r="V116" i="33" s="1"/>
  <c r="V114" i="33" s="1"/>
  <c r="P591" i="2"/>
  <c r="P592" i="2" s="1"/>
  <c r="P593" i="2"/>
  <c r="R218" i="2"/>
  <c r="Q284" i="32"/>
  <c r="S385" i="33" s="1"/>
  <c r="S395" i="33" s="1"/>
  <c r="S393" i="33" s="1"/>
  <c r="Q252" i="32"/>
  <c r="Q141" i="32"/>
  <c r="Q237" i="32" s="1"/>
  <c r="S474" i="33"/>
  <c r="T281" i="3"/>
  <c r="V106" i="2" s="1"/>
  <c r="V116" i="2" s="1"/>
  <c r="V114" i="2" s="1"/>
  <c r="T249" i="3"/>
  <c r="Q134" i="2"/>
  <c r="Q147" i="2" s="1"/>
  <c r="R211" i="2"/>
  <c r="R213" i="2"/>
  <c r="Q284" i="3"/>
  <c r="S385" i="2" s="1"/>
  <c r="S395" i="2" s="1"/>
  <c r="S393" i="2" s="1"/>
  <c r="Q252" i="3"/>
  <c r="N556" i="2"/>
  <c r="N515" i="2"/>
  <c r="S250" i="32"/>
  <c r="S282" i="32"/>
  <c r="U199" i="33" s="1"/>
  <c r="U209" i="33" s="1"/>
  <c r="U207" i="33" s="1"/>
  <c r="U235" i="33" s="1"/>
  <c r="M374" i="2"/>
  <c r="M326" i="2"/>
  <c r="M334" i="2" s="1"/>
  <c r="M325" i="2"/>
  <c r="M350" i="2" s="1"/>
  <c r="O270" i="3"/>
  <c r="Q569" i="2" s="1"/>
  <c r="Q568" i="2"/>
  <c r="P285" i="3"/>
  <c r="R478" i="2" s="1"/>
  <c r="P253" i="3"/>
  <c r="V106" i="3"/>
  <c r="U122" i="3"/>
  <c r="U106" i="32"/>
  <c r="U122" i="32" s="1"/>
  <c r="Q142" i="32"/>
  <c r="Q238" i="32" s="1"/>
  <c r="S567" i="33"/>
  <c r="M387" i="2"/>
  <c r="O269" i="32"/>
  <c r="Q476" i="33" s="1"/>
  <c r="Q475" i="33"/>
  <c r="R312" i="2"/>
  <c r="R314" i="2"/>
  <c r="R315" i="2"/>
  <c r="S222" i="2"/>
  <c r="S221" i="2"/>
  <c r="S219" i="2"/>
  <c r="S220" i="2" s="1"/>
  <c r="O490" i="2"/>
  <c r="O492" i="2"/>
  <c r="O592" i="33"/>
  <c r="O590" i="33" s="1"/>
  <c r="S120" i="33"/>
  <c r="S118" i="33"/>
  <c r="P586" i="2"/>
  <c r="P647" i="2"/>
  <c r="P650" i="2"/>
  <c r="S109" i="3"/>
  <c r="R109" i="32"/>
  <c r="R125" i="32" s="1"/>
  <c r="R125" i="3"/>
  <c r="S127" i="33"/>
  <c r="S125" i="33" s="1"/>
  <c r="U137" i="3"/>
  <c r="U233" i="3" s="1"/>
  <c r="W102" i="2"/>
  <c r="R239" i="33"/>
  <c r="R248" i="33" s="1"/>
  <c r="R280" i="33"/>
  <c r="N517" i="33"/>
  <c r="N526" i="33" s="1"/>
  <c r="N558" i="33"/>
  <c r="S282" i="3"/>
  <c r="U199" i="2" s="1"/>
  <c r="U209" i="2" s="1"/>
  <c r="U207" i="2" s="1"/>
  <c r="U235" i="2" s="1"/>
  <c r="S250" i="3"/>
  <c r="M637" i="2"/>
  <c r="P594" i="33"/>
  <c r="P591" i="33"/>
  <c r="P592" i="33" s="1"/>
  <c r="P593" i="33"/>
  <c r="T138" i="32"/>
  <c r="T234" i="32" s="1"/>
  <c r="V195" i="33"/>
  <c r="S110" i="3"/>
  <c r="R110" i="32"/>
  <c r="R126" i="32" s="1"/>
  <c r="R126" i="3"/>
  <c r="Q313" i="2"/>
  <c r="Q311" i="2" s="1"/>
  <c r="R184" i="33"/>
  <c r="R143" i="33"/>
  <c r="R133" i="33"/>
  <c r="P406" i="2"/>
  <c r="P404" i="2" s="1"/>
  <c r="R369" i="2"/>
  <c r="R371" i="2"/>
  <c r="R368" i="2"/>
  <c r="R367" i="2" s="1"/>
  <c r="R307" i="2"/>
  <c r="U142" i="33"/>
  <c r="O463" i="2"/>
  <c r="O422" i="2"/>
  <c r="O412" i="2"/>
  <c r="P397" i="33"/>
  <c r="P399" i="33"/>
  <c r="N294" i="33"/>
  <c r="S146" i="33"/>
  <c r="S187" i="33"/>
  <c r="O320" i="2"/>
  <c r="O333" i="2" s="1"/>
  <c r="R218" i="33"/>
  <c r="R226" i="33" s="1"/>
  <c r="P254" i="32"/>
  <c r="P286" i="32"/>
  <c r="R571" i="33" s="1"/>
  <c r="R581" i="33" s="1"/>
  <c r="R579" i="33" s="1"/>
  <c r="R607" i="33" s="1"/>
  <c r="R266" i="32"/>
  <c r="T197" i="33" s="1"/>
  <c r="T196" i="33"/>
  <c r="P370" i="2"/>
  <c r="P319" i="2"/>
  <c r="P329" i="2"/>
  <c r="J614" i="33"/>
  <c r="K614" i="33" s="1"/>
  <c r="L639" i="33"/>
  <c r="M621" i="33"/>
  <c r="I644" i="33"/>
  <c r="L641" i="33"/>
  <c r="M627" i="33"/>
  <c r="T580" i="33"/>
  <c r="M573" i="33"/>
  <c r="N597" i="33"/>
  <c r="N598" i="33" s="1"/>
  <c r="N599" i="33" s="1"/>
  <c r="N612" i="33" s="1"/>
  <c r="J640" i="33"/>
  <c r="K626" i="33"/>
  <c r="Q616" i="33"/>
  <c r="L604" i="33"/>
  <c r="L629" i="33" s="1"/>
  <c r="L605" i="33"/>
  <c r="L613" i="33" s="1"/>
  <c r="L653" i="33"/>
  <c r="H605" i="2"/>
  <c r="H653" i="2"/>
  <c r="H604" i="2"/>
  <c r="H629" i="2" s="1"/>
  <c r="H630" i="2" s="1"/>
  <c r="I639" i="2"/>
  <c r="J621" i="2"/>
  <c r="V158" i="32"/>
  <c r="V222" i="32" s="1"/>
  <c r="V174" i="32" s="1"/>
  <c r="W158" i="3"/>
  <c r="V222" i="3"/>
  <c r="V174" i="3" s="1"/>
  <c r="X362" i="2"/>
  <c r="X636" i="2"/>
  <c r="X633" i="2"/>
  <c r="Y472" i="2"/>
  <c r="Y477" i="2" s="1"/>
  <c r="Y565" i="2"/>
  <c r="Y570" i="2" s="1"/>
  <c r="R580" i="2"/>
  <c r="Q581" i="2"/>
  <c r="Q579" i="2" s="1"/>
  <c r="I641" i="2"/>
  <c r="J627" i="2"/>
  <c r="G640" i="2"/>
  <c r="H626" i="2"/>
  <c r="P648" i="2"/>
  <c r="P607" i="2"/>
  <c r="J604" i="2"/>
  <c r="J629" i="2" s="1"/>
  <c r="J605" i="2"/>
  <c r="J613" i="2" s="1"/>
  <c r="J653" i="2"/>
  <c r="O616" i="2"/>
  <c r="A636" i="2"/>
  <c r="K573" i="2"/>
  <c r="L597" i="2"/>
  <c r="L598" i="2" s="1"/>
  <c r="L599" i="2" s="1"/>
  <c r="L612" i="2" s="1"/>
  <c r="L617" i="2"/>
  <c r="K635" i="2"/>
  <c r="K165" i="33"/>
  <c r="K177" i="33" s="1"/>
  <c r="I537" i="2"/>
  <c r="I549" i="2" s="1"/>
  <c r="N354" i="33"/>
  <c r="O291" i="33"/>
  <c r="N361" i="33"/>
  <c r="N357" i="33"/>
  <c r="N362" i="33"/>
  <c r="L356" i="33"/>
  <c r="M338" i="33"/>
  <c r="N359" i="33"/>
  <c r="O341" i="33"/>
  <c r="M358" i="33"/>
  <c r="N340" i="33"/>
  <c r="G555" i="33"/>
  <c r="G514" i="33"/>
  <c r="G523" i="33" s="1"/>
  <c r="A492" i="33"/>
  <c r="E491" i="33"/>
  <c r="H555" i="33"/>
  <c r="H514" i="33"/>
  <c r="J487" i="33"/>
  <c r="I488" i="33"/>
  <c r="L480" i="2"/>
  <c r="L512" i="2" s="1"/>
  <c r="L520" i="2" s="1"/>
  <c r="N504" i="2"/>
  <c r="M505" i="2"/>
  <c r="J546" i="2"/>
  <c r="K528" i="2"/>
  <c r="H521" i="2"/>
  <c r="G539" i="2"/>
  <c r="G551" i="2" s="1"/>
  <c r="P555" i="2"/>
  <c r="P514" i="2"/>
  <c r="R487" i="2"/>
  <c r="Q488" i="2"/>
  <c r="Q486" i="2" s="1"/>
  <c r="H547" i="2"/>
  <c r="I533" i="2"/>
  <c r="O523" i="2"/>
  <c r="N541" i="2"/>
  <c r="L542" i="2"/>
  <c r="M524" i="2"/>
  <c r="K534" i="2"/>
  <c r="J548" i="2"/>
  <c r="T161" i="2"/>
  <c r="S175" i="2"/>
  <c r="X384" i="2"/>
  <c r="X447" i="2" s="1"/>
  <c r="X411" i="2"/>
  <c r="X105" i="2"/>
  <c r="X171" i="2" s="1"/>
  <c r="X132" i="2"/>
  <c r="G22" i="2"/>
  <c r="X264" i="2"/>
  <c r="X261" i="2"/>
  <c r="W168" i="2"/>
  <c r="U43" i="41"/>
  <c r="U61" i="41" s="1"/>
  <c r="U70" i="41"/>
  <c r="U88" i="41" s="1"/>
  <c r="U106" i="41" s="1"/>
  <c r="A24" i="2"/>
  <c r="Y1" i="33"/>
  <c r="Y193" i="2"/>
  <c r="Y198" i="2" s="1"/>
  <c r="Z1" i="2"/>
  <c r="W4" i="3"/>
  <c r="Y100" i="2"/>
  <c r="Y7" i="2"/>
  <c r="Y286" i="2"/>
  <c r="Y291" i="2" s="1"/>
  <c r="Y379" i="2"/>
  <c r="W450" i="2"/>
  <c r="W455" i="2"/>
  <c r="X318" i="2"/>
  <c r="Z2" i="33"/>
  <c r="X1" i="32" s="1"/>
  <c r="X1" i="3"/>
  <c r="BD5" i="5"/>
  <c r="V4" i="32"/>
  <c r="V25" i="41" s="1"/>
  <c r="X7" i="33"/>
  <c r="X39" i="33" s="1"/>
  <c r="X379" i="33"/>
  <c r="X411" i="33" s="1"/>
  <c r="X193" i="33"/>
  <c r="X225" i="33" s="1"/>
  <c r="X286" i="33"/>
  <c r="X318" i="33" s="1"/>
  <c r="X100" i="33"/>
  <c r="X132" i="33" s="1"/>
  <c r="J272" i="2"/>
  <c r="V157" i="32"/>
  <c r="V221" i="32" s="1"/>
  <c r="V173" i="32" s="1"/>
  <c r="W157" i="3"/>
  <c r="V221" i="3"/>
  <c r="V173" i="3" s="1"/>
  <c r="S211" i="2"/>
  <c r="S213" i="2"/>
  <c r="X156" i="3"/>
  <c r="W156" i="32"/>
  <c r="W220" i="32" s="1"/>
  <c r="W172" i="32" s="1"/>
  <c r="W220" i="3"/>
  <c r="W172" i="3" s="1"/>
  <c r="R236" i="33"/>
  <c r="R277" i="33"/>
  <c r="X155" i="3"/>
  <c r="W155" i="32"/>
  <c r="W219" i="32" s="1"/>
  <c r="W171" i="32" s="1"/>
  <c r="W219" i="3"/>
  <c r="W171" i="3" s="1"/>
  <c r="P201" i="2"/>
  <c r="V154" i="32"/>
  <c r="V218" i="32" s="1"/>
  <c r="V170" i="32" s="1"/>
  <c r="W154" i="3"/>
  <c r="V218" i="3"/>
  <c r="V170" i="3" s="1"/>
  <c r="W44" i="3"/>
  <c r="W44" i="32"/>
  <c r="U93" i="32"/>
  <c r="V93" i="3"/>
  <c r="P154" i="33"/>
  <c r="O172" i="33"/>
  <c r="O244" i="2"/>
  <c r="N262" i="2"/>
  <c r="N170" i="33"/>
  <c r="O152" i="33"/>
  <c r="Q62" i="2"/>
  <c r="P80" i="2"/>
  <c r="O430" i="33"/>
  <c r="M174" i="2"/>
  <c r="N156" i="2"/>
  <c r="L81" i="33"/>
  <c r="M63" i="33"/>
  <c r="P62" i="33"/>
  <c r="O80" i="33"/>
  <c r="M453" i="2"/>
  <c r="P61" i="2"/>
  <c r="O79" i="2"/>
  <c r="K56" i="33"/>
  <c r="J74" i="33"/>
  <c r="J86" i="33" s="1"/>
  <c r="R151" i="33"/>
  <c r="S151" i="33" s="1"/>
  <c r="K428" i="33"/>
  <c r="J446" i="33"/>
  <c r="J458" i="33" s="1"/>
  <c r="L165" i="2"/>
  <c r="K177" i="2"/>
  <c r="P155" i="33"/>
  <c r="O173" i="33"/>
  <c r="J167" i="33"/>
  <c r="J179" i="33" s="1"/>
  <c r="K149" i="33"/>
  <c r="O151" i="2"/>
  <c r="N169" i="2"/>
  <c r="O82" i="33"/>
  <c r="O75" i="33"/>
  <c r="P12" i="33"/>
  <c r="O78" i="33"/>
  <c r="O83" i="33"/>
  <c r="L174" i="33"/>
  <c r="M156" i="33"/>
  <c r="K428" i="2"/>
  <c r="J446" i="2"/>
  <c r="J458" i="2" s="1"/>
  <c r="M76" i="33"/>
  <c r="N58" i="33"/>
  <c r="J167" i="2"/>
  <c r="J179" i="2" s="1"/>
  <c r="K149" i="2"/>
  <c r="N79" i="33"/>
  <c r="O61" i="33"/>
  <c r="N337" i="33"/>
  <c r="M355" i="33"/>
  <c r="K84" i="33"/>
  <c r="L72" i="33"/>
  <c r="M453" i="33"/>
  <c r="K456" i="2"/>
  <c r="N59" i="33"/>
  <c r="M77" i="33"/>
  <c r="O168" i="33"/>
  <c r="O171" i="33"/>
  <c r="P105" i="33"/>
  <c r="O176" i="33"/>
  <c r="O175" i="33"/>
  <c r="L258" i="2"/>
  <c r="K270" i="2"/>
  <c r="O245" i="2"/>
  <c r="N263" i="2"/>
  <c r="S244" i="33"/>
  <c r="P265" i="2"/>
  <c r="N245" i="33"/>
  <c r="M263" i="33"/>
  <c r="K260" i="2"/>
  <c r="L242" i="2"/>
  <c r="J270" i="33"/>
  <c r="K258" i="33"/>
  <c r="Q248" i="2"/>
  <c r="P266" i="2"/>
  <c r="O268" i="33"/>
  <c r="O269" i="33"/>
  <c r="O264" i="33"/>
  <c r="O261" i="33"/>
  <c r="P198" i="33"/>
  <c r="O262" i="33"/>
  <c r="O266" i="33"/>
  <c r="Q198" i="2"/>
  <c r="P264" i="2"/>
  <c r="P261" i="2"/>
  <c r="P269" i="2"/>
  <c r="P268" i="2"/>
  <c r="I260" i="33"/>
  <c r="I272" i="33" s="1"/>
  <c r="J242" i="33"/>
  <c r="M267" i="2"/>
  <c r="N249" i="2"/>
  <c r="P247" i="33"/>
  <c r="O265" i="33"/>
  <c r="L267" i="33"/>
  <c r="M249" i="33"/>
  <c r="X429" i="33"/>
  <c r="Y440" i="33"/>
  <c r="X336" i="2"/>
  <c r="W354" i="2"/>
  <c r="X255" i="33"/>
  <c r="X347" i="2"/>
  <c r="W361" i="2"/>
  <c r="X162" i="2"/>
  <c r="W176" i="2"/>
  <c r="X150" i="33"/>
  <c r="X161" i="33"/>
  <c r="K351" i="2"/>
  <c r="J363" i="2"/>
  <c r="L363" i="33"/>
  <c r="X57" i="33"/>
  <c r="O340" i="2"/>
  <c r="N358" i="2"/>
  <c r="N338" i="2"/>
  <c r="M356" i="2"/>
  <c r="Q337" i="2"/>
  <c r="P355" i="2"/>
  <c r="J335" i="2"/>
  <c r="I353" i="2"/>
  <c r="I365" i="2" s="1"/>
  <c r="W268" i="2"/>
  <c r="X254" i="2"/>
  <c r="Y57" i="2"/>
  <c r="L360" i="2"/>
  <c r="M342" i="2"/>
  <c r="K353" i="33"/>
  <c r="K365" i="33" s="1"/>
  <c r="L335" i="33"/>
  <c r="X254" i="33"/>
  <c r="X243" i="33"/>
  <c r="Y150" i="2"/>
  <c r="N342" i="33"/>
  <c r="M360" i="33"/>
  <c r="Y429" i="2"/>
  <c r="Y441" i="33"/>
  <c r="X440" i="2"/>
  <c r="W454" i="2"/>
  <c r="O359" i="2"/>
  <c r="AC359" i="2" s="1" a="1"/>
  <c r="AC359" i="2" s="1"/>
  <c r="P341" i="2"/>
  <c r="R88" i="33" l="1"/>
  <c r="S78" i="2"/>
  <c r="T12" i="2"/>
  <c r="S75" i="2"/>
  <c r="R15" i="33"/>
  <c r="R95" i="33" s="1"/>
  <c r="Y269" i="2"/>
  <c r="Y69" i="33"/>
  <c r="Y532" i="33"/>
  <c r="P105" i="2"/>
  <c r="Q105" i="2" s="1"/>
  <c r="O168" i="2"/>
  <c r="O176" i="2"/>
  <c r="O175" i="2"/>
  <c r="O171" i="2"/>
  <c r="O173" i="2"/>
  <c r="P155" i="2"/>
  <c r="N172" i="2"/>
  <c r="O154" i="2"/>
  <c r="N152" i="2"/>
  <c r="M170" i="2"/>
  <c r="R430" i="2"/>
  <c r="Y160" i="2"/>
  <c r="Y543" i="2"/>
  <c r="Y253" i="2"/>
  <c r="Y625" i="2"/>
  <c r="Y532" i="2"/>
  <c r="Y67" i="2"/>
  <c r="Y439" i="2"/>
  <c r="Q201" i="2"/>
  <c r="Q233" i="2" s="1"/>
  <c r="Q241" i="2" s="1"/>
  <c r="U32" i="2"/>
  <c r="U93" i="2" s="1"/>
  <c r="T32" i="2"/>
  <c r="T93" i="2" s="1"/>
  <c r="Y348" i="33"/>
  <c r="Y357" i="2"/>
  <c r="Y67" i="33"/>
  <c r="Y253" i="33"/>
  <c r="Y160" i="33"/>
  <c r="Y68" i="33"/>
  <c r="Y625" i="33"/>
  <c r="Y346" i="33"/>
  <c r="Z624" i="2"/>
  <c r="Z609" i="2"/>
  <c r="Z618" i="2" s="1"/>
  <c r="Z624" i="33"/>
  <c r="Z609" i="33"/>
  <c r="Z618" i="33" s="1"/>
  <c r="Z606" i="2"/>
  <c r="Z615" i="2" s="1"/>
  <c r="Z606" i="33"/>
  <c r="Z615" i="33" s="1"/>
  <c r="Z513" i="2"/>
  <c r="Z522" i="2" s="1"/>
  <c r="Z623" i="33"/>
  <c r="Z531" i="2"/>
  <c r="Z516" i="2"/>
  <c r="Z525" i="2" s="1"/>
  <c r="Z623" i="2"/>
  <c r="Z531" i="33"/>
  <c r="Z516" i="33"/>
  <c r="Z525" i="33" s="1"/>
  <c r="Z530" i="33"/>
  <c r="Z530" i="2"/>
  <c r="Z513" i="33"/>
  <c r="Z522" i="33" s="1"/>
  <c r="Z420" i="33"/>
  <c r="Z141" i="33"/>
  <c r="Z237" i="33"/>
  <c r="Z246" i="33" s="1"/>
  <c r="Z158" i="33"/>
  <c r="Z327" i="2"/>
  <c r="Z252" i="2"/>
  <c r="Z255" i="2" s="1"/>
  <c r="Z65" i="33"/>
  <c r="Z51" i="33"/>
  <c r="Z60" i="33" s="1"/>
  <c r="Z48" i="2"/>
  <c r="Z159" i="33"/>
  <c r="Z251" i="33"/>
  <c r="Z438" i="2"/>
  <c r="Z441" i="2" s="1"/>
  <c r="Z237" i="2"/>
  <c r="Z246" i="2" s="1"/>
  <c r="Z66" i="33"/>
  <c r="Z69" i="33" s="1"/>
  <c r="Z420" i="2"/>
  <c r="Z438" i="33"/>
  <c r="Z66" i="2"/>
  <c r="Z423" i="33"/>
  <c r="Z432" i="33" s="1"/>
  <c r="Z234" i="33"/>
  <c r="Z159" i="2"/>
  <c r="Z144" i="2"/>
  <c r="Z153" i="2" s="1"/>
  <c r="Z345" i="33"/>
  <c r="Z144" i="33"/>
  <c r="Z153" i="33" s="1"/>
  <c r="Z234" i="2"/>
  <c r="Z243" i="2" s="1"/>
  <c r="Z141" i="2"/>
  <c r="Z327" i="33"/>
  <c r="Z336" i="33" s="1"/>
  <c r="Z252" i="33"/>
  <c r="Z330" i="33"/>
  <c r="Z339" i="33" s="1"/>
  <c r="Z344" i="33"/>
  <c r="Z423" i="2"/>
  <c r="Z432" i="2" s="1"/>
  <c r="Z345" i="2"/>
  <c r="Z348" i="2" s="1"/>
  <c r="Z330" i="2"/>
  <c r="Z339" i="2" s="1"/>
  <c r="Z51" i="2"/>
  <c r="Z60" i="2" s="1"/>
  <c r="Z437" i="33"/>
  <c r="Z439" i="33" s="1"/>
  <c r="Z158" i="2"/>
  <c r="Z437" i="2"/>
  <c r="Z439" i="2" s="1"/>
  <c r="Z251" i="2"/>
  <c r="Z48" i="33"/>
  <c r="Z344" i="2"/>
  <c r="Z346" i="2" s="1"/>
  <c r="Z65" i="2"/>
  <c r="Y439" i="33"/>
  <c r="Y162" i="33"/>
  <c r="Z162" i="33" s="1"/>
  <c r="U137" i="32"/>
  <c r="U233" i="32" s="1"/>
  <c r="U281" i="32" s="1"/>
  <c r="W106" i="33" s="1"/>
  <c r="W116" i="33" s="1"/>
  <c r="W114" i="33" s="1"/>
  <c r="W102" i="33"/>
  <c r="V293" i="32"/>
  <c r="V261" i="32"/>
  <c r="V277" i="32" s="1"/>
  <c r="V262" i="32"/>
  <c r="V278" i="32" s="1"/>
  <c r="V294" i="32"/>
  <c r="X166" i="32"/>
  <c r="X230" i="32" s="1"/>
  <c r="X182" i="32" s="1"/>
  <c r="X230" i="3"/>
  <c r="X164" i="32"/>
  <c r="X228" i="32" s="1"/>
  <c r="X180" i="32" s="1"/>
  <c r="X228" i="3"/>
  <c r="X180" i="3" s="1"/>
  <c r="X160" i="3"/>
  <c r="W160" i="32"/>
  <c r="W224" i="32" s="1"/>
  <c r="W176" i="32" s="1"/>
  <c r="W224" i="3"/>
  <c r="W176" i="3" s="1"/>
  <c r="X165" i="32"/>
  <c r="X229" i="32" s="1"/>
  <c r="X181" i="32" s="1"/>
  <c r="X229" i="3"/>
  <c r="W161" i="32"/>
  <c r="W225" i="32" s="1"/>
  <c r="W177" i="32" s="1"/>
  <c r="W241" i="32" s="1"/>
  <c r="X161" i="3"/>
  <c r="W225" i="3"/>
  <c r="W80" i="3"/>
  <c r="W128" i="3" s="1"/>
  <c r="W76" i="3"/>
  <c r="W85" i="3"/>
  <c r="W133" i="3" s="1"/>
  <c r="W149" i="3" s="1"/>
  <c r="W245" i="3" s="1"/>
  <c r="W261" i="3" s="1"/>
  <c r="W277" i="3" s="1"/>
  <c r="W74" i="3"/>
  <c r="W73" i="3"/>
  <c r="W77" i="3"/>
  <c r="W72" i="3"/>
  <c r="W82" i="3"/>
  <c r="W81" i="3"/>
  <c r="W129" i="3" s="1"/>
  <c r="W145" i="3" s="1"/>
  <c r="W86" i="3"/>
  <c r="W134" i="3" s="1"/>
  <c r="W150" i="3" s="1"/>
  <c r="W75" i="3"/>
  <c r="W78" i="3"/>
  <c r="W84" i="3"/>
  <c r="W79" i="3"/>
  <c r="W127" i="3" s="1"/>
  <c r="W143" i="3" s="1"/>
  <c r="W239" i="3" s="1"/>
  <c r="W83" i="3"/>
  <c r="W131" i="3" s="1"/>
  <c r="V240" i="32"/>
  <c r="V240" i="3"/>
  <c r="V131" i="32"/>
  <c r="V241" i="32"/>
  <c r="U257" i="32"/>
  <c r="U273" i="32" s="1"/>
  <c r="U289" i="32"/>
  <c r="U256" i="3"/>
  <c r="U272" i="3" s="1"/>
  <c r="U288" i="3"/>
  <c r="W159" i="32"/>
  <c r="W223" i="32" s="1"/>
  <c r="W175" i="32" s="1"/>
  <c r="X159" i="3"/>
  <c r="W223" i="3"/>
  <c r="W175" i="3" s="1"/>
  <c r="W74" i="32"/>
  <c r="W86" i="32"/>
  <c r="W73" i="32"/>
  <c r="W80" i="32"/>
  <c r="W77" i="32"/>
  <c r="W78" i="32"/>
  <c r="W76" i="32"/>
  <c r="W84" i="32"/>
  <c r="W79" i="32"/>
  <c r="W81" i="32"/>
  <c r="W129" i="32" s="1"/>
  <c r="W145" i="32" s="1"/>
  <c r="W75" i="32"/>
  <c r="W83" i="32"/>
  <c r="W85" i="32"/>
  <c r="W133" i="32" s="1"/>
  <c r="W149" i="32" s="1"/>
  <c r="W245" i="32" s="1"/>
  <c r="W72" i="32"/>
  <c r="W120" i="32" s="1"/>
  <c r="W82" i="32"/>
  <c r="X162" i="32"/>
  <c r="X226" i="32" s="1"/>
  <c r="X226" i="3"/>
  <c r="X178" i="3" s="1"/>
  <c r="W99" i="32"/>
  <c r="X99" i="3"/>
  <c r="X99" i="32" s="1"/>
  <c r="U291" i="32"/>
  <c r="U259" i="32"/>
  <c r="U275" i="32" s="1"/>
  <c r="V127" i="32"/>
  <c r="V143" i="32" s="1"/>
  <c r="V239" i="32" s="1"/>
  <c r="X5" i="32"/>
  <c r="X6" i="32" s="1"/>
  <c r="X6" i="3"/>
  <c r="X181" i="3"/>
  <c r="X198" i="3"/>
  <c r="X182" i="3" s="1"/>
  <c r="W182" i="3"/>
  <c r="W118" i="32"/>
  <c r="W134" i="32" s="1"/>
  <c r="W150" i="32" s="1"/>
  <c r="W246" i="32" s="1"/>
  <c r="X118" i="3"/>
  <c r="X118" i="32" s="1"/>
  <c r="V120" i="32"/>
  <c r="V136" i="32" s="1"/>
  <c r="V232" i="32" s="1"/>
  <c r="V262" i="3"/>
  <c r="V278" i="3" s="1"/>
  <c r="X178" i="32"/>
  <c r="W128" i="32"/>
  <c r="X163" i="32"/>
  <c r="X227" i="32" s="1"/>
  <c r="X179" i="32" s="1"/>
  <c r="X227" i="3"/>
  <c r="V89" i="32"/>
  <c r="V121" i="32" s="1"/>
  <c r="W89" i="3"/>
  <c r="Q274" i="2"/>
  <c r="Y318" i="2"/>
  <c r="I630" i="2"/>
  <c r="J630" i="2" s="1"/>
  <c r="V258" i="32"/>
  <c r="V274" i="32" s="1"/>
  <c r="V290" i="32"/>
  <c r="V287" i="32"/>
  <c r="V255" i="32"/>
  <c r="V271" i="32" s="1"/>
  <c r="U90" i="33"/>
  <c r="U89" i="33"/>
  <c r="U92" i="33"/>
  <c r="U28" i="33"/>
  <c r="S52" i="2"/>
  <c r="S93" i="2"/>
  <c r="O558" i="2"/>
  <c r="R47" i="33"/>
  <c r="R55" i="33" s="1"/>
  <c r="W104" i="32"/>
  <c r="X104" i="3"/>
  <c r="X104" i="32" s="1"/>
  <c r="U260" i="3"/>
  <c r="U276" i="3" s="1"/>
  <c r="U292" i="3"/>
  <c r="X101" i="32"/>
  <c r="S91" i="33"/>
  <c r="S40" i="33"/>
  <c r="S50" i="33"/>
  <c r="T264" i="3"/>
  <c r="V11" i="2" s="1"/>
  <c r="V10" i="2"/>
  <c r="U94" i="2"/>
  <c r="U53" i="2"/>
  <c r="W193" i="3"/>
  <c r="V177" i="3"/>
  <c r="V241" i="3" s="1"/>
  <c r="P46" i="33"/>
  <c r="P71" i="33" s="1"/>
  <c r="P47" i="33"/>
  <c r="P55" i="33" s="1"/>
  <c r="P95" i="33"/>
  <c r="U292" i="32"/>
  <c r="U260" i="32"/>
  <c r="U276" i="32" s="1"/>
  <c r="X88" i="32"/>
  <c r="W293" i="3"/>
  <c r="U264" i="3"/>
  <c r="W11" i="2" s="1"/>
  <c r="W10" i="2"/>
  <c r="W116" i="3"/>
  <c r="V116" i="32"/>
  <c r="V132" i="32" s="1"/>
  <c r="V148" i="32" s="1"/>
  <c r="V244" i="32" s="1"/>
  <c r="V132" i="3"/>
  <c r="V148" i="3" s="1"/>
  <c r="V244" i="3" s="1"/>
  <c r="T264" i="32"/>
  <c r="V11" i="33" s="1"/>
  <c r="V10" i="33"/>
  <c r="U271" i="32"/>
  <c r="W120" i="3"/>
  <c r="W98" i="32"/>
  <c r="X98" i="3"/>
  <c r="W130" i="3"/>
  <c r="W146" i="3" s="1"/>
  <c r="W242" i="3" s="1"/>
  <c r="W255" i="3"/>
  <c r="W271" i="3" s="1"/>
  <c r="W287" i="3"/>
  <c r="V291" i="3"/>
  <c r="V259" i="3"/>
  <c r="V275" i="3" s="1"/>
  <c r="X95" i="32"/>
  <c r="Q15" i="33"/>
  <c r="W111" i="32"/>
  <c r="W127" i="32" s="1"/>
  <c r="W143" i="32" s="1"/>
  <c r="X111" i="3"/>
  <c r="X111" i="32" s="1"/>
  <c r="X195" i="3"/>
  <c r="W179" i="3"/>
  <c r="T52" i="2"/>
  <c r="T27" i="33"/>
  <c r="T25" i="33"/>
  <c r="V280" i="3"/>
  <c r="X13" i="2" s="1"/>
  <c r="V248" i="3"/>
  <c r="T53" i="33"/>
  <c r="T94" i="33"/>
  <c r="S93" i="33"/>
  <c r="S52" i="33"/>
  <c r="V290" i="3"/>
  <c r="V258" i="3"/>
  <c r="V274" i="3" s="1"/>
  <c r="T94" i="2"/>
  <c r="T53" i="2"/>
  <c r="U257" i="3"/>
  <c r="U273" i="3" s="1"/>
  <c r="U289" i="3"/>
  <c r="X102" i="32"/>
  <c r="U36" i="33"/>
  <c r="U35" i="33"/>
  <c r="U33" i="33"/>
  <c r="U34" i="33" s="1"/>
  <c r="T32" i="33"/>
  <c r="U280" i="32"/>
  <c r="W13" i="33" s="1"/>
  <c r="W23" i="33" s="1"/>
  <c r="W21" i="33" s="1"/>
  <c r="U248" i="32"/>
  <c r="R46" i="33"/>
  <c r="R71" i="33" s="1"/>
  <c r="N634" i="33"/>
  <c r="N633" i="33"/>
  <c r="N636" i="33"/>
  <c r="O570" i="33"/>
  <c r="O638" i="33" s="1"/>
  <c r="N540" i="33"/>
  <c r="N543" i="33"/>
  <c r="O477" i="33"/>
  <c r="O545" i="33" s="1"/>
  <c r="N636" i="2"/>
  <c r="N633" i="2"/>
  <c r="O570" i="2"/>
  <c r="O634" i="2" s="1"/>
  <c r="M617" i="33"/>
  <c r="M635" i="33" s="1"/>
  <c r="W257" i="32"/>
  <c r="W273" i="32" s="1"/>
  <c r="W289" i="32"/>
  <c r="L630" i="33"/>
  <c r="L642" i="33" s="1"/>
  <c r="P497" i="2"/>
  <c r="P558" i="2" s="1"/>
  <c r="M620" i="2"/>
  <c r="M638" i="2" s="1"/>
  <c r="P233" i="33"/>
  <c r="P241" i="33" s="1"/>
  <c r="K272" i="2"/>
  <c r="G644" i="2"/>
  <c r="O451" i="2"/>
  <c r="O460" i="2"/>
  <c r="N325" i="2"/>
  <c r="N350" i="2" s="1"/>
  <c r="N326" i="2"/>
  <c r="N334" i="2" s="1"/>
  <c r="N652" i="2"/>
  <c r="N646" i="2" s="1"/>
  <c r="N611" i="2"/>
  <c r="P595" i="2"/>
  <c r="O594" i="2"/>
  <c r="P281" i="33"/>
  <c r="P140" i="33"/>
  <c r="P148" i="33" s="1"/>
  <c r="P139" i="33"/>
  <c r="P164" i="33" s="1"/>
  <c r="Q404" i="33"/>
  <c r="Q424" i="33" s="1"/>
  <c r="T151" i="33"/>
  <c r="U151" i="33" s="1"/>
  <c r="Q201" i="33"/>
  <c r="Q232" i="33" s="1"/>
  <c r="Q257" i="33" s="1"/>
  <c r="S218" i="2"/>
  <c r="S226" i="2" s="1"/>
  <c r="Q404" i="2"/>
  <c r="Q424" i="2" s="1"/>
  <c r="Y472" i="33"/>
  <c r="Y565" i="33"/>
  <c r="P590" i="2"/>
  <c r="P651" i="2" s="1"/>
  <c r="O448" i="2"/>
  <c r="O447" i="2"/>
  <c r="O454" i="2"/>
  <c r="O455" i="2"/>
  <c r="O450" i="2"/>
  <c r="O452" i="2"/>
  <c r="P384" i="2"/>
  <c r="Q384" i="2" s="1"/>
  <c r="Q448" i="2" s="1"/>
  <c r="M431" i="33"/>
  <c r="L449" i="33"/>
  <c r="O460" i="33"/>
  <c r="O294" i="2"/>
  <c r="O374" i="2" s="1"/>
  <c r="N387" i="33"/>
  <c r="N418" i="33" s="1"/>
  <c r="N443" i="33" s="1"/>
  <c r="N387" i="2"/>
  <c r="N418" i="2" s="1"/>
  <c r="N443" i="2" s="1"/>
  <c r="H642" i="2"/>
  <c r="O434" i="33"/>
  <c r="N452" i="33"/>
  <c r="M451" i="33"/>
  <c r="N433" i="33"/>
  <c r="N451" i="33" s="1"/>
  <c r="M449" i="2"/>
  <c r="N431" i="2"/>
  <c r="N454" i="33"/>
  <c r="N447" i="33"/>
  <c r="N450" i="33"/>
  <c r="O384" i="33"/>
  <c r="O448" i="33" s="1"/>
  <c r="N455" i="33"/>
  <c r="N544" i="33"/>
  <c r="O517" i="33"/>
  <c r="O526" i="33" s="1"/>
  <c r="O558" i="33"/>
  <c r="S186" i="2"/>
  <c r="S145" i="2"/>
  <c r="S145" i="33"/>
  <c r="S186" i="33"/>
  <c r="O545" i="2"/>
  <c r="O610" i="33"/>
  <c r="O619" i="33" s="1"/>
  <c r="O651" i="33"/>
  <c r="P422" i="33"/>
  <c r="P463" i="33"/>
  <c r="P412" i="33"/>
  <c r="R306" i="2"/>
  <c r="R304" i="2"/>
  <c r="R141" i="32"/>
  <c r="R237" i="32" s="1"/>
  <c r="T474" i="33"/>
  <c r="R313" i="2"/>
  <c r="R311" i="2" s="1"/>
  <c r="V122" i="3"/>
  <c r="V106" i="32"/>
  <c r="V122" i="32" s="1"/>
  <c r="W106" i="3"/>
  <c r="Q586" i="2"/>
  <c r="Q650" i="2"/>
  <c r="Q647" i="2"/>
  <c r="Q646" i="2" s="1"/>
  <c r="Q268" i="3"/>
  <c r="S383" i="2" s="1"/>
  <c r="S462" i="2" s="1"/>
  <c r="S382" i="2"/>
  <c r="V142" i="33"/>
  <c r="Q397" i="33"/>
  <c r="Q399" i="33"/>
  <c r="S280" i="33"/>
  <c r="S239" i="33"/>
  <c r="S248" i="33" s="1"/>
  <c r="S369" i="33"/>
  <c r="S371" i="33"/>
  <c r="S307" i="33"/>
  <c r="S368" i="33"/>
  <c r="S367" i="33" s="1"/>
  <c r="Q108" i="33"/>
  <c r="S368" i="2"/>
  <c r="S367" i="2" s="1"/>
  <c r="S307" i="2"/>
  <c r="S371" i="2"/>
  <c r="Q650" i="33"/>
  <c r="Q647" i="33"/>
  <c r="Q646" i="33" s="1"/>
  <c r="Q586" i="33"/>
  <c r="T139" i="3"/>
  <c r="T235" i="3" s="1"/>
  <c r="V288" i="2"/>
  <c r="T289" i="2"/>
  <c r="R267" i="3"/>
  <c r="T290" i="2" s="1"/>
  <c r="R134" i="2"/>
  <c r="R147" i="2" s="1"/>
  <c r="R304" i="33"/>
  <c r="R306" i="33"/>
  <c r="T221" i="2"/>
  <c r="T222" i="2"/>
  <c r="T219" i="2"/>
  <c r="T220" i="2" s="1"/>
  <c r="U185" i="33"/>
  <c r="U121" i="33"/>
  <c r="U182" i="33"/>
  <c r="U181" i="33" s="1"/>
  <c r="Q286" i="3"/>
  <c r="S571" i="2" s="1"/>
  <c r="Q254" i="3"/>
  <c r="P320" i="2"/>
  <c r="P333" i="2" s="1"/>
  <c r="O413" i="2"/>
  <c r="O426" i="2" s="1"/>
  <c r="O435" i="2" s="1"/>
  <c r="Q331" i="2"/>
  <c r="Q372" i="2"/>
  <c r="P590" i="33"/>
  <c r="T109" i="3"/>
  <c r="S109" i="32"/>
  <c r="S125" i="32" s="1"/>
  <c r="S125" i="3"/>
  <c r="Q498" i="33"/>
  <c r="Q500" i="33"/>
  <c r="Q501" i="33"/>
  <c r="S421" i="2"/>
  <c r="S430" i="2" s="1"/>
  <c r="Q285" i="32"/>
  <c r="S478" i="33" s="1"/>
  <c r="Q253" i="32"/>
  <c r="T265" i="32"/>
  <c r="V104" i="33" s="1"/>
  <c r="V103" i="33"/>
  <c r="S283" i="32"/>
  <c r="U292" i="33" s="1"/>
  <c r="U302" i="33" s="1"/>
  <c r="U300" i="33" s="1"/>
  <c r="S251" i="32"/>
  <c r="S312" i="2"/>
  <c r="S314" i="2"/>
  <c r="S315" i="2"/>
  <c r="M419" i="33"/>
  <c r="M427" i="33" s="1"/>
  <c r="M418" i="33"/>
  <c r="M443" i="33" s="1"/>
  <c r="M444" i="33" s="1"/>
  <c r="M456" i="33" s="1"/>
  <c r="M467" i="33"/>
  <c r="V107" i="3"/>
  <c r="U123" i="3"/>
  <c r="U107" i="32"/>
  <c r="U123" i="32" s="1"/>
  <c r="S369" i="2"/>
  <c r="R405" i="2"/>
  <c r="R406" i="2" s="1"/>
  <c r="R407" i="2"/>
  <c r="R408" i="2"/>
  <c r="T118" i="2"/>
  <c r="T120" i="2"/>
  <c r="T289" i="33"/>
  <c r="R267" i="32"/>
  <c r="T290" i="33" s="1"/>
  <c r="T369" i="33" s="1"/>
  <c r="Q501" i="2"/>
  <c r="Q500" i="2"/>
  <c r="Q498" i="2"/>
  <c r="Q499" i="2" s="1"/>
  <c r="V137" i="3"/>
  <c r="V233" i="3" s="1"/>
  <c r="X102" i="2"/>
  <c r="S184" i="2"/>
  <c r="S143" i="2"/>
  <c r="S133" i="2"/>
  <c r="P611" i="33"/>
  <c r="P620" i="33" s="1"/>
  <c r="P652" i="33"/>
  <c r="O556" i="2"/>
  <c r="O515" i="2"/>
  <c r="Q557" i="33"/>
  <c r="Q554" i="33"/>
  <c r="Q553" i="33" s="1"/>
  <c r="Q268" i="32"/>
  <c r="S383" i="33" s="1"/>
  <c r="S462" i="33" s="1"/>
  <c r="S382" i="33"/>
  <c r="P424" i="33"/>
  <c r="P465" i="33"/>
  <c r="T250" i="3"/>
  <c r="T282" i="3"/>
  <c r="V199" i="2" s="1"/>
  <c r="V209" i="2" s="1"/>
  <c r="V207" i="2" s="1"/>
  <c r="V235" i="2" s="1"/>
  <c r="N544" i="2"/>
  <c r="O526" i="2"/>
  <c r="T139" i="32"/>
  <c r="T235" i="32" s="1"/>
  <c r="V288" i="33"/>
  <c r="T108" i="32"/>
  <c r="T124" i="32" s="1"/>
  <c r="T124" i="3"/>
  <c r="U108" i="3"/>
  <c r="R400" i="2"/>
  <c r="R461" i="2"/>
  <c r="R460" i="2" s="1"/>
  <c r="R464" i="2"/>
  <c r="R373" i="33"/>
  <c r="R332" i="33"/>
  <c r="U129" i="2"/>
  <c r="U126" i="2"/>
  <c r="U127" i="2" s="1"/>
  <c r="U128" i="2"/>
  <c r="T328" i="33"/>
  <c r="Q557" i="2"/>
  <c r="Q554" i="2"/>
  <c r="Q553" i="2" s="1"/>
  <c r="Q493" i="2"/>
  <c r="T219" i="33"/>
  <c r="T220" i="33" s="1"/>
  <c r="T221" i="33"/>
  <c r="T222" i="33"/>
  <c r="R142" i="3"/>
  <c r="R238" i="3" s="1"/>
  <c r="T567" i="2"/>
  <c r="N637" i="2"/>
  <c r="M419" i="2"/>
  <c r="M427" i="2" s="1"/>
  <c r="M418" i="2"/>
  <c r="M443" i="2" s="1"/>
  <c r="M444" i="2" s="1"/>
  <c r="M467" i="2"/>
  <c r="R226" i="2"/>
  <c r="R227" i="2" s="1"/>
  <c r="R240" i="2" s="1"/>
  <c r="R236" i="2"/>
  <c r="R277" i="2"/>
  <c r="S421" i="33"/>
  <c r="S283" i="3"/>
  <c r="U292" i="2" s="1"/>
  <c r="U302" i="2" s="1"/>
  <c r="U300" i="2" s="1"/>
  <c r="S251" i="3"/>
  <c r="T118" i="33"/>
  <c r="T120" i="33"/>
  <c r="T146" i="33"/>
  <c r="T187" i="33"/>
  <c r="P559" i="33"/>
  <c r="P518" i="33"/>
  <c r="P527" i="33" s="1"/>
  <c r="Q329" i="33"/>
  <c r="Q370" i="33"/>
  <c r="Q319" i="33"/>
  <c r="S140" i="3"/>
  <c r="S236" i="3" s="1"/>
  <c r="U381" i="2"/>
  <c r="R313" i="33"/>
  <c r="R311" i="33" s="1"/>
  <c r="U185" i="2"/>
  <c r="U182" i="2"/>
  <c r="U181" i="2" s="1"/>
  <c r="U121" i="2"/>
  <c r="P559" i="2"/>
  <c r="P518" i="2"/>
  <c r="P527" i="2" s="1"/>
  <c r="O649" i="2"/>
  <c r="O608" i="2"/>
  <c r="X105" i="3"/>
  <c r="W105" i="32"/>
  <c r="W121" i="3"/>
  <c r="T146" i="2"/>
  <c r="T187" i="2"/>
  <c r="T276" i="33"/>
  <c r="T278" i="33"/>
  <c r="T275" i="33"/>
  <c r="T274" i="33" s="1"/>
  <c r="T214" i="33"/>
  <c r="P465" i="2"/>
  <c r="P424" i="2"/>
  <c r="P433" i="2" s="1"/>
  <c r="R142" i="32"/>
  <c r="R238" i="32" s="1"/>
  <c r="T567" i="33"/>
  <c r="U249" i="3"/>
  <c r="U281" i="3"/>
  <c r="W106" i="2" s="1"/>
  <c r="W116" i="2" s="1"/>
  <c r="W114" i="2" s="1"/>
  <c r="P583" i="2"/>
  <c r="P585" i="2"/>
  <c r="Q108" i="2"/>
  <c r="R238" i="2"/>
  <c r="R247" i="2" s="1"/>
  <c r="R279" i="2"/>
  <c r="S211" i="33"/>
  <c r="S213" i="33"/>
  <c r="T125" i="33"/>
  <c r="N637" i="33"/>
  <c r="S140" i="32"/>
  <c r="S236" i="32" s="1"/>
  <c r="U381" i="33"/>
  <c r="P490" i="2"/>
  <c r="P492" i="2"/>
  <c r="R284" i="3"/>
  <c r="T385" i="2" s="1"/>
  <c r="T395" i="2" s="1"/>
  <c r="T393" i="2" s="1"/>
  <c r="R252" i="3"/>
  <c r="P269" i="32"/>
  <c r="R476" i="33" s="1"/>
  <c r="R475" i="33"/>
  <c r="T127" i="2"/>
  <c r="T125" i="2" s="1"/>
  <c r="P583" i="33"/>
  <c r="P585" i="33"/>
  <c r="J632" i="33"/>
  <c r="J644" i="33" s="1"/>
  <c r="T110" i="3"/>
  <c r="S126" i="3"/>
  <c r="S110" i="32"/>
  <c r="S126" i="32" s="1"/>
  <c r="U196" i="2"/>
  <c r="S266" i="3"/>
  <c r="U197" i="2" s="1"/>
  <c r="S143" i="33"/>
  <c r="S184" i="33"/>
  <c r="S133" i="33"/>
  <c r="S280" i="2"/>
  <c r="S239" i="2"/>
  <c r="Q286" i="32"/>
  <c r="S571" i="33" s="1"/>
  <c r="S581" i="33" s="1"/>
  <c r="S579" i="33" s="1"/>
  <c r="S607" i="33" s="1"/>
  <c r="Q254" i="32"/>
  <c r="R475" i="2"/>
  <c r="P269" i="3"/>
  <c r="R476" i="2" s="1"/>
  <c r="S266" i="32"/>
  <c r="U197" i="33" s="1"/>
  <c r="U196" i="33"/>
  <c r="Q274" i="33"/>
  <c r="P499" i="33"/>
  <c r="P497" i="33" s="1"/>
  <c r="R405" i="33"/>
  <c r="R406" i="33" s="1"/>
  <c r="R408" i="33"/>
  <c r="R407" i="33"/>
  <c r="P140" i="2"/>
  <c r="P148" i="2" s="1"/>
  <c r="P139" i="2"/>
  <c r="P164" i="2" s="1"/>
  <c r="P188" i="2"/>
  <c r="Q425" i="2"/>
  <c r="Q434" i="2" s="1"/>
  <c r="Q466" i="2"/>
  <c r="Q372" i="33"/>
  <c r="Q331" i="33"/>
  <c r="R568" i="33"/>
  <c r="P270" i="32"/>
  <c r="R569" i="33" s="1"/>
  <c r="N325" i="33"/>
  <c r="N350" i="33" s="1"/>
  <c r="N351" i="33" s="1"/>
  <c r="N326" i="33"/>
  <c r="N334" i="33" s="1"/>
  <c r="N374" i="33"/>
  <c r="R134" i="33"/>
  <c r="R147" i="33" s="1"/>
  <c r="R373" i="2"/>
  <c r="R332" i="2"/>
  <c r="U138" i="32"/>
  <c r="U234" i="32" s="1"/>
  <c r="W195" i="33"/>
  <c r="T265" i="3"/>
  <c r="V104" i="2" s="1"/>
  <c r="V183" i="2" s="1"/>
  <c r="V103" i="2"/>
  <c r="S218" i="33"/>
  <c r="Q425" i="33"/>
  <c r="Q466" i="33"/>
  <c r="P320" i="33"/>
  <c r="P333" i="33" s="1"/>
  <c r="P463" i="2"/>
  <c r="P422" i="2"/>
  <c r="P412" i="2"/>
  <c r="R461" i="33"/>
  <c r="R460" i="33" s="1"/>
  <c r="R464" i="33"/>
  <c r="R400" i="33"/>
  <c r="R568" i="2"/>
  <c r="P270" i="3"/>
  <c r="R569" i="2" s="1"/>
  <c r="O413" i="33"/>
  <c r="O426" i="33" s="1"/>
  <c r="O435" i="33" s="1"/>
  <c r="Q397" i="2"/>
  <c r="Q399" i="2"/>
  <c r="O294" i="33"/>
  <c r="Q648" i="33"/>
  <c r="R238" i="33"/>
  <c r="R279" i="33"/>
  <c r="R274" i="33" s="1"/>
  <c r="T250" i="32"/>
  <c r="T282" i="32"/>
  <c r="V199" i="33" s="1"/>
  <c r="V209" i="33" s="1"/>
  <c r="V207" i="33" s="1"/>
  <c r="V235" i="33" s="1"/>
  <c r="R141" i="3"/>
  <c r="R237" i="3" s="1"/>
  <c r="T474" i="2"/>
  <c r="U138" i="3"/>
  <c r="U234" i="3" s="1"/>
  <c r="W195" i="2"/>
  <c r="Q593" i="2"/>
  <c r="Q594" i="2"/>
  <c r="Q591" i="2"/>
  <c r="Q592" i="2" s="1"/>
  <c r="V142" i="2"/>
  <c r="S315" i="33"/>
  <c r="S312" i="33"/>
  <c r="S314" i="33"/>
  <c r="Q253" i="3"/>
  <c r="Q285" i="3"/>
  <c r="S478" i="2" s="1"/>
  <c r="R284" i="32"/>
  <c r="T385" i="33" s="1"/>
  <c r="T395" i="33" s="1"/>
  <c r="T393" i="33" s="1"/>
  <c r="R252" i="32"/>
  <c r="Q591" i="33"/>
  <c r="Q593" i="33"/>
  <c r="Q594" i="33"/>
  <c r="Q370" i="2"/>
  <c r="Q329" i="2"/>
  <c r="Q319" i="2"/>
  <c r="O649" i="33"/>
  <c r="O608" i="33"/>
  <c r="O610" i="2"/>
  <c r="O619" i="2" s="1"/>
  <c r="O651" i="2"/>
  <c r="T275" i="2"/>
  <c r="T274" i="2" s="1"/>
  <c r="T276" i="2"/>
  <c r="T214" i="2"/>
  <c r="T278" i="2"/>
  <c r="U126" i="33"/>
  <c r="U128" i="33"/>
  <c r="U129" i="33"/>
  <c r="N621" i="33"/>
  <c r="M639" i="33"/>
  <c r="M641" i="33"/>
  <c r="N627" i="33"/>
  <c r="N573" i="33"/>
  <c r="O597" i="33"/>
  <c r="O598" i="33" s="1"/>
  <c r="O599" i="33" s="1"/>
  <c r="O612" i="33" s="1"/>
  <c r="R616" i="33"/>
  <c r="M605" i="33"/>
  <c r="M613" i="33" s="1"/>
  <c r="M604" i="33"/>
  <c r="M629" i="33" s="1"/>
  <c r="M653" i="33"/>
  <c r="K640" i="33"/>
  <c r="L626" i="33"/>
  <c r="K632" i="33"/>
  <c r="L614" i="33"/>
  <c r="U580" i="33"/>
  <c r="J639" i="2"/>
  <c r="K621" i="2"/>
  <c r="H613" i="2"/>
  <c r="H614" i="2"/>
  <c r="L165" i="33"/>
  <c r="L177" i="33" s="1"/>
  <c r="W158" i="32"/>
  <c r="W222" i="32" s="1"/>
  <c r="W174" i="32" s="1"/>
  <c r="X158" i="3"/>
  <c r="W222" i="3"/>
  <c r="W174" i="3" s="1"/>
  <c r="Y540" i="2"/>
  <c r="Y636" i="2"/>
  <c r="Y633" i="2"/>
  <c r="Z472" i="2"/>
  <c r="Z477" i="2" s="1"/>
  <c r="Z565" i="2"/>
  <c r="Z570" i="2" s="1"/>
  <c r="Q648" i="2"/>
  <c r="Q607" i="2"/>
  <c r="A637" i="2"/>
  <c r="S580" i="2"/>
  <c r="R581" i="2"/>
  <c r="R579" i="2" s="1"/>
  <c r="J641" i="2"/>
  <c r="K627" i="2"/>
  <c r="L635" i="2"/>
  <c r="M617" i="2"/>
  <c r="P616" i="2"/>
  <c r="L573" i="2"/>
  <c r="M597" i="2"/>
  <c r="M598" i="2" s="1"/>
  <c r="M599" i="2" s="1"/>
  <c r="M612" i="2" s="1"/>
  <c r="K604" i="2"/>
  <c r="K629" i="2" s="1"/>
  <c r="K605" i="2"/>
  <c r="K613" i="2" s="1"/>
  <c r="K653" i="2"/>
  <c r="I626" i="2"/>
  <c r="H640" i="2"/>
  <c r="Y362" i="2"/>
  <c r="J537" i="2"/>
  <c r="K537" i="2" s="1"/>
  <c r="L560" i="2"/>
  <c r="N338" i="33"/>
  <c r="M356" i="33"/>
  <c r="O340" i="33"/>
  <c r="N358" i="33"/>
  <c r="L511" i="2"/>
  <c r="L536" i="2" s="1"/>
  <c r="O357" i="33"/>
  <c r="O362" i="33"/>
  <c r="O361" i="33"/>
  <c r="O354" i="33"/>
  <c r="P291" i="33"/>
  <c r="O359" i="33"/>
  <c r="P341" i="33"/>
  <c r="I486" i="33"/>
  <c r="I514" i="33" s="1"/>
  <c r="H523" i="33"/>
  <c r="G541" i="33"/>
  <c r="K487" i="33"/>
  <c r="J488" i="33"/>
  <c r="J486" i="33" s="1"/>
  <c r="E492" i="33"/>
  <c r="F491" i="33"/>
  <c r="G491" i="33" s="1"/>
  <c r="H491" i="33" s="1"/>
  <c r="I491" i="33" s="1"/>
  <c r="J491" i="33" s="1"/>
  <c r="K491" i="33" s="1"/>
  <c r="L491" i="33" s="1"/>
  <c r="M491" i="33" s="1"/>
  <c r="N491" i="33" s="1"/>
  <c r="O491" i="33" s="1"/>
  <c r="P491" i="33" s="1"/>
  <c r="Q491" i="33" s="1"/>
  <c r="R491" i="33" s="1"/>
  <c r="S491" i="33" s="1"/>
  <c r="T491" i="33" s="1"/>
  <c r="U491" i="33" s="1"/>
  <c r="V491" i="33" s="1"/>
  <c r="W491" i="33" s="1"/>
  <c r="X491" i="33" s="1"/>
  <c r="Y491" i="33" s="1"/>
  <c r="Z491" i="33" s="1"/>
  <c r="A493" i="33"/>
  <c r="H539" i="2"/>
  <c r="H551" i="2" s="1"/>
  <c r="I521" i="2"/>
  <c r="K546" i="2"/>
  <c r="L528" i="2"/>
  <c r="M506" i="2"/>
  <c r="M519" i="2" s="1"/>
  <c r="O504" i="2"/>
  <c r="N505" i="2"/>
  <c r="X168" i="2"/>
  <c r="Q555" i="2"/>
  <c r="Q514" i="2"/>
  <c r="N524" i="2"/>
  <c r="M542" i="2"/>
  <c r="S487" i="2"/>
  <c r="R488" i="2"/>
  <c r="R486" i="2" s="1"/>
  <c r="K548" i="2"/>
  <c r="L534" i="2"/>
  <c r="O541" i="2"/>
  <c r="P523" i="2"/>
  <c r="I547" i="2"/>
  <c r="J533" i="2"/>
  <c r="T175" i="2"/>
  <c r="U161" i="2"/>
  <c r="Y384" i="2"/>
  <c r="Y447" i="2" s="1"/>
  <c r="Y411" i="2"/>
  <c r="V70" i="41"/>
  <c r="V88" i="41" s="1"/>
  <c r="V106" i="41" s="1"/>
  <c r="V43" i="41"/>
  <c r="V61" i="41" s="1"/>
  <c r="Y105" i="2"/>
  <c r="Y171" i="2" s="1"/>
  <c r="Y132" i="2"/>
  <c r="A25" i="2"/>
  <c r="F24" i="2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Z1" i="33"/>
  <c r="Z379" i="2"/>
  <c r="Z384" i="2" s="1"/>
  <c r="Z7" i="2"/>
  <c r="Z286" i="2"/>
  <c r="Z291" i="2" s="1"/>
  <c r="Z193" i="2"/>
  <c r="Z198" i="2" s="1"/>
  <c r="X4" i="3"/>
  <c r="Z100" i="2"/>
  <c r="Y264" i="2"/>
  <c r="Y261" i="2"/>
  <c r="H22" i="2"/>
  <c r="G23" i="2"/>
  <c r="Z318" i="2"/>
  <c r="AA318" i="2" s="1"/>
  <c r="Y7" i="33"/>
  <c r="Y39" i="33" s="1"/>
  <c r="W4" i="32"/>
  <c r="W25" i="41" s="1"/>
  <c r="Y193" i="33"/>
  <c r="Y225" i="33" s="1"/>
  <c r="Y379" i="33"/>
  <c r="Y411" i="33" s="1"/>
  <c r="Y100" i="33"/>
  <c r="Y132" i="33" s="1"/>
  <c r="Y286" i="33"/>
  <c r="Y318" i="33" s="1"/>
  <c r="Y225" i="2"/>
  <c r="X450" i="2"/>
  <c r="X455" i="2"/>
  <c r="S236" i="2"/>
  <c r="S277" i="2"/>
  <c r="W154" i="32"/>
  <c r="W218" i="32" s="1"/>
  <c r="W170" i="32" s="1"/>
  <c r="X154" i="3"/>
  <c r="W218" i="3"/>
  <c r="W170" i="3" s="1"/>
  <c r="P232" i="2"/>
  <c r="P257" i="2" s="1"/>
  <c r="P233" i="2"/>
  <c r="P241" i="2" s="1"/>
  <c r="P281" i="2"/>
  <c r="X220" i="3"/>
  <c r="X172" i="3" s="1"/>
  <c r="X156" i="32"/>
  <c r="X220" i="32" s="1"/>
  <c r="X172" i="32" s="1"/>
  <c r="X155" i="32"/>
  <c r="X219" i="32" s="1"/>
  <c r="X171" i="32" s="1"/>
  <c r="X219" i="3"/>
  <c r="X171" i="3" s="1"/>
  <c r="W157" i="32"/>
  <c r="W221" i="32" s="1"/>
  <c r="W173" i="32" s="1"/>
  <c r="X157" i="3"/>
  <c r="W221" i="3"/>
  <c r="W173" i="3" s="1"/>
  <c r="R227" i="33"/>
  <c r="R240" i="33" s="1"/>
  <c r="X44" i="3"/>
  <c r="X44" i="32"/>
  <c r="V93" i="32"/>
  <c r="W93" i="3"/>
  <c r="N453" i="33"/>
  <c r="Q155" i="33"/>
  <c r="P173" i="33"/>
  <c r="K446" i="33"/>
  <c r="K458" i="33" s="1"/>
  <c r="L428" i="33"/>
  <c r="P244" i="2"/>
  <c r="O262" i="2"/>
  <c r="P169" i="33"/>
  <c r="P175" i="33"/>
  <c r="Q105" i="33"/>
  <c r="P171" i="33"/>
  <c r="P176" i="33"/>
  <c r="P168" i="33"/>
  <c r="M72" i="33"/>
  <c r="L84" i="33"/>
  <c r="L149" i="2"/>
  <c r="K167" i="2"/>
  <c r="K179" i="2" s="1"/>
  <c r="O169" i="2"/>
  <c r="P151" i="2"/>
  <c r="Q62" i="33"/>
  <c r="P80" i="33"/>
  <c r="R62" i="2"/>
  <c r="Q80" i="2"/>
  <c r="M81" i="33"/>
  <c r="N63" i="33"/>
  <c r="P152" i="33"/>
  <c r="O170" i="33"/>
  <c r="P61" i="33"/>
  <c r="O79" i="33"/>
  <c r="N156" i="33"/>
  <c r="M174" i="33"/>
  <c r="L456" i="2"/>
  <c r="N76" i="33"/>
  <c r="O58" i="33"/>
  <c r="P75" i="33"/>
  <c r="Q12" i="33"/>
  <c r="P78" i="33"/>
  <c r="P83" i="33"/>
  <c r="P82" i="33"/>
  <c r="O156" i="2"/>
  <c r="N174" i="2"/>
  <c r="N77" i="33"/>
  <c r="O59" i="33"/>
  <c r="K167" i="33"/>
  <c r="K179" i="33" s="1"/>
  <c r="L149" i="33"/>
  <c r="Q61" i="2"/>
  <c r="P79" i="2"/>
  <c r="O337" i="33"/>
  <c r="N355" i="33"/>
  <c r="M165" i="2"/>
  <c r="L177" i="2"/>
  <c r="R448" i="2"/>
  <c r="L428" i="2"/>
  <c r="K446" i="2"/>
  <c r="K458" i="2" s="1"/>
  <c r="L56" i="33"/>
  <c r="K74" i="33"/>
  <c r="K86" i="33" s="1"/>
  <c r="N453" i="2"/>
  <c r="P430" i="33"/>
  <c r="Q154" i="33"/>
  <c r="P172" i="33"/>
  <c r="M258" i="2"/>
  <c r="L270" i="2"/>
  <c r="P269" i="33"/>
  <c r="P268" i="33"/>
  <c r="P261" i="33"/>
  <c r="Q198" i="33"/>
  <c r="P264" i="33"/>
  <c r="P262" i="33"/>
  <c r="P266" i="33"/>
  <c r="O245" i="33"/>
  <c r="N263" i="33"/>
  <c r="L258" i="33"/>
  <c r="K270" i="33"/>
  <c r="Q265" i="2"/>
  <c r="Q247" i="33"/>
  <c r="P265" i="33"/>
  <c r="N267" i="2"/>
  <c r="O249" i="2"/>
  <c r="T244" i="33"/>
  <c r="Q269" i="2"/>
  <c r="Q268" i="2"/>
  <c r="Q264" i="2"/>
  <c r="R198" i="2"/>
  <c r="S198" i="2" s="1"/>
  <c r="Q261" i="2"/>
  <c r="L260" i="2"/>
  <c r="M242" i="2"/>
  <c r="M267" i="33"/>
  <c r="N249" i="33"/>
  <c r="J260" i="33"/>
  <c r="J272" i="33" s="1"/>
  <c r="K242" i="33"/>
  <c r="R248" i="2"/>
  <c r="Q266" i="2"/>
  <c r="O263" i="2"/>
  <c r="P245" i="2"/>
  <c r="Z440" i="33"/>
  <c r="Y429" i="33"/>
  <c r="Y243" i="33"/>
  <c r="P359" i="2"/>
  <c r="Q341" i="2"/>
  <c r="Y440" i="2"/>
  <c r="X454" i="2"/>
  <c r="R337" i="2"/>
  <c r="Q355" i="2"/>
  <c r="Y57" i="33"/>
  <c r="M363" i="33"/>
  <c r="Y161" i="33"/>
  <c r="Z150" i="2"/>
  <c r="Y254" i="33"/>
  <c r="Y162" i="2"/>
  <c r="X176" i="2"/>
  <c r="Y255" i="33"/>
  <c r="M360" i="2"/>
  <c r="N342" i="2"/>
  <c r="Z429" i="2"/>
  <c r="K363" i="2"/>
  <c r="L351" i="2"/>
  <c r="Y347" i="2"/>
  <c r="X361" i="2"/>
  <c r="M335" i="33"/>
  <c r="L353" i="33"/>
  <c r="L365" i="33" s="1"/>
  <c r="P340" i="2"/>
  <c r="O358" i="2"/>
  <c r="AC358" i="2" s="1" a="1"/>
  <c r="AC358" i="2" s="1"/>
  <c r="N360" i="33"/>
  <c r="O342" i="33"/>
  <c r="Z57" i="2"/>
  <c r="Z441" i="33"/>
  <c r="Y254" i="2"/>
  <c r="X268" i="2"/>
  <c r="J353" i="2"/>
  <c r="J365" i="2" s="1"/>
  <c r="K335" i="2"/>
  <c r="N356" i="2"/>
  <c r="O338" i="2"/>
  <c r="Y150" i="33"/>
  <c r="Y336" i="2"/>
  <c r="X354" i="2"/>
  <c r="Z68" i="33" l="1"/>
  <c r="Z346" i="33"/>
  <c r="S88" i="33"/>
  <c r="Q452" i="2"/>
  <c r="T78" i="2"/>
  <c r="U12" i="2"/>
  <c r="T75" i="2"/>
  <c r="Z540" i="2"/>
  <c r="N467" i="2"/>
  <c r="Q281" i="2"/>
  <c r="Q232" i="2"/>
  <c r="Q257" i="2" s="1"/>
  <c r="O646" i="33"/>
  <c r="Q450" i="2"/>
  <c r="Q447" i="2"/>
  <c r="Q455" i="2"/>
  <c r="Q454" i="2"/>
  <c r="S264" i="2"/>
  <c r="S268" i="2"/>
  <c r="S261" i="2"/>
  <c r="S269" i="2"/>
  <c r="Q171" i="2"/>
  <c r="Q176" i="2"/>
  <c r="Q168" i="2"/>
  <c r="Q175" i="2"/>
  <c r="Q155" i="2"/>
  <c r="P173" i="2"/>
  <c r="O152" i="2"/>
  <c r="N170" i="2"/>
  <c r="O172" i="2"/>
  <c r="P154" i="2"/>
  <c r="P171" i="2"/>
  <c r="P168" i="2"/>
  <c r="P176" i="2"/>
  <c r="P175" i="2"/>
  <c r="U249" i="32"/>
  <c r="P610" i="2"/>
  <c r="Z160" i="2"/>
  <c r="Z625" i="2"/>
  <c r="U52" i="2"/>
  <c r="I642" i="2"/>
  <c r="Z253" i="2"/>
  <c r="P517" i="2"/>
  <c r="P526" i="2" s="1"/>
  <c r="Z67" i="2"/>
  <c r="U32" i="33"/>
  <c r="P451" i="2"/>
  <c r="Z357" i="2"/>
  <c r="Z532" i="33"/>
  <c r="Z348" i="33"/>
  <c r="Z450" i="2"/>
  <c r="Z253" i="33"/>
  <c r="Z160" i="33"/>
  <c r="Z625" i="33"/>
  <c r="Z67" i="33"/>
  <c r="Z532" i="2"/>
  <c r="Z347" i="33"/>
  <c r="W262" i="32"/>
  <c r="W278" i="32" s="1"/>
  <c r="W294" i="32"/>
  <c r="V137" i="32"/>
  <c r="V233" i="32" s="1"/>
  <c r="V249" i="32" s="1"/>
  <c r="X102" i="33"/>
  <c r="W261" i="32"/>
  <c r="W277" i="32" s="1"/>
  <c r="W293" i="32"/>
  <c r="X159" i="32"/>
  <c r="X223" i="32" s="1"/>
  <c r="X175" i="32" s="1"/>
  <c r="X223" i="3"/>
  <c r="X175" i="3" s="1"/>
  <c r="V289" i="32"/>
  <c r="V257" i="32"/>
  <c r="V273" i="32" s="1"/>
  <c r="V147" i="32"/>
  <c r="V243" i="32" s="1"/>
  <c r="W246" i="3"/>
  <c r="X85" i="32"/>
  <c r="X133" i="32" s="1"/>
  <c r="X78" i="32"/>
  <c r="X75" i="32"/>
  <c r="X83" i="32"/>
  <c r="X74" i="32"/>
  <c r="X82" i="32"/>
  <c r="X84" i="32"/>
  <c r="X80" i="32"/>
  <c r="X128" i="32" s="1"/>
  <c r="X73" i="32"/>
  <c r="X76" i="32"/>
  <c r="X72" i="32"/>
  <c r="X79" i="32"/>
  <c r="X127" i="32" s="1"/>
  <c r="X81" i="32"/>
  <c r="X129" i="32" s="1"/>
  <c r="Z129" i="32" s="1"/>
  <c r="X77" i="32"/>
  <c r="X86" i="32"/>
  <c r="X134" i="32" s="1"/>
  <c r="X144" i="32"/>
  <c r="X145" i="32"/>
  <c r="X241" i="32" s="1"/>
  <c r="X257" i="32" s="1"/>
  <c r="W144" i="32"/>
  <c r="W240" i="32" s="1"/>
  <c r="Z128" i="32"/>
  <c r="V288" i="3"/>
  <c r="V256" i="3"/>
  <c r="V272" i="3" s="1"/>
  <c r="W144" i="3"/>
  <c r="W240" i="3" s="1"/>
  <c r="Z128" i="3"/>
  <c r="X160" i="32"/>
  <c r="X224" i="32" s="1"/>
  <c r="X176" i="32" s="1"/>
  <c r="X224" i="3"/>
  <c r="X176" i="3" s="1"/>
  <c r="W243" i="3"/>
  <c r="X131" i="32"/>
  <c r="X147" i="32" s="1"/>
  <c r="X243" i="32" s="1"/>
  <c r="V256" i="32"/>
  <c r="V272" i="32" s="1"/>
  <c r="V288" i="32"/>
  <c r="X179" i="3"/>
  <c r="W131" i="32"/>
  <c r="W147" i="32" s="1"/>
  <c r="W243" i="32" s="1"/>
  <c r="W147" i="3"/>
  <c r="X161" i="32"/>
  <c r="X225" i="32" s="1"/>
  <c r="X177" i="32" s="1"/>
  <c r="X225" i="3"/>
  <c r="X9" i="33"/>
  <c r="W121" i="32"/>
  <c r="W239" i="32"/>
  <c r="W287" i="32" s="1"/>
  <c r="W130" i="32"/>
  <c r="W146" i="32" s="1"/>
  <c r="W242" i="32" s="1"/>
  <c r="W258" i="32" s="1"/>
  <c r="W274" i="32" s="1"/>
  <c r="W89" i="32"/>
  <c r="X89" i="3"/>
  <c r="X89" i="32" s="1"/>
  <c r="X74" i="3"/>
  <c r="X80" i="3"/>
  <c r="X128" i="3" s="1"/>
  <c r="X144" i="3" s="1"/>
  <c r="X240" i="3" s="1"/>
  <c r="X77" i="3"/>
  <c r="X76" i="3"/>
  <c r="X81" i="3"/>
  <c r="X129" i="3" s="1"/>
  <c r="X72" i="3"/>
  <c r="X120" i="3" s="1"/>
  <c r="X78" i="3"/>
  <c r="X85" i="3"/>
  <c r="X133" i="3" s="1"/>
  <c r="X73" i="3"/>
  <c r="X83" i="3"/>
  <c r="X131" i="3" s="1"/>
  <c r="Z131" i="3" s="1"/>
  <c r="X84" i="3"/>
  <c r="X82" i="3"/>
  <c r="X75" i="3"/>
  <c r="X86" i="3"/>
  <c r="X134" i="3" s="1"/>
  <c r="X150" i="3" s="1"/>
  <c r="X246" i="3" s="1"/>
  <c r="X79" i="3"/>
  <c r="X289" i="32"/>
  <c r="T91" i="33"/>
  <c r="T40" i="33"/>
  <c r="T50" i="33"/>
  <c r="W136" i="3"/>
  <c r="W232" i="3" s="1"/>
  <c r="Y9" i="2"/>
  <c r="U264" i="32"/>
  <c r="W11" i="33" s="1"/>
  <c r="W90" i="33" s="1"/>
  <c r="W10" i="33"/>
  <c r="W291" i="3"/>
  <c r="W259" i="3"/>
  <c r="W275" i="3" s="1"/>
  <c r="W89" i="2"/>
  <c r="W92" i="2"/>
  <c r="V89" i="2"/>
  <c r="V92" i="2"/>
  <c r="W116" i="32"/>
  <c r="W132" i="32" s="1"/>
  <c r="W148" i="32" s="1"/>
  <c r="W244" i="32" s="1"/>
  <c r="X116" i="3"/>
  <c r="W132" i="3"/>
  <c r="W148" i="3" s="1"/>
  <c r="W244" i="3" s="1"/>
  <c r="V36" i="2"/>
  <c r="V35" i="2"/>
  <c r="V33" i="2"/>
  <c r="V34" i="2" s="1"/>
  <c r="W49" i="33"/>
  <c r="V280" i="32"/>
  <c r="X13" i="33" s="1"/>
  <c r="X23" i="33" s="1"/>
  <c r="X21" i="33" s="1"/>
  <c r="X49" i="33" s="1"/>
  <c r="V248" i="32"/>
  <c r="T93" i="33"/>
  <c r="T52" i="33"/>
  <c r="W136" i="32"/>
  <c r="W232" i="32" s="1"/>
  <c r="Y9" i="33"/>
  <c r="V33" i="33"/>
  <c r="V35" i="33"/>
  <c r="V36" i="33"/>
  <c r="S41" i="33"/>
  <c r="S54" i="33" s="1"/>
  <c r="U52" i="33"/>
  <c r="U93" i="33"/>
  <c r="V90" i="33"/>
  <c r="V89" i="33"/>
  <c r="V28" i="33"/>
  <c r="V92" i="33"/>
  <c r="V257" i="3"/>
  <c r="V273" i="3" s="1"/>
  <c r="V289" i="3"/>
  <c r="W36" i="2"/>
  <c r="W33" i="2"/>
  <c r="W35" i="2"/>
  <c r="V264" i="3"/>
  <c r="X11" i="2" s="1"/>
  <c r="X10" i="2"/>
  <c r="Q95" i="33"/>
  <c r="Q47" i="33"/>
  <c r="Q55" i="33" s="1"/>
  <c r="Q46" i="33"/>
  <c r="Q71" i="33" s="1"/>
  <c r="W290" i="3"/>
  <c r="W258" i="3"/>
  <c r="W274" i="3" s="1"/>
  <c r="V292" i="3"/>
  <c r="V260" i="3"/>
  <c r="V276" i="3" s="1"/>
  <c r="X193" i="3"/>
  <c r="X177" i="3" s="1"/>
  <c r="W177" i="3"/>
  <c r="W241" i="3" s="1"/>
  <c r="X149" i="3"/>
  <c r="X245" i="3" s="1"/>
  <c r="Z133" i="3"/>
  <c r="U27" i="33"/>
  <c r="U25" i="33"/>
  <c r="U94" i="33"/>
  <c r="U53" i="33"/>
  <c r="X127" i="3"/>
  <c r="X98" i="32"/>
  <c r="X130" i="32" s="1"/>
  <c r="X130" i="3"/>
  <c r="V292" i="32"/>
  <c r="V260" i="32"/>
  <c r="V276" i="32" s="1"/>
  <c r="X120" i="32"/>
  <c r="N617" i="33"/>
  <c r="N635" i="33" s="1"/>
  <c r="O634" i="33"/>
  <c r="O636" i="33"/>
  <c r="O633" i="33"/>
  <c r="P570" i="33"/>
  <c r="P638" i="33" s="1"/>
  <c r="O633" i="2"/>
  <c r="O636" i="2"/>
  <c r="P570" i="2"/>
  <c r="P634" i="2" s="1"/>
  <c r="N620" i="2"/>
  <c r="N638" i="2" s="1"/>
  <c r="O540" i="33"/>
  <c r="O543" i="33"/>
  <c r="P477" i="33"/>
  <c r="P545" i="33" s="1"/>
  <c r="Q233" i="33"/>
  <c r="Q241" i="33" s="1"/>
  <c r="M630" i="33"/>
  <c r="M642" i="33" s="1"/>
  <c r="O326" i="2"/>
  <c r="O334" i="2" s="1"/>
  <c r="N419" i="2"/>
  <c r="N427" i="2" s="1"/>
  <c r="N467" i="33"/>
  <c r="N419" i="33"/>
  <c r="N427" i="33" s="1"/>
  <c r="Q433" i="2"/>
  <c r="Q451" i="2" s="1"/>
  <c r="O325" i="2"/>
  <c r="O350" i="2" s="1"/>
  <c r="O611" i="2"/>
  <c r="O652" i="2"/>
  <c r="O646" i="2" s="1"/>
  <c r="Q595" i="2"/>
  <c r="R595" i="2" s="1"/>
  <c r="S595" i="2" s="1"/>
  <c r="T595" i="2" s="1"/>
  <c r="U595" i="2" s="1"/>
  <c r="V595" i="2" s="1"/>
  <c r="W595" i="2" s="1"/>
  <c r="X595" i="2" s="1"/>
  <c r="Y595" i="2" s="1"/>
  <c r="Z595" i="2" s="1"/>
  <c r="P594" i="2"/>
  <c r="R201" i="2"/>
  <c r="R232" i="2" s="1"/>
  <c r="R257" i="2" s="1"/>
  <c r="Q465" i="2"/>
  <c r="Q465" i="33"/>
  <c r="N444" i="33"/>
  <c r="N456" i="33" s="1"/>
  <c r="Q281" i="33"/>
  <c r="M165" i="33"/>
  <c r="N165" i="33" s="1"/>
  <c r="P294" i="33"/>
  <c r="P374" i="33" s="1"/>
  <c r="P460" i="2"/>
  <c r="Z225" i="2"/>
  <c r="AA225" i="2" s="1"/>
  <c r="Z472" i="33"/>
  <c r="Z565" i="33"/>
  <c r="T218" i="2"/>
  <c r="U125" i="2"/>
  <c r="U145" i="2" s="1"/>
  <c r="S238" i="2"/>
  <c r="S247" i="2" s="1"/>
  <c r="S279" i="2"/>
  <c r="P448" i="2"/>
  <c r="AC448" i="2" s="1" a="1"/>
  <c r="AC448" i="2" s="1"/>
  <c r="P455" i="2"/>
  <c r="AC455" i="2" s="1" a="1"/>
  <c r="AC455" i="2" s="1"/>
  <c r="P447" i="2"/>
  <c r="AC447" i="2" s="1" a="1"/>
  <c r="AC447" i="2" s="1"/>
  <c r="P454" i="2"/>
  <c r="AC454" i="2" s="1" a="1"/>
  <c r="AC454" i="2" s="1"/>
  <c r="P450" i="2"/>
  <c r="AC450" i="2" s="1" a="1"/>
  <c r="AC450" i="2" s="1"/>
  <c r="P452" i="2"/>
  <c r="AC452" i="2" s="1" a="1"/>
  <c r="AC452" i="2" s="1"/>
  <c r="O387" i="2"/>
  <c r="O467" i="2" s="1"/>
  <c r="R108" i="2"/>
  <c r="R140" i="2" s="1"/>
  <c r="R148" i="2" s="1"/>
  <c r="N449" i="2"/>
  <c r="O431" i="2"/>
  <c r="O387" i="33"/>
  <c r="O419" i="33" s="1"/>
  <c r="O427" i="33" s="1"/>
  <c r="R108" i="33"/>
  <c r="R140" i="33" s="1"/>
  <c r="R148" i="33" s="1"/>
  <c r="Q590" i="2"/>
  <c r="Q651" i="2" s="1"/>
  <c r="O433" i="33"/>
  <c r="O451" i="33" s="1"/>
  <c r="T218" i="33"/>
  <c r="R404" i="2"/>
  <c r="R424" i="2" s="1"/>
  <c r="P294" i="2"/>
  <c r="P326" i="2" s="1"/>
  <c r="P334" i="2" s="1"/>
  <c r="O455" i="33"/>
  <c r="O447" i="33"/>
  <c r="P384" i="33"/>
  <c r="P448" i="33" s="1"/>
  <c r="O454" i="33"/>
  <c r="O450" i="33"/>
  <c r="P434" i="33"/>
  <c r="O452" i="33"/>
  <c r="M449" i="33"/>
  <c r="N431" i="33"/>
  <c r="O637" i="2"/>
  <c r="P619" i="2"/>
  <c r="O544" i="33"/>
  <c r="P545" i="2"/>
  <c r="Q320" i="2"/>
  <c r="Q333" i="2" s="1"/>
  <c r="U282" i="3"/>
  <c r="W199" i="2" s="1"/>
  <c r="W209" i="2" s="1"/>
  <c r="W207" i="2" s="1"/>
  <c r="W235" i="2" s="1"/>
  <c r="U250" i="3"/>
  <c r="R594" i="2"/>
  <c r="R591" i="2"/>
  <c r="R593" i="2"/>
  <c r="T110" i="32"/>
  <c r="T126" i="32" s="1"/>
  <c r="T126" i="3"/>
  <c r="U110" i="3"/>
  <c r="R268" i="3"/>
  <c r="T383" i="2" s="1"/>
  <c r="T382" i="2"/>
  <c r="T145" i="33"/>
  <c r="T186" i="33"/>
  <c r="W142" i="2"/>
  <c r="W137" i="32"/>
  <c r="W233" i="32" s="1"/>
  <c r="Y102" i="33"/>
  <c r="U289" i="2"/>
  <c r="S267" i="3"/>
  <c r="U290" i="2" s="1"/>
  <c r="U369" i="2" s="1"/>
  <c r="T280" i="33"/>
  <c r="T239" i="33"/>
  <c r="T248" i="33" s="1"/>
  <c r="T140" i="3"/>
  <c r="T236" i="3" s="1"/>
  <c r="V381" i="2"/>
  <c r="V123" i="3"/>
  <c r="V107" i="32"/>
  <c r="V123" i="32" s="1"/>
  <c r="W107" i="3"/>
  <c r="U328" i="33"/>
  <c r="Q559" i="33"/>
  <c r="Q518" i="33"/>
  <c r="Q527" i="33" s="1"/>
  <c r="T315" i="2"/>
  <c r="T312" i="2"/>
  <c r="T314" i="2"/>
  <c r="R285" i="32"/>
  <c r="T478" i="33" s="1"/>
  <c r="R253" i="32"/>
  <c r="O326" i="33"/>
  <c r="O334" i="33" s="1"/>
  <c r="O325" i="33"/>
  <c r="O350" i="33" s="1"/>
  <c r="O351" i="33" s="1"/>
  <c r="O374" i="33"/>
  <c r="R399" i="33"/>
  <c r="R397" i="33"/>
  <c r="U282" i="32"/>
  <c r="W199" i="33" s="1"/>
  <c r="W209" i="33" s="1"/>
  <c r="W207" i="33" s="1"/>
  <c r="W235" i="33" s="1"/>
  <c r="U250" i="32"/>
  <c r="R586" i="33"/>
  <c r="R650" i="33"/>
  <c r="R647" i="33"/>
  <c r="R646" i="33" s="1"/>
  <c r="R648" i="33"/>
  <c r="U219" i="33"/>
  <c r="U220" i="33" s="1"/>
  <c r="U222" i="33"/>
  <c r="U221" i="33"/>
  <c r="S134" i="33"/>
  <c r="S147" i="33" s="1"/>
  <c r="T421" i="2"/>
  <c r="T430" i="2" s="1"/>
  <c r="U265" i="3"/>
  <c r="W104" i="2" s="1"/>
  <c r="W183" i="2" s="1"/>
  <c r="W103" i="2"/>
  <c r="X121" i="3"/>
  <c r="X105" i="32"/>
  <c r="X121" i="32" s="1"/>
  <c r="R331" i="33"/>
  <c r="R372" i="33"/>
  <c r="U328" i="2"/>
  <c r="U146" i="2"/>
  <c r="U187" i="2"/>
  <c r="T140" i="32"/>
  <c r="T236" i="32" s="1"/>
  <c r="V381" i="33"/>
  <c r="T143" i="2"/>
  <c r="T184" i="2"/>
  <c r="T133" i="2"/>
  <c r="V129" i="33"/>
  <c r="V128" i="33"/>
  <c r="V126" i="33"/>
  <c r="T239" i="2"/>
  <c r="T280" i="2"/>
  <c r="Q139" i="33"/>
  <c r="Q164" i="33" s="1"/>
  <c r="Q140" i="33"/>
  <c r="Q148" i="33" s="1"/>
  <c r="Q188" i="33"/>
  <c r="Q422" i="33"/>
  <c r="Q463" i="33"/>
  <c r="Q412" i="33"/>
  <c r="Q583" i="2"/>
  <c r="Q585" i="2"/>
  <c r="R370" i="2"/>
  <c r="R319" i="2"/>
  <c r="R329" i="2"/>
  <c r="U146" i="33"/>
  <c r="U187" i="33"/>
  <c r="R253" i="3"/>
  <c r="R285" i="3"/>
  <c r="T478" i="2" s="1"/>
  <c r="R594" i="33"/>
  <c r="R591" i="33"/>
  <c r="R592" i="33" s="1"/>
  <c r="R593" i="33"/>
  <c r="U276" i="33"/>
  <c r="U214" i="33"/>
  <c r="U278" i="33"/>
  <c r="U275" i="33"/>
  <c r="U274" i="33" s="1"/>
  <c r="S277" i="33"/>
  <c r="S236" i="33"/>
  <c r="S226" i="33"/>
  <c r="S227" i="33" s="1"/>
  <c r="S240" i="33" s="1"/>
  <c r="S408" i="33"/>
  <c r="S407" i="33"/>
  <c r="S405" i="33"/>
  <c r="V249" i="3"/>
  <c r="V281" i="3"/>
  <c r="X106" i="2" s="1"/>
  <c r="X116" i="2" s="1"/>
  <c r="X114" i="2" s="1"/>
  <c r="R425" i="2"/>
  <c r="R434" i="2" s="1"/>
  <c r="R452" i="2" s="1"/>
  <c r="R466" i="2"/>
  <c r="V121" i="33"/>
  <c r="V182" i="33"/>
  <c r="V181" i="33" s="1"/>
  <c r="V185" i="33"/>
  <c r="Q499" i="33"/>
  <c r="Q497" i="33" s="1"/>
  <c r="T251" i="3"/>
  <c r="T283" i="3"/>
  <c r="V292" i="2" s="1"/>
  <c r="V302" i="2" s="1"/>
  <c r="V300" i="2" s="1"/>
  <c r="X106" i="3"/>
  <c r="W122" i="3"/>
  <c r="W106" i="32"/>
  <c r="W122" i="32" s="1"/>
  <c r="Q652" i="33"/>
  <c r="Q611" i="33"/>
  <c r="Q620" i="33" s="1"/>
  <c r="Q269" i="3"/>
  <c r="S476" i="2" s="1"/>
  <c r="S475" i="2"/>
  <c r="Q463" i="2"/>
  <c r="Q422" i="2"/>
  <c r="Q412" i="2"/>
  <c r="S279" i="33"/>
  <c r="S238" i="33"/>
  <c r="R557" i="2"/>
  <c r="R554" i="2"/>
  <c r="R553" i="2" s="1"/>
  <c r="R493" i="2"/>
  <c r="P649" i="33"/>
  <c r="P608" i="33"/>
  <c r="P556" i="2"/>
  <c r="P515" i="2"/>
  <c r="R286" i="32"/>
  <c r="T571" i="33" s="1"/>
  <c r="T581" i="33" s="1"/>
  <c r="T579" i="33" s="1"/>
  <c r="T607" i="33" s="1"/>
  <c r="R254" i="32"/>
  <c r="T251" i="32"/>
  <c r="T283" i="32"/>
  <c r="V292" i="33" s="1"/>
  <c r="V302" i="33" s="1"/>
  <c r="V300" i="33" s="1"/>
  <c r="V328" i="33" s="1"/>
  <c r="S464" i="33"/>
  <c r="S400" i="33"/>
  <c r="S461" i="33"/>
  <c r="S460" i="33" s="1"/>
  <c r="Q497" i="2"/>
  <c r="Q269" i="32"/>
  <c r="S476" i="33" s="1"/>
  <c r="S493" i="33" s="1"/>
  <c r="S475" i="33"/>
  <c r="S141" i="3"/>
  <c r="S237" i="3" s="1"/>
  <c r="U474" i="2"/>
  <c r="U265" i="32"/>
  <c r="W104" i="33" s="1"/>
  <c r="W183" i="33" s="1"/>
  <c r="W103" i="33"/>
  <c r="Q270" i="3"/>
  <c r="S569" i="2" s="1"/>
  <c r="S568" i="2"/>
  <c r="Q583" i="33"/>
  <c r="Q585" i="33"/>
  <c r="S304" i="33"/>
  <c r="S306" i="33"/>
  <c r="V183" i="33"/>
  <c r="V138" i="32"/>
  <c r="V234" i="32" s="1"/>
  <c r="X195" i="33"/>
  <c r="P413" i="33"/>
  <c r="P426" i="33" s="1"/>
  <c r="P435" i="33" s="1"/>
  <c r="U127" i="33"/>
  <c r="U125" i="33" s="1"/>
  <c r="V196" i="33"/>
  <c r="T266" i="32"/>
  <c r="V197" i="33" s="1"/>
  <c r="P413" i="2"/>
  <c r="P426" i="2" s="1"/>
  <c r="P435" i="2" s="1"/>
  <c r="R466" i="33"/>
  <c r="R425" i="33"/>
  <c r="R498" i="2"/>
  <c r="R499" i="2" s="1"/>
  <c r="R500" i="2"/>
  <c r="R501" i="2"/>
  <c r="U276" i="2"/>
  <c r="U214" i="2"/>
  <c r="U278" i="2"/>
  <c r="U275" i="2"/>
  <c r="U274" i="2" s="1"/>
  <c r="T145" i="2"/>
  <c r="T186" i="2"/>
  <c r="S284" i="3"/>
  <c r="U385" i="2" s="1"/>
  <c r="U395" i="2" s="1"/>
  <c r="U393" i="2" s="1"/>
  <c r="S252" i="3"/>
  <c r="O544" i="2"/>
  <c r="S332" i="2"/>
  <c r="S373" i="2"/>
  <c r="S141" i="32"/>
  <c r="S237" i="32" s="1"/>
  <c r="U474" i="33"/>
  <c r="W142" i="33"/>
  <c r="R370" i="33"/>
  <c r="R329" i="33"/>
  <c r="R319" i="33"/>
  <c r="V138" i="3"/>
  <c r="V234" i="3" s="1"/>
  <c r="X195" i="2"/>
  <c r="P460" i="33"/>
  <c r="Q592" i="33"/>
  <c r="Q590" i="33" s="1"/>
  <c r="S313" i="33"/>
  <c r="S311" i="33" s="1"/>
  <c r="Q652" i="2"/>
  <c r="Q611" i="2"/>
  <c r="R404" i="33"/>
  <c r="Q270" i="32"/>
  <c r="S569" i="33" s="1"/>
  <c r="S568" i="33"/>
  <c r="U222" i="2"/>
  <c r="U221" i="2"/>
  <c r="U219" i="2"/>
  <c r="S284" i="32"/>
  <c r="U385" i="33" s="1"/>
  <c r="U395" i="33" s="1"/>
  <c r="U393" i="33" s="1"/>
  <c r="S252" i="32"/>
  <c r="Q139" i="2"/>
  <c r="Q164" i="2" s="1"/>
  <c r="Q140" i="2"/>
  <c r="Q148" i="2" s="1"/>
  <c r="Q188" i="2"/>
  <c r="R274" i="2"/>
  <c r="Q518" i="2"/>
  <c r="Q527" i="2" s="1"/>
  <c r="Q559" i="2"/>
  <c r="U109" i="3"/>
  <c r="T109" i="32"/>
  <c r="T125" i="32" s="1"/>
  <c r="T125" i="3"/>
  <c r="S405" i="2"/>
  <c r="S406" i="2" s="1"/>
  <c r="S407" i="2"/>
  <c r="S408" i="2"/>
  <c r="R331" i="2"/>
  <c r="R372" i="2"/>
  <c r="T213" i="2"/>
  <c r="T211" i="2"/>
  <c r="T382" i="33"/>
  <c r="R268" i="32"/>
  <c r="T383" i="33" s="1"/>
  <c r="T462" i="33" s="1"/>
  <c r="S332" i="33"/>
  <c r="S373" i="33"/>
  <c r="V129" i="2"/>
  <c r="V128" i="2"/>
  <c r="V126" i="2"/>
  <c r="V127" i="2" s="1"/>
  <c r="P558" i="33"/>
  <c r="P517" i="33"/>
  <c r="P526" i="33" s="1"/>
  <c r="S142" i="32"/>
  <c r="S238" i="32" s="1"/>
  <c r="U567" i="33"/>
  <c r="R500" i="33"/>
  <c r="R501" i="33"/>
  <c r="R498" i="33"/>
  <c r="O637" i="33"/>
  <c r="T213" i="33"/>
  <c r="T211" i="33"/>
  <c r="U118" i="2"/>
  <c r="U120" i="2"/>
  <c r="R286" i="3"/>
  <c r="T571" i="2" s="1"/>
  <c r="R254" i="3"/>
  <c r="Q490" i="2"/>
  <c r="Q492" i="2"/>
  <c r="R397" i="2"/>
  <c r="R399" i="2"/>
  <c r="S134" i="2"/>
  <c r="S147" i="2" s="1"/>
  <c r="T371" i="33"/>
  <c r="T368" i="33"/>
  <c r="T367" i="33" s="1"/>
  <c r="T307" i="33"/>
  <c r="U139" i="32"/>
  <c r="U235" i="32" s="1"/>
  <c r="W288" i="33"/>
  <c r="S313" i="2"/>
  <c r="S311" i="2" s="1"/>
  <c r="P651" i="33"/>
  <c r="P610" i="33"/>
  <c r="P619" i="33" s="1"/>
  <c r="U118" i="33"/>
  <c r="U120" i="33"/>
  <c r="S400" i="2"/>
  <c r="S464" i="2"/>
  <c r="S461" i="2"/>
  <c r="S460" i="2" s="1"/>
  <c r="T421" i="33"/>
  <c r="R586" i="2"/>
  <c r="R647" i="2"/>
  <c r="R646" i="2" s="1"/>
  <c r="R650" i="2"/>
  <c r="V121" i="2"/>
  <c r="V185" i="2"/>
  <c r="V182" i="2"/>
  <c r="V181" i="2" s="1"/>
  <c r="U567" i="2"/>
  <c r="S142" i="3"/>
  <c r="S238" i="3" s="1"/>
  <c r="R554" i="33"/>
  <c r="R553" i="33" s="1"/>
  <c r="R557" i="33"/>
  <c r="P649" i="2"/>
  <c r="P608" i="2"/>
  <c r="W137" i="3"/>
  <c r="W233" i="3" s="1"/>
  <c r="Y102" i="2"/>
  <c r="Q320" i="33"/>
  <c r="Q333" i="33" s="1"/>
  <c r="T143" i="33"/>
  <c r="T184" i="33"/>
  <c r="T133" i="33"/>
  <c r="V108" i="3"/>
  <c r="U108" i="32"/>
  <c r="U124" i="32" s="1"/>
  <c r="U124" i="3"/>
  <c r="T266" i="3"/>
  <c r="V197" i="2" s="1"/>
  <c r="V196" i="2"/>
  <c r="T312" i="33"/>
  <c r="T314" i="33"/>
  <c r="T315" i="33"/>
  <c r="U139" i="3"/>
  <c r="U235" i="3" s="1"/>
  <c r="W288" i="2"/>
  <c r="S267" i="32"/>
  <c r="U290" i="33" s="1"/>
  <c r="U369" i="33" s="1"/>
  <c r="U289" i="33"/>
  <c r="T369" i="2"/>
  <c r="T368" i="2"/>
  <c r="T367" i="2" s="1"/>
  <c r="T371" i="2"/>
  <c r="T307" i="2"/>
  <c r="S304" i="2"/>
  <c r="S306" i="2"/>
  <c r="N639" i="33"/>
  <c r="O621" i="33"/>
  <c r="N605" i="33"/>
  <c r="N613" i="33" s="1"/>
  <c r="N604" i="33"/>
  <c r="N629" i="33" s="1"/>
  <c r="N653" i="33"/>
  <c r="P597" i="33"/>
  <c r="P598" i="33" s="1"/>
  <c r="P599" i="33" s="1"/>
  <c r="P612" i="33" s="1"/>
  <c r="O573" i="33"/>
  <c r="M614" i="33"/>
  <c r="L632" i="33"/>
  <c r="O627" i="33"/>
  <c r="N641" i="33"/>
  <c r="K644" i="33"/>
  <c r="S616" i="33"/>
  <c r="V580" i="33"/>
  <c r="L640" i="33"/>
  <c r="M626" i="33"/>
  <c r="H632" i="2"/>
  <c r="H644" i="2" s="1"/>
  <c r="I614" i="2"/>
  <c r="K639" i="2"/>
  <c r="L621" i="2"/>
  <c r="AC540" i="2" a="1"/>
  <c r="AC540" i="2" s="1"/>
  <c r="X158" i="32"/>
  <c r="X222" i="32" s="1"/>
  <c r="X174" i="32" s="1"/>
  <c r="X222" i="3"/>
  <c r="X174" i="3" s="1"/>
  <c r="Z543" i="2"/>
  <c r="AC543" i="2" s="1" a="1"/>
  <c r="AC543" i="2" s="1"/>
  <c r="Z636" i="2"/>
  <c r="Z633" i="2"/>
  <c r="J626" i="2"/>
  <c r="I640" i="2"/>
  <c r="L605" i="2"/>
  <c r="L613" i="2" s="1"/>
  <c r="L604" i="2"/>
  <c r="L629" i="2" s="1"/>
  <c r="L653" i="2"/>
  <c r="Q616" i="2"/>
  <c r="M635" i="2"/>
  <c r="N617" i="2"/>
  <c r="R648" i="2"/>
  <c r="R607" i="2"/>
  <c r="T580" i="2"/>
  <c r="S581" i="2"/>
  <c r="S579" i="2" s="1"/>
  <c r="A638" i="2"/>
  <c r="L627" i="2"/>
  <c r="K641" i="2"/>
  <c r="M573" i="2"/>
  <c r="N597" i="2"/>
  <c r="N598" i="2" s="1"/>
  <c r="N599" i="2" s="1"/>
  <c r="N612" i="2" s="1"/>
  <c r="K630" i="2"/>
  <c r="J642" i="2"/>
  <c r="J549" i="2"/>
  <c r="Y168" i="2"/>
  <c r="Z447" i="2"/>
  <c r="P359" i="33"/>
  <c r="Q341" i="33"/>
  <c r="P340" i="33"/>
  <c r="O358" i="33"/>
  <c r="P361" i="33"/>
  <c r="P362" i="33"/>
  <c r="Q291" i="33"/>
  <c r="P354" i="33"/>
  <c r="P357" i="33"/>
  <c r="N356" i="33"/>
  <c r="O338" i="33"/>
  <c r="I555" i="33"/>
  <c r="A494" i="33"/>
  <c r="L493" i="33"/>
  <c r="I493" i="33"/>
  <c r="L487" i="33"/>
  <c r="K488" i="33"/>
  <c r="K486" i="33" s="1"/>
  <c r="N493" i="33"/>
  <c r="Q493" i="33"/>
  <c r="H541" i="33"/>
  <c r="I523" i="33"/>
  <c r="H493" i="33"/>
  <c r="R493" i="33"/>
  <c r="J493" i="33"/>
  <c r="P493" i="33"/>
  <c r="K493" i="33"/>
  <c r="M493" i="33"/>
  <c r="G493" i="33"/>
  <c r="O493" i="33"/>
  <c r="J555" i="33"/>
  <c r="J514" i="33"/>
  <c r="M480" i="2"/>
  <c r="L546" i="2"/>
  <c r="M528" i="2"/>
  <c r="I539" i="2"/>
  <c r="I551" i="2" s="1"/>
  <c r="J521" i="2"/>
  <c r="N506" i="2"/>
  <c r="N519" i="2" s="1"/>
  <c r="P504" i="2"/>
  <c r="O505" i="2"/>
  <c r="L537" i="2"/>
  <c r="K549" i="2"/>
  <c r="T487" i="2"/>
  <c r="S488" i="2"/>
  <c r="S486" i="2" s="1"/>
  <c r="P541" i="2"/>
  <c r="Q523" i="2"/>
  <c r="M534" i="2"/>
  <c r="L548" i="2"/>
  <c r="R555" i="2"/>
  <c r="R514" i="2"/>
  <c r="O524" i="2"/>
  <c r="N542" i="2"/>
  <c r="J547" i="2"/>
  <c r="K533" i="2"/>
  <c r="Z455" i="2"/>
  <c r="G21" i="2"/>
  <c r="A26" i="2"/>
  <c r="Z411" i="2"/>
  <c r="AA411" i="2" s="1"/>
  <c r="I22" i="2"/>
  <c r="H23" i="2"/>
  <c r="H21" i="2" s="1"/>
  <c r="Z264" i="2"/>
  <c r="Z261" i="2"/>
  <c r="Y450" i="2"/>
  <c r="Y455" i="2"/>
  <c r="Z269" i="2"/>
  <c r="U175" i="2"/>
  <c r="V161" i="2"/>
  <c r="W43" i="41"/>
  <c r="W61" i="41" s="1"/>
  <c r="W70" i="41"/>
  <c r="W88" i="41" s="1"/>
  <c r="W106" i="41" s="1"/>
  <c r="Z362" i="2"/>
  <c r="Z7" i="33"/>
  <c r="Z39" i="33" s="1"/>
  <c r="X4" i="32"/>
  <c r="X25" i="41" s="1"/>
  <c r="Z286" i="33"/>
  <c r="Z318" i="33" s="1"/>
  <c r="AA318" i="33" s="1"/>
  <c r="Z379" i="33"/>
  <c r="Z411" i="33" s="1"/>
  <c r="AA411" i="33" s="1"/>
  <c r="Z100" i="33"/>
  <c r="Z132" i="33" s="1"/>
  <c r="Z193" i="33"/>
  <c r="Z225" i="33" s="1"/>
  <c r="AA225" i="33" s="1"/>
  <c r="Z105" i="2"/>
  <c r="Z171" i="2" s="1"/>
  <c r="Z132" i="2"/>
  <c r="R201" i="33"/>
  <c r="S227" i="2"/>
  <c r="S240" i="2" s="1"/>
  <c r="X154" i="32"/>
  <c r="X218" i="32" s="1"/>
  <c r="X170" i="32" s="1"/>
  <c r="X218" i="3"/>
  <c r="X170" i="3" s="1"/>
  <c r="X157" i="32"/>
  <c r="X221" i="32" s="1"/>
  <c r="X173" i="32" s="1"/>
  <c r="X221" i="3"/>
  <c r="X173" i="3" s="1"/>
  <c r="R233" i="2"/>
  <c r="R241" i="2" s="1"/>
  <c r="W93" i="32"/>
  <c r="X93" i="3"/>
  <c r="L272" i="2"/>
  <c r="M428" i="33"/>
  <c r="L446" i="33"/>
  <c r="L458" i="33" s="1"/>
  <c r="Q430" i="33"/>
  <c r="S448" i="2"/>
  <c r="P156" i="2"/>
  <c r="O174" i="2"/>
  <c r="Q83" i="33"/>
  <c r="Q75" i="33"/>
  <c r="Q82" i="33"/>
  <c r="Q78" i="33"/>
  <c r="R12" i="33"/>
  <c r="N174" i="33"/>
  <c r="O156" i="33"/>
  <c r="Q168" i="33"/>
  <c r="Q171" i="33"/>
  <c r="R105" i="33"/>
  <c r="Q176" i="33"/>
  <c r="Q175" i="33"/>
  <c r="Q169" i="33"/>
  <c r="S62" i="2"/>
  <c r="R80" i="2"/>
  <c r="L167" i="2"/>
  <c r="L179" i="2" s="1"/>
  <c r="M149" i="2"/>
  <c r="O63" i="33"/>
  <c r="N81" i="33"/>
  <c r="L446" i="2"/>
  <c r="L458" i="2" s="1"/>
  <c r="M428" i="2"/>
  <c r="V151" i="33"/>
  <c r="Q79" i="2"/>
  <c r="R61" i="2"/>
  <c r="O76" i="33"/>
  <c r="P58" i="33"/>
  <c r="P79" i="33"/>
  <c r="Q61" i="33"/>
  <c r="R155" i="33"/>
  <c r="Q173" i="33"/>
  <c r="R62" i="33"/>
  <c r="Q80" i="33"/>
  <c r="M84" i="33"/>
  <c r="N72" i="33"/>
  <c r="O453" i="33"/>
  <c r="Q172" i="33"/>
  <c r="R154" i="33"/>
  <c r="L74" i="33"/>
  <c r="L86" i="33" s="1"/>
  <c r="M56" i="33"/>
  <c r="P337" i="33"/>
  <c r="O355" i="33"/>
  <c r="O453" i="2"/>
  <c r="M177" i="2"/>
  <c r="N165" i="2"/>
  <c r="M456" i="2"/>
  <c r="N444" i="2"/>
  <c r="L167" i="33"/>
  <c r="L179" i="33" s="1"/>
  <c r="M149" i="33"/>
  <c r="O77" i="33"/>
  <c r="P59" i="33"/>
  <c r="P170" i="33"/>
  <c r="Q152" i="33"/>
  <c r="Q244" i="2"/>
  <c r="P262" i="2"/>
  <c r="Q151" i="2"/>
  <c r="P169" i="2"/>
  <c r="M270" i="2"/>
  <c r="N258" i="2"/>
  <c r="P263" i="2"/>
  <c r="Q245" i="2"/>
  <c r="U244" i="33"/>
  <c r="R265" i="2"/>
  <c r="R266" i="2"/>
  <c r="S248" i="2"/>
  <c r="L270" i="33"/>
  <c r="M258" i="33"/>
  <c r="Q268" i="33"/>
  <c r="Q264" i="33"/>
  <c r="R198" i="33"/>
  <c r="Q269" i="33"/>
  <c r="Q261" i="33"/>
  <c r="Q262" i="33"/>
  <c r="Q266" i="33"/>
  <c r="K260" i="33"/>
  <c r="K272" i="33" s="1"/>
  <c r="L242" i="33"/>
  <c r="P249" i="2"/>
  <c r="O267" i="2"/>
  <c r="R268" i="2"/>
  <c r="AC268" i="2" s="1" a="1"/>
  <c r="AC268" i="2" s="1"/>
  <c r="R269" i="2"/>
  <c r="AC269" i="2" s="1" a="1"/>
  <c r="AC269" i="2" s="1"/>
  <c r="R264" i="2"/>
  <c r="AC264" i="2" s="1" a="1"/>
  <c r="AC264" i="2" s="1"/>
  <c r="R261" i="2"/>
  <c r="AC261" i="2" s="1" a="1"/>
  <c r="AC261" i="2" s="1"/>
  <c r="P245" i="33"/>
  <c r="O263" i="33"/>
  <c r="N267" i="33"/>
  <c r="O249" i="33"/>
  <c r="R247" i="33"/>
  <c r="Q265" i="33"/>
  <c r="N242" i="2"/>
  <c r="M260" i="2"/>
  <c r="Z429" i="33"/>
  <c r="Z254" i="2"/>
  <c r="Z268" i="2" s="1"/>
  <c r="Y268" i="2"/>
  <c r="N335" i="33"/>
  <c r="M353" i="33"/>
  <c r="M365" i="33" s="1"/>
  <c r="Z336" i="2"/>
  <c r="Z354" i="2" s="1"/>
  <c r="Y354" i="2"/>
  <c r="L335" i="2"/>
  <c r="K353" i="2"/>
  <c r="K365" i="2" s="1"/>
  <c r="Z347" i="2"/>
  <c r="Z361" i="2" s="1"/>
  <c r="Y361" i="2"/>
  <c r="Z57" i="33"/>
  <c r="Z255" i="33"/>
  <c r="Z243" i="33"/>
  <c r="Z161" i="33"/>
  <c r="P342" i="33"/>
  <c r="O360" i="33"/>
  <c r="Z162" i="2"/>
  <c r="Y176" i="2"/>
  <c r="Y454" i="2"/>
  <c r="Z440" i="2"/>
  <c r="Z454" i="2" s="1"/>
  <c r="N360" i="2"/>
  <c r="O342" i="2"/>
  <c r="Z254" i="33"/>
  <c r="N363" i="33"/>
  <c r="S337" i="2"/>
  <c r="R355" i="2"/>
  <c r="R341" i="2"/>
  <c r="Q359" i="2"/>
  <c r="Z150" i="33"/>
  <c r="P338" i="2"/>
  <c r="O356" i="2"/>
  <c r="AC356" i="2" s="1" a="1"/>
  <c r="AC356" i="2" s="1"/>
  <c r="L363" i="2"/>
  <c r="M351" i="2"/>
  <c r="Q340" i="2"/>
  <c r="P358" i="2"/>
  <c r="T88" i="33" l="1"/>
  <c r="U78" i="2"/>
  <c r="U75" i="2"/>
  <c r="V12" i="2"/>
  <c r="AC171" i="2" a="1"/>
  <c r="AC171" i="2" s="1"/>
  <c r="AC451" i="2" a="1"/>
  <c r="AC451" i="2" s="1"/>
  <c r="P172" i="2"/>
  <c r="Q154" i="2"/>
  <c r="P152" i="2"/>
  <c r="O170" i="2"/>
  <c r="R155" i="2"/>
  <c r="Q173" i="2"/>
  <c r="N630" i="33"/>
  <c r="N642" i="33" s="1"/>
  <c r="R465" i="2"/>
  <c r="V281" i="32"/>
  <c r="X106" i="33" s="1"/>
  <c r="X116" i="33" s="1"/>
  <c r="X114" i="33" s="1"/>
  <c r="X142" i="33" s="1"/>
  <c r="R139" i="2"/>
  <c r="R164" i="2" s="1"/>
  <c r="O617" i="33"/>
  <c r="O635" i="33" s="1"/>
  <c r="X259" i="32"/>
  <c r="X275" i="32" s="1"/>
  <c r="X291" i="32"/>
  <c r="X288" i="3"/>
  <c r="X256" i="3"/>
  <c r="X272" i="3" s="1"/>
  <c r="X143" i="32"/>
  <c r="X239" i="32" s="1"/>
  <c r="Z127" i="32"/>
  <c r="Z257" i="32"/>
  <c r="X273" i="32"/>
  <c r="Z273" i="32" s="1"/>
  <c r="X149" i="32"/>
  <c r="X245" i="32" s="1"/>
  <c r="Z133" i="32"/>
  <c r="X150" i="32"/>
  <c r="X246" i="32" s="1"/>
  <c r="Z134" i="32"/>
  <c r="W259" i="32"/>
  <c r="W275" i="32" s="1"/>
  <c r="W291" i="32"/>
  <c r="W290" i="32"/>
  <c r="X145" i="3"/>
  <c r="X241" i="3" s="1"/>
  <c r="Z129" i="3"/>
  <c r="X240" i="32"/>
  <c r="W288" i="3"/>
  <c r="W256" i="3"/>
  <c r="W262" i="3"/>
  <c r="W278" i="3" s="1"/>
  <c r="W294" i="3"/>
  <c r="R433" i="2"/>
  <c r="R451" i="2" s="1"/>
  <c r="W255" i="32"/>
  <c r="Z131" i="32"/>
  <c r="V259" i="32"/>
  <c r="V291" i="32"/>
  <c r="Z134" i="3"/>
  <c r="X147" i="3"/>
  <c r="X243" i="3" s="1"/>
  <c r="O620" i="2"/>
  <c r="O638" i="2" s="1"/>
  <c r="W288" i="32"/>
  <c r="W256" i="32"/>
  <c r="W272" i="32" s="1"/>
  <c r="U186" i="2"/>
  <c r="S15" i="33"/>
  <c r="S46" i="33" s="1"/>
  <c r="S71" i="33" s="1"/>
  <c r="W34" i="2"/>
  <c r="W32" i="2" s="1"/>
  <c r="W280" i="3"/>
  <c r="Y13" i="2" s="1"/>
  <c r="W248" i="3"/>
  <c r="X146" i="3"/>
  <c r="X242" i="3" s="1"/>
  <c r="Z130" i="3"/>
  <c r="X293" i="3"/>
  <c r="X261" i="3"/>
  <c r="W94" i="2"/>
  <c r="W53" i="2"/>
  <c r="V34" i="33"/>
  <c r="V32" i="33" s="1"/>
  <c r="V264" i="32"/>
  <c r="X10" i="33"/>
  <c r="V53" i="2"/>
  <c r="V94" i="2"/>
  <c r="X294" i="3"/>
  <c r="X262" i="3"/>
  <c r="X146" i="32"/>
  <c r="X242" i="32" s="1"/>
  <c r="Z130" i="32"/>
  <c r="W257" i="3"/>
  <c r="W273" i="3" s="1"/>
  <c r="W289" i="3"/>
  <c r="W292" i="3"/>
  <c r="W260" i="3"/>
  <c r="W276" i="3" s="1"/>
  <c r="X143" i="3"/>
  <c r="X239" i="3" s="1"/>
  <c r="Z127" i="3"/>
  <c r="W248" i="32"/>
  <c r="W280" i="32"/>
  <c r="Y13" i="33" s="1"/>
  <c r="X116" i="32"/>
  <c r="X132" i="32" s="1"/>
  <c r="X132" i="3"/>
  <c r="R281" i="2"/>
  <c r="X136" i="3"/>
  <c r="X232" i="3" s="1"/>
  <c r="Z9" i="2"/>
  <c r="Z120" i="3"/>
  <c r="F29" i="1" s="1"/>
  <c r="X35" i="2"/>
  <c r="X36" i="2"/>
  <c r="X33" i="2"/>
  <c r="X34" i="2" s="1"/>
  <c r="W260" i="32"/>
  <c r="W276" i="32" s="1"/>
  <c r="W292" i="32"/>
  <c r="T41" i="33"/>
  <c r="T54" i="33" s="1"/>
  <c r="X293" i="32"/>
  <c r="X261" i="32"/>
  <c r="X92" i="2"/>
  <c r="X89" i="2"/>
  <c r="V25" i="33"/>
  <c r="V27" i="33"/>
  <c r="N29" i="34"/>
  <c r="T29" i="34"/>
  <c r="O29" i="34"/>
  <c r="M29" i="34"/>
  <c r="P29" i="34"/>
  <c r="R29" i="34"/>
  <c r="S29" i="34"/>
  <c r="Q29" i="34"/>
  <c r="W35" i="33"/>
  <c r="W36" i="33"/>
  <c r="W33" i="33"/>
  <c r="W34" i="33" s="1"/>
  <c r="X136" i="32"/>
  <c r="X232" i="32" s="1"/>
  <c r="Z9" i="33"/>
  <c r="Z120" i="32"/>
  <c r="F29" i="34" s="1"/>
  <c r="U50" i="33"/>
  <c r="U40" i="33"/>
  <c r="U91" i="33"/>
  <c r="U88" i="33" s="1"/>
  <c r="X287" i="32"/>
  <c r="X255" i="32"/>
  <c r="X271" i="32" s="1"/>
  <c r="W89" i="33"/>
  <c r="W92" i="33"/>
  <c r="W28" i="33"/>
  <c r="W271" i="32"/>
  <c r="Z255" i="32"/>
  <c r="V94" i="33"/>
  <c r="V53" i="33"/>
  <c r="V32" i="2"/>
  <c r="X294" i="32"/>
  <c r="X262" i="32"/>
  <c r="P540" i="33"/>
  <c r="P543" i="33"/>
  <c r="Q477" i="33"/>
  <c r="Q545" i="33" s="1"/>
  <c r="P633" i="33"/>
  <c r="P634" i="33"/>
  <c r="P636" i="33"/>
  <c r="Q570" i="33"/>
  <c r="Q638" i="33" s="1"/>
  <c r="P633" i="2"/>
  <c r="AC633" i="2" s="1" a="1"/>
  <c r="AC633" i="2" s="1"/>
  <c r="P636" i="2"/>
  <c r="AC636" i="2" s="1" a="1"/>
  <c r="AC636" i="2" s="1"/>
  <c r="P325" i="2"/>
  <c r="P350" i="2" s="1"/>
  <c r="P646" i="33"/>
  <c r="P326" i="33"/>
  <c r="P334" i="33" s="1"/>
  <c r="R188" i="2"/>
  <c r="M177" i="33"/>
  <c r="O419" i="2"/>
  <c r="O427" i="2" s="1"/>
  <c r="P374" i="2"/>
  <c r="P652" i="2"/>
  <c r="P646" i="2" s="1"/>
  <c r="P611" i="2"/>
  <c r="O467" i="33"/>
  <c r="W151" i="33"/>
  <c r="S201" i="33"/>
  <c r="S281" i="33" s="1"/>
  <c r="P325" i="33"/>
  <c r="P350" i="33" s="1"/>
  <c r="P351" i="33" s="1"/>
  <c r="O418" i="33"/>
  <c r="O443" i="33" s="1"/>
  <c r="O444" i="33" s="1"/>
  <c r="O456" i="33" s="1"/>
  <c r="R188" i="33"/>
  <c r="R139" i="33"/>
  <c r="R164" i="33" s="1"/>
  <c r="P433" i="33"/>
  <c r="Q433" i="33" s="1"/>
  <c r="R590" i="33"/>
  <c r="R610" i="33" s="1"/>
  <c r="O418" i="2"/>
  <c r="O443" i="2" s="1"/>
  <c r="O444" i="2" s="1"/>
  <c r="Q610" i="2"/>
  <c r="Q619" i="2" s="1"/>
  <c r="R497" i="2"/>
  <c r="R558" i="2" s="1"/>
  <c r="S108" i="2"/>
  <c r="S139" i="2" s="1"/>
  <c r="S164" i="2" s="1"/>
  <c r="S404" i="2"/>
  <c r="S424" i="2" s="1"/>
  <c r="T279" i="2"/>
  <c r="T238" i="2"/>
  <c r="T247" i="2" s="1"/>
  <c r="P387" i="33"/>
  <c r="P467" i="33" s="1"/>
  <c r="U218" i="33"/>
  <c r="Q434" i="33"/>
  <c r="P452" i="33"/>
  <c r="T279" i="33"/>
  <c r="T238" i="33"/>
  <c r="P387" i="2"/>
  <c r="P467" i="2" s="1"/>
  <c r="P454" i="33"/>
  <c r="P455" i="33"/>
  <c r="P447" i="33"/>
  <c r="Q384" i="33"/>
  <c r="Q448" i="33" s="1"/>
  <c r="P450" i="33"/>
  <c r="V125" i="2"/>
  <c r="V186" i="2" s="1"/>
  <c r="N449" i="33"/>
  <c r="O431" i="33"/>
  <c r="Q294" i="33"/>
  <c r="Q374" i="33" s="1"/>
  <c r="P431" i="2"/>
  <c r="O449" i="2"/>
  <c r="Q545" i="2"/>
  <c r="P637" i="33"/>
  <c r="Q651" i="33"/>
  <c r="Q610" i="33"/>
  <c r="Q619" i="33" s="1"/>
  <c r="S331" i="2"/>
  <c r="S372" i="2"/>
  <c r="P544" i="33"/>
  <c r="U186" i="33"/>
  <c r="U145" i="33"/>
  <c r="T313" i="33"/>
  <c r="T311" i="33" s="1"/>
  <c r="T236" i="33"/>
  <c r="T277" i="33"/>
  <c r="T226" i="33"/>
  <c r="T227" i="33" s="1"/>
  <c r="T240" i="33" s="1"/>
  <c r="S286" i="32"/>
  <c r="U571" i="33" s="1"/>
  <c r="U581" i="33" s="1"/>
  <c r="U579" i="33" s="1"/>
  <c r="U607" i="33" s="1"/>
  <c r="S254" i="32"/>
  <c r="U220" i="2"/>
  <c r="U218" i="2" s="1"/>
  <c r="S372" i="33"/>
  <c r="S331" i="33"/>
  <c r="R320" i="33"/>
  <c r="R333" i="33" s="1"/>
  <c r="R490" i="2"/>
  <c r="R492" i="2"/>
  <c r="S500" i="2"/>
  <c r="S498" i="2"/>
  <c r="S499" i="2" s="1"/>
  <c r="S501" i="2"/>
  <c r="V328" i="2"/>
  <c r="V567" i="2"/>
  <c r="T142" i="3"/>
  <c r="T238" i="3" s="1"/>
  <c r="V219" i="2"/>
  <c r="V220" i="2" s="1"/>
  <c r="V221" i="2"/>
  <c r="V222" i="2"/>
  <c r="R463" i="2"/>
  <c r="R422" i="2"/>
  <c r="R412" i="2"/>
  <c r="T464" i="33"/>
  <c r="T461" i="33"/>
  <c r="T460" i="33" s="1"/>
  <c r="T400" i="33"/>
  <c r="S425" i="2"/>
  <c r="S434" i="2" s="1"/>
  <c r="S452" i="2" s="1"/>
  <c r="S466" i="2"/>
  <c r="V265" i="32"/>
  <c r="X104" i="33" s="1"/>
  <c r="X103" i="33"/>
  <c r="S319" i="33"/>
  <c r="S329" i="33"/>
  <c r="S370" i="33"/>
  <c r="S253" i="3"/>
  <c r="S285" i="3"/>
  <c r="U478" i="2" s="1"/>
  <c r="V289" i="33"/>
  <c r="T267" i="32"/>
  <c r="V290" i="33" s="1"/>
  <c r="S557" i="2"/>
  <c r="S554" i="2"/>
  <c r="S553" i="2" s="1"/>
  <c r="S493" i="2"/>
  <c r="T267" i="3"/>
  <c r="V290" i="2" s="1"/>
  <c r="V369" i="2" s="1"/>
  <c r="V289" i="2"/>
  <c r="X142" i="2"/>
  <c r="R269" i="3"/>
  <c r="T476" i="2" s="1"/>
  <c r="T475" i="2"/>
  <c r="Q608" i="2"/>
  <c r="Q649" i="2"/>
  <c r="S108" i="33"/>
  <c r="R583" i="33"/>
  <c r="R585" i="33"/>
  <c r="T142" i="32"/>
  <c r="T238" i="32" s="1"/>
  <c r="V567" i="33"/>
  <c r="U314" i="33"/>
  <c r="U315" i="33"/>
  <c r="U312" i="33"/>
  <c r="V276" i="2"/>
  <c r="V278" i="2"/>
  <c r="V214" i="2"/>
  <c r="V275" i="2"/>
  <c r="V274" i="2" s="1"/>
  <c r="S254" i="3"/>
  <c r="S286" i="3"/>
  <c r="U571" i="2" s="1"/>
  <c r="S397" i="2"/>
  <c r="S399" i="2"/>
  <c r="U251" i="32"/>
  <c r="U283" i="32"/>
  <c r="W292" i="33" s="1"/>
  <c r="W302" i="33" s="1"/>
  <c r="W300" i="33" s="1"/>
  <c r="T408" i="33"/>
  <c r="T405" i="33"/>
  <c r="T406" i="33" s="1"/>
  <c r="T407" i="33"/>
  <c r="U239" i="2"/>
  <c r="U280" i="2"/>
  <c r="S498" i="33"/>
  <c r="S500" i="33"/>
  <c r="S501" i="33"/>
  <c r="R270" i="32"/>
  <c r="T569" i="33" s="1"/>
  <c r="T568" i="33"/>
  <c r="Q558" i="33"/>
  <c r="Q517" i="33"/>
  <c r="Q526" i="33" s="1"/>
  <c r="V265" i="3"/>
  <c r="X104" i="2" s="1"/>
  <c r="X183" i="2" s="1"/>
  <c r="X103" i="2"/>
  <c r="Q413" i="33"/>
  <c r="Q426" i="33" s="1"/>
  <c r="Q435" i="33" s="1"/>
  <c r="X137" i="32"/>
  <c r="X233" i="32" s="1"/>
  <c r="Z102" i="33"/>
  <c r="Z121" i="32"/>
  <c r="G29" i="34" s="1"/>
  <c r="U266" i="32"/>
  <c r="W197" i="33" s="1"/>
  <c r="W196" i="33"/>
  <c r="R269" i="32"/>
  <c r="T476" i="33" s="1"/>
  <c r="T475" i="33"/>
  <c r="U371" i="33"/>
  <c r="U307" i="33"/>
  <c r="U368" i="33"/>
  <c r="U367" i="33" s="1"/>
  <c r="U140" i="3"/>
  <c r="U236" i="3" s="1"/>
  <c r="W381" i="2"/>
  <c r="T306" i="33"/>
  <c r="T304" i="33"/>
  <c r="Q556" i="2"/>
  <c r="Q515" i="2"/>
  <c r="T277" i="2"/>
  <c r="T236" i="2"/>
  <c r="T226" i="2"/>
  <c r="T227" i="2" s="1"/>
  <c r="T240" i="2" s="1"/>
  <c r="T141" i="3"/>
  <c r="T237" i="3" s="1"/>
  <c r="V474" i="2"/>
  <c r="S591" i="33"/>
  <c r="S594" i="33"/>
  <c r="S593" i="33"/>
  <c r="V276" i="33"/>
  <c r="V214" i="33"/>
  <c r="V278" i="33"/>
  <c r="V275" i="33"/>
  <c r="V274" i="33" s="1"/>
  <c r="Q608" i="33"/>
  <c r="Q649" i="33"/>
  <c r="S554" i="33"/>
  <c r="S553" i="33" s="1"/>
  <c r="S557" i="33"/>
  <c r="S406" i="33"/>
  <c r="S404" i="33" s="1"/>
  <c r="U213" i="33"/>
  <c r="U211" i="33"/>
  <c r="T284" i="32"/>
  <c r="V385" i="33" s="1"/>
  <c r="V395" i="33" s="1"/>
  <c r="V393" i="33" s="1"/>
  <c r="T252" i="32"/>
  <c r="X137" i="3"/>
  <c r="X233" i="3" s="1"/>
  <c r="Z102" i="2"/>
  <c r="Z121" i="3"/>
  <c r="G29" i="1" s="1"/>
  <c r="X107" i="3"/>
  <c r="W107" i="32"/>
  <c r="W123" i="32" s="1"/>
  <c r="W123" i="3"/>
  <c r="R592" i="2"/>
  <c r="R590" i="2" s="1"/>
  <c r="U140" i="32"/>
  <c r="U236" i="32" s="1"/>
  <c r="W381" i="33"/>
  <c r="R583" i="2"/>
  <c r="R585" i="2"/>
  <c r="U143" i="33"/>
  <c r="U184" i="33"/>
  <c r="U133" i="33"/>
  <c r="R270" i="3"/>
  <c r="T569" i="2" s="1"/>
  <c r="T568" i="2"/>
  <c r="R499" i="33"/>
  <c r="R497" i="33" s="1"/>
  <c r="T141" i="32"/>
  <c r="T237" i="32" s="1"/>
  <c r="V474" i="33"/>
  <c r="S650" i="33"/>
  <c r="S647" i="33"/>
  <c r="S646" i="33" s="1"/>
  <c r="S586" i="33"/>
  <c r="S648" i="33"/>
  <c r="U213" i="2"/>
  <c r="U211" i="2"/>
  <c r="V221" i="33"/>
  <c r="V219" i="33"/>
  <c r="V220" i="33" s="1"/>
  <c r="V222" i="33"/>
  <c r="S594" i="2"/>
  <c r="S593" i="2"/>
  <c r="S591" i="2"/>
  <c r="S592" i="2" s="1"/>
  <c r="Q558" i="2"/>
  <c r="Q517" i="2"/>
  <c r="Q526" i="2" s="1"/>
  <c r="V127" i="33"/>
  <c r="V125" i="33" s="1"/>
  <c r="W129" i="2"/>
  <c r="W126" i="2"/>
  <c r="W127" i="2" s="1"/>
  <c r="W128" i="2"/>
  <c r="U280" i="33"/>
  <c r="U239" i="33"/>
  <c r="U248" i="33" s="1"/>
  <c r="R463" i="33"/>
  <c r="R422" i="33"/>
  <c r="R412" i="33"/>
  <c r="V139" i="32"/>
  <c r="V235" i="32" s="1"/>
  <c r="X288" i="33"/>
  <c r="U307" i="2"/>
  <c r="U371" i="2"/>
  <c r="U368" i="2"/>
  <c r="U367" i="2" s="1"/>
  <c r="R652" i="2"/>
  <c r="R611" i="2"/>
  <c r="S329" i="2"/>
  <c r="S319" i="2"/>
  <c r="S370" i="2"/>
  <c r="U251" i="3"/>
  <c r="U283" i="3"/>
  <c r="W292" i="2" s="1"/>
  <c r="W302" i="2" s="1"/>
  <c r="W300" i="2" s="1"/>
  <c r="W108" i="3"/>
  <c r="V124" i="3"/>
  <c r="V108" i="32"/>
  <c r="V124" i="32" s="1"/>
  <c r="W249" i="3"/>
  <c r="W281" i="3"/>
  <c r="Y106" i="2" s="1"/>
  <c r="Y116" i="2" s="1"/>
  <c r="Y114" i="2" s="1"/>
  <c r="R518" i="33"/>
  <c r="R527" i="33" s="1"/>
  <c r="R559" i="33"/>
  <c r="V187" i="2"/>
  <c r="V146" i="2"/>
  <c r="V109" i="3"/>
  <c r="U109" i="32"/>
  <c r="U125" i="32" s="1"/>
  <c r="U125" i="3"/>
  <c r="R424" i="33"/>
  <c r="R465" i="33"/>
  <c r="P544" i="2"/>
  <c r="S586" i="2"/>
  <c r="S650" i="2"/>
  <c r="S647" i="2"/>
  <c r="S646" i="2" s="1"/>
  <c r="Q413" i="2"/>
  <c r="Q426" i="2" s="1"/>
  <c r="Q435" i="2" s="1"/>
  <c r="W138" i="32"/>
  <c r="W234" i="32" s="1"/>
  <c r="Y195" i="33"/>
  <c r="S425" i="33"/>
  <c r="S466" i="33"/>
  <c r="W121" i="2"/>
  <c r="W185" i="2"/>
  <c r="W182" i="2"/>
  <c r="W181" i="2" s="1"/>
  <c r="T313" i="2"/>
  <c r="T311" i="2" s="1"/>
  <c r="V139" i="3"/>
  <c r="V235" i="3" s="1"/>
  <c r="X288" i="2"/>
  <c r="U315" i="2"/>
  <c r="U312" i="2"/>
  <c r="U314" i="2"/>
  <c r="T407" i="2"/>
  <c r="T405" i="2"/>
  <c r="T406" i="2" s="1"/>
  <c r="T408" i="2"/>
  <c r="W196" i="2"/>
  <c r="U266" i="3"/>
  <c r="W197" i="2" s="1"/>
  <c r="T306" i="2"/>
  <c r="T304" i="2"/>
  <c r="T332" i="33"/>
  <c r="T373" i="33"/>
  <c r="T134" i="33"/>
  <c r="T147" i="33" s="1"/>
  <c r="V120" i="2"/>
  <c r="V118" i="2"/>
  <c r="S268" i="32"/>
  <c r="U383" i="33" s="1"/>
  <c r="U462" i="33" s="1"/>
  <c r="U382" i="33"/>
  <c r="U382" i="2"/>
  <c r="S268" i="3"/>
  <c r="U383" i="2" s="1"/>
  <c r="U462" i="2" s="1"/>
  <c r="R518" i="2"/>
  <c r="R527" i="2" s="1"/>
  <c r="R559" i="2"/>
  <c r="V250" i="32"/>
  <c r="V282" i="32"/>
  <c r="X199" i="33" s="1"/>
  <c r="X209" i="33" s="1"/>
  <c r="X207" i="33" s="1"/>
  <c r="X235" i="33" s="1"/>
  <c r="W126" i="33"/>
  <c r="W127" i="33" s="1"/>
  <c r="W128" i="33"/>
  <c r="W129" i="33"/>
  <c r="S397" i="33"/>
  <c r="S399" i="33"/>
  <c r="W138" i="3"/>
  <c r="W234" i="3" s="1"/>
  <c r="Y195" i="2"/>
  <c r="V120" i="33"/>
  <c r="V118" i="33"/>
  <c r="R320" i="2"/>
  <c r="R333" i="2" s="1"/>
  <c r="V187" i="33"/>
  <c r="V146" i="33"/>
  <c r="T373" i="2"/>
  <c r="T332" i="2"/>
  <c r="T400" i="2"/>
  <c r="T461" i="2"/>
  <c r="T460" i="2" s="1"/>
  <c r="T464" i="2"/>
  <c r="P637" i="2"/>
  <c r="U143" i="2"/>
  <c r="U184" i="2"/>
  <c r="U133" i="2"/>
  <c r="U421" i="33"/>
  <c r="V250" i="3"/>
  <c r="V282" i="3"/>
  <c r="X199" i="2" s="1"/>
  <c r="X209" i="2" s="1"/>
  <c r="X207" i="2" s="1"/>
  <c r="X235" i="2" s="1"/>
  <c r="S253" i="32"/>
  <c r="S285" i="32"/>
  <c r="U478" i="33" s="1"/>
  <c r="U421" i="2"/>
  <c r="U430" i="2" s="1"/>
  <c r="W121" i="33"/>
  <c r="W185" i="33"/>
  <c r="W182" i="33"/>
  <c r="W181" i="33" s="1"/>
  <c r="X122" i="3"/>
  <c r="X106" i="32"/>
  <c r="X122" i="32" s="1"/>
  <c r="R611" i="33"/>
  <c r="R620" i="33" s="1"/>
  <c r="R652" i="33"/>
  <c r="T134" i="2"/>
  <c r="T147" i="2" s="1"/>
  <c r="T462" i="2"/>
  <c r="T284" i="3"/>
  <c r="V385" i="2" s="1"/>
  <c r="T252" i="3"/>
  <c r="W281" i="32"/>
  <c r="Y106" i="33" s="1"/>
  <c r="Y116" i="33" s="1"/>
  <c r="Y114" i="33" s="1"/>
  <c r="W249" i="32"/>
  <c r="U126" i="3"/>
  <c r="V110" i="3"/>
  <c r="U110" i="32"/>
  <c r="U126" i="32" s="1"/>
  <c r="Q294" i="2"/>
  <c r="L644" i="33"/>
  <c r="O639" i="33"/>
  <c r="P621" i="33"/>
  <c r="T616" i="33"/>
  <c r="O641" i="33"/>
  <c r="P627" i="33"/>
  <c r="O604" i="33"/>
  <c r="O629" i="33" s="1"/>
  <c r="O605" i="33"/>
  <c r="O613" i="33" s="1"/>
  <c r="O653" i="33"/>
  <c r="N626" i="33"/>
  <c r="M640" i="33"/>
  <c r="Q597" i="33"/>
  <c r="Q598" i="33" s="1"/>
  <c r="Q599" i="33" s="1"/>
  <c r="Q612" i="33" s="1"/>
  <c r="P573" i="33"/>
  <c r="W580" i="33"/>
  <c r="M632" i="33"/>
  <c r="N614" i="33"/>
  <c r="L639" i="2"/>
  <c r="M621" i="2"/>
  <c r="I632" i="2"/>
  <c r="I644" i="2" s="1"/>
  <c r="J614" i="2"/>
  <c r="S607" i="2"/>
  <c r="S648" i="2"/>
  <c r="K642" i="2"/>
  <c r="L630" i="2"/>
  <c r="U580" i="2"/>
  <c r="T581" i="2"/>
  <c r="T579" i="2" s="1"/>
  <c r="K626" i="2"/>
  <c r="J640" i="2"/>
  <c r="O597" i="2"/>
  <c r="O598" i="2" s="1"/>
  <c r="O599" i="2" s="1"/>
  <c r="O612" i="2" s="1"/>
  <c r="N573" i="2"/>
  <c r="M604" i="2"/>
  <c r="M629" i="2" s="1"/>
  <c r="M605" i="2"/>
  <c r="M613" i="2" s="1"/>
  <c r="M653" i="2"/>
  <c r="Q634" i="2"/>
  <c r="R616" i="2"/>
  <c r="L641" i="2"/>
  <c r="M627" i="2"/>
  <c r="A639" i="2"/>
  <c r="N635" i="2"/>
  <c r="O617" i="2"/>
  <c r="Q361" i="33"/>
  <c r="Q354" i="33"/>
  <c r="Q362" i="33"/>
  <c r="R291" i="33"/>
  <c r="Q357" i="33"/>
  <c r="O356" i="33"/>
  <c r="P338" i="33"/>
  <c r="P358" i="33"/>
  <c r="Q340" i="33"/>
  <c r="R341" i="33"/>
  <c r="Q359" i="33"/>
  <c r="I490" i="33"/>
  <c r="I492" i="33"/>
  <c r="A495" i="33"/>
  <c r="A496" i="33" s="1"/>
  <c r="A497" i="33" s="1"/>
  <c r="A498" i="33" s="1"/>
  <c r="A499" i="33" s="1"/>
  <c r="A500" i="33" s="1"/>
  <c r="A501" i="33" s="1"/>
  <c r="A502" i="33" s="1"/>
  <c r="L490" i="33"/>
  <c r="L492" i="33"/>
  <c r="M490" i="33"/>
  <c r="M492" i="33"/>
  <c r="P490" i="33"/>
  <c r="P492" i="33"/>
  <c r="H490" i="33"/>
  <c r="H492" i="33"/>
  <c r="Q490" i="33"/>
  <c r="Q492" i="33"/>
  <c r="J490" i="33"/>
  <c r="J492" i="33"/>
  <c r="N490" i="33"/>
  <c r="N492" i="33"/>
  <c r="O490" i="33"/>
  <c r="O492" i="33"/>
  <c r="G490" i="33"/>
  <c r="G492" i="33"/>
  <c r="R490" i="33"/>
  <c r="R492" i="33"/>
  <c r="S490" i="33"/>
  <c r="S492" i="33"/>
  <c r="K490" i="33"/>
  <c r="K492" i="33"/>
  <c r="I541" i="33"/>
  <c r="J523" i="33"/>
  <c r="K514" i="33"/>
  <c r="K555" i="33"/>
  <c r="M487" i="33"/>
  <c r="L488" i="33"/>
  <c r="N480" i="2"/>
  <c r="J539" i="2"/>
  <c r="J551" i="2" s="1"/>
  <c r="K521" i="2"/>
  <c r="M546" i="2"/>
  <c r="N528" i="2"/>
  <c r="O506" i="2"/>
  <c r="O519" i="2" s="1"/>
  <c r="Q504" i="2"/>
  <c r="P505" i="2"/>
  <c r="M560" i="2"/>
  <c r="M512" i="2"/>
  <c r="M520" i="2" s="1"/>
  <c r="M511" i="2"/>
  <c r="M536" i="2" s="1"/>
  <c r="M537" i="2" s="1"/>
  <c r="L549" i="2"/>
  <c r="L533" i="2"/>
  <c r="K547" i="2"/>
  <c r="Q541" i="2"/>
  <c r="R523" i="2"/>
  <c r="S555" i="2"/>
  <c r="S514" i="2"/>
  <c r="P524" i="2"/>
  <c r="O542" i="2"/>
  <c r="U487" i="2"/>
  <c r="T488" i="2"/>
  <c r="T486" i="2" s="1"/>
  <c r="M548" i="2"/>
  <c r="N534" i="2"/>
  <c r="AA39" i="33"/>
  <c r="J22" i="2"/>
  <c r="I23" i="2"/>
  <c r="I21" i="2" s="1"/>
  <c r="X70" i="41"/>
  <c r="X88" i="41" s="1"/>
  <c r="X106" i="41" s="1"/>
  <c r="X43" i="41"/>
  <c r="X61" i="41" s="1"/>
  <c r="Z168" i="2"/>
  <c r="AC168" i="2" s="1" a="1"/>
  <c r="AC168" i="2" s="1"/>
  <c r="AA132" i="2"/>
  <c r="G49" i="2"/>
  <c r="G58" i="2" s="1"/>
  <c r="G90" i="2"/>
  <c r="Z176" i="2"/>
  <c r="AC176" i="2" s="1" a="1"/>
  <c r="AC176" i="2" s="1"/>
  <c r="AA132" i="33"/>
  <c r="V175" i="2"/>
  <c r="W161" i="2"/>
  <c r="H90" i="2"/>
  <c r="H49" i="2"/>
  <c r="E26" i="2"/>
  <c r="A27" i="2"/>
  <c r="T201" i="2"/>
  <c r="T233" i="2" s="1"/>
  <c r="S201" i="2"/>
  <c r="R232" i="33"/>
  <c r="R257" i="33" s="1"/>
  <c r="R233" i="33"/>
  <c r="R241" i="33" s="1"/>
  <c r="R281" i="33"/>
  <c r="X93" i="32"/>
  <c r="Q59" i="33"/>
  <c r="P77" i="33"/>
  <c r="P453" i="33"/>
  <c r="N428" i="2"/>
  <c r="M446" i="2"/>
  <c r="M458" i="2" s="1"/>
  <c r="R75" i="33"/>
  <c r="R83" i="33"/>
  <c r="R78" i="33"/>
  <c r="R82" i="33"/>
  <c r="S12" i="33"/>
  <c r="S80" i="2"/>
  <c r="T62" i="2"/>
  <c r="T448" i="2"/>
  <c r="N149" i="33"/>
  <c r="M167" i="33"/>
  <c r="O165" i="2"/>
  <c r="N177" i="2"/>
  <c r="N84" i="33"/>
  <c r="O72" i="33"/>
  <c r="Q79" i="33"/>
  <c r="R61" i="33"/>
  <c r="R430" i="33"/>
  <c r="Q337" i="33"/>
  <c r="P355" i="33"/>
  <c r="M272" i="2"/>
  <c r="M74" i="33"/>
  <c r="M86" i="33" s="1"/>
  <c r="N56" i="33"/>
  <c r="S61" i="2"/>
  <c r="R79" i="2"/>
  <c r="O165" i="33"/>
  <c r="N177" i="33"/>
  <c r="R151" i="2"/>
  <c r="Q169" i="2"/>
  <c r="S62" i="33"/>
  <c r="R80" i="33"/>
  <c r="N456" i="2"/>
  <c r="R244" i="2"/>
  <c r="Q262" i="2"/>
  <c r="Q170" i="33"/>
  <c r="R152" i="33"/>
  <c r="P453" i="2"/>
  <c r="S154" i="33"/>
  <c r="R172" i="33"/>
  <c r="Q58" i="33"/>
  <c r="P76" i="33"/>
  <c r="O81" i="33"/>
  <c r="P63" i="33"/>
  <c r="R169" i="33"/>
  <c r="S105" i="33"/>
  <c r="R176" i="33"/>
  <c r="R168" i="33"/>
  <c r="R175" i="33"/>
  <c r="R171" i="33"/>
  <c r="P174" i="2"/>
  <c r="Q156" i="2"/>
  <c r="O174" i="33"/>
  <c r="P156" i="33"/>
  <c r="R173" i="33"/>
  <c r="S155" i="33"/>
  <c r="N149" i="2"/>
  <c r="M167" i="2"/>
  <c r="M179" i="2" s="1"/>
  <c r="M446" i="33"/>
  <c r="M458" i="33" s="1"/>
  <c r="N428" i="33"/>
  <c r="N270" i="2"/>
  <c r="O258" i="2"/>
  <c r="P249" i="33"/>
  <c r="O267" i="33"/>
  <c r="N260" i="2"/>
  <c r="O242" i="2"/>
  <c r="R268" i="33"/>
  <c r="R261" i="33"/>
  <c r="R269" i="33"/>
  <c r="S198" i="33"/>
  <c r="R264" i="33"/>
  <c r="R262" i="33"/>
  <c r="R266" i="33"/>
  <c r="Q249" i="2"/>
  <c r="P267" i="2"/>
  <c r="S265" i="2"/>
  <c r="AC265" i="2" s="1" a="1"/>
  <c r="AC265" i="2" s="1"/>
  <c r="Q245" i="33"/>
  <c r="P263" i="33"/>
  <c r="L260" i="33"/>
  <c r="L272" i="33" s="1"/>
  <c r="M242" i="33"/>
  <c r="N258" i="33"/>
  <c r="M270" i="33"/>
  <c r="V244" i="33"/>
  <c r="R265" i="33"/>
  <c r="S247" i="33"/>
  <c r="T248" i="2"/>
  <c r="S266" i="2"/>
  <c r="AC266" i="2" s="1" a="1"/>
  <c r="AC266" i="2" s="1"/>
  <c r="Q263" i="2"/>
  <c r="R245" i="2"/>
  <c r="M363" i="2"/>
  <c r="N351" i="2"/>
  <c r="Q358" i="2"/>
  <c r="R340" i="2"/>
  <c r="Q338" i="2"/>
  <c r="P356" i="2"/>
  <c r="O363" i="33"/>
  <c r="O360" i="2"/>
  <c r="AC360" i="2" s="1" a="1"/>
  <c r="AC360" i="2" s="1"/>
  <c r="P342" i="2"/>
  <c r="P360" i="33"/>
  <c r="Q342" i="33"/>
  <c r="R359" i="2"/>
  <c r="S341" i="2"/>
  <c r="M335" i="2"/>
  <c r="L353" i="2"/>
  <c r="L365" i="2" s="1"/>
  <c r="O335" i="33"/>
  <c r="N353" i="33"/>
  <c r="T337" i="2"/>
  <c r="S355" i="2"/>
  <c r="S232" i="33" l="1"/>
  <c r="S257" i="33" s="1"/>
  <c r="V78" i="2"/>
  <c r="V75" i="2"/>
  <c r="W12" i="2"/>
  <c r="O630" i="33"/>
  <c r="R173" i="2"/>
  <c r="S155" i="2"/>
  <c r="T15" i="33"/>
  <c r="T95" i="33" s="1"/>
  <c r="Q152" i="2"/>
  <c r="P170" i="2"/>
  <c r="R154" i="2"/>
  <c r="Q172" i="2"/>
  <c r="S47" i="33"/>
  <c r="S55" i="33" s="1"/>
  <c r="S95" i="33"/>
  <c r="P617" i="33"/>
  <c r="P635" i="33" s="1"/>
  <c r="R517" i="2"/>
  <c r="S188" i="2"/>
  <c r="S140" i="2"/>
  <c r="S148" i="2" s="1"/>
  <c r="V145" i="2"/>
  <c r="S465" i="2"/>
  <c r="X289" i="3"/>
  <c r="X257" i="3"/>
  <c r="X291" i="3"/>
  <c r="X259" i="3"/>
  <c r="W272" i="3"/>
  <c r="Z256" i="3"/>
  <c r="Z272" i="3"/>
  <c r="S433" i="2"/>
  <c r="X32" i="2"/>
  <c r="X52" i="2" s="1"/>
  <c r="V275" i="32"/>
  <c r="Z259" i="32"/>
  <c r="X288" i="32"/>
  <c r="X256" i="32"/>
  <c r="P620" i="2"/>
  <c r="P638" i="2" s="1"/>
  <c r="Z275" i="32"/>
  <c r="V52" i="33"/>
  <c r="V93" i="33"/>
  <c r="W94" i="33"/>
  <c r="W53" i="33"/>
  <c r="X277" i="32"/>
  <c r="Z277" i="32" s="1"/>
  <c r="Z261" i="32"/>
  <c r="X94" i="2"/>
  <c r="X53" i="2"/>
  <c r="Y23" i="33"/>
  <c r="Y21" i="33" s="1"/>
  <c r="X11" i="33"/>
  <c r="X258" i="3"/>
  <c r="X290" i="3"/>
  <c r="X33" i="33"/>
  <c r="X34" i="33" s="1"/>
  <c r="X35" i="33"/>
  <c r="X36" i="33"/>
  <c r="P31" i="34"/>
  <c r="T31" i="34"/>
  <c r="O31" i="34"/>
  <c r="Q31" i="34"/>
  <c r="S31" i="34"/>
  <c r="R31" i="34"/>
  <c r="M31" i="34"/>
  <c r="N31" i="34"/>
  <c r="U41" i="33"/>
  <c r="U54" i="33" s="1"/>
  <c r="W264" i="32"/>
  <c r="Y11" i="33" s="1"/>
  <c r="Y10" i="33"/>
  <c r="X258" i="32"/>
  <c r="X290" i="32"/>
  <c r="W264" i="3"/>
  <c r="Y11" i="2" s="1"/>
  <c r="Y10" i="2"/>
  <c r="Z262" i="32"/>
  <c r="X278" i="32"/>
  <c r="Z278" i="32" s="1"/>
  <c r="Q29" i="1"/>
  <c r="S29" i="1"/>
  <c r="O29" i="1"/>
  <c r="P29" i="1"/>
  <c r="T29" i="1"/>
  <c r="R29" i="1"/>
  <c r="M29" i="1"/>
  <c r="N29" i="1"/>
  <c r="X278" i="3"/>
  <c r="Z278" i="3" s="1"/>
  <c r="Z262" i="3"/>
  <c r="W27" i="33"/>
  <c r="W25" i="33"/>
  <c r="X287" i="3"/>
  <c r="X255" i="3"/>
  <c r="W52" i="2"/>
  <c r="W93" i="2"/>
  <c r="X148" i="32"/>
  <c r="X244" i="32" s="1"/>
  <c r="Z132" i="32"/>
  <c r="V93" i="2"/>
  <c r="V52" i="2"/>
  <c r="X248" i="3"/>
  <c r="X280" i="3"/>
  <c r="Z13" i="2" s="1"/>
  <c r="X280" i="32"/>
  <c r="Z13" i="33" s="1"/>
  <c r="Z23" i="33" s="1"/>
  <c r="Z21" i="33" s="1"/>
  <c r="X248" i="32"/>
  <c r="Z248" i="32" s="1"/>
  <c r="F31" i="34" s="1"/>
  <c r="V40" i="33"/>
  <c r="V50" i="33"/>
  <c r="V91" i="33"/>
  <c r="V88" i="33" s="1"/>
  <c r="X277" i="3"/>
  <c r="Z277" i="3" s="1"/>
  <c r="Z261" i="3"/>
  <c r="X273" i="3"/>
  <c r="Z273" i="3" s="1"/>
  <c r="Z257" i="3"/>
  <c r="S590" i="2"/>
  <c r="S651" i="2" s="1"/>
  <c r="Z271" i="32"/>
  <c r="W32" i="33"/>
  <c r="X148" i="3"/>
  <c r="X244" i="3" s="1"/>
  <c r="Z132" i="3"/>
  <c r="Q636" i="33"/>
  <c r="R570" i="33"/>
  <c r="R638" i="33" s="1"/>
  <c r="Q634" i="33"/>
  <c r="Q633" i="33"/>
  <c r="Q540" i="33"/>
  <c r="Q543" i="33"/>
  <c r="R477" i="33"/>
  <c r="R545" i="33" s="1"/>
  <c r="M179" i="33"/>
  <c r="X151" i="33"/>
  <c r="S233" i="33"/>
  <c r="S241" i="33" s="1"/>
  <c r="R651" i="33"/>
  <c r="P419" i="33"/>
  <c r="P427" i="33" s="1"/>
  <c r="P418" i="33"/>
  <c r="P443" i="33" s="1"/>
  <c r="P444" i="33" s="1"/>
  <c r="P456" i="33" s="1"/>
  <c r="Q326" i="33"/>
  <c r="Q334" i="33" s="1"/>
  <c r="R433" i="33"/>
  <c r="Q325" i="33"/>
  <c r="Q350" i="33" s="1"/>
  <c r="Q351" i="33" s="1"/>
  <c r="P451" i="33"/>
  <c r="T201" i="33"/>
  <c r="T233" i="33" s="1"/>
  <c r="T241" i="33" s="1"/>
  <c r="Q451" i="33"/>
  <c r="Q387" i="33"/>
  <c r="Q419" i="33" s="1"/>
  <c r="Q427" i="33" s="1"/>
  <c r="V218" i="33"/>
  <c r="T404" i="2"/>
  <c r="T465" i="2" s="1"/>
  <c r="P418" i="2"/>
  <c r="P443" i="2" s="1"/>
  <c r="P444" i="2" s="1"/>
  <c r="T241" i="2"/>
  <c r="P419" i="2"/>
  <c r="P427" i="2" s="1"/>
  <c r="P431" i="33"/>
  <c r="O449" i="33"/>
  <c r="R294" i="33"/>
  <c r="R326" i="33" s="1"/>
  <c r="R334" i="33" s="1"/>
  <c r="T404" i="33"/>
  <c r="T424" i="33" s="1"/>
  <c r="Q387" i="2"/>
  <c r="Q419" i="2" s="1"/>
  <c r="Q427" i="2" s="1"/>
  <c r="S497" i="2"/>
  <c r="S517" i="2" s="1"/>
  <c r="Q431" i="2"/>
  <c r="P449" i="2"/>
  <c r="Q455" i="33"/>
  <c r="Q454" i="33"/>
  <c r="R384" i="33"/>
  <c r="R448" i="33" s="1"/>
  <c r="Q450" i="33"/>
  <c r="Q447" i="33"/>
  <c r="R434" i="33"/>
  <c r="Q452" i="33"/>
  <c r="U279" i="33"/>
  <c r="U238" i="33"/>
  <c r="R545" i="2"/>
  <c r="T331" i="2"/>
  <c r="T372" i="2"/>
  <c r="U279" i="2"/>
  <c r="U238" i="2"/>
  <c r="U247" i="2" s="1"/>
  <c r="Q637" i="33"/>
  <c r="R619" i="33"/>
  <c r="R558" i="33"/>
  <c r="R517" i="33"/>
  <c r="R526" i="33" s="1"/>
  <c r="R610" i="2"/>
  <c r="R619" i="2" s="1"/>
  <c r="R651" i="2"/>
  <c r="Q544" i="33"/>
  <c r="V395" i="2"/>
  <c r="V393" i="2" s="1"/>
  <c r="Q637" i="2"/>
  <c r="W250" i="3"/>
  <c r="W282" i="3"/>
  <c r="Y199" i="2" s="1"/>
  <c r="Y209" i="2" s="1"/>
  <c r="Y207" i="2" s="1"/>
  <c r="Y235" i="2" s="1"/>
  <c r="U141" i="32"/>
  <c r="U237" i="32" s="1"/>
  <c r="W474" i="33"/>
  <c r="V140" i="32"/>
  <c r="V236" i="32" s="1"/>
  <c r="X381" i="33"/>
  <c r="T285" i="32"/>
  <c r="V478" i="33" s="1"/>
  <c r="T253" i="32"/>
  <c r="W139" i="32"/>
  <c r="W235" i="32" s="1"/>
  <c r="Y288" i="33"/>
  <c r="S592" i="33"/>
  <c r="S590" i="33" s="1"/>
  <c r="S270" i="3"/>
  <c r="U569" i="2" s="1"/>
  <c r="U568" i="2"/>
  <c r="S490" i="2"/>
  <c r="S492" i="2"/>
  <c r="Q326" i="2"/>
  <c r="Q334" i="2" s="1"/>
  <c r="Q325" i="2"/>
  <c r="Q350" i="2" s="1"/>
  <c r="Q374" i="2"/>
  <c r="X196" i="2"/>
  <c r="V266" i="3"/>
  <c r="X197" i="2" s="1"/>
  <c r="R294" i="2"/>
  <c r="T329" i="2"/>
  <c r="T370" i="2"/>
  <c r="T319" i="2"/>
  <c r="U313" i="2"/>
  <c r="U311" i="2" s="1"/>
  <c r="W118" i="2"/>
  <c r="W120" i="2"/>
  <c r="V109" i="32"/>
  <c r="V125" i="32" s="1"/>
  <c r="W109" i="3"/>
  <c r="V125" i="3"/>
  <c r="V140" i="3"/>
  <c r="V236" i="3" s="1"/>
  <c r="X381" i="2"/>
  <c r="U236" i="2"/>
  <c r="U226" i="2"/>
  <c r="U227" i="2" s="1"/>
  <c r="U240" i="2" s="1"/>
  <c r="U277" i="2"/>
  <c r="R608" i="2"/>
  <c r="R649" i="2"/>
  <c r="X107" i="32"/>
  <c r="X123" i="32" s="1"/>
  <c r="X123" i="3"/>
  <c r="S424" i="33"/>
  <c r="S465" i="33"/>
  <c r="U304" i="33"/>
  <c r="U306" i="33"/>
  <c r="T593" i="33"/>
  <c r="T594" i="33"/>
  <c r="T591" i="33"/>
  <c r="T592" i="33" s="1"/>
  <c r="T501" i="2"/>
  <c r="T500" i="2"/>
  <c r="T498" i="2"/>
  <c r="T499" i="2" s="1"/>
  <c r="S320" i="33"/>
  <c r="S333" i="33" s="1"/>
  <c r="R413" i="2"/>
  <c r="R426" i="2" s="1"/>
  <c r="R435" i="2" s="1"/>
  <c r="V218" i="2"/>
  <c r="U142" i="32"/>
  <c r="U238" i="32" s="1"/>
  <c r="W567" i="33"/>
  <c r="T108" i="2"/>
  <c r="W120" i="33"/>
  <c r="W118" i="33"/>
  <c r="S463" i="33"/>
  <c r="S422" i="33"/>
  <c r="S412" i="33"/>
  <c r="U332" i="2"/>
  <c r="U373" i="2"/>
  <c r="S583" i="2"/>
  <c r="S585" i="2"/>
  <c r="W108" i="32"/>
  <c r="W124" i="32" s="1"/>
  <c r="W124" i="3"/>
  <c r="X108" i="3"/>
  <c r="T285" i="3"/>
  <c r="V478" i="2" s="1"/>
  <c r="T253" i="3"/>
  <c r="X249" i="32"/>
  <c r="X281" i="32"/>
  <c r="Z106" i="33" s="1"/>
  <c r="T647" i="33"/>
  <c r="T646" i="33" s="1"/>
  <c r="T586" i="33"/>
  <c r="T650" i="33"/>
  <c r="T648" i="33"/>
  <c r="T466" i="33"/>
  <c r="T425" i="33"/>
  <c r="V213" i="2"/>
  <c r="V211" i="2"/>
  <c r="T557" i="2"/>
  <c r="T554" i="2"/>
  <c r="T553" i="2" s="1"/>
  <c r="T493" i="2"/>
  <c r="X128" i="33"/>
  <c r="X129" i="33"/>
  <c r="X126" i="33"/>
  <c r="V126" i="3"/>
  <c r="W110" i="3"/>
  <c r="V110" i="32"/>
  <c r="V126" i="32" s="1"/>
  <c r="W146" i="33"/>
  <c r="W187" i="33"/>
  <c r="V184" i="2"/>
  <c r="V143" i="2"/>
  <c r="V133" i="2"/>
  <c r="W276" i="2"/>
  <c r="W278" i="2"/>
  <c r="W214" i="2"/>
  <c r="W275" i="2"/>
  <c r="W274" i="2" s="1"/>
  <c r="W328" i="2"/>
  <c r="T591" i="2"/>
  <c r="T593" i="2"/>
  <c r="T594" i="2"/>
  <c r="U284" i="32"/>
  <c r="W385" i="33" s="1"/>
  <c r="U252" i="32"/>
  <c r="S559" i="33"/>
  <c r="S518" i="33"/>
  <c r="S527" i="33" s="1"/>
  <c r="W328" i="33"/>
  <c r="T254" i="32"/>
  <c r="T286" i="32"/>
  <c r="V571" i="33" s="1"/>
  <c r="V581" i="33" s="1"/>
  <c r="V579" i="33" s="1"/>
  <c r="V607" i="33" s="1"/>
  <c r="V369" i="33"/>
  <c r="V307" i="33"/>
  <c r="V368" i="33"/>
  <c r="V367" i="33" s="1"/>
  <c r="V371" i="33"/>
  <c r="X121" i="33"/>
  <c r="X182" i="33"/>
  <c r="X181" i="33" s="1"/>
  <c r="X185" i="33"/>
  <c r="T254" i="3"/>
  <c r="T286" i="3"/>
  <c r="V571" i="2" s="1"/>
  <c r="R556" i="2"/>
  <c r="R515" i="2"/>
  <c r="W567" i="2"/>
  <c r="U142" i="3"/>
  <c r="U238" i="3" s="1"/>
  <c r="T399" i="2"/>
  <c r="T397" i="2"/>
  <c r="U461" i="2"/>
  <c r="U460" i="2" s="1"/>
  <c r="U400" i="2"/>
  <c r="U464" i="2"/>
  <c r="W219" i="2"/>
  <c r="W222" i="2"/>
  <c r="W221" i="2"/>
  <c r="V251" i="3"/>
  <c r="V283" i="3"/>
  <c r="X292" i="2" s="1"/>
  <c r="X302" i="2" s="1"/>
  <c r="X300" i="2" s="1"/>
  <c r="Q544" i="2"/>
  <c r="R526" i="2"/>
  <c r="U267" i="3"/>
  <c r="W290" i="2" s="1"/>
  <c r="W289" i="2"/>
  <c r="U304" i="2"/>
  <c r="U306" i="2"/>
  <c r="S583" i="33"/>
  <c r="S585" i="33"/>
  <c r="T586" i="2"/>
  <c r="T650" i="2"/>
  <c r="T647" i="2"/>
  <c r="T646" i="2" s="1"/>
  <c r="X249" i="3"/>
  <c r="X281" i="3"/>
  <c r="Z106" i="2" s="1"/>
  <c r="V211" i="33"/>
  <c r="V213" i="33"/>
  <c r="T329" i="33"/>
  <c r="T370" i="33"/>
  <c r="T319" i="33"/>
  <c r="T500" i="33"/>
  <c r="T501" i="33"/>
  <c r="T498" i="33"/>
  <c r="U267" i="32"/>
  <c r="W290" i="33" s="1"/>
  <c r="W369" i="33" s="1"/>
  <c r="W289" i="33"/>
  <c r="V312" i="33"/>
  <c r="V314" i="33"/>
  <c r="V315" i="33"/>
  <c r="T372" i="33"/>
  <c r="T331" i="33"/>
  <c r="W265" i="32"/>
  <c r="Y104" i="33" s="1"/>
  <c r="Y183" i="33" s="1"/>
  <c r="Y103" i="33"/>
  <c r="U134" i="2"/>
  <c r="U147" i="2" s="1"/>
  <c r="V143" i="33"/>
  <c r="V184" i="33"/>
  <c r="V133" i="33"/>
  <c r="W125" i="33"/>
  <c r="U405" i="2"/>
  <c r="U407" i="2"/>
  <c r="U408" i="2"/>
  <c r="T108" i="33"/>
  <c r="T466" i="2"/>
  <c r="T425" i="2"/>
  <c r="T434" i="2" s="1"/>
  <c r="W282" i="32"/>
  <c r="Y199" i="33" s="1"/>
  <c r="Y209" i="33" s="1"/>
  <c r="Y207" i="33" s="1"/>
  <c r="Y235" i="33" s="1"/>
  <c r="W250" i="32"/>
  <c r="W125" i="2"/>
  <c r="S652" i="2"/>
  <c r="S611" i="2"/>
  <c r="U134" i="33"/>
  <c r="U147" i="33" s="1"/>
  <c r="T268" i="32"/>
  <c r="V382" i="33"/>
  <c r="T557" i="33"/>
  <c r="T554" i="33"/>
  <c r="T553" i="33" s="1"/>
  <c r="T493" i="33"/>
  <c r="X126" i="2"/>
  <c r="X128" i="2"/>
  <c r="X129" i="2"/>
  <c r="S499" i="33"/>
  <c r="S497" i="33" s="1"/>
  <c r="U313" i="33"/>
  <c r="U311" i="33" s="1"/>
  <c r="R608" i="33"/>
  <c r="R649" i="33"/>
  <c r="X183" i="33"/>
  <c r="Y142" i="33"/>
  <c r="X138" i="32"/>
  <c r="X234" i="32" s="1"/>
  <c r="Z195" i="33"/>
  <c r="Z122" i="32"/>
  <c r="H29" i="34" s="1"/>
  <c r="U407" i="33"/>
  <c r="U405" i="33"/>
  <c r="U406" i="33" s="1"/>
  <c r="U408" i="33"/>
  <c r="T424" i="2"/>
  <c r="Q467" i="2"/>
  <c r="Y142" i="2"/>
  <c r="S320" i="2"/>
  <c r="S333" i="2" s="1"/>
  <c r="V283" i="32"/>
  <c r="X292" i="33" s="1"/>
  <c r="X302" i="33" s="1"/>
  <c r="X300" i="33" s="1"/>
  <c r="X328" i="33" s="1"/>
  <c r="V251" i="32"/>
  <c r="W146" i="2"/>
  <c r="W187" i="2"/>
  <c r="V239" i="33"/>
  <c r="V248" i="33" s="1"/>
  <c r="V280" i="33"/>
  <c r="V421" i="33"/>
  <c r="W222" i="33"/>
  <c r="W219" i="33"/>
  <c r="W220" i="33" s="1"/>
  <c r="W221" i="33"/>
  <c r="X185" i="2"/>
  <c r="X121" i="2"/>
  <c r="X182" i="2"/>
  <c r="X181" i="2" s="1"/>
  <c r="S463" i="2"/>
  <c r="S422" i="2"/>
  <c r="S412" i="2"/>
  <c r="U332" i="33"/>
  <c r="U373" i="33"/>
  <c r="S140" i="33"/>
  <c r="S148" i="33" s="1"/>
  <c r="S139" i="33"/>
  <c r="S164" i="33" s="1"/>
  <c r="S188" i="33"/>
  <c r="V312" i="2"/>
  <c r="V314" i="2"/>
  <c r="V315" i="2"/>
  <c r="S269" i="3"/>
  <c r="U476" i="2" s="1"/>
  <c r="U475" i="2"/>
  <c r="T399" i="33"/>
  <c r="T397" i="33"/>
  <c r="T268" i="3"/>
  <c r="V382" i="2"/>
  <c r="X138" i="3"/>
  <c r="X234" i="3" s="1"/>
  <c r="Z195" i="2"/>
  <c r="Z122" i="3"/>
  <c r="H29" i="1" s="1"/>
  <c r="S269" i="32"/>
  <c r="U476" i="33" s="1"/>
  <c r="U475" i="33"/>
  <c r="X196" i="33"/>
  <c r="V266" i="32"/>
  <c r="X197" i="33" s="1"/>
  <c r="U400" i="33"/>
  <c r="U464" i="33"/>
  <c r="U461" i="33"/>
  <c r="U460" i="33" s="1"/>
  <c r="U141" i="3"/>
  <c r="U237" i="3" s="1"/>
  <c r="W474" i="2"/>
  <c r="W265" i="3"/>
  <c r="Y104" i="2" s="1"/>
  <c r="Y103" i="2"/>
  <c r="R413" i="33"/>
  <c r="R426" i="33" s="1"/>
  <c r="R435" i="33" s="1"/>
  <c r="V186" i="33"/>
  <c r="V145" i="33"/>
  <c r="W139" i="3"/>
  <c r="W235" i="3" s="1"/>
  <c r="Y288" i="2"/>
  <c r="U236" i="33"/>
  <c r="U226" i="33"/>
  <c r="U227" i="33" s="1"/>
  <c r="U240" i="33" s="1"/>
  <c r="U277" i="33"/>
  <c r="S611" i="33"/>
  <c r="S620" i="33" s="1"/>
  <c r="S652" i="33"/>
  <c r="U284" i="3"/>
  <c r="W385" i="2" s="1"/>
  <c r="W395" i="2" s="1"/>
  <c r="W393" i="2" s="1"/>
  <c r="U252" i="3"/>
  <c r="W276" i="33"/>
  <c r="W214" i="33"/>
  <c r="W278" i="33"/>
  <c r="W275" i="33"/>
  <c r="W274" i="33" s="1"/>
  <c r="V307" i="2"/>
  <c r="V368" i="2"/>
  <c r="V367" i="2" s="1"/>
  <c r="V371" i="2"/>
  <c r="V280" i="2"/>
  <c r="V239" i="2"/>
  <c r="S518" i="2"/>
  <c r="S527" i="2" s="1"/>
  <c r="S559" i="2"/>
  <c r="S270" i="32"/>
  <c r="U569" i="33" s="1"/>
  <c r="U568" i="33"/>
  <c r="M644" i="33"/>
  <c r="P639" i="33"/>
  <c r="Q621" i="33"/>
  <c r="O642" i="33"/>
  <c r="X580" i="33"/>
  <c r="O626" i="33"/>
  <c r="N640" i="33"/>
  <c r="U616" i="33"/>
  <c r="P604" i="33"/>
  <c r="P629" i="33" s="1"/>
  <c r="P630" i="33" s="1"/>
  <c r="P605" i="33"/>
  <c r="P613" i="33" s="1"/>
  <c r="P653" i="33"/>
  <c r="N632" i="33"/>
  <c r="O614" i="33"/>
  <c r="R597" i="33"/>
  <c r="R598" i="33" s="1"/>
  <c r="R599" i="33" s="1"/>
  <c r="R612" i="33" s="1"/>
  <c r="Q573" i="33"/>
  <c r="P641" i="33"/>
  <c r="Q627" i="33"/>
  <c r="J632" i="2"/>
  <c r="J644" i="2" s="1"/>
  <c r="K614" i="2"/>
  <c r="M639" i="2"/>
  <c r="N621" i="2"/>
  <c r="V580" i="2"/>
  <c r="U581" i="2"/>
  <c r="U579" i="2" s="1"/>
  <c r="R634" i="2"/>
  <c r="S616" i="2"/>
  <c r="L642" i="2"/>
  <c r="M630" i="2"/>
  <c r="N605" i="2"/>
  <c r="N613" i="2" s="1"/>
  <c r="N604" i="2"/>
  <c r="N629" i="2" s="1"/>
  <c r="N653" i="2"/>
  <c r="P597" i="2"/>
  <c r="P598" i="2" s="1"/>
  <c r="P599" i="2" s="1"/>
  <c r="P612" i="2" s="1"/>
  <c r="O573" i="2"/>
  <c r="O635" i="2"/>
  <c r="P617" i="2"/>
  <c r="A640" i="2"/>
  <c r="K640" i="2"/>
  <c r="L626" i="2"/>
  <c r="M641" i="2"/>
  <c r="N627" i="2"/>
  <c r="T648" i="2"/>
  <c r="T607" i="2"/>
  <c r="O480" i="2"/>
  <c r="O560" i="2" s="1"/>
  <c r="P356" i="33"/>
  <c r="Q338" i="33"/>
  <c r="S291" i="33"/>
  <c r="R357" i="33"/>
  <c r="R362" i="33"/>
  <c r="R361" i="33"/>
  <c r="R354" i="33"/>
  <c r="S341" i="33"/>
  <c r="R359" i="33"/>
  <c r="R340" i="33"/>
  <c r="Q358" i="33"/>
  <c r="L486" i="33"/>
  <c r="L555" i="33" s="1"/>
  <c r="G556" i="33"/>
  <c r="G515" i="33"/>
  <c r="G524" i="33" s="1"/>
  <c r="J556" i="33"/>
  <c r="J515" i="33"/>
  <c r="M515" i="33"/>
  <c r="M556" i="33"/>
  <c r="S556" i="33"/>
  <c r="S515" i="33"/>
  <c r="J541" i="33"/>
  <c r="K523" i="33"/>
  <c r="N487" i="33"/>
  <c r="M488" i="33"/>
  <c r="M486" i="33" s="1"/>
  <c r="O556" i="33"/>
  <c r="O515" i="33"/>
  <c r="Q556" i="33"/>
  <c r="Q515" i="33"/>
  <c r="P556" i="33"/>
  <c r="P515" i="33"/>
  <c r="N556" i="33"/>
  <c r="N515" i="33"/>
  <c r="H556" i="33"/>
  <c r="H515" i="33"/>
  <c r="L556" i="33"/>
  <c r="L515" i="33"/>
  <c r="K556" i="33"/>
  <c r="K515" i="33"/>
  <c r="R556" i="33"/>
  <c r="R515" i="33"/>
  <c r="F502" i="33"/>
  <c r="G502" i="33" s="1"/>
  <c r="H502" i="33" s="1"/>
  <c r="I502" i="33" s="1"/>
  <c r="J502" i="33" s="1"/>
  <c r="K502" i="33" s="1"/>
  <c r="L502" i="33" s="1"/>
  <c r="M502" i="33" s="1"/>
  <c r="N502" i="33" s="1"/>
  <c r="O502" i="33" s="1"/>
  <c r="P502" i="33" s="1"/>
  <c r="Q502" i="33" s="1"/>
  <c r="R502" i="33" s="1"/>
  <c r="S502" i="33" s="1"/>
  <c r="T502" i="33" s="1"/>
  <c r="U502" i="33" s="1"/>
  <c r="V502" i="33" s="1"/>
  <c r="W502" i="33" s="1"/>
  <c r="X502" i="33" s="1"/>
  <c r="Y502" i="33" s="1"/>
  <c r="Z502" i="33" s="1"/>
  <c r="A503" i="33"/>
  <c r="I556" i="33"/>
  <c r="I515" i="33"/>
  <c r="R504" i="2"/>
  <c r="Q505" i="2"/>
  <c r="N546" i="2"/>
  <c r="O528" i="2"/>
  <c r="K539" i="2"/>
  <c r="K551" i="2" s="1"/>
  <c r="L521" i="2"/>
  <c r="P506" i="2"/>
  <c r="P519" i="2" s="1"/>
  <c r="N560" i="2"/>
  <c r="N511" i="2"/>
  <c r="N536" i="2" s="1"/>
  <c r="N537" i="2" s="1"/>
  <c r="N512" i="2"/>
  <c r="N520" i="2" s="1"/>
  <c r="V487" i="2"/>
  <c r="U488" i="2"/>
  <c r="U486" i="2" s="1"/>
  <c r="R541" i="2"/>
  <c r="S523" i="2"/>
  <c r="M549" i="2"/>
  <c r="P542" i="2"/>
  <c r="Q524" i="2"/>
  <c r="L547" i="2"/>
  <c r="M533" i="2"/>
  <c r="N548" i="2"/>
  <c r="O534" i="2"/>
  <c r="T555" i="2"/>
  <c r="T514" i="2"/>
  <c r="E27" i="2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T232" i="2"/>
  <c r="T257" i="2" s="1"/>
  <c r="W175" i="2"/>
  <c r="X161" i="2"/>
  <c r="I49" i="2"/>
  <c r="I90" i="2"/>
  <c r="A28" i="2"/>
  <c r="H58" i="2"/>
  <c r="G76" i="2"/>
  <c r="K22" i="2"/>
  <c r="J23" i="2"/>
  <c r="T281" i="2"/>
  <c r="S232" i="2"/>
  <c r="S257" i="2" s="1"/>
  <c r="S233" i="2"/>
  <c r="S241" i="2" s="1"/>
  <c r="S281" i="2"/>
  <c r="T155" i="33"/>
  <c r="S173" i="33"/>
  <c r="R156" i="2"/>
  <c r="Q174" i="2"/>
  <c r="S169" i="33"/>
  <c r="S168" i="33"/>
  <c r="T105" i="33"/>
  <c r="S171" i="33"/>
  <c r="S176" i="33"/>
  <c r="S175" i="33"/>
  <c r="R337" i="33"/>
  <c r="Q355" i="33"/>
  <c r="O84" i="33"/>
  <c r="P72" i="33"/>
  <c r="T12" i="33"/>
  <c r="S78" i="33"/>
  <c r="S83" i="33"/>
  <c r="S75" i="33"/>
  <c r="S82" i="33"/>
  <c r="Q453" i="2"/>
  <c r="AC453" i="2" s="1" a="1"/>
  <c r="AC453" i="2" s="1"/>
  <c r="P165" i="33"/>
  <c r="O177" i="33"/>
  <c r="S430" i="33"/>
  <c r="Q453" i="33"/>
  <c r="T61" i="2"/>
  <c r="S79" i="2"/>
  <c r="U448" i="2"/>
  <c r="O428" i="33"/>
  <c r="N446" i="33"/>
  <c r="N458" i="33" s="1"/>
  <c r="Q63" i="33"/>
  <c r="P81" i="33"/>
  <c r="P174" i="33"/>
  <c r="Q156" i="33"/>
  <c r="S152" i="33"/>
  <c r="R170" i="33"/>
  <c r="N74" i="33"/>
  <c r="N86" i="33" s="1"/>
  <c r="O56" i="33"/>
  <c r="T452" i="2"/>
  <c r="U62" i="2"/>
  <c r="T80" i="2"/>
  <c r="N167" i="2"/>
  <c r="N179" i="2" s="1"/>
  <c r="O149" i="2"/>
  <c r="Q76" i="33"/>
  <c r="R58" i="33"/>
  <c r="O456" i="2"/>
  <c r="S80" i="33"/>
  <c r="T62" i="33"/>
  <c r="O177" i="2"/>
  <c r="P165" i="2"/>
  <c r="R79" i="33"/>
  <c r="S61" i="33"/>
  <c r="N446" i="2"/>
  <c r="N458" i="2" s="1"/>
  <c r="O428" i="2"/>
  <c r="R59" i="33"/>
  <c r="Q77" i="33"/>
  <c r="T154" i="33"/>
  <c r="S172" i="33"/>
  <c r="S244" i="2"/>
  <c r="R262" i="2"/>
  <c r="S151" i="2"/>
  <c r="R169" i="2"/>
  <c r="N167" i="33"/>
  <c r="N179" i="33" s="1"/>
  <c r="O149" i="33"/>
  <c r="N272" i="2"/>
  <c r="P258" i="2"/>
  <c r="O270" i="2"/>
  <c r="U248" i="2"/>
  <c r="T266" i="2"/>
  <c r="T247" i="33"/>
  <c r="S265" i="33"/>
  <c r="R245" i="33"/>
  <c r="Q263" i="33"/>
  <c r="P242" i="2"/>
  <c r="O260" i="2"/>
  <c r="T265" i="2"/>
  <c r="W244" i="33"/>
  <c r="S245" i="2"/>
  <c r="R263" i="2"/>
  <c r="P267" i="33"/>
  <c r="Q249" i="33"/>
  <c r="N270" i="33"/>
  <c r="O258" i="33"/>
  <c r="Q267" i="2"/>
  <c r="R249" i="2"/>
  <c r="T198" i="33"/>
  <c r="S261" i="33"/>
  <c r="S264" i="33"/>
  <c r="S268" i="33"/>
  <c r="S269" i="33"/>
  <c r="S262" i="33"/>
  <c r="S266" i="33"/>
  <c r="N242" i="33"/>
  <c r="M260" i="33"/>
  <c r="M272" i="33" s="1"/>
  <c r="N363" i="2"/>
  <c r="O351" i="2"/>
  <c r="Q356" i="2"/>
  <c r="R338" i="2"/>
  <c r="P360" i="2"/>
  <c r="Q342" i="2"/>
  <c r="S359" i="2"/>
  <c r="T341" i="2"/>
  <c r="S340" i="2"/>
  <c r="R358" i="2"/>
  <c r="P363" i="33"/>
  <c r="N365" i="33"/>
  <c r="Q360" i="33"/>
  <c r="R342" i="33"/>
  <c r="T355" i="2"/>
  <c r="U337" i="2"/>
  <c r="N335" i="2"/>
  <c r="M353" i="2"/>
  <c r="M365" i="2" s="1"/>
  <c r="P335" i="33"/>
  <c r="O353" i="33"/>
  <c r="O365" i="33" s="1"/>
  <c r="Q617" i="33" l="1"/>
  <c r="Q635" i="33" s="1"/>
  <c r="W78" i="2"/>
  <c r="W75" i="2"/>
  <c r="X12" i="2"/>
  <c r="Q467" i="33"/>
  <c r="T46" i="33"/>
  <c r="T71" i="33" s="1"/>
  <c r="T47" i="33"/>
  <c r="T55" i="33" s="1"/>
  <c r="R617" i="33"/>
  <c r="S154" i="2"/>
  <c r="R172" i="2"/>
  <c r="Q170" i="2"/>
  <c r="R152" i="2"/>
  <c r="S173" i="2"/>
  <c r="T155" i="2"/>
  <c r="Q620" i="2"/>
  <c r="Q638" i="2" s="1"/>
  <c r="X93" i="2"/>
  <c r="Q418" i="33"/>
  <c r="Q443" i="33" s="1"/>
  <c r="Q444" i="33" s="1"/>
  <c r="Q456" i="33" s="1"/>
  <c r="T433" i="2"/>
  <c r="X272" i="32"/>
  <c r="Z272" i="32" s="1"/>
  <c r="Z256" i="32"/>
  <c r="S451" i="2"/>
  <c r="X275" i="3"/>
  <c r="Z275" i="3" s="1"/>
  <c r="Z259" i="3"/>
  <c r="Q418" i="2"/>
  <c r="Q443" i="2" s="1"/>
  <c r="Q444" i="2" s="1"/>
  <c r="U15" i="33"/>
  <c r="U95" i="33" s="1"/>
  <c r="Z49" i="33"/>
  <c r="X32" i="33"/>
  <c r="X271" i="3"/>
  <c r="Z271" i="3" s="1"/>
  <c r="Z255" i="3"/>
  <c r="X274" i="32"/>
  <c r="Z274" i="32" s="1"/>
  <c r="Z258" i="32"/>
  <c r="Y89" i="2"/>
  <c r="Y92" i="2"/>
  <c r="T465" i="33"/>
  <c r="X264" i="3"/>
  <c r="Z10" i="2"/>
  <c r="Z248" i="3"/>
  <c r="F31" i="1" s="1"/>
  <c r="Y36" i="33"/>
  <c r="Y35" i="33"/>
  <c r="Y33" i="33"/>
  <c r="Y34" i="33" s="1"/>
  <c r="X274" i="3"/>
  <c r="Z274" i="3" s="1"/>
  <c r="Z258" i="3"/>
  <c r="X264" i="32"/>
  <c r="Z11" i="33" s="1"/>
  <c r="Z10" i="33"/>
  <c r="W50" i="33"/>
  <c r="W91" i="33"/>
  <c r="W40" i="33"/>
  <c r="Y89" i="33"/>
  <c r="Y28" i="33"/>
  <c r="Y92" i="33"/>
  <c r="Z264" i="32"/>
  <c r="F32" i="34" s="1"/>
  <c r="S610" i="2"/>
  <c r="S619" i="2" s="1"/>
  <c r="X292" i="3"/>
  <c r="X260" i="3"/>
  <c r="X90" i="33"/>
  <c r="X89" i="33"/>
  <c r="X28" i="33"/>
  <c r="X92" i="33"/>
  <c r="W93" i="33"/>
  <c r="W52" i="33"/>
  <c r="AA23" i="33"/>
  <c r="T32" i="34"/>
  <c r="M32" i="34"/>
  <c r="N32" i="34"/>
  <c r="P32" i="34"/>
  <c r="S32" i="34"/>
  <c r="O32" i="34"/>
  <c r="R32" i="34"/>
  <c r="Q32" i="34"/>
  <c r="V41" i="33"/>
  <c r="V54" i="33" s="1"/>
  <c r="X292" i="32"/>
  <c r="X260" i="32"/>
  <c r="Y33" i="2"/>
  <c r="Y35" i="2"/>
  <c r="Y36" i="2"/>
  <c r="X94" i="33"/>
  <c r="X53" i="33"/>
  <c r="Y49" i="33"/>
  <c r="Y90" i="33"/>
  <c r="R543" i="33"/>
  <c r="R540" i="33"/>
  <c r="S477" i="33"/>
  <c r="S545" i="33" s="1"/>
  <c r="R636" i="33"/>
  <c r="R634" i="33"/>
  <c r="R633" i="33"/>
  <c r="S570" i="33"/>
  <c r="S638" i="33" s="1"/>
  <c r="Y151" i="33"/>
  <c r="S433" i="33"/>
  <c r="U201" i="2"/>
  <c r="U232" i="2" s="1"/>
  <c r="U257" i="2" s="1"/>
  <c r="T590" i="33"/>
  <c r="T651" i="33" s="1"/>
  <c r="U404" i="33"/>
  <c r="U424" i="33" s="1"/>
  <c r="T232" i="33"/>
  <c r="T257" i="33" s="1"/>
  <c r="T281" i="33"/>
  <c r="W218" i="33"/>
  <c r="T433" i="33"/>
  <c r="V279" i="33"/>
  <c r="V238" i="33"/>
  <c r="R374" i="33"/>
  <c r="R325" i="33"/>
  <c r="R350" i="33" s="1"/>
  <c r="R351" i="33" s="1"/>
  <c r="S558" i="2"/>
  <c r="R431" i="2"/>
  <c r="Q449" i="2"/>
  <c r="AC449" i="2" s="1" a="1"/>
  <c r="AC449" i="2" s="1"/>
  <c r="N644" i="33"/>
  <c r="R452" i="33"/>
  <c r="S434" i="33"/>
  <c r="R387" i="2"/>
  <c r="R419" i="2" s="1"/>
  <c r="R427" i="2" s="1"/>
  <c r="U108" i="33"/>
  <c r="U140" i="33" s="1"/>
  <c r="U148" i="33" s="1"/>
  <c r="S294" i="33"/>
  <c r="S374" i="33" s="1"/>
  <c r="R450" i="33"/>
  <c r="R455" i="33"/>
  <c r="R451" i="33"/>
  <c r="R454" i="33"/>
  <c r="R447" i="33"/>
  <c r="S384" i="33"/>
  <c r="S448" i="33" s="1"/>
  <c r="U201" i="33"/>
  <c r="U233" i="33" s="1"/>
  <c r="U241" i="33" s="1"/>
  <c r="Q431" i="33"/>
  <c r="P449" i="33"/>
  <c r="R635" i="33"/>
  <c r="U331" i="33"/>
  <c r="U372" i="33"/>
  <c r="R637" i="2"/>
  <c r="S545" i="2"/>
  <c r="S517" i="33"/>
  <c r="S526" i="33" s="1"/>
  <c r="S558" i="33"/>
  <c r="R544" i="33"/>
  <c r="W213" i="33"/>
  <c r="W211" i="33"/>
  <c r="Y182" i="2"/>
  <c r="Y181" i="2" s="1"/>
  <c r="Y185" i="2"/>
  <c r="Y121" i="2"/>
  <c r="X222" i="33"/>
  <c r="X221" i="33"/>
  <c r="X219" i="33"/>
  <c r="X220" i="33" s="1"/>
  <c r="X250" i="32"/>
  <c r="X282" i="32"/>
  <c r="Z199" i="33" s="1"/>
  <c r="Z209" i="33" s="1"/>
  <c r="Z207" i="33" s="1"/>
  <c r="Z235" i="33" s="1"/>
  <c r="W145" i="2"/>
  <c r="W186" i="2"/>
  <c r="U406" i="2"/>
  <c r="U404" i="2" s="1"/>
  <c r="Y182" i="33"/>
  <c r="Y181" i="33" s="1"/>
  <c r="Y185" i="33"/>
  <c r="Y121" i="33"/>
  <c r="T499" i="33"/>
  <c r="T497" i="33" s="1"/>
  <c r="Z116" i="2"/>
  <c r="Z114" i="2" s="1"/>
  <c r="U329" i="2"/>
  <c r="U370" i="2"/>
  <c r="U319" i="2"/>
  <c r="W280" i="2"/>
  <c r="W239" i="2"/>
  <c r="X110" i="3"/>
  <c r="W110" i="32"/>
  <c r="W126" i="32" s="1"/>
  <c r="W126" i="3"/>
  <c r="V236" i="2"/>
  <c r="V277" i="2"/>
  <c r="V226" i="2"/>
  <c r="V227" i="2" s="1"/>
  <c r="V240" i="2" s="1"/>
  <c r="Z116" i="33"/>
  <c r="Z114" i="33" s="1"/>
  <c r="S608" i="2"/>
  <c r="S649" i="2"/>
  <c r="T140" i="2"/>
  <c r="T148" i="2" s="1"/>
  <c r="T139" i="2"/>
  <c r="T164" i="2" s="1"/>
  <c r="T188" i="2"/>
  <c r="T497" i="2"/>
  <c r="X276" i="2"/>
  <c r="X214" i="2"/>
  <c r="X278" i="2"/>
  <c r="X275" i="2"/>
  <c r="X274" i="2" s="1"/>
  <c r="T269" i="32"/>
  <c r="V476" i="33" s="1"/>
  <c r="V475" i="33"/>
  <c r="U500" i="33"/>
  <c r="U501" i="33"/>
  <c r="U498" i="33"/>
  <c r="V313" i="2"/>
  <c r="V311" i="2" s="1"/>
  <c r="S294" i="2"/>
  <c r="W266" i="32"/>
  <c r="Y197" i="33" s="1"/>
  <c r="Y196" i="33"/>
  <c r="W186" i="33"/>
  <c r="W145" i="33"/>
  <c r="T559" i="33"/>
  <c r="T518" i="33"/>
  <c r="T527" i="33" s="1"/>
  <c r="X265" i="3"/>
  <c r="Z103" i="2"/>
  <c r="Z249" i="3"/>
  <c r="G31" i="1" s="1"/>
  <c r="W312" i="2"/>
  <c r="W314" i="2"/>
  <c r="W315" i="2"/>
  <c r="W220" i="2"/>
  <c r="W218" i="2" s="1"/>
  <c r="T592" i="2"/>
  <c r="T590" i="2" s="1"/>
  <c r="X567" i="2"/>
  <c r="V142" i="3"/>
  <c r="V238" i="3" s="1"/>
  <c r="X265" i="32"/>
  <c r="Z103" i="33"/>
  <c r="Z249" i="32"/>
  <c r="G31" i="34" s="1"/>
  <c r="U329" i="33"/>
  <c r="U370" i="33"/>
  <c r="U319" i="33"/>
  <c r="W184" i="2"/>
  <c r="W143" i="2"/>
  <c r="W133" i="2"/>
  <c r="X222" i="2"/>
  <c r="X219" i="2"/>
  <c r="X220" i="2" s="1"/>
  <c r="X221" i="2"/>
  <c r="S556" i="2"/>
  <c r="S515" i="2"/>
  <c r="U268" i="3"/>
  <c r="W383" i="2" s="1"/>
  <c r="W382" i="2"/>
  <c r="W283" i="3"/>
  <c r="Y292" i="2" s="1"/>
  <c r="W251" i="3"/>
  <c r="U285" i="3"/>
  <c r="W478" i="2" s="1"/>
  <c r="U253" i="3"/>
  <c r="U557" i="33"/>
  <c r="U554" i="33"/>
  <c r="U553" i="33" s="1"/>
  <c r="U493" i="33"/>
  <c r="V408" i="33"/>
  <c r="V405" i="33"/>
  <c r="V407" i="33"/>
  <c r="V134" i="33"/>
  <c r="V147" i="33" s="1"/>
  <c r="W307" i="2"/>
  <c r="W371" i="2"/>
  <c r="W368" i="2"/>
  <c r="W367" i="2" s="1"/>
  <c r="V304" i="33"/>
  <c r="V306" i="33"/>
  <c r="V134" i="2"/>
  <c r="V147" i="2" s="1"/>
  <c r="X127" i="33"/>
  <c r="X125" i="33" s="1"/>
  <c r="T269" i="3"/>
  <c r="V476" i="2" s="1"/>
  <c r="V475" i="2"/>
  <c r="U254" i="32"/>
  <c r="U286" i="32"/>
  <c r="W571" i="33" s="1"/>
  <c r="W581" i="33" s="1"/>
  <c r="W579" i="33" s="1"/>
  <c r="W607" i="33" s="1"/>
  <c r="T559" i="2"/>
  <c r="T518" i="2"/>
  <c r="T527" i="2" s="1"/>
  <c r="U372" i="2"/>
  <c r="U331" i="2"/>
  <c r="U593" i="2"/>
  <c r="U594" i="2"/>
  <c r="U591" i="2"/>
  <c r="W421" i="2"/>
  <c r="T422" i="33"/>
  <c r="T463" i="33"/>
  <c r="T412" i="33"/>
  <c r="X120" i="2"/>
  <c r="X118" i="2"/>
  <c r="U425" i="33"/>
  <c r="U466" i="33"/>
  <c r="X146" i="2"/>
  <c r="X187" i="2"/>
  <c r="V383" i="33"/>
  <c r="V332" i="33"/>
  <c r="V373" i="33"/>
  <c r="T320" i="33"/>
  <c r="T333" i="33" s="1"/>
  <c r="R544" i="2"/>
  <c r="S526" i="2"/>
  <c r="U399" i="2"/>
  <c r="U397" i="2"/>
  <c r="X187" i="33"/>
  <c r="X146" i="33"/>
  <c r="S413" i="33"/>
  <c r="S426" i="33" s="1"/>
  <c r="S435" i="33" s="1"/>
  <c r="V279" i="2"/>
  <c r="V238" i="2"/>
  <c r="V247" i="2" s="1"/>
  <c r="U586" i="2"/>
  <c r="U647" i="2"/>
  <c r="U646" i="2" s="1"/>
  <c r="U650" i="2"/>
  <c r="V284" i="32"/>
  <c r="X385" i="33" s="1"/>
  <c r="X395" i="33" s="1"/>
  <c r="X393" i="33" s="1"/>
  <c r="V252" i="32"/>
  <c r="V421" i="2"/>
  <c r="V430" i="2" s="1"/>
  <c r="V448" i="2" s="1"/>
  <c r="Y183" i="2"/>
  <c r="T583" i="2"/>
  <c r="T585" i="2"/>
  <c r="V568" i="2"/>
  <c r="T270" i="3"/>
  <c r="V569" i="2" s="1"/>
  <c r="W369" i="2"/>
  <c r="X124" i="3"/>
  <c r="X108" i="32"/>
  <c r="X124" i="32" s="1"/>
  <c r="X139" i="3"/>
  <c r="X235" i="3" s="1"/>
  <c r="Z288" i="2"/>
  <c r="Z123" i="3"/>
  <c r="I29" i="1" s="1"/>
  <c r="V284" i="3"/>
  <c r="X385" i="2" s="1"/>
  <c r="X395" i="2" s="1"/>
  <c r="X393" i="2" s="1"/>
  <c r="V252" i="3"/>
  <c r="T320" i="2"/>
  <c r="T333" i="2" s="1"/>
  <c r="S651" i="33"/>
  <c r="S610" i="33"/>
  <c r="S619" i="33" s="1"/>
  <c r="U593" i="33"/>
  <c r="U591" i="33"/>
  <c r="U592" i="33" s="1"/>
  <c r="U594" i="33"/>
  <c r="V306" i="2"/>
  <c r="V304" i="2"/>
  <c r="R387" i="33"/>
  <c r="X282" i="3"/>
  <c r="Z199" i="2" s="1"/>
  <c r="Z209" i="2" s="1"/>
  <c r="Z207" i="2" s="1"/>
  <c r="Z235" i="2" s="1"/>
  <c r="X250" i="3"/>
  <c r="U498" i="2"/>
  <c r="U499" i="2" s="1"/>
  <c r="U500" i="2"/>
  <c r="U501" i="2"/>
  <c r="X127" i="2"/>
  <c r="X125" i="2" s="1"/>
  <c r="T188" i="33"/>
  <c r="T139" i="33"/>
  <c r="T164" i="33" s="1"/>
  <c r="T140" i="33"/>
  <c r="T148" i="33" s="1"/>
  <c r="U108" i="2"/>
  <c r="V313" i="33"/>
  <c r="V311" i="33" s="1"/>
  <c r="X328" i="2"/>
  <c r="T422" i="2"/>
  <c r="T463" i="2"/>
  <c r="T412" i="2"/>
  <c r="V568" i="33"/>
  <c r="T270" i="32"/>
  <c r="V569" i="33" s="1"/>
  <c r="U268" i="32"/>
  <c r="W383" i="33" s="1"/>
  <c r="W382" i="33"/>
  <c r="T490" i="2"/>
  <c r="T492" i="2"/>
  <c r="W140" i="3"/>
  <c r="W236" i="3" s="1"/>
  <c r="Y381" i="2"/>
  <c r="X139" i="32"/>
  <c r="X235" i="32" s="1"/>
  <c r="Z288" i="33"/>
  <c r="Z123" i="32"/>
  <c r="I29" i="34" s="1"/>
  <c r="V141" i="3"/>
  <c r="V237" i="3" s="1"/>
  <c r="X474" i="2"/>
  <c r="U285" i="32"/>
  <c r="W478" i="33" s="1"/>
  <c r="U253" i="32"/>
  <c r="U647" i="33"/>
  <c r="U646" i="33" s="1"/>
  <c r="U650" i="33"/>
  <c r="U586" i="33"/>
  <c r="U648" i="33"/>
  <c r="U399" i="33"/>
  <c r="U397" i="33"/>
  <c r="V405" i="2"/>
  <c r="V406" i="2" s="1"/>
  <c r="V408" i="2"/>
  <c r="V407" i="2"/>
  <c r="U557" i="2"/>
  <c r="U554" i="2"/>
  <c r="U553" i="2" s="1"/>
  <c r="U493" i="2"/>
  <c r="T492" i="33"/>
  <c r="T490" i="33"/>
  <c r="U425" i="2"/>
  <c r="U434" i="2" s="1"/>
  <c r="U452" i="2" s="1"/>
  <c r="U466" i="2"/>
  <c r="W315" i="33"/>
  <c r="W314" i="33"/>
  <c r="W312" i="33"/>
  <c r="S649" i="33"/>
  <c r="S608" i="33"/>
  <c r="S617" i="33" s="1"/>
  <c r="X289" i="2"/>
  <c r="V267" i="3"/>
  <c r="W395" i="33"/>
  <c r="W393" i="33" s="1"/>
  <c r="T585" i="33"/>
  <c r="T583" i="33"/>
  <c r="W140" i="32"/>
  <c r="W236" i="32" s="1"/>
  <c r="Y381" i="33"/>
  <c r="W184" i="33"/>
  <c r="W143" i="33"/>
  <c r="W133" i="33"/>
  <c r="T652" i="33"/>
  <c r="T611" i="33"/>
  <c r="T620" i="33" s="1"/>
  <c r="W109" i="32"/>
  <c r="W125" i="32" s="1"/>
  <c r="X109" i="3"/>
  <c r="W125" i="3"/>
  <c r="R637" i="33"/>
  <c r="Y126" i="2"/>
  <c r="Y129" i="2"/>
  <c r="Y128" i="2"/>
  <c r="X275" i="33"/>
  <c r="X274" i="33" s="1"/>
  <c r="X214" i="33"/>
  <c r="X278" i="33"/>
  <c r="X276" i="33"/>
  <c r="V383" i="2"/>
  <c r="V462" i="2" s="1"/>
  <c r="V373" i="2"/>
  <c r="V332" i="2"/>
  <c r="S413" i="2"/>
  <c r="S426" i="2" s="1"/>
  <c r="S435" i="2" s="1"/>
  <c r="W239" i="33"/>
  <c r="W248" i="33" s="1"/>
  <c r="W280" i="33"/>
  <c r="X289" i="33"/>
  <c r="V267" i="32"/>
  <c r="Y126" i="33"/>
  <c r="Y127" i="33" s="1"/>
  <c r="Y128" i="33"/>
  <c r="Y129" i="33"/>
  <c r="W307" i="33"/>
  <c r="W368" i="33"/>
  <c r="W367" i="33" s="1"/>
  <c r="W371" i="33"/>
  <c r="V236" i="33"/>
  <c r="V277" i="33"/>
  <c r="V226" i="33"/>
  <c r="V227" i="33" s="1"/>
  <c r="V240" i="33" s="1"/>
  <c r="U286" i="3"/>
  <c r="W571" i="2" s="1"/>
  <c r="U254" i="3"/>
  <c r="X120" i="33"/>
  <c r="X118" i="33"/>
  <c r="T652" i="2"/>
  <c r="T611" i="2"/>
  <c r="W211" i="2"/>
  <c r="W213" i="2"/>
  <c r="V142" i="32"/>
  <c r="V238" i="32" s="1"/>
  <c r="X567" i="33"/>
  <c r="V141" i="32"/>
  <c r="V237" i="32" s="1"/>
  <c r="X474" i="33"/>
  <c r="R325" i="2"/>
  <c r="R350" i="2" s="1"/>
  <c r="R374" i="2"/>
  <c r="R326" i="2"/>
  <c r="R334" i="2" s="1"/>
  <c r="W251" i="32"/>
  <c r="W283" i="32"/>
  <c r="Y292" i="33" s="1"/>
  <c r="W266" i="3"/>
  <c r="Y197" i="2" s="1"/>
  <c r="Y196" i="2"/>
  <c r="Q639" i="33"/>
  <c r="R621" i="33"/>
  <c r="P642" i="33"/>
  <c r="O632" i="33"/>
  <c r="P614" i="33"/>
  <c r="Q605" i="33"/>
  <c r="Q613" i="33" s="1"/>
  <c r="Q604" i="33"/>
  <c r="Q629" i="33" s="1"/>
  <c r="Q630" i="33" s="1"/>
  <c r="Q653" i="33"/>
  <c r="S597" i="33"/>
  <c r="S598" i="33" s="1"/>
  <c r="S599" i="33" s="1"/>
  <c r="S612" i="33" s="1"/>
  <c r="R573" i="33"/>
  <c r="P626" i="33"/>
  <c r="O640" i="33"/>
  <c r="Q641" i="33"/>
  <c r="R627" i="33"/>
  <c r="V616" i="33"/>
  <c r="Y580" i="33"/>
  <c r="N639" i="2"/>
  <c r="O621" i="2"/>
  <c r="K632" i="2"/>
  <c r="K644" i="2" s="1"/>
  <c r="L614" i="2"/>
  <c r="O511" i="2"/>
  <c r="O536" i="2" s="1"/>
  <c r="O537" i="2" s="1"/>
  <c r="O512" i="2"/>
  <c r="O520" i="2" s="1"/>
  <c r="Y28" i="2"/>
  <c r="Y25" i="2" s="1"/>
  <c r="Y91" i="2" s="1"/>
  <c r="N641" i="2"/>
  <c r="O627" i="2"/>
  <c r="T616" i="2"/>
  <c r="S634" i="2"/>
  <c r="L640" i="2"/>
  <c r="M626" i="2"/>
  <c r="O604" i="2"/>
  <c r="O629" i="2" s="1"/>
  <c r="O605" i="2"/>
  <c r="O613" i="2" s="1"/>
  <c r="O653" i="2"/>
  <c r="U648" i="2"/>
  <c r="U607" i="2"/>
  <c r="Q597" i="2"/>
  <c r="Q598" i="2" s="1"/>
  <c r="Q599" i="2" s="1"/>
  <c r="Q612" i="2" s="1"/>
  <c r="P573" i="2"/>
  <c r="W580" i="2"/>
  <c r="V581" i="2"/>
  <c r="V579" i="2" s="1"/>
  <c r="A641" i="2"/>
  <c r="A642" i="2" s="1"/>
  <c r="P635" i="2"/>
  <c r="Q617" i="2"/>
  <c r="N630" i="2"/>
  <c r="M642" i="2"/>
  <c r="U28" i="2"/>
  <c r="U25" i="2" s="1"/>
  <c r="U50" i="2" s="1"/>
  <c r="K28" i="2"/>
  <c r="K25" i="2" s="1"/>
  <c r="K50" i="2" s="1"/>
  <c r="V28" i="2"/>
  <c r="V25" i="2" s="1"/>
  <c r="V50" i="2" s="1"/>
  <c r="W28" i="2"/>
  <c r="W25" i="2" s="1"/>
  <c r="W50" i="2" s="1"/>
  <c r="N28" i="2"/>
  <c r="N25" i="2" s="1"/>
  <c r="N91" i="2" s="1"/>
  <c r="H28" i="2"/>
  <c r="H25" i="2" s="1"/>
  <c r="H50" i="2" s="1"/>
  <c r="T28" i="2"/>
  <c r="T25" i="2" s="1"/>
  <c r="T91" i="2" s="1"/>
  <c r="O28" i="2"/>
  <c r="O25" i="2" s="1"/>
  <c r="O91" i="2" s="1"/>
  <c r="L514" i="33"/>
  <c r="L523" i="33" s="1"/>
  <c r="P480" i="2"/>
  <c r="P560" i="2" s="1"/>
  <c r="T291" i="33"/>
  <c r="S362" i="33"/>
  <c r="S357" i="33"/>
  <c r="S361" i="33"/>
  <c r="S354" i="33"/>
  <c r="R358" i="33"/>
  <c r="S340" i="33"/>
  <c r="T341" i="33"/>
  <c r="S359" i="33"/>
  <c r="Q356" i="33"/>
  <c r="R338" i="33"/>
  <c r="M555" i="33"/>
  <c r="M514" i="33"/>
  <c r="O487" i="33"/>
  <c r="N488" i="33"/>
  <c r="K541" i="33"/>
  <c r="G542" i="33"/>
  <c r="H524" i="33"/>
  <c r="A504" i="33"/>
  <c r="F503" i="33"/>
  <c r="G503" i="33" s="1"/>
  <c r="H503" i="33" s="1"/>
  <c r="I503" i="33" s="1"/>
  <c r="J503" i="33" s="1"/>
  <c r="K503" i="33" s="1"/>
  <c r="L503" i="33" s="1"/>
  <c r="M503" i="33" s="1"/>
  <c r="N503" i="33" s="1"/>
  <c r="O503" i="33" s="1"/>
  <c r="P503" i="33" s="1"/>
  <c r="Q503" i="33" s="1"/>
  <c r="R503" i="33" s="1"/>
  <c r="S503" i="33" s="1"/>
  <c r="T503" i="33" s="1"/>
  <c r="U503" i="33" s="1"/>
  <c r="V503" i="33" s="1"/>
  <c r="W503" i="33" s="1"/>
  <c r="X503" i="33" s="1"/>
  <c r="Y503" i="33" s="1"/>
  <c r="Z503" i="33" s="1"/>
  <c r="O546" i="2"/>
  <c r="P528" i="2"/>
  <c r="Q506" i="2"/>
  <c r="Q519" i="2" s="1"/>
  <c r="L539" i="2"/>
  <c r="L551" i="2" s="1"/>
  <c r="M521" i="2"/>
  <c r="S504" i="2"/>
  <c r="R505" i="2"/>
  <c r="S28" i="2"/>
  <c r="S25" i="2" s="1"/>
  <c r="S91" i="2" s="1"/>
  <c r="J28" i="2"/>
  <c r="R28" i="2"/>
  <c r="R25" i="2" s="1"/>
  <c r="R50" i="2" s="1"/>
  <c r="S541" i="2"/>
  <c r="T523" i="2"/>
  <c r="O548" i="2"/>
  <c r="P534" i="2"/>
  <c r="N549" i="2"/>
  <c r="U555" i="2"/>
  <c r="U514" i="2"/>
  <c r="W487" i="2"/>
  <c r="V488" i="2"/>
  <c r="V486" i="2" s="1"/>
  <c r="Q542" i="2"/>
  <c r="R524" i="2"/>
  <c r="N533" i="2"/>
  <c r="M547" i="2"/>
  <c r="M28" i="2"/>
  <c r="P28" i="2"/>
  <c r="X175" i="2"/>
  <c r="Y161" i="2"/>
  <c r="J21" i="2"/>
  <c r="L22" i="2"/>
  <c r="K23" i="2"/>
  <c r="K21" i="2" s="1"/>
  <c r="A29" i="2"/>
  <c r="G28" i="2"/>
  <c r="Q28" i="2"/>
  <c r="I58" i="2"/>
  <c r="H76" i="2"/>
  <c r="L28" i="2"/>
  <c r="I28" i="2"/>
  <c r="X28" i="2"/>
  <c r="U281" i="2"/>
  <c r="U233" i="2"/>
  <c r="U241" i="2" s="1"/>
  <c r="Q174" i="33"/>
  <c r="R156" i="33"/>
  <c r="T430" i="33"/>
  <c r="Q72" i="33"/>
  <c r="P84" i="33"/>
  <c r="P428" i="2"/>
  <c r="O446" i="2"/>
  <c r="O458" i="2" s="1"/>
  <c r="Q165" i="2"/>
  <c r="P177" i="2"/>
  <c r="R76" i="33"/>
  <c r="S58" i="33"/>
  <c r="Q165" i="33"/>
  <c r="P177" i="33"/>
  <c r="S262" i="2"/>
  <c r="AC262" i="2" s="1" a="1"/>
  <c r="AC262" i="2" s="1"/>
  <c r="T244" i="2"/>
  <c r="R63" i="33"/>
  <c r="Q81" i="33"/>
  <c r="S337" i="33"/>
  <c r="R355" i="33"/>
  <c r="R77" i="33"/>
  <c r="S59" i="33"/>
  <c r="P456" i="2"/>
  <c r="P428" i="33"/>
  <c r="O446" i="33"/>
  <c r="O458" i="33" s="1"/>
  <c r="T175" i="33"/>
  <c r="T176" i="33"/>
  <c r="T171" i="33"/>
  <c r="U105" i="33"/>
  <c r="T168" i="33"/>
  <c r="T169" i="33"/>
  <c r="S79" i="33"/>
  <c r="T61" i="33"/>
  <c r="O167" i="2"/>
  <c r="O179" i="2" s="1"/>
  <c r="P149" i="2"/>
  <c r="P56" i="33"/>
  <c r="O74" i="33"/>
  <c r="O86" i="33" s="1"/>
  <c r="S169" i="2"/>
  <c r="T151" i="2"/>
  <c r="U80" i="2"/>
  <c r="V62" i="2"/>
  <c r="T451" i="2"/>
  <c r="T172" i="33"/>
  <c r="U154" i="33"/>
  <c r="R453" i="2"/>
  <c r="T78" i="33"/>
  <c r="T83" i="33"/>
  <c r="T82" i="33"/>
  <c r="T75" i="33"/>
  <c r="U12" i="33"/>
  <c r="R174" i="2"/>
  <c r="S156" i="2"/>
  <c r="O167" i="33"/>
  <c r="O179" i="33" s="1"/>
  <c r="P149" i="33"/>
  <c r="T80" i="33"/>
  <c r="U62" i="33"/>
  <c r="S170" i="33"/>
  <c r="T152" i="33"/>
  <c r="T79" i="2"/>
  <c r="U61" i="2"/>
  <c r="R453" i="33"/>
  <c r="U155" i="33"/>
  <c r="T173" i="33"/>
  <c r="O272" i="2"/>
  <c r="Q258" i="2"/>
  <c r="P270" i="2"/>
  <c r="N260" i="33"/>
  <c r="N272" i="33" s="1"/>
  <c r="O242" i="33"/>
  <c r="T268" i="33"/>
  <c r="T269" i="33"/>
  <c r="T261" i="33"/>
  <c r="U198" i="33"/>
  <c r="T264" i="33"/>
  <c r="T262" i="33"/>
  <c r="T266" i="33"/>
  <c r="T245" i="2"/>
  <c r="S263" i="2"/>
  <c r="AC263" i="2" s="1" a="1"/>
  <c r="AC263" i="2" s="1"/>
  <c r="S245" i="33"/>
  <c r="R263" i="33"/>
  <c r="R267" i="2"/>
  <c r="S249" i="2"/>
  <c r="X244" i="33"/>
  <c r="O270" i="33"/>
  <c r="P258" i="33"/>
  <c r="U265" i="2"/>
  <c r="U247" i="33"/>
  <c r="T265" i="33"/>
  <c r="Q267" i="33"/>
  <c r="R249" i="33"/>
  <c r="P260" i="2"/>
  <c r="Q242" i="2"/>
  <c r="U266" i="2"/>
  <c r="V248" i="2"/>
  <c r="Q363" i="33"/>
  <c r="R356" i="2"/>
  <c r="S338" i="2"/>
  <c r="S358" i="2"/>
  <c r="T340" i="2"/>
  <c r="Q360" i="2"/>
  <c r="R342" i="2"/>
  <c r="O363" i="2"/>
  <c r="AC363" i="2" s="1" a="1"/>
  <c r="AC363" i="2" s="1"/>
  <c r="P351" i="2"/>
  <c r="S342" i="33"/>
  <c r="R360" i="33"/>
  <c r="P353" i="33"/>
  <c r="P365" i="33" s="1"/>
  <c r="Q335" i="33"/>
  <c r="O335" i="2"/>
  <c r="N353" i="2"/>
  <c r="U341" i="2"/>
  <c r="T359" i="2"/>
  <c r="V337" i="2"/>
  <c r="U355" i="2"/>
  <c r="W88" i="33" l="1"/>
  <c r="X78" i="2"/>
  <c r="X75" i="2"/>
  <c r="Y12" i="2"/>
  <c r="U46" i="33"/>
  <c r="U71" i="33" s="1"/>
  <c r="R620" i="2"/>
  <c r="R638" i="2" s="1"/>
  <c r="U465" i="33"/>
  <c r="U47" i="33"/>
  <c r="U55" i="33" s="1"/>
  <c r="T173" i="2"/>
  <c r="U155" i="2"/>
  <c r="S152" i="2"/>
  <c r="R170" i="2"/>
  <c r="S172" i="2"/>
  <c r="T154" i="2"/>
  <c r="W430" i="2"/>
  <c r="U188" i="33"/>
  <c r="U232" i="33"/>
  <c r="U257" i="33" s="1"/>
  <c r="U281" i="33"/>
  <c r="V15" i="33"/>
  <c r="V95" i="33" s="1"/>
  <c r="R467" i="2"/>
  <c r="R418" i="2"/>
  <c r="R443" i="2" s="1"/>
  <c r="R444" i="2" s="1"/>
  <c r="W41" i="33"/>
  <c r="W54" i="33" s="1"/>
  <c r="Y34" i="2"/>
  <c r="Y32" i="2" s="1"/>
  <c r="X276" i="3"/>
  <c r="Z276" i="3" s="1"/>
  <c r="Z260" i="3"/>
  <c r="Y94" i="33"/>
  <c r="Y53" i="33"/>
  <c r="X276" i="32"/>
  <c r="Z276" i="32" s="1"/>
  <c r="Z260" i="32"/>
  <c r="N31" i="1"/>
  <c r="P31" i="1"/>
  <c r="Q31" i="1"/>
  <c r="S31" i="1"/>
  <c r="O31" i="1"/>
  <c r="R31" i="1"/>
  <c r="M31" i="1"/>
  <c r="T31" i="1"/>
  <c r="X25" i="33"/>
  <c r="X27" i="33"/>
  <c r="Z35" i="33"/>
  <c r="Z33" i="33"/>
  <c r="Z34" i="33" s="1"/>
  <c r="Z36" i="33"/>
  <c r="Z35" i="2"/>
  <c r="Z36" i="2"/>
  <c r="Z33" i="2"/>
  <c r="P32" i="1"/>
  <c r="O32" i="1"/>
  <c r="M32" i="1"/>
  <c r="T32" i="1"/>
  <c r="S32" i="1"/>
  <c r="R32" i="1"/>
  <c r="Q32" i="1"/>
  <c r="N32" i="1"/>
  <c r="Z89" i="33"/>
  <c r="Z28" i="33"/>
  <c r="Z92" i="33"/>
  <c r="Z11" i="2"/>
  <c r="Z264" i="3"/>
  <c r="F32" i="1" s="1"/>
  <c r="X93" i="33"/>
  <c r="X52" i="33"/>
  <c r="Z90" i="33"/>
  <c r="Y27" i="33"/>
  <c r="Y25" i="33"/>
  <c r="Y94" i="2"/>
  <c r="Y53" i="2"/>
  <c r="Y32" i="33"/>
  <c r="S634" i="33"/>
  <c r="S636" i="33"/>
  <c r="S633" i="33"/>
  <c r="T570" i="33"/>
  <c r="T638" i="33" s="1"/>
  <c r="S543" i="33"/>
  <c r="S540" i="33"/>
  <c r="T477" i="33"/>
  <c r="T545" i="33" s="1"/>
  <c r="U433" i="33"/>
  <c r="T610" i="33"/>
  <c r="T619" i="33" s="1"/>
  <c r="V201" i="2"/>
  <c r="V232" i="2" s="1"/>
  <c r="V257" i="2" s="1"/>
  <c r="AA209" i="2"/>
  <c r="S620" i="2"/>
  <c r="S638" i="2" s="1"/>
  <c r="S325" i="33"/>
  <c r="S350" i="33" s="1"/>
  <c r="S351" i="33" s="1"/>
  <c r="V201" i="33"/>
  <c r="V233" i="33" s="1"/>
  <c r="V241" i="33" s="1"/>
  <c r="AA209" i="33"/>
  <c r="S326" i="33"/>
  <c r="S334" i="33" s="1"/>
  <c r="W279" i="33"/>
  <c r="W238" i="33"/>
  <c r="AA116" i="33"/>
  <c r="U139" i="33"/>
  <c r="U164" i="33" s="1"/>
  <c r="X218" i="2"/>
  <c r="Q449" i="33"/>
  <c r="R431" i="33"/>
  <c r="S451" i="33"/>
  <c r="T384" i="33"/>
  <c r="T448" i="33" s="1"/>
  <c r="S450" i="33"/>
  <c r="S455" i="33"/>
  <c r="S447" i="33"/>
  <c r="S454" i="33"/>
  <c r="U497" i="2"/>
  <c r="U558" i="2" s="1"/>
  <c r="S452" i="33"/>
  <c r="T434" i="33"/>
  <c r="AA116" i="2"/>
  <c r="R449" i="2"/>
  <c r="S431" i="2"/>
  <c r="X186" i="2"/>
  <c r="X145" i="2"/>
  <c r="S635" i="33"/>
  <c r="T558" i="33"/>
  <c r="T517" i="33"/>
  <c r="T526" i="33" s="1"/>
  <c r="V331" i="2"/>
  <c r="V372" i="2"/>
  <c r="V331" i="33"/>
  <c r="V372" i="33"/>
  <c r="T545" i="2"/>
  <c r="Y27" i="2"/>
  <c r="X143" i="33"/>
  <c r="X184" i="33"/>
  <c r="X133" i="33"/>
  <c r="S637" i="33"/>
  <c r="W313" i="33"/>
  <c r="W311" i="33" s="1"/>
  <c r="U583" i="33"/>
  <c r="U585" i="33"/>
  <c r="W407" i="33"/>
  <c r="W405" i="33"/>
  <c r="W408" i="33"/>
  <c r="V268" i="3"/>
  <c r="X383" i="2" s="1"/>
  <c r="X462" i="2" s="1"/>
  <c r="X382" i="2"/>
  <c r="X140" i="32"/>
  <c r="X236" i="32" s="1"/>
  <c r="Z381" i="33"/>
  <c r="Z124" i="32"/>
  <c r="J29" i="34" s="1"/>
  <c r="V268" i="32"/>
  <c r="X382" i="33"/>
  <c r="V406" i="33"/>
  <c r="V404" i="33" s="1"/>
  <c r="Y289" i="2"/>
  <c r="W267" i="3"/>
  <c r="Y290" i="2" s="1"/>
  <c r="X280" i="2"/>
  <c r="X239" i="2"/>
  <c r="Z126" i="33"/>
  <c r="Z129" i="33"/>
  <c r="Z128" i="33"/>
  <c r="W373" i="2"/>
  <c r="W332" i="2"/>
  <c r="U559" i="33"/>
  <c r="U518" i="33"/>
  <c r="U527" i="33" s="1"/>
  <c r="T558" i="2"/>
  <c r="T517" i="2"/>
  <c r="U320" i="2"/>
  <c r="U333" i="2" s="1"/>
  <c r="X218" i="33"/>
  <c r="S544" i="33"/>
  <c r="Y219" i="2"/>
  <c r="Y220" i="2" s="1"/>
  <c r="Y221" i="2"/>
  <c r="Y222" i="2"/>
  <c r="V285" i="32"/>
  <c r="X478" i="33" s="1"/>
  <c r="V253" i="32"/>
  <c r="W304" i="33"/>
  <c r="W306" i="33"/>
  <c r="X283" i="32"/>
  <c r="Z292" i="33" s="1"/>
  <c r="Z302" i="33" s="1"/>
  <c r="Z300" i="33" s="1"/>
  <c r="X251" i="32"/>
  <c r="Z251" i="32" s="1"/>
  <c r="I31" i="34" s="1"/>
  <c r="W461" i="33"/>
  <c r="W460" i="33" s="1"/>
  <c r="W464" i="33"/>
  <c r="W400" i="33"/>
  <c r="U559" i="2"/>
  <c r="U518" i="2"/>
  <c r="U527" i="2" s="1"/>
  <c r="U652" i="33"/>
  <c r="U611" i="33"/>
  <c r="U620" i="33" s="1"/>
  <c r="X421" i="2"/>
  <c r="X430" i="2" s="1"/>
  <c r="X140" i="3"/>
  <c r="X236" i="3" s="1"/>
  <c r="Z381" i="2"/>
  <c r="Z124" i="3"/>
  <c r="J29" i="1" s="1"/>
  <c r="X421" i="33"/>
  <c r="X143" i="2"/>
  <c r="X184" i="2"/>
  <c r="X133" i="2"/>
  <c r="U592" i="2"/>
  <c r="U590" i="2" s="1"/>
  <c r="U270" i="32"/>
  <c r="W568" i="33"/>
  <c r="V370" i="33"/>
  <c r="V329" i="33"/>
  <c r="V319" i="33"/>
  <c r="V425" i="33"/>
  <c r="V466" i="33"/>
  <c r="Y302" i="2"/>
  <c r="Y300" i="2" s="1"/>
  <c r="W134" i="2"/>
  <c r="W147" i="2" s="1"/>
  <c r="Z104" i="33"/>
  <c r="Z183" i="33" s="1"/>
  <c r="Z265" i="32"/>
  <c r="G32" i="34" s="1"/>
  <c r="Y276" i="2"/>
  <c r="Y275" i="2"/>
  <c r="Y274" i="2" s="1"/>
  <c r="Y278" i="2"/>
  <c r="Y214" i="2"/>
  <c r="U270" i="3"/>
  <c r="W568" i="2"/>
  <c r="Y146" i="33"/>
  <c r="Y187" i="33"/>
  <c r="S387" i="2"/>
  <c r="X213" i="33"/>
  <c r="X211" i="33"/>
  <c r="W141" i="3"/>
  <c r="W237" i="3" s="1"/>
  <c r="Y474" i="2"/>
  <c r="W134" i="33"/>
  <c r="W147" i="33" s="1"/>
  <c r="W421" i="33"/>
  <c r="W462" i="33"/>
  <c r="W373" i="33"/>
  <c r="W332" i="33"/>
  <c r="V650" i="33"/>
  <c r="V647" i="33"/>
  <c r="V646" i="33" s="1"/>
  <c r="V586" i="33"/>
  <c r="V648" i="33"/>
  <c r="U590" i="33"/>
  <c r="U652" i="2"/>
  <c r="U611" i="2"/>
  <c r="V501" i="2"/>
  <c r="V500" i="2"/>
  <c r="V498" i="2"/>
  <c r="V499" i="2" s="1"/>
  <c r="W408" i="2"/>
  <c r="W407" i="2"/>
  <c r="W405" i="2"/>
  <c r="V254" i="3"/>
  <c r="V286" i="3"/>
  <c r="X571" i="2" s="1"/>
  <c r="W313" i="2"/>
  <c r="W311" i="2" s="1"/>
  <c r="Y219" i="33"/>
  <c r="Y220" i="33" s="1"/>
  <c r="Y222" i="33"/>
  <c r="Y221" i="33"/>
  <c r="V501" i="33"/>
  <c r="V498" i="33"/>
  <c r="V499" i="33" s="1"/>
  <c r="V500" i="33"/>
  <c r="U465" i="2"/>
  <c r="U424" i="2"/>
  <c r="U433" i="2" s="1"/>
  <c r="U451" i="2" s="1"/>
  <c r="X239" i="33"/>
  <c r="X280" i="33"/>
  <c r="Y302" i="33"/>
  <c r="Y300" i="33" s="1"/>
  <c r="V254" i="32"/>
  <c r="V286" i="32"/>
  <c r="X571" i="33" s="1"/>
  <c r="X581" i="33" s="1"/>
  <c r="X579" i="33" s="1"/>
  <c r="X607" i="33" s="1"/>
  <c r="X109" i="32"/>
  <c r="X125" i="32" s="1"/>
  <c r="X125" i="3"/>
  <c r="V425" i="2"/>
  <c r="V434" i="2" s="1"/>
  <c r="V452" i="2" s="1"/>
  <c r="V466" i="2"/>
  <c r="U269" i="32"/>
  <c r="W476" i="33" s="1"/>
  <c r="W475" i="33"/>
  <c r="V593" i="33"/>
  <c r="V594" i="33"/>
  <c r="V591" i="33"/>
  <c r="U140" i="2"/>
  <c r="U148" i="2" s="1"/>
  <c r="U139" i="2"/>
  <c r="U164" i="2" s="1"/>
  <c r="U188" i="2"/>
  <c r="V586" i="2"/>
  <c r="V647" i="2"/>
  <c r="V646" i="2" s="1"/>
  <c r="V650" i="2"/>
  <c r="U463" i="2"/>
  <c r="U422" i="2"/>
  <c r="U412" i="2"/>
  <c r="T413" i="33"/>
  <c r="T426" i="33" s="1"/>
  <c r="T435" i="33" s="1"/>
  <c r="V557" i="2"/>
  <c r="V554" i="2"/>
  <c r="V553" i="2" s="1"/>
  <c r="V493" i="2"/>
  <c r="U490" i="33"/>
  <c r="U492" i="33"/>
  <c r="W400" i="2"/>
  <c r="W461" i="2"/>
  <c r="W460" i="2" s="1"/>
  <c r="W464" i="2"/>
  <c r="Y276" i="33"/>
  <c r="Y275" i="33"/>
  <c r="Y274" i="33" s="1"/>
  <c r="Y278" i="33"/>
  <c r="Y214" i="33"/>
  <c r="V554" i="33"/>
  <c r="V553" i="33" s="1"/>
  <c r="V557" i="33"/>
  <c r="V493" i="33"/>
  <c r="W142" i="3"/>
  <c r="W238" i="3" s="1"/>
  <c r="Y567" i="2"/>
  <c r="Y118" i="2"/>
  <c r="Y120" i="2"/>
  <c r="W267" i="32"/>
  <c r="Y290" i="33" s="1"/>
  <c r="Y289" i="33"/>
  <c r="Y125" i="33"/>
  <c r="W141" i="32"/>
  <c r="W237" i="32" s="1"/>
  <c r="Y474" i="33"/>
  <c r="Z125" i="32"/>
  <c r="K29" i="34" s="1"/>
  <c r="X290" i="2"/>
  <c r="V404" i="2"/>
  <c r="T413" i="2"/>
  <c r="T426" i="2" s="1"/>
  <c r="T435" i="2" s="1"/>
  <c r="X266" i="3"/>
  <c r="Z197" i="2" s="1"/>
  <c r="Z276" i="2" s="1"/>
  <c r="Z250" i="3"/>
  <c r="H31" i="1" s="1"/>
  <c r="Z196" i="2"/>
  <c r="X283" i="3"/>
  <c r="Z292" i="2" s="1"/>
  <c r="Z302" i="2" s="1"/>
  <c r="Z300" i="2" s="1"/>
  <c r="Z328" i="2" s="1"/>
  <c r="X251" i="3"/>
  <c r="V594" i="2"/>
  <c r="V593" i="2"/>
  <c r="V591" i="2"/>
  <c r="U583" i="2"/>
  <c r="U585" i="2"/>
  <c r="V400" i="33"/>
  <c r="V464" i="33"/>
  <c r="V461" i="33"/>
  <c r="V460" i="33" s="1"/>
  <c r="V462" i="33"/>
  <c r="X186" i="33"/>
  <c r="X145" i="33"/>
  <c r="W306" i="2"/>
  <c r="W304" i="2"/>
  <c r="U320" i="33"/>
  <c r="U333" i="33" s="1"/>
  <c r="T651" i="2"/>
  <c r="T610" i="2"/>
  <c r="T619" i="2" s="1"/>
  <c r="Z129" i="2"/>
  <c r="Z126" i="2"/>
  <c r="Z127" i="2" s="1"/>
  <c r="Z128" i="2"/>
  <c r="S325" i="2"/>
  <c r="S350" i="2" s="1"/>
  <c r="S326" i="2"/>
  <c r="S334" i="2" s="1"/>
  <c r="S374" i="2"/>
  <c r="W142" i="32"/>
  <c r="W238" i="32" s="1"/>
  <c r="Y567" i="33"/>
  <c r="Z142" i="2"/>
  <c r="V27" i="2"/>
  <c r="W236" i="2"/>
  <c r="W277" i="2"/>
  <c r="W226" i="2"/>
  <c r="W227" i="2" s="1"/>
  <c r="W240" i="2" s="1"/>
  <c r="Y146" i="2"/>
  <c r="Y187" i="2"/>
  <c r="X312" i="2"/>
  <c r="X315" i="2"/>
  <c r="X314" i="2"/>
  <c r="T556" i="33"/>
  <c r="T515" i="33"/>
  <c r="U463" i="33"/>
  <c r="U422" i="33"/>
  <c r="U412" i="33"/>
  <c r="W284" i="3"/>
  <c r="Y385" i="2" s="1"/>
  <c r="Y395" i="2" s="1"/>
  <c r="Y393" i="2" s="1"/>
  <c r="W252" i="3"/>
  <c r="T526" i="2"/>
  <c r="S544" i="2"/>
  <c r="V108" i="33"/>
  <c r="Z104" i="2"/>
  <c r="Z183" i="2" s="1"/>
  <c r="Z265" i="3"/>
  <c r="G32" i="1" s="1"/>
  <c r="X110" i="32"/>
  <c r="X126" i="32" s="1"/>
  <c r="X126" i="3"/>
  <c r="V91" i="2"/>
  <c r="X290" i="33"/>
  <c r="Y127" i="2"/>
  <c r="Y125" i="2" s="1"/>
  <c r="W284" i="32"/>
  <c r="Y385" i="33" s="1"/>
  <c r="W252" i="32"/>
  <c r="V253" i="3"/>
  <c r="V285" i="3"/>
  <c r="X478" i="2" s="1"/>
  <c r="R419" i="33"/>
  <c r="R427" i="33" s="1"/>
  <c r="R467" i="33"/>
  <c r="R418" i="33"/>
  <c r="R443" i="33" s="1"/>
  <c r="R444" i="33" s="1"/>
  <c r="R456" i="33" s="1"/>
  <c r="T294" i="2"/>
  <c r="T608" i="2"/>
  <c r="T649" i="2"/>
  <c r="W462" i="2"/>
  <c r="V108" i="2"/>
  <c r="U269" i="3"/>
  <c r="W476" i="2" s="1"/>
  <c r="W475" i="2"/>
  <c r="W238" i="2"/>
  <c r="W247" i="2" s="1"/>
  <c r="W279" i="2"/>
  <c r="X211" i="2"/>
  <c r="X213" i="2"/>
  <c r="W277" i="33"/>
  <c r="W236" i="33"/>
  <c r="W226" i="33"/>
  <c r="W227" i="33" s="1"/>
  <c r="W240" i="33" s="1"/>
  <c r="S637" i="2"/>
  <c r="Y50" i="2"/>
  <c r="X312" i="33"/>
  <c r="X314" i="33"/>
  <c r="X315" i="33"/>
  <c r="V400" i="2"/>
  <c r="V464" i="2"/>
  <c r="V461" i="2"/>
  <c r="V460" i="2" s="1"/>
  <c r="T649" i="33"/>
  <c r="T608" i="33"/>
  <c r="T617" i="33" s="1"/>
  <c r="U490" i="2"/>
  <c r="U492" i="2"/>
  <c r="T556" i="2"/>
  <c r="T515" i="2"/>
  <c r="V319" i="2"/>
  <c r="V370" i="2"/>
  <c r="V329" i="2"/>
  <c r="S387" i="33"/>
  <c r="T294" i="33"/>
  <c r="U499" i="33"/>
  <c r="U497" i="33" s="1"/>
  <c r="Z142" i="33"/>
  <c r="Z151" i="33" s="1"/>
  <c r="Y118" i="33"/>
  <c r="Y120" i="33"/>
  <c r="Z196" i="33"/>
  <c r="Z250" i="32"/>
  <c r="H31" i="34" s="1"/>
  <c r="X266" i="32"/>
  <c r="O644" i="33"/>
  <c r="S621" i="33"/>
  <c r="R639" i="33"/>
  <c r="Q642" i="33"/>
  <c r="R641" i="33"/>
  <c r="S627" i="33"/>
  <c r="R604" i="33"/>
  <c r="R629" i="33" s="1"/>
  <c r="R630" i="33" s="1"/>
  <c r="R605" i="33"/>
  <c r="R613" i="33" s="1"/>
  <c r="R653" i="33"/>
  <c r="T597" i="33"/>
  <c r="T598" i="33" s="1"/>
  <c r="T599" i="33" s="1"/>
  <c r="T612" i="33" s="1"/>
  <c r="S573" i="33"/>
  <c r="Z580" i="33"/>
  <c r="Q626" i="33"/>
  <c r="P640" i="33"/>
  <c r="Q614" i="33"/>
  <c r="P632" i="33"/>
  <c r="W616" i="33"/>
  <c r="L632" i="2"/>
  <c r="L644" i="2" s="1"/>
  <c r="M614" i="2"/>
  <c r="O639" i="2"/>
  <c r="P621" i="2"/>
  <c r="W91" i="2"/>
  <c r="K91" i="2"/>
  <c r="W27" i="2"/>
  <c r="R91" i="2"/>
  <c r="R27" i="2"/>
  <c r="T27" i="2"/>
  <c r="H91" i="2"/>
  <c r="H88" i="2" s="1"/>
  <c r="S50" i="2"/>
  <c r="U91" i="2"/>
  <c r="K27" i="2"/>
  <c r="T50" i="2"/>
  <c r="S27" i="2"/>
  <c r="U27" i="2"/>
  <c r="O50" i="2"/>
  <c r="P512" i="2"/>
  <c r="P520" i="2" s="1"/>
  <c r="O27" i="2"/>
  <c r="Q635" i="2"/>
  <c r="R617" i="2"/>
  <c r="P604" i="2"/>
  <c r="P629" i="2" s="1"/>
  <c r="P605" i="2"/>
  <c r="P613" i="2" s="1"/>
  <c r="P653" i="2"/>
  <c r="N642" i="2"/>
  <c r="O630" i="2"/>
  <c r="R597" i="2"/>
  <c r="R598" i="2" s="1"/>
  <c r="R599" i="2" s="1"/>
  <c r="R612" i="2" s="1"/>
  <c r="Q573" i="2"/>
  <c r="P627" i="2"/>
  <c r="O641" i="2"/>
  <c r="N626" i="2"/>
  <c r="M640" i="2"/>
  <c r="A643" i="2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V648" i="2"/>
  <c r="V607" i="2"/>
  <c r="X580" i="2"/>
  <c r="W581" i="2"/>
  <c r="W579" i="2" s="1"/>
  <c r="T634" i="2"/>
  <c r="U616" i="2"/>
  <c r="N50" i="2"/>
  <c r="N27" i="2"/>
  <c r="H27" i="2"/>
  <c r="P511" i="2"/>
  <c r="P536" i="2" s="1"/>
  <c r="P537" i="2" s="1"/>
  <c r="R356" i="33"/>
  <c r="S338" i="33"/>
  <c r="U341" i="33"/>
  <c r="T359" i="33"/>
  <c r="T362" i="33"/>
  <c r="T357" i="33"/>
  <c r="U291" i="33"/>
  <c r="T361" i="33"/>
  <c r="T354" i="33"/>
  <c r="T340" i="33"/>
  <c r="S358" i="33"/>
  <c r="N486" i="33"/>
  <c r="N514" i="33" s="1"/>
  <c r="P487" i="33"/>
  <c r="O488" i="33"/>
  <c r="O486" i="33" s="1"/>
  <c r="A505" i="33"/>
  <c r="C504" i="33"/>
  <c r="H542" i="33"/>
  <c r="I524" i="33"/>
  <c r="L541" i="33"/>
  <c r="M523" i="33"/>
  <c r="Q480" i="2"/>
  <c r="R506" i="2"/>
  <c r="R519" i="2" s="1"/>
  <c r="T504" i="2"/>
  <c r="S505" i="2"/>
  <c r="N521" i="2"/>
  <c r="M539" i="2"/>
  <c r="M551" i="2" s="1"/>
  <c r="P546" i="2"/>
  <c r="Q528" i="2"/>
  <c r="J25" i="2"/>
  <c r="J27" i="2"/>
  <c r="V555" i="2"/>
  <c r="V514" i="2"/>
  <c r="X487" i="2"/>
  <c r="W488" i="2"/>
  <c r="W486" i="2" s="1"/>
  <c r="O549" i="2"/>
  <c r="N547" i="2"/>
  <c r="O533" i="2"/>
  <c r="S524" i="2"/>
  <c r="R542" i="2"/>
  <c r="T541" i="2"/>
  <c r="U523" i="2"/>
  <c r="P548" i="2"/>
  <c r="Q534" i="2"/>
  <c r="X25" i="2"/>
  <c r="X27" i="2"/>
  <c r="I76" i="2"/>
  <c r="I25" i="2"/>
  <c r="I27" i="2"/>
  <c r="Q25" i="2"/>
  <c r="Q27" i="2"/>
  <c r="J49" i="2"/>
  <c r="J58" i="2" s="1"/>
  <c r="J90" i="2"/>
  <c r="L25" i="2"/>
  <c r="L27" i="2"/>
  <c r="G25" i="2"/>
  <c r="G27" i="2"/>
  <c r="A30" i="2"/>
  <c r="Z161" i="2"/>
  <c r="Z175" i="2" s="1"/>
  <c r="Y175" i="2"/>
  <c r="K49" i="2"/>
  <c r="K90" i="2"/>
  <c r="K88" i="2" s="1"/>
  <c r="P25" i="2"/>
  <c r="P27" i="2"/>
  <c r="M22" i="2"/>
  <c r="L23" i="2"/>
  <c r="M25" i="2"/>
  <c r="M27" i="2"/>
  <c r="P272" i="2"/>
  <c r="T337" i="33"/>
  <c r="S355" i="33"/>
  <c r="R72" i="33"/>
  <c r="Q84" i="33"/>
  <c r="U61" i="33"/>
  <c r="T79" i="33"/>
  <c r="S76" i="33"/>
  <c r="T58" i="33"/>
  <c r="U430" i="33"/>
  <c r="S453" i="33"/>
  <c r="Q428" i="33"/>
  <c r="P446" i="33"/>
  <c r="U79" i="2"/>
  <c r="V61" i="2"/>
  <c r="Q149" i="33"/>
  <c r="P167" i="33"/>
  <c r="P179" i="33" s="1"/>
  <c r="V80" i="2"/>
  <c r="W62" i="2"/>
  <c r="R174" i="33"/>
  <c r="S156" i="33"/>
  <c r="V155" i="33"/>
  <c r="U173" i="33"/>
  <c r="S453" i="2"/>
  <c r="P74" i="33"/>
  <c r="P86" i="33" s="1"/>
  <c r="Q56" i="33"/>
  <c r="Q456" i="2"/>
  <c r="AC456" i="2" s="1" a="1"/>
  <c r="AC456" i="2" s="1"/>
  <c r="W448" i="2"/>
  <c r="R165" i="33"/>
  <c r="Q177" i="33"/>
  <c r="R165" i="2"/>
  <c r="Q177" i="2"/>
  <c r="S174" i="2"/>
  <c r="T156" i="2"/>
  <c r="T169" i="2"/>
  <c r="U151" i="2"/>
  <c r="P167" i="2"/>
  <c r="P179" i="2" s="1"/>
  <c r="Q149" i="2"/>
  <c r="U175" i="33"/>
  <c r="V105" i="33"/>
  <c r="U168" i="33"/>
  <c r="U171" i="33"/>
  <c r="U176" i="33"/>
  <c r="U169" i="33"/>
  <c r="T59" i="33"/>
  <c r="S77" i="33"/>
  <c r="S63" i="33"/>
  <c r="R81" i="33"/>
  <c r="P446" i="2"/>
  <c r="Q428" i="2"/>
  <c r="U152" i="33"/>
  <c r="T170" i="33"/>
  <c r="V62" i="33"/>
  <c r="U80" i="33"/>
  <c r="U82" i="33"/>
  <c r="U83" i="33"/>
  <c r="V12" i="33"/>
  <c r="U78" i="33"/>
  <c r="U75" i="33"/>
  <c r="V154" i="33"/>
  <c r="U172" i="33"/>
  <c r="T262" i="2"/>
  <c r="U244" i="2"/>
  <c r="Q270" i="2"/>
  <c r="R258" i="2"/>
  <c r="R267" i="33"/>
  <c r="S249" i="33"/>
  <c r="Q258" i="33"/>
  <c r="P270" i="33"/>
  <c r="U261" i="33"/>
  <c r="U264" i="33"/>
  <c r="V198" i="33"/>
  <c r="U268" i="33"/>
  <c r="U269" i="33"/>
  <c r="U262" i="33"/>
  <c r="U266" i="33"/>
  <c r="X248" i="33"/>
  <c r="W248" i="2"/>
  <c r="V266" i="2"/>
  <c r="T245" i="33"/>
  <c r="S263" i="33"/>
  <c r="U265" i="33"/>
  <c r="V247" i="33"/>
  <c r="Y244" i="33"/>
  <c r="Q260" i="2"/>
  <c r="R242" i="2"/>
  <c r="V265" i="2"/>
  <c r="U245" i="2"/>
  <c r="T263" i="2"/>
  <c r="O260" i="33"/>
  <c r="O272" i="33" s="1"/>
  <c r="P242" i="33"/>
  <c r="T249" i="2"/>
  <c r="S267" i="2"/>
  <c r="AC267" i="2" s="1" a="1"/>
  <c r="AC267" i="2" s="1"/>
  <c r="P335" i="2"/>
  <c r="O353" i="2"/>
  <c r="O365" i="2" s="1"/>
  <c r="T342" i="33"/>
  <c r="S360" i="33"/>
  <c r="R363" i="33"/>
  <c r="Q351" i="2"/>
  <c r="P363" i="2"/>
  <c r="V341" i="2"/>
  <c r="U359" i="2"/>
  <c r="Q353" i="33"/>
  <c r="Q365" i="33" s="1"/>
  <c r="R335" i="33"/>
  <c r="U340" i="2"/>
  <c r="T358" i="2"/>
  <c r="S356" i="2"/>
  <c r="T338" i="2"/>
  <c r="S342" i="2"/>
  <c r="R360" i="2"/>
  <c r="W337" i="2"/>
  <c r="V355" i="2"/>
  <c r="N365" i="2"/>
  <c r="Y75" i="2" l="1"/>
  <c r="Y78" i="2"/>
  <c r="Z12" i="2"/>
  <c r="V47" i="33"/>
  <c r="V55" i="33" s="1"/>
  <c r="AC353" i="2" a="1"/>
  <c r="AC353" i="2" s="1"/>
  <c r="T172" i="2"/>
  <c r="U154" i="2"/>
  <c r="S170" i="2"/>
  <c r="T152" i="2"/>
  <c r="U173" i="2"/>
  <c r="V155" i="2"/>
  <c r="U517" i="2"/>
  <c r="Z278" i="2"/>
  <c r="Z214" i="2"/>
  <c r="V281" i="2"/>
  <c r="V46" i="33"/>
  <c r="V71" i="33" s="1"/>
  <c r="V233" i="2"/>
  <c r="V241" i="2" s="1"/>
  <c r="Z266" i="3"/>
  <c r="H32" i="1" s="1"/>
  <c r="Z27" i="33"/>
  <c r="Z25" i="33"/>
  <c r="Z94" i="33"/>
  <c r="Z53" i="33"/>
  <c r="Z32" i="33"/>
  <c r="Y91" i="33"/>
  <c r="Y50" i="33"/>
  <c r="Y40" i="33"/>
  <c r="Y52" i="2"/>
  <c r="Y93" i="2"/>
  <c r="Y93" i="33"/>
  <c r="Y52" i="33"/>
  <c r="X91" i="33"/>
  <c r="X88" i="33" s="1"/>
  <c r="X50" i="33"/>
  <c r="X40" i="33"/>
  <c r="Z89" i="2"/>
  <c r="Z92" i="2"/>
  <c r="Z28" i="2"/>
  <c r="Z34" i="2"/>
  <c r="Z32" i="2" s="1"/>
  <c r="W15" i="33"/>
  <c r="Z53" i="2"/>
  <c r="Z94" i="2"/>
  <c r="T543" i="33"/>
  <c r="T540" i="33"/>
  <c r="U477" i="33"/>
  <c r="U545" i="33" s="1"/>
  <c r="T633" i="33"/>
  <c r="T636" i="33"/>
  <c r="T634" i="33"/>
  <c r="U570" i="33"/>
  <c r="U638" i="33" s="1"/>
  <c r="V281" i="33"/>
  <c r="V232" i="33"/>
  <c r="V257" i="33" s="1"/>
  <c r="T620" i="2"/>
  <c r="T638" i="2" s="1"/>
  <c r="W201" i="33"/>
  <c r="W232" i="33" s="1"/>
  <c r="W257" i="33" s="1"/>
  <c r="Y218" i="33"/>
  <c r="V497" i="33"/>
  <c r="V517" i="33" s="1"/>
  <c r="Z275" i="2"/>
  <c r="Z274" i="2" s="1"/>
  <c r="W201" i="2"/>
  <c r="W233" i="2" s="1"/>
  <c r="W241" i="2" s="1"/>
  <c r="W108" i="2"/>
  <c r="W140" i="2" s="1"/>
  <c r="W148" i="2" s="1"/>
  <c r="X279" i="2"/>
  <c r="X238" i="2"/>
  <c r="X247" i="2" s="1"/>
  <c r="S449" i="2"/>
  <c r="T431" i="2"/>
  <c r="T451" i="33"/>
  <c r="T454" i="33"/>
  <c r="T455" i="33"/>
  <c r="T447" i="33"/>
  <c r="U384" i="33"/>
  <c r="U448" i="33" s="1"/>
  <c r="T450" i="33"/>
  <c r="U434" i="33"/>
  <c r="T452" i="33"/>
  <c r="T387" i="33"/>
  <c r="T419" i="33" s="1"/>
  <c r="T427" i="33" s="1"/>
  <c r="R449" i="33"/>
  <c r="S431" i="33"/>
  <c r="V497" i="2"/>
  <c r="V558" i="2" s="1"/>
  <c r="V424" i="33"/>
  <c r="V433" i="33" s="1"/>
  <c r="V465" i="33"/>
  <c r="U545" i="2"/>
  <c r="U558" i="33"/>
  <c r="U517" i="33"/>
  <c r="U526" i="33" s="1"/>
  <c r="T635" i="33"/>
  <c r="U651" i="2"/>
  <c r="U610" i="2"/>
  <c r="U619" i="2" s="1"/>
  <c r="W331" i="33"/>
  <c r="W372" i="33"/>
  <c r="W372" i="2"/>
  <c r="W331" i="2"/>
  <c r="S419" i="33"/>
  <c r="S427" i="33" s="1"/>
  <c r="S467" i="33"/>
  <c r="S418" i="33"/>
  <c r="S443" i="33" s="1"/>
  <c r="S444" i="33" s="1"/>
  <c r="S456" i="33" s="1"/>
  <c r="T326" i="2"/>
  <c r="T334" i="2" s="1"/>
  <c r="T374" i="2"/>
  <c r="T325" i="2"/>
  <c r="T350" i="2" s="1"/>
  <c r="Y145" i="2"/>
  <c r="Y186" i="2"/>
  <c r="Z567" i="2"/>
  <c r="X142" i="3"/>
  <c r="X238" i="3" s="1"/>
  <c r="Z126" i="3"/>
  <c r="L29" i="1" s="1"/>
  <c r="Y421" i="2"/>
  <c r="X313" i="2"/>
  <c r="X311" i="2" s="1"/>
  <c r="U608" i="2"/>
  <c r="U649" i="2"/>
  <c r="W285" i="32"/>
  <c r="Y478" i="33" s="1"/>
  <c r="W253" i="32"/>
  <c r="V490" i="33"/>
  <c r="V492" i="33"/>
  <c r="W557" i="33"/>
  <c r="W554" i="33"/>
  <c r="W553" i="33" s="1"/>
  <c r="W493" i="33"/>
  <c r="Y328" i="33"/>
  <c r="S467" i="2"/>
  <c r="S419" i="2"/>
  <c r="S427" i="2" s="1"/>
  <c r="S418" i="2"/>
  <c r="S443" i="2" s="1"/>
  <c r="W370" i="33"/>
  <c r="W329" i="33"/>
  <c r="W319" i="33"/>
  <c r="X279" i="33"/>
  <c r="X238" i="33"/>
  <c r="X284" i="32"/>
  <c r="Z385" i="33" s="1"/>
  <c r="Z395" i="33" s="1"/>
  <c r="Z393" i="33" s="1"/>
  <c r="X252" i="32"/>
  <c r="Z252" i="32" s="1"/>
  <c r="J31" i="34" s="1"/>
  <c r="P644" i="33"/>
  <c r="Y143" i="33"/>
  <c r="Y184" i="33"/>
  <c r="Y133" i="33"/>
  <c r="T637" i="2"/>
  <c r="X142" i="32"/>
  <c r="X238" i="32" s="1"/>
  <c r="Z567" i="33"/>
  <c r="Z126" i="32"/>
  <c r="L29" i="34" s="1"/>
  <c r="U413" i="33"/>
  <c r="U426" i="33" s="1"/>
  <c r="U435" i="33" s="1"/>
  <c r="Z125" i="2"/>
  <c r="V592" i="2"/>
  <c r="V590" i="2" s="1"/>
  <c r="T387" i="2"/>
  <c r="Y186" i="33"/>
  <c r="Y145" i="33"/>
  <c r="W397" i="2"/>
  <c r="W399" i="2"/>
  <c r="U413" i="2"/>
  <c r="U426" i="2" s="1"/>
  <c r="U435" i="2" s="1"/>
  <c r="Y280" i="33"/>
  <c r="Y239" i="33"/>
  <c r="W425" i="2"/>
  <c r="W434" i="2" s="1"/>
  <c r="W452" i="2" s="1"/>
  <c r="W466" i="2"/>
  <c r="V583" i="33"/>
  <c r="V585" i="33"/>
  <c r="W108" i="33"/>
  <c r="V269" i="32"/>
  <c r="X476" i="33" s="1"/>
  <c r="X475" i="33"/>
  <c r="U294" i="2"/>
  <c r="X405" i="2"/>
  <c r="X406" i="2" s="1"/>
  <c r="X407" i="2"/>
  <c r="X408" i="2"/>
  <c r="W500" i="2"/>
  <c r="W501" i="2"/>
  <c r="W498" i="2"/>
  <c r="W499" i="2" s="1"/>
  <c r="Z146" i="2"/>
  <c r="Z187" i="2"/>
  <c r="Y314" i="33"/>
  <c r="Y315" i="33"/>
  <c r="Y312" i="33"/>
  <c r="V517" i="2"/>
  <c r="V320" i="33"/>
  <c r="V333" i="33" s="1"/>
  <c r="X134" i="2"/>
  <c r="X147" i="2" s="1"/>
  <c r="X284" i="3"/>
  <c r="Z385" i="2" s="1"/>
  <c r="Z395" i="2" s="1"/>
  <c r="Z393" i="2" s="1"/>
  <c r="X252" i="3"/>
  <c r="W397" i="33"/>
  <c r="W399" i="33"/>
  <c r="Z146" i="33"/>
  <c r="Z187" i="33"/>
  <c r="X464" i="2"/>
  <c r="X400" i="2"/>
  <c r="X461" i="2"/>
  <c r="X460" i="2" s="1"/>
  <c r="T637" i="33"/>
  <c r="V320" i="2"/>
  <c r="V333" i="2" s="1"/>
  <c r="W554" i="2"/>
  <c r="W553" i="2" s="1"/>
  <c r="W557" i="2"/>
  <c r="W493" i="2"/>
  <c r="Z121" i="2"/>
  <c r="Z185" i="2"/>
  <c r="Z182" i="2"/>
  <c r="Z181" i="2" s="1"/>
  <c r="V652" i="2"/>
  <c r="V611" i="2"/>
  <c r="V424" i="2"/>
  <c r="V433" i="2" s="1"/>
  <c r="V451" i="2" s="1"/>
  <c r="V465" i="2"/>
  <c r="Y369" i="33"/>
  <c r="Y368" i="33"/>
  <c r="Y367" i="33" s="1"/>
  <c r="Y371" i="33"/>
  <c r="Y307" i="33"/>
  <c r="Y211" i="33"/>
  <c r="Y213" i="33"/>
  <c r="U556" i="33"/>
  <c r="U515" i="33"/>
  <c r="Z474" i="2"/>
  <c r="X141" i="3"/>
  <c r="X237" i="3" s="1"/>
  <c r="Z125" i="3"/>
  <c r="K29" i="1" s="1"/>
  <c r="Z182" i="33"/>
  <c r="Z181" i="33" s="1"/>
  <c r="Z185" i="33"/>
  <c r="Z121" i="33"/>
  <c r="Y280" i="2"/>
  <c r="Y239" i="2"/>
  <c r="Z127" i="33"/>
  <c r="Z125" i="33" s="1"/>
  <c r="W466" i="33"/>
  <c r="W425" i="33"/>
  <c r="V397" i="2"/>
  <c r="V399" i="2"/>
  <c r="V140" i="2"/>
  <c r="V148" i="2" s="1"/>
  <c r="V188" i="2"/>
  <c r="V139" i="2"/>
  <c r="V164" i="2" s="1"/>
  <c r="X369" i="33"/>
  <c r="X307" i="33"/>
  <c r="X371" i="33"/>
  <c r="X368" i="33"/>
  <c r="X367" i="33" s="1"/>
  <c r="V140" i="33"/>
  <c r="V148" i="33" s="1"/>
  <c r="V188" i="33"/>
  <c r="V139" i="33"/>
  <c r="V164" i="33" s="1"/>
  <c r="W286" i="32"/>
  <c r="Y571" i="33" s="1"/>
  <c r="Y581" i="33" s="1"/>
  <c r="Y579" i="33" s="1"/>
  <c r="Y607" i="33" s="1"/>
  <c r="W254" i="32"/>
  <c r="X267" i="3"/>
  <c r="Z289" i="2"/>
  <c r="Z251" i="3"/>
  <c r="I31" i="1" s="1"/>
  <c r="V490" i="2"/>
  <c r="V492" i="2"/>
  <c r="V592" i="33"/>
  <c r="V590" i="33" s="1"/>
  <c r="Z474" i="33"/>
  <c r="X141" i="32"/>
  <c r="X237" i="32" s="1"/>
  <c r="V559" i="2"/>
  <c r="V518" i="2"/>
  <c r="V527" i="2" s="1"/>
  <c r="W591" i="2"/>
  <c r="W593" i="2"/>
  <c r="W594" i="2"/>
  <c r="W139" i="2"/>
  <c r="W164" i="2" s="1"/>
  <c r="W188" i="2"/>
  <c r="X408" i="33"/>
  <c r="X407" i="33"/>
  <c r="X405" i="33"/>
  <c r="X406" i="33" s="1"/>
  <c r="W406" i="33"/>
  <c r="W404" i="33" s="1"/>
  <c r="X134" i="33"/>
  <c r="X147" i="33" s="1"/>
  <c r="Z266" i="32"/>
  <c r="H32" i="34" s="1"/>
  <c r="Z197" i="33"/>
  <c r="X332" i="33"/>
  <c r="X373" i="33"/>
  <c r="V269" i="3"/>
  <c r="X476" i="2" s="1"/>
  <c r="X475" i="2"/>
  <c r="U294" i="33"/>
  <c r="X368" i="2"/>
  <c r="X367" i="2" s="1"/>
  <c r="X371" i="2"/>
  <c r="X307" i="2"/>
  <c r="X369" i="2"/>
  <c r="Y143" i="2"/>
  <c r="Y184" i="2"/>
  <c r="Y133" i="2"/>
  <c r="V652" i="33"/>
  <c r="V611" i="33"/>
  <c r="V620" i="33" s="1"/>
  <c r="W253" i="3"/>
  <c r="W285" i="3"/>
  <c r="Y478" i="2" s="1"/>
  <c r="W569" i="2"/>
  <c r="W648" i="2" s="1"/>
  <c r="X267" i="32"/>
  <c r="Z289" i="33"/>
  <c r="Y218" i="2"/>
  <c r="X383" i="33"/>
  <c r="W268" i="32"/>
  <c r="Y383" i="33" s="1"/>
  <c r="Y382" i="33"/>
  <c r="U526" i="2"/>
  <c r="T544" i="2"/>
  <c r="V397" i="33"/>
  <c r="V399" i="33"/>
  <c r="Z219" i="2"/>
  <c r="Z222" i="2"/>
  <c r="Z221" i="2"/>
  <c r="V583" i="2"/>
  <c r="V585" i="2"/>
  <c r="V270" i="32"/>
  <c r="X569" i="33" s="1"/>
  <c r="X568" i="33"/>
  <c r="V270" i="3"/>
  <c r="X569" i="2" s="1"/>
  <c r="X568" i="2"/>
  <c r="X226" i="33"/>
  <c r="X227" i="33" s="1"/>
  <c r="X240" i="33" s="1"/>
  <c r="X236" i="33"/>
  <c r="X277" i="33"/>
  <c r="Y213" i="2"/>
  <c r="Y211" i="2"/>
  <c r="AA302" i="2"/>
  <c r="W591" i="33"/>
  <c r="W592" i="33" s="1"/>
  <c r="W594" i="33"/>
  <c r="W593" i="33"/>
  <c r="Z328" i="33"/>
  <c r="Y307" i="2"/>
  <c r="Y368" i="2"/>
  <c r="Y367" i="2" s="1"/>
  <c r="Y371" i="2"/>
  <c r="Z221" i="33"/>
  <c r="Z219" i="33"/>
  <c r="Z222" i="33"/>
  <c r="T326" i="33"/>
  <c r="T334" i="33" s="1"/>
  <c r="T325" i="33"/>
  <c r="T350" i="33" s="1"/>
  <c r="T351" i="33" s="1"/>
  <c r="T374" i="33"/>
  <c r="U556" i="2"/>
  <c r="U515" i="2"/>
  <c r="X313" i="33"/>
  <c r="X311" i="33" s="1"/>
  <c r="X277" i="2"/>
  <c r="X226" i="2"/>
  <c r="X227" i="2" s="1"/>
  <c r="X240" i="2" s="1"/>
  <c r="X236" i="2"/>
  <c r="Y395" i="33"/>
  <c r="Y393" i="33" s="1"/>
  <c r="W268" i="3"/>
  <c r="Y382" i="2"/>
  <c r="X332" i="2"/>
  <c r="X373" i="2"/>
  <c r="W329" i="2"/>
  <c r="W370" i="2"/>
  <c r="W319" i="2"/>
  <c r="W286" i="3"/>
  <c r="Y571" i="2" s="1"/>
  <c r="W254" i="3"/>
  <c r="W501" i="33"/>
  <c r="W498" i="33"/>
  <c r="W500" i="33"/>
  <c r="AA302" i="33"/>
  <c r="V559" i="33"/>
  <c r="V518" i="33"/>
  <c r="V527" i="33" s="1"/>
  <c r="W406" i="2"/>
  <c r="W404" i="2" s="1"/>
  <c r="U610" i="33"/>
  <c r="U619" i="33" s="1"/>
  <c r="U651" i="33"/>
  <c r="Y328" i="2"/>
  <c r="Y369" i="2"/>
  <c r="W569" i="33"/>
  <c r="T544" i="33"/>
  <c r="Y312" i="2"/>
  <c r="Y314" i="2"/>
  <c r="Y315" i="2"/>
  <c r="U649" i="33"/>
  <c r="U608" i="33"/>
  <c r="U617" i="33" s="1"/>
  <c r="S639" i="33"/>
  <c r="T621" i="33"/>
  <c r="R642" i="33"/>
  <c r="U597" i="33"/>
  <c r="U598" i="33" s="1"/>
  <c r="U599" i="33" s="1"/>
  <c r="U612" i="33" s="1"/>
  <c r="T573" i="33"/>
  <c r="X616" i="33"/>
  <c r="Q632" i="33"/>
  <c r="R614" i="33"/>
  <c r="S604" i="33"/>
  <c r="S629" i="33" s="1"/>
  <c r="S630" i="33" s="1"/>
  <c r="S605" i="33"/>
  <c r="S613" i="33" s="1"/>
  <c r="S653" i="33"/>
  <c r="R626" i="33"/>
  <c r="Q640" i="33"/>
  <c r="S641" i="33"/>
  <c r="T627" i="33"/>
  <c r="P639" i="2"/>
  <c r="Q621" i="2"/>
  <c r="M632" i="2"/>
  <c r="M644" i="2" s="1"/>
  <c r="N614" i="2"/>
  <c r="O626" i="2"/>
  <c r="N640" i="2"/>
  <c r="Q605" i="2"/>
  <c r="Q613" i="2" s="1"/>
  <c r="Q604" i="2"/>
  <c r="Q629" i="2" s="1"/>
  <c r="Q653" i="2"/>
  <c r="Y580" i="2"/>
  <c r="X581" i="2"/>
  <c r="X579" i="2" s="1"/>
  <c r="S597" i="2"/>
  <c r="S598" i="2" s="1"/>
  <c r="S599" i="2" s="1"/>
  <c r="S612" i="2" s="1"/>
  <c r="R573" i="2"/>
  <c r="W607" i="2"/>
  <c r="U634" i="2"/>
  <c r="V616" i="2"/>
  <c r="O642" i="2"/>
  <c r="P630" i="2"/>
  <c r="R635" i="2"/>
  <c r="S617" i="2"/>
  <c r="P641" i="2"/>
  <c r="Q627" i="2"/>
  <c r="R480" i="2"/>
  <c r="R560" i="2" s="1"/>
  <c r="AC175" i="2" a="1"/>
  <c r="AC175" i="2" s="1"/>
  <c r="U359" i="33"/>
  <c r="V341" i="33"/>
  <c r="U340" i="33"/>
  <c r="T358" i="33"/>
  <c r="S356" i="33"/>
  <c r="T338" i="33"/>
  <c r="N555" i="33"/>
  <c r="U357" i="33"/>
  <c r="U361" i="33"/>
  <c r="U354" i="33"/>
  <c r="U362" i="33"/>
  <c r="V291" i="33"/>
  <c r="I542" i="33"/>
  <c r="J524" i="33"/>
  <c r="A506" i="33"/>
  <c r="C505" i="33"/>
  <c r="M541" i="33"/>
  <c r="N523" i="33"/>
  <c r="Q487" i="33"/>
  <c r="P488" i="33"/>
  <c r="P486" i="33" s="1"/>
  <c r="O555" i="33"/>
  <c r="O514" i="33"/>
  <c r="S506" i="2"/>
  <c r="S519" i="2" s="1"/>
  <c r="R528" i="2"/>
  <c r="Q546" i="2"/>
  <c r="U504" i="2"/>
  <c r="T505" i="2"/>
  <c r="N539" i="2"/>
  <c r="N551" i="2" s="1"/>
  <c r="O521" i="2"/>
  <c r="Q511" i="2"/>
  <c r="Q536" i="2" s="1"/>
  <c r="Q537" i="2" s="1"/>
  <c r="Q512" i="2"/>
  <c r="Q520" i="2" s="1"/>
  <c r="Q560" i="2"/>
  <c r="J91" i="2"/>
  <c r="J88" i="2" s="1"/>
  <c r="J50" i="2"/>
  <c r="Y487" i="2"/>
  <c r="X488" i="2"/>
  <c r="X486" i="2" s="1"/>
  <c r="P549" i="2"/>
  <c r="T524" i="2"/>
  <c r="S542" i="2"/>
  <c r="Q548" i="2"/>
  <c r="R534" i="2"/>
  <c r="P533" i="2"/>
  <c r="O547" i="2"/>
  <c r="U541" i="2"/>
  <c r="V523" i="2"/>
  <c r="W555" i="2"/>
  <c r="W514" i="2"/>
  <c r="N22" i="2"/>
  <c r="M23" i="2"/>
  <c r="M21" i="2" s="1"/>
  <c r="A31" i="2"/>
  <c r="P50" i="2"/>
  <c r="P91" i="2"/>
  <c r="M50" i="2"/>
  <c r="M91" i="2"/>
  <c r="G50" i="2"/>
  <c r="G59" i="2" s="1"/>
  <c r="G91" i="2"/>
  <c r="G88" i="2" s="1"/>
  <c r="I91" i="2"/>
  <c r="I88" i="2" s="1"/>
  <c r="I50" i="2"/>
  <c r="L50" i="2"/>
  <c r="L91" i="2"/>
  <c r="L21" i="2"/>
  <c r="J76" i="2"/>
  <c r="K58" i="2"/>
  <c r="X91" i="2"/>
  <c r="X50" i="2"/>
  <c r="Q91" i="2"/>
  <c r="Q50" i="2"/>
  <c r="Z213" i="2"/>
  <c r="Z211" i="2"/>
  <c r="X448" i="2"/>
  <c r="Y430" i="2"/>
  <c r="R149" i="33"/>
  <c r="Q167" i="33"/>
  <c r="Q179" i="33" s="1"/>
  <c r="Q446" i="33"/>
  <c r="Q458" i="33" s="1"/>
  <c r="R428" i="33"/>
  <c r="V244" i="2"/>
  <c r="U262" i="2"/>
  <c r="V152" i="33"/>
  <c r="U170" i="33"/>
  <c r="V169" i="33"/>
  <c r="V168" i="33"/>
  <c r="V176" i="33"/>
  <c r="W105" i="33"/>
  <c r="V175" i="33"/>
  <c r="V171" i="33"/>
  <c r="T156" i="33"/>
  <c r="S174" i="33"/>
  <c r="W61" i="2"/>
  <c r="V79" i="2"/>
  <c r="U58" i="33"/>
  <c r="T76" i="33"/>
  <c r="W154" i="33"/>
  <c r="V172" i="33"/>
  <c r="T63" i="33"/>
  <c r="S81" i="33"/>
  <c r="V75" i="33"/>
  <c r="V78" i="33"/>
  <c r="V83" i="33"/>
  <c r="W12" i="33"/>
  <c r="V82" i="33"/>
  <c r="R149" i="2"/>
  <c r="Q167" i="2"/>
  <c r="Q179" i="2" s="1"/>
  <c r="R456" i="2"/>
  <c r="S444" i="2"/>
  <c r="T453" i="2"/>
  <c r="P458" i="2"/>
  <c r="V61" i="33"/>
  <c r="U79" i="33"/>
  <c r="S72" i="33"/>
  <c r="R84" i="33"/>
  <c r="R56" i="33"/>
  <c r="Q74" i="33"/>
  <c r="Q86" i="33" s="1"/>
  <c r="U169" i="2"/>
  <c r="V151" i="2"/>
  <c r="R177" i="2"/>
  <c r="S165" i="2"/>
  <c r="X62" i="2"/>
  <c r="W80" i="2"/>
  <c r="T453" i="33"/>
  <c r="U337" i="33"/>
  <c r="T355" i="33"/>
  <c r="T77" i="33"/>
  <c r="U59" i="33"/>
  <c r="W62" i="33"/>
  <c r="V80" i="33"/>
  <c r="R428" i="2"/>
  <c r="Q446" i="2"/>
  <c r="Q458" i="2" s="1"/>
  <c r="T174" i="2"/>
  <c r="U156" i="2"/>
  <c r="S165" i="33"/>
  <c r="R177" i="33"/>
  <c r="V173" i="33"/>
  <c r="W155" i="33"/>
  <c r="P458" i="33"/>
  <c r="V430" i="33"/>
  <c r="Q272" i="2"/>
  <c r="R270" i="2"/>
  <c r="S258" i="2"/>
  <c r="W265" i="2"/>
  <c r="T263" i="33"/>
  <c r="U245" i="33"/>
  <c r="R260" i="2"/>
  <c r="S242" i="2"/>
  <c r="V245" i="2"/>
  <c r="U263" i="2"/>
  <c r="W266" i="2"/>
  <c r="X248" i="2"/>
  <c r="P260" i="33"/>
  <c r="P272" i="33" s="1"/>
  <c r="Q242" i="33"/>
  <c r="Z244" i="33"/>
  <c r="Y248" i="33"/>
  <c r="V261" i="33"/>
  <c r="W198" i="33"/>
  <c r="V268" i="33"/>
  <c r="V264" i="33"/>
  <c r="V269" i="33"/>
  <c r="V262" i="33"/>
  <c r="V266" i="33"/>
  <c r="T267" i="2"/>
  <c r="U249" i="2"/>
  <c r="Q270" i="33"/>
  <c r="R258" i="33"/>
  <c r="V265" i="33"/>
  <c r="W247" i="33"/>
  <c r="S267" i="33"/>
  <c r="T249" i="33"/>
  <c r="T360" i="33"/>
  <c r="U342" i="33"/>
  <c r="W341" i="2"/>
  <c r="V359" i="2"/>
  <c r="X337" i="2"/>
  <c r="W355" i="2"/>
  <c r="U358" i="2"/>
  <c r="V340" i="2"/>
  <c r="S335" i="33"/>
  <c r="R353" i="33"/>
  <c r="R365" i="33" s="1"/>
  <c r="Q335" i="2"/>
  <c r="P353" i="2"/>
  <c r="P365" i="2" s="1"/>
  <c r="R351" i="2"/>
  <c r="Q363" i="2"/>
  <c r="S360" i="2"/>
  <c r="T342" i="2"/>
  <c r="S363" i="33"/>
  <c r="U338" i="2"/>
  <c r="T356" i="2"/>
  <c r="Y88" i="33" l="1"/>
  <c r="Z75" i="2"/>
  <c r="AC75" i="2" s="1" a="1"/>
  <c r="AC75" i="2" s="1"/>
  <c r="Z78" i="2"/>
  <c r="AC78" i="2" s="1" a="1"/>
  <c r="AC78" i="2" s="1"/>
  <c r="AC446" i="2" a="1"/>
  <c r="AC446" i="2" s="1"/>
  <c r="V173" i="2"/>
  <c r="W155" i="2"/>
  <c r="T170" i="2"/>
  <c r="U152" i="2"/>
  <c r="U172" i="2"/>
  <c r="V154" i="2"/>
  <c r="W233" i="33"/>
  <c r="W241" i="33" s="1"/>
  <c r="W281" i="33"/>
  <c r="X41" i="33"/>
  <c r="X54" i="33" s="1"/>
  <c r="Y41" i="33"/>
  <c r="Y54" i="33" s="1"/>
  <c r="W46" i="33"/>
  <c r="W71" i="33" s="1"/>
  <c r="W47" i="33"/>
  <c r="W55" i="33" s="1"/>
  <c r="W95" i="33"/>
  <c r="Z93" i="33"/>
  <c r="Z52" i="33"/>
  <c r="Z93" i="2"/>
  <c r="Z52" i="2"/>
  <c r="Z25" i="2"/>
  <c r="Z27" i="2"/>
  <c r="Z40" i="33"/>
  <c r="Z50" i="33"/>
  <c r="Z91" i="33"/>
  <c r="Z88" i="33" s="1"/>
  <c r="U636" i="33"/>
  <c r="V570" i="33"/>
  <c r="W570" i="33" s="1"/>
  <c r="U634" i="33"/>
  <c r="U633" i="33"/>
  <c r="U543" i="33"/>
  <c r="U540" i="33"/>
  <c r="V477" i="33"/>
  <c r="V558" i="33"/>
  <c r="W281" i="2"/>
  <c r="W232" i="2"/>
  <c r="W257" i="2" s="1"/>
  <c r="T418" i="33"/>
  <c r="T443" i="33" s="1"/>
  <c r="T444" i="33" s="1"/>
  <c r="T467" i="33"/>
  <c r="U620" i="2"/>
  <c r="U638" i="2" s="1"/>
  <c r="Y238" i="33"/>
  <c r="Y279" i="33"/>
  <c r="X201" i="33"/>
  <c r="X233" i="33" s="1"/>
  <c r="X241" i="33" s="1"/>
  <c r="X108" i="33"/>
  <c r="X140" i="33" s="1"/>
  <c r="X148" i="33" s="1"/>
  <c r="U454" i="33"/>
  <c r="U455" i="33"/>
  <c r="U451" i="33"/>
  <c r="U450" i="33"/>
  <c r="V384" i="33"/>
  <c r="V448" i="33" s="1"/>
  <c r="U447" i="33"/>
  <c r="T431" i="33"/>
  <c r="S449" i="33"/>
  <c r="X108" i="2"/>
  <c r="X188" i="2" s="1"/>
  <c r="AA395" i="2"/>
  <c r="U431" i="2"/>
  <c r="U449" i="2" s="1"/>
  <c r="T449" i="2"/>
  <c r="W497" i="2"/>
  <c r="U387" i="33"/>
  <c r="U418" i="33" s="1"/>
  <c r="U443" i="33" s="1"/>
  <c r="V434" i="33"/>
  <c r="U452" i="33"/>
  <c r="U635" i="33"/>
  <c r="V651" i="2"/>
  <c r="V610" i="2"/>
  <c r="V619" i="2" s="1"/>
  <c r="V545" i="2"/>
  <c r="Z145" i="33"/>
  <c r="Z186" i="33"/>
  <c r="U637" i="33"/>
  <c r="V651" i="33"/>
  <c r="V610" i="33"/>
  <c r="V619" i="33" s="1"/>
  <c r="W465" i="2"/>
  <c r="W424" i="2"/>
  <c r="W433" i="2" s="1"/>
  <c r="W451" i="2" s="1"/>
  <c r="Z220" i="33"/>
  <c r="Z218" i="33" s="1"/>
  <c r="W650" i="33"/>
  <c r="W647" i="33"/>
  <c r="W646" i="33" s="1"/>
  <c r="W586" i="33"/>
  <c r="W648" i="33"/>
  <c r="Y405" i="2"/>
  <c r="Y406" i="2" s="1"/>
  <c r="Y408" i="2"/>
  <c r="Y407" i="2"/>
  <c r="W590" i="33"/>
  <c r="X586" i="2"/>
  <c r="X647" i="2"/>
  <c r="X646" i="2" s="1"/>
  <c r="X650" i="2"/>
  <c r="Z239" i="2"/>
  <c r="Z280" i="2"/>
  <c r="W269" i="3"/>
  <c r="Y476" i="2" s="1"/>
  <c r="Y475" i="2"/>
  <c r="X253" i="32"/>
  <c r="Z253" i="32" s="1"/>
  <c r="K31" i="34" s="1"/>
  <c r="X285" i="32"/>
  <c r="Z478" i="33" s="1"/>
  <c r="Z290" i="2"/>
  <c r="Z267" i="3"/>
  <c r="I32" i="1" s="1"/>
  <c r="Y304" i="33"/>
  <c r="Y306" i="33"/>
  <c r="W559" i="2"/>
  <c r="W518" i="2"/>
  <c r="W527" i="2" s="1"/>
  <c r="X557" i="33"/>
  <c r="X554" i="33"/>
  <c r="X553" i="33" s="1"/>
  <c r="X493" i="33"/>
  <c r="U387" i="2"/>
  <c r="U637" i="2"/>
  <c r="X254" i="3"/>
  <c r="X286" i="3"/>
  <c r="Z571" i="2" s="1"/>
  <c r="X591" i="2"/>
  <c r="X592" i="2" s="1"/>
  <c r="X593" i="2"/>
  <c r="X594" i="2"/>
  <c r="W270" i="3"/>
  <c r="Y568" i="2"/>
  <c r="Y383" i="2"/>
  <c r="Z220" i="2"/>
  <c r="Z218" i="2" s="1"/>
  <c r="Z226" i="2" s="1"/>
  <c r="X461" i="33"/>
  <c r="X460" i="33" s="1"/>
  <c r="X400" i="33"/>
  <c r="X464" i="33"/>
  <c r="X462" i="33"/>
  <c r="X304" i="33"/>
  <c r="X306" i="33"/>
  <c r="W422" i="33"/>
  <c r="W463" i="33"/>
  <c r="W412" i="33"/>
  <c r="W140" i="33"/>
  <c r="W148" i="33" s="1"/>
  <c r="W188" i="33"/>
  <c r="W139" i="33"/>
  <c r="W164" i="33" s="1"/>
  <c r="Z186" i="2"/>
  <c r="Z145" i="2"/>
  <c r="Y134" i="33"/>
  <c r="Y147" i="33" s="1"/>
  <c r="W320" i="33"/>
  <c r="W333" i="33" s="1"/>
  <c r="W490" i="33"/>
  <c r="W492" i="33"/>
  <c r="X331" i="33"/>
  <c r="X372" i="33"/>
  <c r="W611" i="33"/>
  <c r="W620" i="33" s="1"/>
  <c r="W652" i="33"/>
  <c r="Y373" i="2"/>
  <c r="Y332" i="2"/>
  <c r="AA395" i="33"/>
  <c r="Y277" i="2"/>
  <c r="Y226" i="2"/>
  <c r="Y227" i="2" s="1"/>
  <c r="Y240" i="2" s="1"/>
  <c r="Y236" i="2"/>
  <c r="Y238" i="2"/>
  <c r="Y247" i="2" s="1"/>
  <c r="Y279" i="2"/>
  <c r="U325" i="33"/>
  <c r="U350" i="33" s="1"/>
  <c r="U351" i="33" s="1"/>
  <c r="U326" i="33"/>
  <c r="U334" i="33" s="1"/>
  <c r="U374" i="33"/>
  <c r="W270" i="32"/>
  <c r="Y568" i="33"/>
  <c r="X253" i="3"/>
  <c r="Z253" i="3" s="1"/>
  <c r="K31" i="1" s="1"/>
  <c r="X285" i="3"/>
  <c r="Z478" i="2" s="1"/>
  <c r="Z118" i="2"/>
  <c r="Z120" i="2"/>
  <c r="Z252" i="3"/>
  <c r="J31" i="1" s="1"/>
  <c r="Z382" i="2"/>
  <c r="X268" i="3"/>
  <c r="Z383" i="2" s="1"/>
  <c r="Y313" i="33"/>
  <c r="Y311" i="33" s="1"/>
  <c r="X372" i="2"/>
  <c r="X331" i="2"/>
  <c r="W320" i="2"/>
  <c r="W333" i="2" s="1"/>
  <c r="Y421" i="33"/>
  <c r="Y462" i="33"/>
  <c r="Y304" i="2"/>
  <c r="Y306" i="2"/>
  <c r="X593" i="33"/>
  <c r="X591" i="33"/>
  <c r="X592" i="33" s="1"/>
  <c r="X594" i="33"/>
  <c r="V422" i="33"/>
  <c r="V463" i="33"/>
  <c r="V412" i="33"/>
  <c r="Z312" i="33"/>
  <c r="Z314" i="33"/>
  <c r="Z315" i="33"/>
  <c r="Y134" i="2"/>
  <c r="Y147" i="2" s="1"/>
  <c r="X498" i="2"/>
  <c r="X499" i="2" s="1"/>
  <c r="X500" i="2"/>
  <c r="X501" i="2"/>
  <c r="W424" i="33"/>
  <c r="W433" i="33" s="1"/>
  <c r="W465" i="33"/>
  <c r="W611" i="2"/>
  <c r="W652" i="2"/>
  <c r="W490" i="2"/>
  <c r="W492" i="2"/>
  <c r="X397" i="2"/>
  <c r="X399" i="2"/>
  <c r="Z421" i="2"/>
  <c r="Y332" i="33"/>
  <c r="Y373" i="33"/>
  <c r="X466" i="2"/>
  <c r="X425" i="2"/>
  <c r="X434" i="2" s="1"/>
  <c r="X452" i="2" s="1"/>
  <c r="V608" i="33"/>
  <c r="V617" i="33" s="1"/>
  <c r="V649" i="33"/>
  <c r="W412" i="2"/>
  <c r="W422" i="2"/>
  <c r="W463" i="2"/>
  <c r="X201" i="2"/>
  <c r="X233" i="2" s="1"/>
  <c r="X241" i="2" s="1"/>
  <c r="Y313" i="2"/>
  <c r="Y311" i="2" s="1"/>
  <c r="W499" i="33"/>
  <c r="W497" i="33" s="1"/>
  <c r="X650" i="33"/>
  <c r="X647" i="33"/>
  <c r="X646" i="33" s="1"/>
  <c r="X586" i="33"/>
  <c r="X648" i="33"/>
  <c r="Z290" i="33"/>
  <c r="Z267" i="32"/>
  <c r="I32" i="34" s="1"/>
  <c r="X554" i="2"/>
  <c r="X553" i="2" s="1"/>
  <c r="X557" i="2"/>
  <c r="X493" i="2"/>
  <c r="X404" i="33"/>
  <c r="W592" i="2"/>
  <c r="W590" i="2" s="1"/>
  <c r="V556" i="2"/>
  <c r="V515" i="2"/>
  <c r="X404" i="2"/>
  <c r="X268" i="32"/>
  <c r="Z383" i="33" s="1"/>
  <c r="Z382" i="33"/>
  <c r="V556" i="33"/>
  <c r="V515" i="33"/>
  <c r="V526" i="33"/>
  <c r="U544" i="33"/>
  <c r="W559" i="33"/>
  <c r="W518" i="33"/>
  <c r="W527" i="33" s="1"/>
  <c r="V526" i="2"/>
  <c r="U544" i="2"/>
  <c r="Z239" i="33"/>
  <c r="Z248" i="33" s="1"/>
  <c r="Z280" i="33"/>
  <c r="V608" i="2"/>
  <c r="V649" i="2"/>
  <c r="Y408" i="33"/>
  <c r="Y407" i="33"/>
  <c r="Y405" i="33"/>
  <c r="W586" i="2"/>
  <c r="W650" i="2"/>
  <c r="W647" i="2"/>
  <c r="W646" i="2" s="1"/>
  <c r="Z118" i="33"/>
  <c r="Z120" i="33"/>
  <c r="V294" i="2"/>
  <c r="V294" i="33"/>
  <c r="U374" i="2"/>
  <c r="U326" i="2"/>
  <c r="U334" i="2" s="1"/>
  <c r="U325" i="2"/>
  <c r="U350" i="2" s="1"/>
  <c r="T467" i="2"/>
  <c r="T418" i="2"/>
  <c r="T443" i="2" s="1"/>
  <c r="T444" i="2" s="1"/>
  <c r="T419" i="2"/>
  <c r="T427" i="2" s="1"/>
  <c r="X254" i="32"/>
  <c r="Z254" i="32" s="1"/>
  <c r="L31" i="34" s="1"/>
  <c r="X286" i="32"/>
  <c r="Z571" i="33" s="1"/>
  <c r="Z421" i="33"/>
  <c r="W269" i="32"/>
  <c r="Y476" i="33" s="1"/>
  <c r="Y475" i="33"/>
  <c r="Y464" i="33"/>
  <c r="Y461" i="33"/>
  <c r="Y460" i="33" s="1"/>
  <c r="Y400" i="33"/>
  <c r="X306" i="2"/>
  <c r="X304" i="2"/>
  <c r="Z278" i="33"/>
  <c r="Z214" i="33"/>
  <c r="Z276" i="33"/>
  <c r="Z275" i="33"/>
  <c r="Z274" i="33" s="1"/>
  <c r="X425" i="33"/>
  <c r="X466" i="33"/>
  <c r="Z312" i="2"/>
  <c r="Z315" i="2"/>
  <c r="Z314" i="2"/>
  <c r="V463" i="2"/>
  <c r="V422" i="2"/>
  <c r="V412" i="2"/>
  <c r="Y236" i="33"/>
  <c r="Y226" i="33"/>
  <c r="Y227" i="33" s="1"/>
  <c r="Y240" i="33" s="1"/>
  <c r="Y277" i="33"/>
  <c r="W558" i="2"/>
  <c r="W517" i="2"/>
  <c r="X501" i="33"/>
  <c r="X498" i="33"/>
  <c r="X500" i="33"/>
  <c r="T639" i="33"/>
  <c r="U621" i="33"/>
  <c r="S642" i="33"/>
  <c r="T604" i="33"/>
  <c r="T629" i="33" s="1"/>
  <c r="T630" i="33" s="1"/>
  <c r="T605" i="33"/>
  <c r="T613" i="33" s="1"/>
  <c r="T653" i="33"/>
  <c r="V597" i="33"/>
  <c r="V598" i="33" s="1"/>
  <c r="V599" i="33" s="1"/>
  <c r="V612" i="33" s="1"/>
  <c r="U573" i="33"/>
  <c r="R640" i="33"/>
  <c r="S626" i="33"/>
  <c r="T641" i="33"/>
  <c r="U627" i="33"/>
  <c r="Y616" i="33"/>
  <c r="R632" i="33"/>
  <c r="S614" i="33"/>
  <c r="Q644" i="33"/>
  <c r="O614" i="2"/>
  <c r="N632" i="2"/>
  <c r="N644" i="2" s="1"/>
  <c r="Q639" i="2"/>
  <c r="R621" i="2"/>
  <c r="V634" i="2"/>
  <c r="W616" i="2"/>
  <c r="X607" i="2"/>
  <c r="X648" i="2"/>
  <c r="Z580" i="2"/>
  <c r="Y581" i="2"/>
  <c r="Y579" i="2" s="1"/>
  <c r="T617" i="2"/>
  <c r="S635" i="2"/>
  <c r="Q641" i="2"/>
  <c r="R627" i="2"/>
  <c r="P642" i="2"/>
  <c r="Q630" i="2"/>
  <c r="R604" i="2"/>
  <c r="R629" i="2" s="1"/>
  <c r="R605" i="2"/>
  <c r="R613" i="2" s="1"/>
  <c r="R653" i="2"/>
  <c r="O640" i="2"/>
  <c r="P626" i="2"/>
  <c r="T597" i="2"/>
  <c r="T598" i="2" s="1"/>
  <c r="T599" i="2" s="1"/>
  <c r="T612" i="2" s="1"/>
  <c r="S573" i="2"/>
  <c r="R511" i="2"/>
  <c r="R536" i="2" s="1"/>
  <c r="R537" i="2" s="1"/>
  <c r="R512" i="2"/>
  <c r="R520" i="2" s="1"/>
  <c r="V357" i="33"/>
  <c r="V354" i="33"/>
  <c r="V362" i="33"/>
  <c r="W291" i="33"/>
  <c r="V361" i="33"/>
  <c r="U358" i="33"/>
  <c r="V340" i="33"/>
  <c r="V359" i="33"/>
  <c r="W341" i="33"/>
  <c r="T356" i="33"/>
  <c r="U338" i="33"/>
  <c r="A507" i="33"/>
  <c r="P555" i="33"/>
  <c r="P514" i="33"/>
  <c r="J542" i="33"/>
  <c r="K524" i="33"/>
  <c r="R487" i="33"/>
  <c r="Q488" i="33"/>
  <c r="Q486" i="33" s="1"/>
  <c r="O523" i="33"/>
  <c r="N541" i="33"/>
  <c r="S480" i="2"/>
  <c r="S560" i="2" s="1"/>
  <c r="T506" i="2"/>
  <c r="T519" i="2" s="1"/>
  <c r="V504" i="2"/>
  <c r="U505" i="2"/>
  <c r="P521" i="2"/>
  <c r="O539" i="2"/>
  <c r="O551" i="2" s="1"/>
  <c r="S528" i="2"/>
  <c r="R546" i="2"/>
  <c r="X555" i="2"/>
  <c r="X514" i="2"/>
  <c r="V541" i="2"/>
  <c r="W523" i="2"/>
  <c r="R548" i="2"/>
  <c r="S534" i="2"/>
  <c r="Z487" i="2"/>
  <c r="Y488" i="2"/>
  <c r="Y486" i="2" s="1"/>
  <c r="P547" i="2"/>
  <c r="Q533" i="2"/>
  <c r="T542" i="2"/>
  <c r="U524" i="2"/>
  <c r="Q549" i="2"/>
  <c r="L90" i="2"/>
  <c r="L88" i="2" s="1"/>
  <c r="L49" i="2"/>
  <c r="L58" i="2" s="1"/>
  <c r="G77" i="2"/>
  <c r="H59" i="2"/>
  <c r="A32" i="2"/>
  <c r="K76" i="2"/>
  <c r="M49" i="2"/>
  <c r="M90" i="2"/>
  <c r="M88" i="2" s="1"/>
  <c r="O22" i="2"/>
  <c r="N23" i="2"/>
  <c r="N21" i="2" s="1"/>
  <c r="Z236" i="2"/>
  <c r="Z277" i="2"/>
  <c r="W172" i="33"/>
  <c r="X154" i="33"/>
  <c r="S149" i="33"/>
  <c r="R167" i="33"/>
  <c r="R179" i="33" s="1"/>
  <c r="W173" i="33"/>
  <c r="X155" i="33"/>
  <c r="T165" i="33"/>
  <c r="S177" i="33"/>
  <c r="X62" i="33"/>
  <c r="W80" i="33"/>
  <c r="V337" i="33"/>
  <c r="U355" i="33"/>
  <c r="T456" i="33"/>
  <c r="W61" i="33"/>
  <c r="V79" i="33"/>
  <c r="U453" i="2"/>
  <c r="Z430" i="2"/>
  <c r="Z448" i="2" s="1"/>
  <c r="Y448" i="2"/>
  <c r="V169" i="2"/>
  <c r="W151" i="2"/>
  <c r="R446" i="2"/>
  <c r="R458" i="2" s="1"/>
  <c r="S428" i="2"/>
  <c r="T72" i="33"/>
  <c r="S84" i="33"/>
  <c r="V156" i="2"/>
  <c r="U174" i="2"/>
  <c r="W78" i="33"/>
  <c r="W83" i="33"/>
  <c r="W75" i="33"/>
  <c r="W82" i="33"/>
  <c r="X12" i="33"/>
  <c r="U76" i="33"/>
  <c r="V58" i="33"/>
  <c r="W152" i="33"/>
  <c r="V170" i="33"/>
  <c r="T174" i="33"/>
  <c r="U156" i="33"/>
  <c r="X80" i="2"/>
  <c r="Y62" i="2"/>
  <c r="S456" i="2"/>
  <c r="V59" i="33"/>
  <c r="U77" i="33"/>
  <c r="U453" i="33"/>
  <c r="S177" i="2"/>
  <c r="T165" i="2"/>
  <c r="W175" i="33"/>
  <c r="W171" i="33"/>
  <c r="X105" i="33"/>
  <c r="W176" i="33"/>
  <c r="W168" i="33"/>
  <c r="W169" i="33"/>
  <c r="V262" i="2"/>
  <c r="W244" i="2"/>
  <c r="R167" i="2"/>
  <c r="R179" i="2" s="1"/>
  <c r="S149" i="2"/>
  <c r="W430" i="33"/>
  <c r="R74" i="33"/>
  <c r="R86" i="33" s="1"/>
  <c r="S56" i="33"/>
  <c r="T81" i="33"/>
  <c r="U63" i="33"/>
  <c r="X61" i="2"/>
  <c r="W79" i="2"/>
  <c r="S428" i="33"/>
  <c r="R446" i="33"/>
  <c r="T258" i="2"/>
  <c r="S270" i="2"/>
  <c r="AC270" i="2" s="1" a="1"/>
  <c r="AC270" i="2" s="1"/>
  <c r="X247" i="33"/>
  <c r="W265" i="33"/>
  <c r="R242" i="33"/>
  <c r="Q260" i="33"/>
  <c r="Q272" i="33" s="1"/>
  <c r="S260" i="2"/>
  <c r="T242" i="2"/>
  <c r="R270" i="33"/>
  <c r="S258" i="33"/>
  <c r="AC260" i="2" a="1"/>
  <c r="AC260" i="2" s="1"/>
  <c r="R272" i="2"/>
  <c r="W269" i="33"/>
  <c r="W268" i="33"/>
  <c r="W261" i="33"/>
  <c r="W264" i="33"/>
  <c r="X198" i="33"/>
  <c r="W262" i="33"/>
  <c r="W266" i="33"/>
  <c r="X266" i="2"/>
  <c r="Y248" i="2"/>
  <c r="U263" i="33"/>
  <c r="V245" i="33"/>
  <c r="U249" i="33"/>
  <c r="T267" i="33"/>
  <c r="U267" i="2"/>
  <c r="V249" i="2"/>
  <c r="X265" i="2"/>
  <c r="V263" i="2"/>
  <c r="W245" i="2"/>
  <c r="V338" i="2"/>
  <c r="U356" i="2"/>
  <c r="X341" i="2"/>
  <c r="W359" i="2"/>
  <c r="U342" i="2"/>
  <c r="T360" i="2"/>
  <c r="X355" i="2"/>
  <c r="Y337" i="2"/>
  <c r="R335" i="2"/>
  <c r="Q353" i="2"/>
  <c r="Q365" i="2" s="1"/>
  <c r="T363" i="33"/>
  <c r="R363" i="2"/>
  <c r="S351" i="2"/>
  <c r="S353" i="33"/>
  <c r="S365" i="33" s="1"/>
  <c r="T335" i="33"/>
  <c r="V342" i="33"/>
  <c r="U360" i="33"/>
  <c r="V358" i="2"/>
  <c r="W340" i="2"/>
  <c r="U444" i="33" l="1"/>
  <c r="V638" i="33"/>
  <c r="V431" i="2"/>
  <c r="R458" i="33"/>
  <c r="V172" i="2"/>
  <c r="W154" i="2"/>
  <c r="U170" i="2"/>
  <c r="V152" i="2"/>
  <c r="X155" i="2"/>
  <c r="W173" i="2"/>
  <c r="X15" i="33"/>
  <c r="X46" i="33" s="1"/>
  <c r="X71" i="33" s="1"/>
  <c r="Z488" i="2"/>
  <c r="Y15" i="33"/>
  <c r="Y46" i="33" s="1"/>
  <c r="Y71" i="33" s="1"/>
  <c r="S511" i="2"/>
  <c r="S536" i="2" s="1"/>
  <c r="Z41" i="33"/>
  <c r="Z54" i="33" s="1"/>
  <c r="Z91" i="2"/>
  <c r="Z50" i="2"/>
  <c r="V540" i="33"/>
  <c r="V543" i="33"/>
  <c r="W477" i="33"/>
  <c r="W545" i="33" s="1"/>
  <c r="V545" i="33"/>
  <c r="V636" i="33"/>
  <c r="V633" i="33"/>
  <c r="V634" i="33"/>
  <c r="X281" i="33"/>
  <c r="X140" i="2"/>
  <c r="X148" i="2" s="1"/>
  <c r="X281" i="2"/>
  <c r="X139" i="2"/>
  <c r="X164" i="2" s="1"/>
  <c r="X232" i="2"/>
  <c r="X257" i="2" s="1"/>
  <c r="X139" i="33"/>
  <c r="X164" i="33" s="1"/>
  <c r="X232" i="33"/>
  <c r="X257" i="33" s="1"/>
  <c r="X188" i="33"/>
  <c r="W431" i="2"/>
  <c r="W449" i="2" s="1"/>
  <c r="Y201" i="2"/>
  <c r="Y233" i="2" s="1"/>
  <c r="Y241" i="2" s="1"/>
  <c r="V620" i="2"/>
  <c r="V638" i="2" s="1"/>
  <c r="U467" i="33"/>
  <c r="U419" i="33"/>
  <c r="U427" i="33" s="1"/>
  <c r="V449" i="2"/>
  <c r="X590" i="2"/>
  <c r="X651" i="2" s="1"/>
  <c r="Z581" i="2"/>
  <c r="Z579" i="2" s="1"/>
  <c r="Y108" i="2"/>
  <c r="Y139" i="2" s="1"/>
  <c r="Y164" i="2" s="1"/>
  <c r="V452" i="33"/>
  <c r="W434" i="33"/>
  <c r="X434" i="33" s="1"/>
  <c r="U431" i="33"/>
  <c r="T449" i="33"/>
  <c r="X497" i="2"/>
  <c r="X517" i="2" s="1"/>
  <c r="W294" i="2"/>
  <c r="W325" i="2" s="1"/>
  <c r="W350" i="2" s="1"/>
  <c r="Z268" i="3"/>
  <c r="J32" i="1" s="1"/>
  <c r="V455" i="33"/>
  <c r="V450" i="33"/>
  <c r="W384" i="33"/>
  <c r="W448" i="33" s="1"/>
  <c r="V447" i="33"/>
  <c r="V454" i="33"/>
  <c r="V451" i="33"/>
  <c r="Y108" i="33"/>
  <c r="Y188" i="33" s="1"/>
  <c r="V635" i="33"/>
  <c r="W610" i="2"/>
  <c r="W619" i="2" s="1"/>
  <c r="W651" i="2"/>
  <c r="Y331" i="2"/>
  <c r="Y372" i="2"/>
  <c r="Y331" i="33"/>
  <c r="Y372" i="33"/>
  <c r="W545" i="2"/>
  <c r="V637" i="33"/>
  <c r="W638" i="33"/>
  <c r="Z581" i="33"/>
  <c r="Z579" i="33" s="1"/>
  <c r="V325" i="33"/>
  <c r="V350" i="33" s="1"/>
  <c r="V351" i="33" s="1"/>
  <c r="V326" i="33"/>
  <c r="V334" i="33" s="1"/>
  <c r="V374" i="33"/>
  <c r="Z461" i="33"/>
  <c r="Z460" i="33" s="1"/>
  <c r="Z464" i="33"/>
  <c r="Z400" i="33"/>
  <c r="X583" i="33"/>
  <c r="X585" i="33"/>
  <c r="X590" i="33"/>
  <c r="Z462" i="2"/>
  <c r="Z461" i="2"/>
  <c r="Z460" i="2" s="1"/>
  <c r="Z464" i="2"/>
  <c r="Z400" i="2"/>
  <c r="Y569" i="33"/>
  <c r="V413" i="2"/>
  <c r="V426" i="2" s="1"/>
  <c r="V435" i="2" s="1"/>
  <c r="V453" i="2" s="1"/>
  <c r="Z568" i="33"/>
  <c r="X270" i="32"/>
  <c r="Z569" i="33" s="1"/>
  <c r="X465" i="2"/>
  <c r="X424" i="2"/>
  <c r="X433" i="2" s="1"/>
  <c r="X451" i="2" s="1"/>
  <c r="Z373" i="33"/>
  <c r="Z332" i="33"/>
  <c r="W556" i="33"/>
  <c r="W515" i="33"/>
  <c r="X270" i="3"/>
  <c r="Z569" i="2" s="1"/>
  <c r="Z568" i="2"/>
  <c r="X499" i="33"/>
  <c r="X497" i="33" s="1"/>
  <c r="X490" i="2"/>
  <c r="X492" i="2"/>
  <c r="W294" i="33"/>
  <c r="Y464" i="2"/>
  <c r="Y400" i="2"/>
  <c r="Y461" i="2"/>
  <c r="Y460" i="2" s="1"/>
  <c r="Y462" i="2"/>
  <c r="X583" i="2"/>
  <c r="X585" i="2"/>
  <c r="X518" i="33"/>
  <c r="X527" i="33" s="1"/>
  <c r="X559" i="33"/>
  <c r="Z211" i="33"/>
  <c r="Z213" i="33"/>
  <c r="Y500" i="33"/>
  <c r="Y501" i="33"/>
  <c r="Y498" i="33"/>
  <c r="Z143" i="33"/>
  <c r="Z184" i="33"/>
  <c r="Z133" i="33"/>
  <c r="V544" i="33"/>
  <c r="W517" i="33"/>
  <c r="W526" i="33" s="1"/>
  <c r="W558" i="33"/>
  <c r="W413" i="2"/>
  <c r="W426" i="2" s="1"/>
  <c r="Z313" i="33"/>
  <c r="Z311" i="33" s="1"/>
  <c r="Y370" i="2"/>
  <c r="Y329" i="2"/>
  <c r="Y319" i="2"/>
  <c r="W413" i="33"/>
  <c r="W426" i="33" s="1"/>
  <c r="Y594" i="2"/>
  <c r="Y593" i="2"/>
  <c r="Y591" i="2"/>
  <c r="V637" i="2"/>
  <c r="Y501" i="2"/>
  <c r="Y498" i="2"/>
  <c r="Y499" i="2" s="1"/>
  <c r="Y500" i="2"/>
  <c r="W651" i="33"/>
  <c r="W610" i="33"/>
  <c r="W619" i="33" s="1"/>
  <c r="Z408" i="2"/>
  <c r="Z405" i="2"/>
  <c r="Z407" i="2"/>
  <c r="Y201" i="33"/>
  <c r="Y281" i="33" s="1"/>
  <c r="Y557" i="33"/>
  <c r="Y554" i="33"/>
  <c r="Y553" i="33" s="1"/>
  <c r="Y493" i="33"/>
  <c r="Z254" i="3"/>
  <c r="L31" i="1" s="1"/>
  <c r="X559" i="2"/>
  <c r="X518" i="2"/>
  <c r="X527" i="2" s="1"/>
  <c r="V413" i="33"/>
  <c r="V426" i="33" s="1"/>
  <c r="V435" i="33" s="1"/>
  <c r="V453" i="33" s="1"/>
  <c r="Z143" i="2"/>
  <c r="Z184" i="2"/>
  <c r="Z133" i="2"/>
  <c r="Y569" i="2"/>
  <c r="U467" i="2"/>
  <c r="U419" i="2"/>
  <c r="U427" i="2" s="1"/>
  <c r="U418" i="2"/>
  <c r="U443" i="2" s="1"/>
  <c r="U444" i="2" s="1"/>
  <c r="Y329" i="33"/>
  <c r="Y370" i="33"/>
  <c r="Y319" i="33"/>
  <c r="Y554" i="2"/>
  <c r="Y553" i="2" s="1"/>
  <c r="Y557" i="2"/>
  <c r="Y493" i="2"/>
  <c r="Z238" i="33"/>
  <c r="Z279" i="33"/>
  <c r="V325" i="2"/>
  <c r="V350" i="2" s="1"/>
  <c r="V326" i="2"/>
  <c r="V334" i="2" s="1"/>
  <c r="V374" i="2"/>
  <c r="Z475" i="33"/>
  <c r="X269" i="32"/>
  <c r="Z373" i="2"/>
  <c r="Z332" i="2"/>
  <c r="X370" i="2"/>
  <c r="X329" i="2"/>
  <c r="X319" i="2"/>
  <c r="X422" i="2"/>
  <c r="X463" i="2"/>
  <c r="X412" i="2"/>
  <c r="X397" i="33"/>
  <c r="X399" i="33"/>
  <c r="X652" i="2"/>
  <c r="X611" i="2"/>
  <c r="X490" i="33"/>
  <c r="X492" i="33"/>
  <c r="Z268" i="32"/>
  <c r="J32" i="34" s="1"/>
  <c r="Y466" i="2"/>
  <c r="Y425" i="2"/>
  <c r="Y434" i="2" s="1"/>
  <c r="Y452" i="2" s="1"/>
  <c r="Y466" i="33"/>
  <c r="Y425" i="33"/>
  <c r="W583" i="33"/>
  <c r="W585" i="33"/>
  <c r="Z313" i="2"/>
  <c r="Z311" i="2" s="1"/>
  <c r="Z462" i="33"/>
  <c r="W583" i="2"/>
  <c r="W585" i="2"/>
  <c r="X424" i="33"/>
  <c r="X433" i="33" s="1"/>
  <c r="X465" i="33"/>
  <c r="Z307" i="33"/>
  <c r="Z368" i="33"/>
  <c r="Z367" i="33" s="1"/>
  <c r="Z371" i="33"/>
  <c r="Z369" i="33"/>
  <c r="Z475" i="2"/>
  <c r="X269" i="3"/>
  <c r="Y404" i="2"/>
  <c r="Y397" i="33"/>
  <c r="Y399" i="33"/>
  <c r="Y406" i="33"/>
  <c r="Y404" i="33" s="1"/>
  <c r="V544" i="2"/>
  <c r="W526" i="2"/>
  <c r="Z405" i="33"/>
  <c r="Z406" i="33" s="1"/>
  <c r="Z407" i="33"/>
  <c r="Z408" i="33"/>
  <c r="W556" i="2"/>
  <c r="W515" i="2"/>
  <c r="X652" i="33"/>
  <c r="X611" i="33"/>
  <c r="X620" i="33" s="1"/>
  <c r="Y593" i="33"/>
  <c r="Y594" i="33"/>
  <c r="Y591" i="33"/>
  <c r="X370" i="33"/>
  <c r="X329" i="33"/>
  <c r="X319" i="33"/>
  <c r="Z238" i="2"/>
  <c r="Z247" i="2" s="1"/>
  <c r="Z265" i="2" s="1"/>
  <c r="Z279" i="2"/>
  <c r="Z369" i="2"/>
  <c r="Z371" i="2"/>
  <c r="Z307" i="2"/>
  <c r="Z368" i="2"/>
  <c r="Z367" i="2" s="1"/>
  <c r="W634" i="33"/>
  <c r="X570" i="33"/>
  <c r="W633" i="33"/>
  <c r="W636" i="33"/>
  <c r="V621" i="33"/>
  <c r="U639" i="33"/>
  <c r="T642" i="33"/>
  <c r="S640" i="33"/>
  <c r="T626" i="33"/>
  <c r="R644" i="33"/>
  <c r="U605" i="33"/>
  <c r="U613" i="33" s="1"/>
  <c r="U604" i="33"/>
  <c r="U629" i="33" s="1"/>
  <c r="U630" i="33" s="1"/>
  <c r="U653" i="33"/>
  <c r="W597" i="33"/>
  <c r="V573" i="33"/>
  <c r="S632" i="33"/>
  <c r="T614" i="33"/>
  <c r="U641" i="33"/>
  <c r="V627" i="33"/>
  <c r="R639" i="2"/>
  <c r="S621" i="2"/>
  <c r="O632" i="2"/>
  <c r="O644" i="2" s="1"/>
  <c r="P614" i="2"/>
  <c r="AA581" i="2"/>
  <c r="S604" i="2"/>
  <c r="S629" i="2" s="1"/>
  <c r="S605" i="2"/>
  <c r="S613" i="2" s="1"/>
  <c r="S653" i="2"/>
  <c r="R630" i="2"/>
  <c r="Q642" i="2"/>
  <c r="U597" i="2"/>
  <c r="U598" i="2" s="1"/>
  <c r="U599" i="2" s="1"/>
  <c r="U612" i="2" s="1"/>
  <c r="T573" i="2"/>
  <c r="T635" i="2"/>
  <c r="U617" i="2"/>
  <c r="X616" i="2"/>
  <c r="W634" i="2"/>
  <c r="Q626" i="2"/>
  <c r="P640" i="2"/>
  <c r="S627" i="2"/>
  <c r="R641" i="2"/>
  <c r="Y607" i="2"/>
  <c r="Z607" i="2"/>
  <c r="S512" i="2"/>
  <c r="S520" i="2" s="1"/>
  <c r="V358" i="33"/>
  <c r="W340" i="33"/>
  <c r="W357" i="33"/>
  <c r="W362" i="33"/>
  <c r="X291" i="33"/>
  <c r="W361" i="33"/>
  <c r="W354" i="33"/>
  <c r="U356" i="33"/>
  <c r="V338" i="33"/>
  <c r="X341" i="33"/>
  <c r="W359" i="33"/>
  <c r="P523" i="33"/>
  <c r="O541" i="33"/>
  <c r="A508" i="33"/>
  <c r="Q555" i="33"/>
  <c r="Q514" i="33"/>
  <c r="K542" i="33"/>
  <c r="L524" i="33"/>
  <c r="S487" i="33"/>
  <c r="R488" i="33"/>
  <c r="R486" i="33" s="1"/>
  <c r="T480" i="2"/>
  <c r="T511" i="2" s="1"/>
  <c r="T536" i="2" s="1"/>
  <c r="S546" i="2"/>
  <c r="T528" i="2"/>
  <c r="Q521" i="2"/>
  <c r="P539" i="2"/>
  <c r="P551" i="2" s="1"/>
  <c r="U506" i="2"/>
  <c r="U519" i="2" s="1"/>
  <c r="Z486" i="2"/>
  <c r="AA488" i="2"/>
  <c r="W504" i="2"/>
  <c r="V505" i="2"/>
  <c r="R549" i="2"/>
  <c r="S537" i="2"/>
  <c r="S548" i="2"/>
  <c r="T534" i="2"/>
  <c r="Q547" i="2"/>
  <c r="R533" i="2"/>
  <c r="V524" i="2"/>
  <c r="U542" i="2"/>
  <c r="W541" i="2"/>
  <c r="X523" i="2"/>
  <c r="Y555" i="2"/>
  <c r="Y514" i="2"/>
  <c r="N49" i="2"/>
  <c r="N90" i="2"/>
  <c r="N88" i="2" s="1"/>
  <c r="H77" i="2"/>
  <c r="I59" i="2"/>
  <c r="P22" i="2"/>
  <c r="O23" i="2"/>
  <c r="O21" i="2" s="1"/>
  <c r="M58" i="2"/>
  <c r="L76" i="2"/>
  <c r="A33" i="2"/>
  <c r="A34" i="2" s="1"/>
  <c r="A35" i="2" s="1"/>
  <c r="A36" i="2" s="1"/>
  <c r="A37" i="2" s="1"/>
  <c r="Z227" i="2"/>
  <c r="Z240" i="2" s="1"/>
  <c r="S272" i="2"/>
  <c r="AC173" i="2" a="1"/>
  <c r="AC173" i="2" s="1"/>
  <c r="W58" i="33"/>
  <c r="V76" i="33"/>
  <c r="X80" i="33"/>
  <c r="Y62" i="33"/>
  <c r="X430" i="33"/>
  <c r="T456" i="2"/>
  <c r="T428" i="2"/>
  <c r="S446" i="2"/>
  <c r="S458" i="2" s="1"/>
  <c r="S446" i="33"/>
  <c r="S458" i="33" s="1"/>
  <c r="T428" i="33"/>
  <c r="V156" i="33"/>
  <c r="U174" i="33"/>
  <c r="X78" i="33"/>
  <c r="Y12" i="33"/>
  <c r="X83" i="33"/>
  <c r="X82" i="33"/>
  <c r="X75" i="33"/>
  <c r="W79" i="33"/>
  <c r="X61" i="33"/>
  <c r="T177" i="33"/>
  <c r="U165" i="33"/>
  <c r="X175" i="33"/>
  <c r="X176" i="33"/>
  <c r="Y105" i="33"/>
  <c r="X171" i="33"/>
  <c r="X168" i="33"/>
  <c r="X169" i="33"/>
  <c r="X173" i="33"/>
  <c r="Y155" i="33"/>
  <c r="Y61" i="2"/>
  <c r="X79" i="2"/>
  <c r="S167" i="2"/>
  <c r="S179" i="2" s="1"/>
  <c r="T149" i="2"/>
  <c r="V77" i="33"/>
  <c r="W59" i="33"/>
  <c r="W156" i="2"/>
  <c r="V174" i="2"/>
  <c r="U456" i="33"/>
  <c r="U81" i="33"/>
  <c r="V63" i="33"/>
  <c r="X244" i="2"/>
  <c r="W262" i="2"/>
  <c r="U72" i="33"/>
  <c r="T84" i="33"/>
  <c r="W337" i="33"/>
  <c r="V355" i="33"/>
  <c r="S167" i="33"/>
  <c r="S179" i="33" s="1"/>
  <c r="T149" i="33"/>
  <c r="S74" i="33"/>
  <c r="S86" i="33" s="1"/>
  <c r="T56" i="33"/>
  <c r="T177" i="2"/>
  <c r="U165" i="2"/>
  <c r="Z62" i="2"/>
  <c r="Z80" i="2" s="1"/>
  <c r="Y80" i="2"/>
  <c r="W170" i="33"/>
  <c r="X152" i="33"/>
  <c r="W169" i="2"/>
  <c r="X151" i="2"/>
  <c r="Y154" i="33"/>
  <c r="X172" i="33"/>
  <c r="T270" i="2"/>
  <c r="U258" i="2"/>
  <c r="V263" i="33"/>
  <c r="W245" i="33"/>
  <c r="Z248" i="2"/>
  <c r="Z266" i="2" s="1"/>
  <c r="Y266" i="2"/>
  <c r="R260" i="33"/>
  <c r="S242" i="33"/>
  <c r="Y265" i="2"/>
  <c r="S270" i="33"/>
  <c r="T258" i="33"/>
  <c r="X265" i="33"/>
  <c r="Y247" i="33"/>
  <c r="W263" i="2"/>
  <c r="X245" i="2"/>
  <c r="X261" i="33"/>
  <c r="X264" i="33"/>
  <c r="X268" i="33"/>
  <c r="Y198" i="33"/>
  <c r="X269" i="33"/>
  <c r="X262" i="33"/>
  <c r="X266" i="33"/>
  <c r="W249" i="2"/>
  <c r="V267" i="2"/>
  <c r="U267" i="33"/>
  <c r="V249" i="33"/>
  <c r="U242" i="2"/>
  <c r="T260" i="2"/>
  <c r="Z337" i="2"/>
  <c r="Z355" i="2" s="1"/>
  <c r="Y355" i="2"/>
  <c r="V342" i="2"/>
  <c r="U360" i="2"/>
  <c r="X359" i="2"/>
  <c r="Y341" i="2"/>
  <c r="W358" i="2"/>
  <c r="X340" i="2"/>
  <c r="T351" i="2"/>
  <c r="S363" i="2"/>
  <c r="W338" i="2"/>
  <c r="V356" i="2"/>
  <c r="T353" i="33"/>
  <c r="T365" i="33" s="1"/>
  <c r="U335" i="33"/>
  <c r="U363" i="33"/>
  <c r="W342" i="33"/>
  <c r="V360" i="33"/>
  <c r="R353" i="2"/>
  <c r="R365" i="2" s="1"/>
  <c r="S335" i="2"/>
  <c r="Y281" i="2" l="1"/>
  <c r="Y232" i="2"/>
  <c r="Y257" i="2" s="1"/>
  <c r="X47" i="33"/>
  <c r="X55" i="33" s="1"/>
  <c r="Y155" i="2"/>
  <c r="X173" i="2"/>
  <c r="W152" i="2"/>
  <c r="V170" i="2"/>
  <c r="X154" i="2"/>
  <c r="W172" i="2"/>
  <c r="Z15" i="33"/>
  <c r="Z46" i="33" s="1"/>
  <c r="Z71" i="33" s="1"/>
  <c r="X95" i="33"/>
  <c r="Y95" i="33"/>
  <c r="Y47" i="33"/>
  <c r="Y55" i="33" s="1"/>
  <c r="Y232" i="33"/>
  <c r="Y257" i="33" s="1"/>
  <c r="X610" i="2"/>
  <c r="W540" i="33"/>
  <c r="W543" i="33"/>
  <c r="X477" i="33"/>
  <c r="X545" i="33" s="1"/>
  <c r="Y139" i="33"/>
  <c r="Y164" i="33" s="1"/>
  <c r="Z648" i="2"/>
  <c r="W435" i="2"/>
  <c r="Y188" i="2"/>
  <c r="X431" i="2"/>
  <c r="X449" i="2" s="1"/>
  <c r="W326" i="2"/>
  <c r="W334" i="2" s="1"/>
  <c r="W374" i="2"/>
  <c r="Y140" i="2"/>
  <c r="Y148" i="2" s="1"/>
  <c r="W620" i="2"/>
  <c r="W638" i="2" s="1"/>
  <c r="Y434" i="33"/>
  <c r="Y140" i="33"/>
  <c r="Y148" i="33" s="1"/>
  <c r="Y233" i="33"/>
  <c r="Y241" i="33" s="1"/>
  <c r="X558" i="2"/>
  <c r="W387" i="2"/>
  <c r="W419" i="2" s="1"/>
  <c r="W427" i="2" s="1"/>
  <c r="W454" i="33"/>
  <c r="W447" i="33"/>
  <c r="W450" i="33"/>
  <c r="W455" i="33"/>
  <c r="W451" i="33"/>
  <c r="X384" i="33"/>
  <c r="X448" i="33" s="1"/>
  <c r="V431" i="33"/>
  <c r="U449" i="33"/>
  <c r="W598" i="33"/>
  <c r="W599" i="33" s="1"/>
  <c r="W612" i="33" s="1"/>
  <c r="W621" i="33" s="1"/>
  <c r="Y497" i="2"/>
  <c r="Y558" i="2" s="1"/>
  <c r="W452" i="33"/>
  <c r="Y465" i="33"/>
  <c r="Y424" i="33"/>
  <c r="Y433" i="33" s="1"/>
  <c r="X545" i="2"/>
  <c r="Z331" i="2"/>
  <c r="Z372" i="2"/>
  <c r="W637" i="33"/>
  <c r="X558" i="33"/>
  <c r="X517" i="33"/>
  <c r="X526" i="33" s="1"/>
  <c r="X638" i="33"/>
  <c r="W544" i="33"/>
  <c r="Z304" i="2"/>
  <c r="Z306" i="2"/>
  <c r="Y518" i="2"/>
  <c r="Y527" i="2" s="1"/>
  <c r="Y559" i="2"/>
  <c r="X320" i="33"/>
  <c r="X333" i="33" s="1"/>
  <c r="X342" i="33" s="1"/>
  <c r="Z466" i="33"/>
  <c r="Z425" i="33"/>
  <c r="Y422" i="33"/>
  <c r="Y463" i="33"/>
  <c r="Y412" i="33"/>
  <c r="Z269" i="32"/>
  <c r="K32" i="34" s="1"/>
  <c r="Z476" i="33"/>
  <c r="Z270" i="3"/>
  <c r="L32" i="1" s="1"/>
  <c r="V387" i="33"/>
  <c r="Y559" i="33"/>
  <c r="Y518" i="33"/>
  <c r="Y527" i="33" s="1"/>
  <c r="Y586" i="2"/>
  <c r="Y650" i="2"/>
  <c r="Y647" i="2"/>
  <c r="Y646" i="2" s="1"/>
  <c r="Y320" i="2"/>
  <c r="Y333" i="2" s="1"/>
  <c r="Z404" i="33"/>
  <c r="Z306" i="33"/>
  <c r="Z304" i="33"/>
  <c r="X556" i="33"/>
  <c r="X515" i="33"/>
  <c r="X320" i="2"/>
  <c r="X333" i="2" s="1"/>
  <c r="Y320" i="33"/>
  <c r="Y333" i="33" s="1"/>
  <c r="Y399" i="2"/>
  <c r="Y397" i="2"/>
  <c r="Z586" i="2"/>
  <c r="Z647" i="2"/>
  <c r="Z646" i="2" s="1"/>
  <c r="Z650" i="2"/>
  <c r="Z593" i="33"/>
  <c r="Z594" i="33"/>
  <c r="Z591" i="33"/>
  <c r="Z592" i="33" s="1"/>
  <c r="Z594" i="2"/>
  <c r="Z591" i="2"/>
  <c r="Z592" i="2" s="1"/>
  <c r="Z593" i="2"/>
  <c r="W435" i="33"/>
  <c r="W453" i="33" s="1"/>
  <c r="Y592" i="33"/>
  <c r="Y590" i="33" s="1"/>
  <c r="X526" i="2"/>
  <c r="W544" i="2"/>
  <c r="Z269" i="3"/>
  <c r="K32" i="1" s="1"/>
  <c r="Z476" i="2"/>
  <c r="W649" i="33"/>
  <c r="W608" i="33"/>
  <c r="W617" i="33" s="1"/>
  <c r="Z406" i="2"/>
  <c r="Z404" i="2" s="1"/>
  <c r="W637" i="2"/>
  <c r="X619" i="2"/>
  <c r="Z226" i="33"/>
  <c r="Z227" i="33" s="1"/>
  <c r="Z240" i="33" s="1"/>
  <c r="Z236" i="33"/>
  <c r="Z277" i="33"/>
  <c r="V387" i="2"/>
  <c r="X651" i="33"/>
  <c r="X610" i="33"/>
  <c r="X619" i="33" s="1"/>
  <c r="Y648" i="2"/>
  <c r="Y652" i="33"/>
  <c r="Y611" i="33"/>
  <c r="Y620" i="33" s="1"/>
  <c r="Z498" i="2"/>
  <c r="Z499" i="2" s="1"/>
  <c r="Z500" i="2"/>
  <c r="Z501" i="2"/>
  <c r="Z425" i="2"/>
  <c r="Z434" i="2" s="1"/>
  <c r="Z452" i="2" s="1"/>
  <c r="Z466" i="2"/>
  <c r="Y592" i="2"/>
  <c r="Y590" i="2" s="1"/>
  <c r="Z372" i="33"/>
  <c r="Z331" i="33"/>
  <c r="Z134" i="33"/>
  <c r="Z147" i="33" s="1"/>
  <c r="W326" i="33"/>
  <c r="W334" i="33" s="1"/>
  <c r="W325" i="33"/>
  <c r="W350" i="33" s="1"/>
  <c r="W351" i="33" s="1"/>
  <c r="W374" i="33"/>
  <c r="Z648" i="33"/>
  <c r="Z607" i="33"/>
  <c r="Z616" i="33" s="1"/>
  <c r="Z647" i="33"/>
  <c r="Z646" i="33" s="1"/>
  <c r="Z586" i="33"/>
  <c r="Z650" i="33"/>
  <c r="Z134" i="2"/>
  <c r="Z147" i="2" s="1"/>
  <c r="Y490" i="33"/>
  <c r="Y492" i="33"/>
  <c r="Z270" i="32"/>
  <c r="L32" i="34" s="1"/>
  <c r="X608" i="33"/>
  <c r="X649" i="33"/>
  <c r="AA581" i="33"/>
  <c r="Z498" i="33"/>
  <c r="Z500" i="33"/>
  <c r="Z501" i="33"/>
  <c r="Y570" i="33"/>
  <c r="X636" i="33"/>
  <c r="X633" i="33"/>
  <c r="X634" i="33"/>
  <c r="W608" i="2"/>
  <c r="W649" i="2"/>
  <c r="X463" i="33"/>
  <c r="X422" i="33"/>
  <c r="X412" i="33"/>
  <c r="Y652" i="2"/>
  <c r="Y611" i="2"/>
  <c r="X515" i="2"/>
  <c r="X556" i="2"/>
  <c r="Y650" i="33"/>
  <c r="Y647" i="33"/>
  <c r="Y646" i="33" s="1"/>
  <c r="Y586" i="33"/>
  <c r="Y648" i="33"/>
  <c r="Z397" i="33"/>
  <c r="Z399" i="33"/>
  <c r="Y465" i="2"/>
  <c r="Y424" i="2"/>
  <c r="Y433" i="2" s="1"/>
  <c r="Y451" i="2" s="1"/>
  <c r="X413" i="2"/>
  <c r="X426" i="2" s="1"/>
  <c r="Y490" i="2"/>
  <c r="Y492" i="2"/>
  <c r="W387" i="33"/>
  <c r="Y499" i="33"/>
  <c r="Y497" i="33" s="1"/>
  <c r="X608" i="2"/>
  <c r="X649" i="2"/>
  <c r="Z399" i="2"/>
  <c r="Z397" i="2"/>
  <c r="S644" i="33"/>
  <c r="V639" i="33"/>
  <c r="U642" i="33"/>
  <c r="X597" i="33"/>
  <c r="X598" i="33" s="1"/>
  <c r="X599" i="33" s="1"/>
  <c r="X612" i="33" s="1"/>
  <c r="V605" i="33"/>
  <c r="V613" i="33" s="1"/>
  <c r="V604" i="33"/>
  <c r="V629" i="33" s="1"/>
  <c r="V630" i="33" s="1"/>
  <c r="V653" i="33"/>
  <c r="W627" i="33"/>
  <c r="V641" i="33"/>
  <c r="T640" i="33"/>
  <c r="U626" i="33"/>
  <c r="T632" i="33"/>
  <c r="U614" i="33"/>
  <c r="P632" i="2"/>
  <c r="P644" i="2" s="1"/>
  <c r="Q614" i="2"/>
  <c r="S639" i="2"/>
  <c r="T621" i="2"/>
  <c r="U635" i="2"/>
  <c r="V617" i="2"/>
  <c r="S641" i="2"/>
  <c r="T627" i="2"/>
  <c r="T605" i="2"/>
  <c r="T613" i="2" s="1"/>
  <c r="T604" i="2"/>
  <c r="T629" i="2" s="1"/>
  <c r="T653" i="2"/>
  <c r="R626" i="2"/>
  <c r="Q640" i="2"/>
  <c r="V597" i="2"/>
  <c r="V598" i="2" s="1"/>
  <c r="V599" i="2" s="1"/>
  <c r="V612" i="2" s="1"/>
  <c r="U573" i="2"/>
  <c r="X634" i="2"/>
  <c r="Y616" i="2"/>
  <c r="S630" i="2"/>
  <c r="R642" i="2"/>
  <c r="U480" i="2"/>
  <c r="U560" i="2" s="1"/>
  <c r="T512" i="2"/>
  <c r="T520" i="2" s="1"/>
  <c r="X361" i="33"/>
  <c r="X354" i="33"/>
  <c r="X357" i="33"/>
  <c r="X362" i="33"/>
  <c r="Y291" i="33"/>
  <c r="T560" i="2"/>
  <c r="Y341" i="33"/>
  <c r="X359" i="33"/>
  <c r="X340" i="33"/>
  <c r="W358" i="33"/>
  <c r="V356" i="33"/>
  <c r="W338" i="33"/>
  <c r="A509" i="33"/>
  <c r="P541" i="33"/>
  <c r="Q523" i="33"/>
  <c r="R555" i="33"/>
  <c r="R514" i="33"/>
  <c r="T487" i="33"/>
  <c r="S488" i="33"/>
  <c r="S486" i="33" s="1"/>
  <c r="L542" i="33"/>
  <c r="M524" i="33"/>
  <c r="Z514" i="2"/>
  <c r="Q539" i="2"/>
  <c r="Q551" i="2" s="1"/>
  <c r="R521" i="2"/>
  <c r="V506" i="2"/>
  <c r="V519" i="2" s="1"/>
  <c r="T546" i="2"/>
  <c r="U528" i="2"/>
  <c r="W505" i="2"/>
  <c r="X504" i="2"/>
  <c r="R547" i="2"/>
  <c r="S533" i="2"/>
  <c r="W524" i="2"/>
  <c r="V542" i="2"/>
  <c r="T548" i="2"/>
  <c r="U534" i="2"/>
  <c r="X541" i="2"/>
  <c r="Y523" i="2"/>
  <c r="S549" i="2"/>
  <c r="T537" i="2"/>
  <c r="I77" i="2"/>
  <c r="J59" i="2"/>
  <c r="A38" i="2"/>
  <c r="F37" i="2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M76" i="2"/>
  <c r="N58" i="2"/>
  <c r="O49" i="2"/>
  <c r="O90" i="2"/>
  <c r="O88" i="2" s="1"/>
  <c r="Q22" i="2"/>
  <c r="P23" i="2"/>
  <c r="P21" i="2" s="1"/>
  <c r="T272" i="2"/>
  <c r="Z201" i="2"/>
  <c r="Z233" i="2" s="1"/>
  <c r="Z241" i="2" s="1"/>
  <c r="AC80" i="2" a="1"/>
  <c r="AC80" i="2" s="1"/>
  <c r="AC172" i="2" a="1"/>
  <c r="AC172" i="2" s="1"/>
  <c r="Y151" i="2"/>
  <c r="X169" i="2"/>
  <c r="T167" i="33"/>
  <c r="T179" i="33" s="1"/>
  <c r="U149" i="33"/>
  <c r="Y79" i="2"/>
  <c r="Z61" i="2"/>
  <c r="Z79" i="2" s="1"/>
  <c r="X262" i="2"/>
  <c r="Y244" i="2"/>
  <c r="Y173" i="33"/>
  <c r="Z155" i="33"/>
  <c r="Y75" i="33"/>
  <c r="Y82" i="33"/>
  <c r="Y83" i="33"/>
  <c r="Z12" i="33"/>
  <c r="Y78" i="33"/>
  <c r="U428" i="2"/>
  <c r="T446" i="2"/>
  <c r="T458" i="2" s="1"/>
  <c r="W63" i="33"/>
  <c r="V81" i="33"/>
  <c r="X156" i="2"/>
  <c r="W174" i="2"/>
  <c r="U177" i="33"/>
  <c r="V165" i="33"/>
  <c r="W76" i="33"/>
  <c r="X58" i="33"/>
  <c r="X337" i="33"/>
  <c r="W355" i="33"/>
  <c r="X59" i="33"/>
  <c r="W77" i="33"/>
  <c r="U177" i="2"/>
  <c r="V165" i="2"/>
  <c r="Y61" i="33"/>
  <c r="X79" i="33"/>
  <c r="W156" i="33"/>
  <c r="V174" i="33"/>
  <c r="U456" i="2"/>
  <c r="Z154" i="33"/>
  <c r="Y172" i="33"/>
  <c r="U149" i="2"/>
  <c r="T167" i="2"/>
  <c r="T179" i="2" s="1"/>
  <c r="Y175" i="33"/>
  <c r="Z105" i="33"/>
  <c r="Y176" i="33"/>
  <c r="Y171" i="33"/>
  <c r="Y168" i="33"/>
  <c r="Y169" i="33"/>
  <c r="T446" i="33"/>
  <c r="T458" i="33" s="1"/>
  <c r="U428" i="33"/>
  <c r="Y152" i="33"/>
  <c r="X170" i="33"/>
  <c r="T74" i="33"/>
  <c r="T86" i="33" s="1"/>
  <c r="U56" i="33"/>
  <c r="Y430" i="33"/>
  <c r="W453" i="2"/>
  <c r="V72" i="33"/>
  <c r="U84" i="33"/>
  <c r="Z62" i="33"/>
  <c r="Y80" i="33"/>
  <c r="U270" i="2"/>
  <c r="V258" i="2"/>
  <c r="R272" i="33"/>
  <c r="X263" i="2"/>
  <c r="Y245" i="2"/>
  <c r="S260" i="33"/>
  <c r="S272" i="33" s="1"/>
  <c r="T242" i="33"/>
  <c r="U260" i="2"/>
  <c r="V242" i="2"/>
  <c r="V267" i="33"/>
  <c r="W249" i="33"/>
  <c r="Y265" i="33"/>
  <c r="Z247" i="33"/>
  <c r="Y269" i="33"/>
  <c r="Z198" i="33"/>
  <c r="Y264" i="33"/>
  <c r="Y268" i="33"/>
  <c r="Y261" i="33"/>
  <c r="Y262" i="33"/>
  <c r="Y266" i="33"/>
  <c r="U258" i="33"/>
  <c r="T270" i="33"/>
  <c r="X245" i="33"/>
  <c r="W263" i="33"/>
  <c r="W267" i="2"/>
  <c r="X249" i="2"/>
  <c r="Y340" i="2"/>
  <c r="X358" i="2"/>
  <c r="V363" i="33"/>
  <c r="X338" i="2"/>
  <c r="W356" i="2"/>
  <c r="W360" i="33"/>
  <c r="U351" i="2"/>
  <c r="T363" i="2"/>
  <c r="U353" i="33"/>
  <c r="U365" i="33" s="1"/>
  <c r="V335" i="33"/>
  <c r="W342" i="2"/>
  <c r="V360" i="2"/>
  <c r="T335" i="2"/>
  <c r="S353" i="2"/>
  <c r="S365" i="2" s="1"/>
  <c r="Z341" i="2"/>
  <c r="Z359" i="2" s="1"/>
  <c r="Y359" i="2"/>
  <c r="Z47" i="33" l="1"/>
  <c r="Z55" i="33" s="1"/>
  <c r="Z95" i="33"/>
  <c r="X435" i="2"/>
  <c r="Y154" i="2"/>
  <c r="X172" i="2"/>
  <c r="X152" i="2"/>
  <c r="W170" i="2"/>
  <c r="Y173" i="2"/>
  <c r="Z155" i="2"/>
  <c r="Z173" i="2" s="1"/>
  <c r="W418" i="2"/>
  <c r="W443" i="2" s="1"/>
  <c r="W467" i="2"/>
  <c r="X540" i="33"/>
  <c r="X543" i="33"/>
  <c r="Y477" i="33"/>
  <c r="Y545" i="33" s="1"/>
  <c r="Z434" i="33"/>
  <c r="W573" i="33"/>
  <c r="W604" i="33" s="1"/>
  <c r="W629" i="33" s="1"/>
  <c r="W630" i="33" s="1"/>
  <c r="X620" i="2"/>
  <c r="X638" i="2" s="1"/>
  <c r="Y517" i="2"/>
  <c r="Z497" i="2"/>
  <c r="Z517" i="2" s="1"/>
  <c r="Y294" i="2"/>
  <c r="Y326" i="2" s="1"/>
  <c r="Y334" i="2" s="1"/>
  <c r="W431" i="33"/>
  <c r="W449" i="33" s="1"/>
  <c r="V449" i="33"/>
  <c r="Z590" i="33"/>
  <c r="X447" i="33"/>
  <c r="X454" i="33"/>
  <c r="X455" i="33"/>
  <c r="X450" i="33"/>
  <c r="X452" i="33"/>
  <c r="Y384" i="33"/>
  <c r="Y448" i="33" s="1"/>
  <c r="X451" i="33"/>
  <c r="X294" i="2"/>
  <c r="X374" i="2" s="1"/>
  <c r="X637" i="33"/>
  <c r="Y651" i="33"/>
  <c r="Y610" i="33"/>
  <c r="Y619" i="33" s="1"/>
  <c r="Y545" i="2"/>
  <c r="Y638" i="33"/>
  <c r="X544" i="33"/>
  <c r="X413" i="33"/>
  <c r="X426" i="33" s="1"/>
  <c r="X435" i="33" s="1"/>
  <c r="X453" i="33" s="1"/>
  <c r="Z570" i="33"/>
  <c r="Z634" i="33" s="1"/>
  <c r="Y636" i="33"/>
  <c r="Y633" i="33"/>
  <c r="Y634" i="33"/>
  <c r="Z583" i="2"/>
  <c r="Z585" i="2"/>
  <c r="X294" i="33"/>
  <c r="Z557" i="2"/>
  <c r="Z554" i="2"/>
  <c r="Z553" i="2" s="1"/>
  <c r="Z493" i="2"/>
  <c r="Z590" i="2"/>
  <c r="Y422" i="2"/>
  <c r="Y431" i="2" s="1"/>
  <c r="Y449" i="2" s="1"/>
  <c r="Y463" i="2"/>
  <c r="Y412" i="2"/>
  <c r="Z370" i="33"/>
  <c r="Z329" i="33"/>
  <c r="Z319" i="33"/>
  <c r="Z554" i="33"/>
  <c r="Z553" i="33" s="1"/>
  <c r="Z557" i="33"/>
  <c r="Z493" i="33"/>
  <c r="Y558" i="33"/>
  <c r="Y517" i="33"/>
  <c r="Y526" i="33" s="1"/>
  <c r="Z559" i="33"/>
  <c r="Z518" i="33"/>
  <c r="Z527" i="33" s="1"/>
  <c r="Y515" i="33"/>
  <c r="Y556" i="33"/>
  <c r="Y651" i="2"/>
  <c r="Y610" i="2"/>
  <c r="Y619" i="2" s="1"/>
  <c r="Z652" i="2"/>
  <c r="Z611" i="2"/>
  <c r="Y583" i="2"/>
  <c r="Y585" i="2"/>
  <c r="Z108" i="2"/>
  <c r="X637" i="2"/>
  <c r="Y294" i="33"/>
  <c r="Z424" i="33"/>
  <c r="Z433" i="33" s="1"/>
  <c r="Z465" i="33"/>
  <c r="Y413" i="33"/>
  <c r="Y426" i="33" s="1"/>
  <c r="W467" i="33"/>
  <c r="W419" i="33"/>
  <c r="W427" i="33" s="1"/>
  <c r="W418" i="33"/>
  <c r="W443" i="33" s="1"/>
  <c r="Z463" i="33"/>
  <c r="Z422" i="33"/>
  <c r="Z412" i="33"/>
  <c r="Z499" i="33"/>
  <c r="Z497" i="33" s="1"/>
  <c r="Y526" i="2"/>
  <c r="X544" i="2"/>
  <c r="Z611" i="33"/>
  <c r="Z620" i="33" s="1"/>
  <c r="Z652" i="33"/>
  <c r="Z555" i="2"/>
  <c r="Z424" i="2"/>
  <c r="Z433" i="2" s="1"/>
  <c r="Z451" i="2" s="1"/>
  <c r="Z465" i="2"/>
  <c r="Z370" i="2"/>
  <c r="Z329" i="2"/>
  <c r="Z319" i="2"/>
  <c r="Z422" i="2"/>
  <c r="Z463" i="2"/>
  <c r="Z412" i="2"/>
  <c r="Y556" i="2"/>
  <c r="Y515" i="2"/>
  <c r="Y583" i="33"/>
  <c r="Y585" i="33"/>
  <c r="Z585" i="33"/>
  <c r="Z583" i="33"/>
  <c r="Z108" i="33"/>
  <c r="Z518" i="2"/>
  <c r="Z527" i="2" s="1"/>
  <c r="Z545" i="2" s="1"/>
  <c r="Z559" i="2"/>
  <c r="Y374" i="2"/>
  <c r="Y325" i="2"/>
  <c r="Y350" i="2" s="1"/>
  <c r="Z201" i="33"/>
  <c r="Z281" i="33" s="1"/>
  <c r="X387" i="2"/>
  <c r="V419" i="2"/>
  <c r="V427" i="2" s="1"/>
  <c r="V418" i="2"/>
  <c r="V443" i="2" s="1"/>
  <c r="V444" i="2" s="1"/>
  <c r="V456" i="2" s="1"/>
  <c r="V467" i="2"/>
  <c r="X617" i="33"/>
  <c r="W635" i="33"/>
  <c r="V418" i="33"/>
  <c r="V443" i="33" s="1"/>
  <c r="V444" i="33" s="1"/>
  <c r="V419" i="33"/>
  <c r="V427" i="33" s="1"/>
  <c r="V467" i="33"/>
  <c r="T644" i="33"/>
  <c r="X621" i="33"/>
  <c r="W639" i="33"/>
  <c r="V642" i="33"/>
  <c r="Y597" i="33"/>
  <c r="X573" i="33"/>
  <c r="W641" i="33"/>
  <c r="X627" i="33"/>
  <c r="V614" i="33"/>
  <c r="U632" i="33"/>
  <c r="V626" i="33"/>
  <c r="U640" i="33"/>
  <c r="U621" i="2"/>
  <c r="T639" i="2"/>
  <c r="R614" i="2"/>
  <c r="Q632" i="2"/>
  <c r="Q644" i="2" s="1"/>
  <c r="U511" i="2"/>
  <c r="U536" i="2" s="1"/>
  <c r="U537" i="2" s="1"/>
  <c r="U512" i="2"/>
  <c r="U520" i="2" s="1"/>
  <c r="V635" i="2"/>
  <c r="W617" i="2"/>
  <c r="S642" i="2"/>
  <c r="T630" i="2"/>
  <c r="U604" i="2"/>
  <c r="U629" i="2" s="1"/>
  <c r="U605" i="2"/>
  <c r="U613" i="2" s="1"/>
  <c r="U653" i="2"/>
  <c r="Y634" i="2"/>
  <c r="Z616" i="2"/>
  <c r="Z634" i="2" s="1"/>
  <c r="W597" i="2"/>
  <c r="W598" i="2" s="1"/>
  <c r="W599" i="2" s="1"/>
  <c r="W612" i="2" s="1"/>
  <c r="V573" i="2"/>
  <c r="R640" i="2"/>
  <c r="S626" i="2"/>
  <c r="T641" i="2"/>
  <c r="U627" i="2"/>
  <c r="U272" i="2"/>
  <c r="Z341" i="33"/>
  <c r="Y359" i="33"/>
  <c r="Y354" i="33"/>
  <c r="Z291" i="33"/>
  <c r="Y357" i="33"/>
  <c r="Y362" i="33"/>
  <c r="Y361" i="33"/>
  <c r="X338" i="33"/>
  <c r="W356" i="33"/>
  <c r="Y340" i="33"/>
  <c r="X358" i="33"/>
  <c r="A510" i="33"/>
  <c r="F509" i="33"/>
  <c r="G504" i="33" s="1"/>
  <c r="S555" i="33"/>
  <c r="S514" i="33"/>
  <c r="M542" i="33"/>
  <c r="N524" i="33"/>
  <c r="U487" i="33"/>
  <c r="T488" i="33"/>
  <c r="T486" i="33" s="1"/>
  <c r="Q541" i="33"/>
  <c r="R523" i="33"/>
  <c r="Y504" i="2"/>
  <c r="X505" i="2"/>
  <c r="W506" i="2"/>
  <c r="W519" i="2" s="1"/>
  <c r="R539" i="2"/>
  <c r="R551" i="2" s="1"/>
  <c r="S521" i="2"/>
  <c r="U546" i="2"/>
  <c r="V528" i="2"/>
  <c r="V480" i="2"/>
  <c r="X524" i="2"/>
  <c r="W542" i="2"/>
  <c r="T549" i="2"/>
  <c r="Y541" i="2"/>
  <c r="Z523" i="2"/>
  <c r="Z541" i="2" s="1"/>
  <c r="T533" i="2"/>
  <c r="S547" i="2"/>
  <c r="U548" i="2"/>
  <c r="V534" i="2"/>
  <c r="N76" i="2"/>
  <c r="O58" i="2"/>
  <c r="P90" i="2"/>
  <c r="P88" i="2" s="1"/>
  <c r="P49" i="2"/>
  <c r="A39" i="2"/>
  <c r="F38" i="2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R22" i="2"/>
  <c r="Q23" i="2"/>
  <c r="Q21" i="2" s="1"/>
  <c r="J77" i="2"/>
  <c r="K59" i="2"/>
  <c r="Z281" i="2"/>
  <c r="Z232" i="2"/>
  <c r="Z257" i="2" s="1"/>
  <c r="Z80" i="33"/>
  <c r="AC80" i="33" s="1" a="1"/>
  <c r="AC80" i="33" s="1"/>
  <c r="AC79" i="2" a="1"/>
  <c r="AC79" i="2" s="1"/>
  <c r="AC170" i="2" a="1"/>
  <c r="AC170" i="2" s="1"/>
  <c r="X453" i="2"/>
  <c r="U167" i="2"/>
  <c r="V149" i="2"/>
  <c r="Y59" i="33"/>
  <c r="X77" i="33"/>
  <c r="X63" i="33"/>
  <c r="W81" i="33"/>
  <c r="V56" i="33"/>
  <c r="U74" i="33"/>
  <c r="U86" i="33" s="1"/>
  <c r="Y58" i="33"/>
  <c r="X76" i="33"/>
  <c r="Y169" i="2"/>
  <c r="Z151" i="2"/>
  <c r="Z169" i="2" s="1"/>
  <c r="Z430" i="33"/>
  <c r="U446" i="2"/>
  <c r="U458" i="2" s="1"/>
  <c r="Z168" i="33"/>
  <c r="AC168" i="33" s="1" a="1"/>
  <c r="AC168" i="33" s="1"/>
  <c r="Z175" i="33"/>
  <c r="AC175" i="33" s="1" a="1"/>
  <c r="AC175" i="33" s="1"/>
  <c r="Z176" i="33"/>
  <c r="AC176" i="33" s="1" a="1"/>
  <c r="AC176" i="33" s="1"/>
  <c r="Z171" i="33"/>
  <c r="AC171" i="33" s="1" a="1"/>
  <c r="AC171" i="33" s="1"/>
  <c r="Z169" i="33"/>
  <c r="AC169" i="33" s="1" a="1"/>
  <c r="AC169" i="33" s="1"/>
  <c r="V177" i="2"/>
  <c r="W165" i="2"/>
  <c r="W165" i="33"/>
  <c r="V177" i="33"/>
  <c r="Z173" i="33"/>
  <c r="AC173" i="33" s="1" a="1"/>
  <c r="AC173" i="33" s="1"/>
  <c r="Z152" i="33"/>
  <c r="Z170" i="33" s="1"/>
  <c r="Y170" i="33"/>
  <c r="X156" i="33"/>
  <c r="W174" i="33"/>
  <c r="Y337" i="33"/>
  <c r="X355" i="33"/>
  <c r="Z83" i="33"/>
  <c r="AC83" i="33" s="1" a="1"/>
  <c r="AC83" i="33" s="1"/>
  <c r="Z78" i="33"/>
  <c r="AC78" i="33" s="1" a="1"/>
  <c r="AC78" i="33" s="1"/>
  <c r="Z82" i="33"/>
  <c r="AC82" i="33" s="1" a="1"/>
  <c r="AC82" i="33" s="1"/>
  <c r="Z75" i="33"/>
  <c r="AC75" i="33" s="1" a="1"/>
  <c r="AC75" i="33" s="1"/>
  <c r="V428" i="33"/>
  <c r="U446" i="33"/>
  <c r="U458" i="33" s="1"/>
  <c r="Y262" i="2"/>
  <c r="Z244" i="2"/>
  <c r="Z262" i="2" s="1"/>
  <c r="Z61" i="33"/>
  <c r="Z79" i="33" s="1"/>
  <c r="Y79" i="33"/>
  <c r="Y156" i="2"/>
  <c r="X174" i="2"/>
  <c r="U167" i="33"/>
  <c r="U179" i="33" s="1"/>
  <c r="V149" i="33"/>
  <c r="V84" i="33"/>
  <c r="W72" i="33"/>
  <c r="Z172" i="33"/>
  <c r="AC172" i="33" s="1" a="1"/>
  <c r="AC172" i="33" s="1"/>
  <c r="W258" i="2"/>
  <c r="V270" i="2"/>
  <c r="V260" i="2"/>
  <c r="W242" i="2"/>
  <c r="X263" i="33"/>
  <c r="Y245" i="33"/>
  <c r="Z264" i="33"/>
  <c r="AC264" i="33" s="1" a="1"/>
  <c r="AC264" i="33" s="1"/>
  <c r="Z268" i="33"/>
  <c r="AC268" i="33" s="1" a="1"/>
  <c r="AC268" i="33" s="1"/>
  <c r="Z261" i="33"/>
  <c r="AC261" i="33" s="1" a="1"/>
  <c r="AC261" i="33" s="1"/>
  <c r="Z269" i="33"/>
  <c r="AC269" i="33" s="1" a="1"/>
  <c r="AC269" i="33" s="1"/>
  <c r="Z262" i="33"/>
  <c r="AC262" i="33" s="1" a="1"/>
  <c r="AC262" i="33" s="1"/>
  <c r="Z266" i="33"/>
  <c r="AC266" i="33" s="1" a="1"/>
  <c r="AC266" i="33" s="1"/>
  <c r="U242" i="33"/>
  <c r="T260" i="33"/>
  <c r="T272" i="33" s="1"/>
  <c r="V258" i="33"/>
  <c r="U270" i="33"/>
  <c r="Z265" i="33"/>
  <c r="AC265" i="33" s="1" a="1"/>
  <c r="AC265" i="33" s="1"/>
  <c r="Y263" i="2"/>
  <c r="Z245" i="2"/>
  <c r="Z263" i="2" s="1"/>
  <c r="Y249" i="2"/>
  <c r="X267" i="2"/>
  <c r="X249" i="33"/>
  <c r="W267" i="33"/>
  <c r="W360" i="2"/>
  <c r="X342" i="2"/>
  <c r="W363" i="33"/>
  <c r="W335" i="33"/>
  <c r="V353" i="33"/>
  <c r="V365" i="33" s="1"/>
  <c r="V351" i="2"/>
  <c r="U363" i="2"/>
  <c r="U335" i="2"/>
  <c r="T353" i="2"/>
  <c r="T365" i="2" s="1"/>
  <c r="Z340" i="2"/>
  <c r="Z358" i="2" s="1"/>
  <c r="Y358" i="2"/>
  <c r="Y342" i="33"/>
  <c r="X360" i="33"/>
  <c r="X356" i="2"/>
  <c r="Y338" i="2"/>
  <c r="Z477" i="33" l="1"/>
  <c r="Z545" i="33" s="1"/>
  <c r="AC545" i="33" s="1" a="1"/>
  <c r="AC545" i="33" s="1"/>
  <c r="AC545" i="2" a="1"/>
  <c r="AC545" i="2" s="1"/>
  <c r="X170" i="2"/>
  <c r="Y152" i="2"/>
  <c r="Y172" i="2"/>
  <c r="Z154" i="2"/>
  <c r="Z172" i="2" s="1"/>
  <c r="W653" i="33"/>
  <c r="W605" i="33"/>
  <c r="W613" i="33" s="1"/>
  <c r="Z233" i="33"/>
  <c r="Z241" i="33" s="1"/>
  <c r="X325" i="2"/>
  <c r="X350" i="2" s="1"/>
  <c r="V428" i="2"/>
  <c r="W428" i="2" s="1"/>
  <c r="Y543" i="33"/>
  <c r="Y540" i="33"/>
  <c r="Z558" i="2"/>
  <c r="Y598" i="33"/>
  <c r="Y599" i="33" s="1"/>
  <c r="Y612" i="33" s="1"/>
  <c r="Y621" i="33" s="1"/>
  <c r="Z431" i="2"/>
  <c r="Z449" i="2" s="1"/>
  <c r="X326" i="2"/>
  <c r="X334" i="2" s="1"/>
  <c r="Y620" i="2"/>
  <c r="Y638" i="2" s="1"/>
  <c r="X431" i="33"/>
  <c r="X449" i="33" s="1"/>
  <c r="AC634" i="33" a="1"/>
  <c r="AC634" i="33" s="1"/>
  <c r="AC79" i="33" a="1"/>
  <c r="AC79" i="33" s="1"/>
  <c r="AC170" i="33" a="1"/>
  <c r="AC170" i="33" s="1"/>
  <c r="Y435" i="33"/>
  <c r="Y453" i="33" s="1"/>
  <c r="Z638" i="33"/>
  <c r="AC638" i="33" s="1" a="1"/>
  <c r="AC638" i="33" s="1"/>
  <c r="W444" i="2"/>
  <c r="W456" i="2" s="1"/>
  <c r="Z232" i="33"/>
  <c r="Z257" i="33" s="1"/>
  <c r="Z610" i="33"/>
  <c r="Z619" i="33" s="1"/>
  <c r="Z637" i="33" s="1"/>
  <c r="Z651" i="33"/>
  <c r="Y387" i="33"/>
  <c r="Y418" i="33" s="1"/>
  <c r="Y443" i="33" s="1"/>
  <c r="Y450" i="33"/>
  <c r="Y451" i="33"/>
  <c r="Y454" i="33"/>
  <c r="Y452" i="33"/>
  <c r="Y455" i="33"/>
  <c r="Z384" i="33"/>
  <c r="Y447" i="33"/>
  <c r="Y544" i="33"/>
  <c r="Y637" i="33"/>
  <c r="X635" i="33"/>
  <c r="Y325" i="33"/>
  <c r="Y350" i="33" s="1"/>
  <c r="Y374" i="33"/>
  <c r="Y326" i="33"/>
  <c r="Y334" i="33" s="1"/>
  <c r="X387" i="33"/>
  <c r="Y637" i="2"/>
  <c r="Z490" i="33"/>
  <c r="Z492" i="33"/>
  <c r="Z608" i="2"/>
  <c r="Z649" i="2"/>
  <c r="Z413" i="2"/>
  <c r="Z426" i="2" s="1"/>
  <c r="Z610" i="2"/>
  <c r="Z619" i="2" s="1"/>
  <c r="Z637" i="2" s="1"/>
  <c r="Z651" i="2"/>
  <c r="Z139" i="33"/>
  <c r="Z164" i="33" s="1"/>
  <c r="Z140" i="33"/>
  <c r="Z148" i="33" s="1"/>
  <c r="Z188" i="33"/>
  <c r="Z526" i="2"/>
  <c r="Z544" i="2" s="1"/>
  <c r="Y544" i="2"/>
  <c r="Z140" i="2"/>
  <c r="Z148" i="2" s="1"/>
  <c r="C98" i="2" s="1"/>
  <c r="Z139" i="2"/>
  <c r="Z164" i="2" s="1"/>
  <c r="Z188" i="2"/>
  <c r="Z490" i="2"/>
  <c r="Z492" i="2"/>
  <c r="X467" i="2"/>
  <c r="X418" i="2"/>
  <c r="X443" i="2" s="1"/>
  <c r="X419" i="2"/>
  <c r="X427" i="2" s="1"/>
  <c r="Z608" i="33"/>
  <c r="Z649" i="33"/>
  <c r="Z517" i="33"/>
  <c r="Z526" i="33" s="1"/>
  <c r="Z558" i="33"/>
  <c r="Z320" i="33"/>
  <c r="Z333" i="33" s="1"/>
  <c r="Z342" i="33" s="1"/>
  <c r="Z360" i="33" s="1"/>
  <c r="Y608" i="2"/>
  <c r="Y649" i="2"/>
  <c r="W444" i="33"/>
  <c r="V456" i="33"/>
  <c r="Z320" i="2"/>
  <c r="Z333" i="2" s="1"/>
  <c r="Z413" i="33"/>
  <c r="Z426" i="33" s="1"/>
  <c r="Y649" i="33"/>
  <c r="Y608" i="33"/>
  <c r="Y617" i="33" s="1"/>
  <c r="Y413" i="2"/>
  <c r="Y426" i="2" s="1"/>
  <c r="Y435" i="2" s="1"/>
  <c r="X374" i="33"/>
  <c r="X325" i="33"/>
  <c r="X350" i="33" s="1"/>
  <c r="X351" i="33" s="1"/>
  <c r="X363" i="33" s="1"/>
  <c r="X326" i="33"/>
  <c r="X334" i="33" s="1"/>
  <c r="Z633" i="33"/>
  <c r="AC633" i="33" s="1" a="1"/>
  <c r="AC633" i="33" s="1"/>
  <c r="Z636" i="33"/>
  <c r="AC636" i="33" s="1" a="1"/>
  <c r="AC636" i="33" s="1"/>
  <c r="U644" i="33"/>
  <c r="X639" i="33"/>
  <c r="W642" i="33"/>
  <c r="X604" i="33"/>
  <c r="X629" i="33" s="1"/>
  <c r="X630" i="33" s="1"/>
  <c r="X605" i="33"/>
  <c r="X613" i="33" s="1"/>
  <c r="X653" i="33"/>
  <c r="Z597" i="33"/>
  <c r="Z598" i="33" s="1"/>
  <c r="Z599" i="33" s="1"/>
  <c r="Z612" i="33" s="1"/>
  <c r="V632" i="33"/>
  <c r="V640" i="33"/>
  <c r="W626" i="33"/>
  <c r="X641" i="33"/>
  <c r="Y627" i="33"/>
  <c r="R632" i="2"/>
  <c r="R644" i="2" s="1"/>
  <c r="S614" i="2"/>
  <c r="V621" i="2"/>
  <c r="U639" i="2"/>
  <c r="AC634" i="2" a="1"/>
  <c r="AC634" i="2" s="1"/>
  <c r="S640" i="2"/>
  <c r="T626" i="2"/>
  <c r="V604" i="2"/>
  <c r="V629" i="2" s="1"/>
  <c r="V605" i="2"/>
  <c r="V613" i="2" s="1"/>
  <c r="V653" i="2"/>
  <c r="T642" i="2"/>
  <c r="U630" i="2"/>
  <c r="X597" i="2"/>
  <c r="X598" i="2" s="1"/>
  <c r="X599" i="2" s="1"/>
  <c r="X612" i="2" s="1"/>
  <c r="W573" i="2"/>
  <c r="W635" i="2"/>
  <c r="X617" i="2"/>
  <c r="U641" i="2"/>
  <c r="V627" i="2"/>
  <c r="Y338" i="33"/>
  <c r="X356" i="33"/>
  <c r="Z357" i="33"/>
  <c r="AC357" i="33" s="1" a="1"/>
  <c r="AC357" i="33" s="1"/>
  <c r="Z362" i="33"/>
  <c r="AC362" i="33" s="1" a="1"/>
  <c r="AC362" i="33" s="1"/>
  <c r="Z361" i="33"/>
  <c r="AC361" i="33" s="1" a="1"/>
  <c r="AC361" i="33" s="1"/>
  <c r="Z354" i="33"/>
  <c r="AC354" i="33" s="1" a="1"/>
  <c r="AC354" i="33" s="1"/>
  <c r="Y358" i="33"/>
  <c r="Z340" i="33"/>
  <c r="Z358" i="33" s="1"/>
  <c r="W480" i="2"/>
  <c r="W560" i="2" s="1"/>
  <c r="Z359" i="33"/>
  <c r="AC359" i="33" s="1" a="1"/>
  <c r="AC359" i="33" s="1"/>
  <c r="G505" i="33"/>
  <c r="G506" i="33" s="1"/>
  <c r="G519" i="33" s="1"/>
  <c r="G528" i="33" s="1"/>
  <c r="R541" i="33"/>
  <c r="S523" i="33"/>
  <c r="T555" i="33"/>
  <c r="T514" i="33"/>
  <c r="V487" i="33"/>
  <c r="U488" i="33"/>
  <c r="U486" i="33" s="1"/>
  <c r="F531" i="33"/>
  <c r="F534" i="33" s="1"/>
  <c r="G534" i="33" s="1"/>
  <c r="F508" i="33"/>
  <c r="L485" i="33"/>
  <c r="S485" i="33"/>
  <c r="AA485" i="33"/>
  <c r="T485" i="33"/>
  <c r="K485" i="33"/>
  <c r="H485" i="33"/>
  <c r="X485" i="33"/>
  <c r="Q485" i="33"/>
  <c r="V485" i="33"/>
  <c r="R485" i="33"/>
  <c r="M485" i="33"/>
  <c r="Z485" i="33"/>
  <c r="I485" i="33"/>
  <c r="P485" i="33"/>
  <c r="G485" i="33"/>
  <c r="Y485" i="33"/>
  <c r="O485" i="33"/>
  <c r="U485" i="33"/>
  <c r="W485" i="33"/>
  <c r="N485" i="33"/>
  <c r="J485" i="33"/>
  <c r="H504" i="33"/>
  <c r="A511" i="33"/>
  <c r="N542" i="33"/>
  <c r="O524" i="33"/>
  <c r="W528" i="2"/>
  <c r="V546" i="2"/>
  <c r="S539" i="2"/>
  <c r="S551" i="2" s="1"/>
  <c r="T521" i="2"/>
  <c r="W511" i="2"/>
  <c r="W536" i="2" s="1"/>
  <c r="X506" i="2"/>
  <c r="X519" i="2" s="1"/>
  <c r="V560" i="2"/>
  <c r="V511" i="2"/>
  <c r="V536" i="2" s="1"/>
  <c r="V537" i="2" s="1"/>
  <c r="V512" i="2"/>
  <c r="V520" i="2" s="1"/>
  <c r="Y505" i="2"/>
  <c r="Z504" i="2"/>
  <c r="AC541" i="2" a="1"/>
  <c r="AC541" i="2" s="1"/>
  <c r="U549" i="2"/>
  <c r="X542" i="2"/>
  <c r="Y524" i="2"/>
  <c r="T547" i="2"/>
  <c r="U533" i="2"/>
  <c r="V548" i="2"/>
  <c r="W534" i="2"/>
  <c r="Q49" i="2"/>
  <c r="Q90" i="2"/>
  <c r="Q88" i="2" s="1"/>
  <c r="A40" i="2"/>
  <c r="C39" i="2"/>
  <c r="S22" i="2"/>
  <c r="R23" i="2"/>
  <c r="R21" i="2" s="1"/>
  <c r="L59" i="2"/>
  <c r="K77" i="2"/>
  <c r="O76" i="2"/>
  <c r="P58" i="2"/>
  <c r="Z58" i="33"/>
  <c r="Z76" i="33" s="1"/>
  <c r="Y76" i="33"/>
  <c r="V74" i="33"/>
  <c r="V86" i="33" s="1"/>
  <c r="W56" i="33"/>
  <c r="V167" i="2"/>
  <c r="V179" i="2" s="1"/>
  <c r="W149" i="2"/>
  <c r="U179" i="2"/>
  <c r="Z156" i="2"/>
  <c r="Z174" i="2" s="1"/>
  <c r="Y174" i="2"/>
  <c r="Z337" i="33"/>
  <c r="Z355" i="33" s="1"/>
  <c r="Y355" i="33"/>
  <c r="AC355" i="33" s="1" a="1"/>
  <c r="AC355" i="33" s="1"/>
  <c r="AC169" i="2" a="1"/>
  <c r="AC169" i="2" s="1"/>
  <c r="Y63" i="33"/>
  <c r="X81" i="33"/>
  <c r="X72" i="33"/>
  <c r="W84" i="33"/>
  <c r="V272" i="2"/>
  <c r="X165" i="33"/>
  <c r="W177" i="33"/>
  <c r="V446" i="33"/>
  <c r="W428" i="33"/>
  <c r="V167" i="33"/>
  <c r="V179" i="33" s="1"/>
  <c r="W149" i="33"/>
  <c r="X174" i="33"/>
  <c r="Y156" i="33"/>
  <c r="X165" i="2"/>
  <c r="W177" i="2"/>
  <c r="Z59" i="33"/>
  <c r="Z77" i="33" s="1"/>
  <c r="Y77" i="33"/>
  <c r="W270" i="2"/>
  <c r="X258" i="2"/>
  <c r="W258" i="33"/>
  <c r="V270" i="33"/>
  <c r="X267" i="33"/>
  <c r="Y249" i="33"/>
  <c r="Y263" i="33"/>
  <c r="Z245" i="33"/>
  <c r="Z263" i="33" s="1"/>
  <c r="U260" i="33"/>
  <c r="U272" i="33" s="1"/>
  <c r="V242" i="33"/>
  <c r="Z249" i="2"/>
  <c r="Z267" i="2" s="1"/>
  <c r="Y267" i="2"/>
  <c r="W260" i="2"/>
  <c r="X242" i="2"/>
  <c r="Y360" i="33"/>
  <c r="U353" i="2"/>
  <c r="U365" i="2" s="1"/>
  <c r="V335" i="2"/>
  <c r="W353" i="33"/>
  <c r="W365" i="33" s="1"/>
  <c r="Y356" i="2"/>
  <c r="Z338" i="2"/>
  <c r="Z356" i="2" s="1"/>
  <c r="V363" i="2"/>
  <c r="W351" i="2"/>
  <c r="X360" i="2"/>
  <c r="Y342" i="2"/>
  <c r="X444" i="2" l="1"/>
  <c r="X456" i="2" s="1"/>
  <c r="V446" i="2"/>
  <c r="V458" i="2" s="1"/>
  <c r="Y573" i="33"/>
  <c r="Z543" i="33"/>
  <c r="AC543" i="33" s="1" a="1"/>
  <c r="AC543" i="33" s="1"/>
  <c r="Z540" i="33"/>
  <c r="Z544" i="33"/>
  <c r="AC544" i="33" s="1" a="1"/>
  <c r="AC544" i="33" s="1"/>
  <c r="AC358" i="33" a="1"/>
  <c r="AC358" i="33" s="1"/>
  <c r="AC360" i="33" a="1"/>
  <c r="AC360" i="33" s="1"/>
  <c r="AC263" i="33" a="1"/>
  <c r="AC263" i="33" s="1"/>
  <c r="Y170" i="2"/>
  <c r="Z152" i="2"/>
  <c r="Z170" i="2" s="1"/>
  <c r="W614" i="33"/>
  <c r="X614" i="33" s="1"/>
  <c r="AC540" i="33" a="1"/>
  <c r="AC540" i="33" s="1"/>
  <c r="AC544" i="2" a="1"/>
  <c r="AC544" i="2" s="1"/>
  <c r="Y431" i="33"/>
  <c r="Z435" i="33"/>
  <c r="Z453" i="33" s="1"/>
  <c r="AC453" i="33" s="1" a="1"/>
  <c r="AC453" i="33" s="1"/>
  <c r="V458" i="33"/>
  <c r="Z620" i="2"/>
  <c r="Z638" i="2" s="1"/>
  <c r="AC638" i="2" s="1" a="1"/>
  <c r="AC638" i="2" s="1"/>
  <c r="Z387" i="33"/>
  <c r="Z418" i="33" s="1"/>
  <c r="Z443" i="33" s="1"/>
  <c r="Z435" i="2"/>
  <c r="Z453" i="2" s="1"/>
  <c r="AC637" i="33" a="1"/>
  <c r="AC637" i="33" s="1"/>
  <c r="X335" i="33"/>
  <c r="Y335" i="33" s="1"/>
  <c r="Z294" i="33"/>
  <c r="Z325" i="33" s="1"/>
  <c r="Z350" i="33" s="1"/>
  <c r="Y351" i="33"/>
  <c r="Y363" i="33" s="1"/>
  <c r="AC76" i="33" a="1"/>
  <c r="AC76" i="33" s="1"/>
  <c r="AC77" i="33" a="1"/>
  <c r="AC77" i="33" s="1"/>
  <c r="Y467" i="33"/>
  <c r="Y419" i="33"/>
  <c r="Y427" i="33" s="1"/>
  <c r="Y453" i="2"/>
  <c r="Z294" i="2"/>
  <c r="Z326" i="2" s="1"/>
  <c r="Z334" i="2" s="1"/>
  <c r="Z452" i="33"/>
  <c r="AC452" i="33" s="1" a="1"/>
  <c r="AC452" i="33" s="1"/>
  <c r="Z447" i="33"/>
  <c r="AC447" i="33" s="1" a="1"/>
  <c r="AC447" i="33" s="1"/>
  <c r="Z455" i="33"/>
  <c r="AC455" i="33" s="1" a="1"/>
  <c r="AC455" i="33" s="1"/>
  <c r="Z451" i="33"/>
  <c r="AC451" i="33" s="1" a="1"/>
  <c r="AC451" i="33" s="1"/>
  <c r="Z454" i="33"/>
  <c r="AC454" i="33" s="1" a="1"/>
  <c r="AC454" i="33" s="1"/>
  <c r="Z450" i="33"/>
  <c r="AC450" i="33" s="1" a="1"/>
  <c r="AC450" i="33" s="1"/>
  <c r="Z448" i="33"/>
  <c r="AC448" i="33" s="1" a="1"/>
  <c r="AC448" i="33" s="1"/>
  <c r="Y635" i="33"/>
  <c r="Z617" i="33"/>
  <c r="Z635" i="33" s="1"/>
  <c r="W456" i="33"/>
  <c r="Z515" i="2"/>
  <c r="Z524" i="2" s="1"/>
  <c r="Z542" i="2" s="1"/>
  <c r="Z556" i="2"/>
  <c r="Z556" i="33"/>
  <c r="Z515" i="33"/>
  <c r="AC637" i="2" a="1"/>
  <c r="AC637" i="2" s="1"/>
  <c r="Z387" i="2"/>
  <c r="X418" i="33"/>
  <c r="X443" i="33" s="1"/>
  <c r="X444" i="33" s="1"/>
  <c r="X419" i="33"/>
  <c r="X427" i="33" s="1"/>
  <c r="X467" i="33"/>
  <c r="V644" i="33"/>
  <c r="Y387" i="2"/>
  <c r="Y639" i="33"/>
  <c r="Z621" i="33"/>
  <c r="Z639" i="33" s="1"/>
  <c r="X642" i="33"/>
  <c r="AA597" i="33"/>
  <c r="Z573" i="33"/>
  <c r="X626" i="33"/>
  <c r="W640" i="33"/>
  <c r="W632" i="33"/>
  <c r="Y641" i="33"/>
  <c r="Z627" i="33"/>
  <c r="Z641" i="33" s="1"/>
  <c r="Y605" i="33"/>
  <c r="Y613" i="33" s="1"/>
  <c r="Y604" i="33"/>
  <c r="Y629" i="33" s="1"/>
  <c r="Y630" i="33" s="1"/>
  <c r="Y653" i="33"/>
  <c r="V639" i="2"/>
  <c r="W621" i="2"/>
  <c r="S632" i="2"/>
  <c r="S644" i="2" s="1"/>
  <c r="T614" i="2"/>
  <c r="W512" i="2"/>
  <c r="W520" i="2" s="1"/>
  <c r="V641" i="2"/>
  <c r="W627" i="2"/>
  <c r="V630" i="2"/>
  <c r="U642" i="2"/>
  <c r="T640" i="2"/>
  <c r="U626" i="2"/>
  <c r="X635" i="2"/>
  <c r="Y617" i="2"/>
  <c r="W604" i="2"/>
  <c r="W629" i="2" s="1"/>
  <c r="W605" i="2"/>
  <c r="W613" i="2" s="1"/>
  <c r="W653" i="2"/>
  <c r="Y597" i="2"/>
  <c r="Y598" i="2" s="1"/>
  <c r="Y599" i="2" s="1"/>
  <c r="Y612" i="2" s="1"/>
  <c r="X573" i="2"/>
  <c r="Y356" i="33"/>
  <c r="AC356" i="33" s="1" a="1"/>
  <c r="AC356" i="33" s="1"/>
  <c r="Z338" i="33"/>
  <c r="Z356" i="33" s="1"/>
  <c r="H505" i="33"/>
  <c r="H506" i="33" s="1"/>
  <c r="H519" i="33" s="1"/>
  <c r="H528" i="33" s="1"/>
  <c r="G546" i="33"/>
  <c r="G480" i="33"/>
  <c r="I504" i="33"/>
  <c r="F530" i="33"/>
  <c r="F511" i="33"/>
  <c r="F536" i="33" s="1"/>
  <c r="F537" i="33" s="1"/>
  <c r="W487" i="33"/>
  <c r="V488" i="33"/>
  <c r="V486" i="33" s="1"/>
  <c r="O542" i="33"/>
  <c r="P524" i="33"/>
  <c r="A512" i="33"/>
  <c r="H534" i="33"/>
  <c r="G548" i="33"/>
  <c r="S541" i="33"/>
  <c r="T523" i="33"/>
  <c r="U555" i="33"/>
  <c r="U514" i="33"/>
  <c r="Y506" i="2"/>
  <c r="Y519" i="2" s="1"/>
  <c r="T539" i="2"/>
  <c r="T551" i="2" s="1"/>
  <c r="U521" i="2"/>
  <c r="AA504" i="2"/>
  <c r="Z505" i="2"/>
  <c r="X480" i="2"/>
  <c r="W546" i="2"/>
  <c r="X528" i="2"/>
  <c r="V549" i="2"/>
  <c r="W537" i="2"/>
  <c r="U547" i="2"/>
  <c r="V533" i="2"/>
  <c r="W548" i="2"/>
  <c r="X534" i="2"/>
  <c r="Y542" i="2"/>
  <c r="R90" i="2"/>
  <c r="R88" i="2" s="1"/>
  <c r="R49" i="2"/>
  <c r="Q58" i="2"/>
  <c r="P76" i="2"/>
  <c r="A41" i="2"/>
  <c r="C40" i="2"/>
  <c r="T22" i="2"/>
  <c r="S23" i="2"/>
  <c r="S21" i="2" s="1"/>
  <c r="M59" i="2"/>
  <c r="L77" i="2"/>
  <c r="AC174" i="2" a="1"/>
  <c r="AC174" i="2" s="1"/>
  <c r="Y165" i="2"/>
  <c r="X177" i="2"/>
  <c r="W167" i="2"/>
  <c r="W179" i="2" s="1"/>
  <c r="X149" i="2"/>
  <c r="X177" i="33"/>
  <c r="Y165" i="33"/>
  <c r="X149" i="33"/>
  <c r="W167" i="33"/>
  <c r="W179" i="33" s="1"/>
  <c r="X56" i="33"/>
  <c r="W74" i="33"/>
  <c r="W86" i="33" s="1"/>
  <c r="Y72" i="33"/>
  <c r="X84" i="33"/>
  <c r="Z63" i="33"/>
  <c r="Z81" i="33" s="1"/>
  <c r="Y81" i="33"/>
  <c r="W446" i="33"/>
  <c r="Z156" i="33"/>
  <c r="Z174" i="33" s="1"/>
  <c r="Y174" i="33"/>
  <c r="W272" i="2"/>
  <c r="W446" i="2"/>
  <c r="W458" i="2" s="1"/>
  <c r="X428" i="2"/>
  <c r="X270" i="2"/>
  <c r="Y258" i="2"/>
  <c r="X260" i="2"/>
  <c r="Y242" i="2"/>
  <c r="Y267" i="33"/>
  <c r="AC267" i="33" s="1" a="1"/>
  <c r="AC267" i="33" s="1"/>
  <c r="Z249" i="33"/>
  <c r="Z267" i="33" s="1"/>
  <c r="X258" i="33"/>
  <c r="W270" i="33"/>
  <c r="V260" i="33"/>
  <c r="V272" i="33" s="1"/>
  <c r="W242" i="33"/>
  <c r="Y360" i="2"/>
  <c r="Z342" i="2"/>
  <c r="Z360" i="2" s="1"/>
  <c r="X351" i="2"/>
  <c r="W363" i="2"/>
  <c r="V353" i="2"/>
  <c r="V365" i="2" s="1"/>
  <c r="W335" i="2"/>
  <c r="A513" i="33" l="1"/>
  <c r="Z374" i="33"/>
  <c r="Z325" i="2"/>
  <c r="Z350" i="2" s="1"/>
  <c r="Z326" i="33"/>
  <c r="Z334" i="33" s="1"/>
  <c r="Z351" i="33"/>
  <c r="Z363" i="33" s="1"/>
  <c r="AC363" i="33" s="1" a="1"/>
  <c r="AC363" i="33" s="1"/>
  <c r="X353" i="33"/>
  <c r="Z467" i="33"/>
  <c r="Z419" i="33"/>
  <c r="Z427" i="33" s="1"/>
  <c r="Z431" i="33"/>
  <c r="Z449" i="33" s="1"/>
  <c r="Y449" i="33"/>
  <c r="Z374" i="2"/>
  <c r="AC635" i="33" a="1"/>
  <c r="AC635" i="33" s="1"/>
  <c r="AC639" i="33" a="1"/>
  <c r="AC639" i="33" s="1"/>
  <c r="AC81" i="33" a="1"/>
  <c r="AC81" i="33" s="1"/>
  <c r="AC174" i="33" a="1"/>
  <c r="AC174" i="33" s="1"/>
  <c r="W644" i="33"/>
  <c r="W458" i="33"/>
  <c r="X428" i="33"/>
  <c r="Y428" i="33" s="1"/>
  <c r="AC641" i="33" a="1"/>
  <c r="AC641" i="33" s="1"/>
  <c r="Y444" i="33"/>
  <c r="X456" i="33"/>
  <c r="Y419" i="2"/>
  <c r="Y427" i="2" s="1"/>
  <c r="Y418" i="2"/>
  <c r="Y443" i="2" s="1"/>
  <c r="Y444" i="2" s="1"/>
  <c r="Y456" i="2" s="1"/>
  <c r="Y467" i="2"/>
  <c r="Z418" i="2"/>
  <c r="Z443" i="2" s="1"/>
  <c r="Z419" i="2"/>
  <c r="Z427" i="2" s="1"/>
  <c r="Z467" i="2"/>
  <c r="Y642" i="33"/>
  <c r="Y626" i="33"/>
  <c r="X640" i="33"/>
  <c r="Z604" i="33"/>
  <c r="Z629" i="33" s="1"/>
  <c r="Z630" i="33" s="1"/>
  <c r="Z642" i="33" s="1"/>
  <c r="Z605" i="33"/>
  <c r="Z613" i="33" s="1"/>
  <c r="Z653" i="33"/>
  <c r="Y614" i="33"/>
  <c r="X632" i="33"/>
  <c r="T632" i="2"/>
  <c r="T644" i="2" s="1"/>
  <c r="U614" i="2"/>
  <c r="W639" i="2"/>
  <c r="X621" i="2"/>
  <c r="V626" i="2"/>
  <c r="U640" i="2"/>
  <c r="V642" i="2"/>
  <c r="W630" i="2"/>
  <c r="W641" i="2"/>
  <c r="X627" i="2"/>
  <c r="X604" i="2"/>
  <c r="X629" i="2" s="1"/>
  <c r="X605" i="2"/>
  <c r="X613" i="2" s="1"/>
  <c r="X653" i="2"/>
  <c r="Y635" i="2"/>
  <c r="Z617" i="2"/>
  <c r="Z635" i="2" s="1"/>
  <c r="Z597" i="2"/>
  <c r="Z598" i="2" s="1"/>
  <c r="Z599" i="2" s="1"/>
  <c r="Z612" i="2" s="1"/>
  <c r="Y573" i="2"/>
  <c r="AC542" i="2" a="1"/>
  <c r="AC542" i="2" s="1"/>
  <c r="H546" i="33"/>
  <c r="J504" i="33"/>
  <c r="I505" i="33"/>
  <c r="I506" i="33" s="1"/>
  <c r="I519" i="33" s="1"/>
  <c r="I528" i="33" s="1"/>
  <c r="G560" i="33"/>
  <c r="G512" i="33"/>
  <c r="G511" i="33"/>
  <c r="G536" i="33" s="1"/>
  <c r="G537" i="33" s="1"/>
  <c r="H480" i="33"/>
  <c r="F532" i="33"/>
  <c r="F533" i="33"/>
  <c r="G533" i="33" s="1"/>
  <c r="T541" i="33"/>
  <c r="U523" i="33"/>
  <c r="H548" i="33"/>
  <c r="I534" i="33"/>
  <c r="Q524" i="33"/>
  <c r="P542" i="33"/>
  <c r="X487" i="33"/>
  <c r="W488" i="33"/>
  <c r="W486" i="33" s="1"/>
  <c r="V555" i="33"/>
  <c r="V514" i="33"/>
  <c r="K504" i="33"/>
  <c r="K505" i="33" s="1"/>
  <c r="K506" i="33" s="1"/>
  <c r="K519" i="33" s="1"/>
  <c r="X511" i="2"/>
  <c r="X536" i="2" s="1"/>
  <c r="X537" i="2" s="1"/>
  <c r="X512" i="2"/>
  <c r="X520" i="2" s="1"/>
  <c r="X560" i="2"/>
  <c r="V521" i="2"/>
  <c r="U539" i="2"/>
  <c r="U551" i="2" s="1"/>
  <c r="Z506" i="2"/>
  <c r="Z519" i="2" s="1"/>
  <c r="Y528" i="2"/>
  <c r="X546" i="2"/>
  <c r="Y480" i="2"/>
  <c r="V547" i="2"/>
  <c r="W533" i="2"/>
  <c r="X548" i="2"/>
  <c r="Y534" i="2"/>
  <c r="W549" i="2"/>
  <c r="A42" i="2"/>
  <c r="S49" i="2"/>
  <c r="S90" i="2"/>
  <c r="S88" i="2" s="1"/>
  <c r="M77" i="2"/>
  <c r="N59" i="2"/>
  <c r="U22" i="2"/>
  <c r="T23" i="2"/>
  <c r="T21" i="2" s="1"/>
  <c r="R58" i="2"/>
  <c r="Q76" i="2"/>
  <c r="X272" i="2"/>
  <c r="X74" i="33"/>
  <c r="X86" i="33" s="1"/>
  <c r="Y56" i="33"/>
  <c r="X446" i="33"/>
  <c r="Y177" i="2"/>
  <c r="Z165" i="2"/>
  <c r="Z177" i="2" s="1"/>
  <c r="Y149" i="33"/>
  <c r="X167" i="33"/>
  <c r="X179" i="33" s="1"/>
  <c r="Y149" i="2"/>
  <c r="X167" i="2"/>
  <c r="X446" i="2"/>
  <c r="X458" i="2" s="1"/>
  <c r="Y177" i="33"/>
  <c r="Z165" i="33"/>
  <c r="Z177" i="33" s="1"/>
  <c r="Y84" i="33"/>
  <c r="Z72" i="33"/>
  <c r="Z84" i="33" s="1"/>
  <c r="Y270" i="2"/>
  <c r="Z258" i="2"/>
  <c r="Z270" i="2" s="1"/>
  <c r="Y258" i="33"/>
  <c r="X270" i="33"/>
  <c r="Y260" i="2"/>
  <c r="Z242" i="2"/>
  <c r="Z260" i="2" s="1"/>
  <c r="X242" i="33"/>
  <c r="W260" i="33"/>
  <c r="W272" i="33" s="1"/>
  <c r="Y353" i="33"/>
  <c r="Y365" i="33" s="1"/>
  <c r="W353" i="2"/>
  <c r="W365" i="2" s="1"/>
  <c r="X335" i="2"/>
  <c r="X363" i="2"/>
  <c r="Y351" i="2"/>
  <c r="A514" i="33" l="1"/>
  <c r="AC449" i="33" a="1"/>
  <c r="AC449" i="33" s="1"/>
  <c r="X365" i="33"/>
  <c r="Z335" i="33"/>
  <c r="Z353" i="33" s="1"/>
  <c r="Z365" i="33" s="1"/>
  <c r="Y428" i="2"/>
  <c r="Z428" i="2" s="1"/>
  <c r="Z446" i="2" s="1"/>
  <c r="Z444" i="2"/>
  <c r="Z456" i="2" s="1"/>
  <c r="X458" i="33"/>
  <c r="X644" i="33"/>
  <c r="Y456" i="33"/>
  <c r="AC456" i="33" s="1" a="1"/>
  <c r="AC456" i="33" s="1"/>
  <c r="Z444" i="33"/>
  <c r="Z456" i="33" s="1"/>
  <c r="Z626" i="33"/>
  <c r="Z640" i="33" s="1"/>
  <c r="Y640" i="33"/>
  <c r="AC642" i="33" a="1"/>
  <c r="AC642" i="33" s="1"/>
  <c r="Y632" i="33"/>
  <c r="Z614" i="33"/>
  <c r="Z632" i="33" s="1"/>
  <c r="X639" i="2"/>
  <c r="Y621" i="2"/>
  <c r="U632" i="2"/>
  <c r="U644" i="2" s="1"/>
  <c r="V614" i="2"/>
  <c r="W642" i="2"/>
  <c r="X630" i="2"/>
  <c r="Y605" i="2"/>
  <c r="Y613" i="2" s="1"/>
  <c r="Y604" i="2"/>
  <c r="Y629" i="2" s="1"/>
  <c r="Y653" i="2"/>
  <c r="AA597" i="2"/>
  <c r="Z573" i="2"/>
  <c r="X641" i="2"/>
  <c r="Y627" i="2"/>
  <c r="W626" i="2"/>
  <c r="V640" i="2"/>
  <c r="AC635" i="2" a="1"/>
  <c r="AC635" i="2" s="1"/>
  <c r="I480" i="33"/>
  <c r="I511" i="33" s="1"/>
  <c r="I536" i="33" s="1"/>
  <c r="I546" i="33"/>
  <c r="G549" i="33"/>
  <c r="G521" i="33"/>
  <c r="G520" i="33"/>
  <c r="J505" i="33"/>
  <c r="J506" i="33" s="1"/>
  <c r="J519" i="33" s="1"/>
  <c r="J528" i="33" s="1"/>
  <c r="H560" i="33"/>
  <c r="H512" i="33"/>
  <c r="H520" i="33" s="1"/>
  <c r="H511" i="33"/>
  <c r="H536" i="33" s="1"/>
  <c r="H537" i="33" s="1"/>
  <c r="U541" i="33"/>
  <c r="V523" i="33"/>
  <c r="G547" i="33"/>
  <c r="H533" i="33"/>
  <c r="Q542" i="33"/>
  <c r="R524" i="33"/>
  <c r="K480" i="33"/>
  <c r="L504" i="33"/>
  <c r="L505" i="33" s="1"/>
  <c r="L506" i="33" s="1"/>
  <c r="L519" i="33" s="1"/>
  <c r="I548" i="33"/>
  <c r="J534" i="33"/>
  <c r="W555" i="33"/>
  <c r="W514" i="33"/>
  <c r="Y487" i="33"/>
  <c r="X488" i="33"/>
  <c r="X486" i="33" s="1"/>
  <c r="Z480" i="2"/>
  <c r="W521" i="2"/>
  <c r="V539" i="2"/>
  <c r="V551" i="2" s="1"/>
  <c r="Y560" i="2"/>
  <c r="Y511" i="2"/>
  <c r="Y536" i="2" s="1"/>
  <c r="Y537" i="2" s="1"/>
  <c r="Y512" i="2"/>
  <c r="Y520" i="2" s="1"/>
  <c r="Y546" i="2"/>
  <c r="Z528" i="2"/>
  <c r="Z546" i="2" s="1"/>
  <c r="Y548" i="2"/>
  <c r="Z534" i="2"/>
  <c r="Z548" i="2" s="1"/>
  <c r="X549" i="2"/>
  <c r="X533" i="2"/>
  <c r="W547" i="2"/>
  <c r="T90" i="2"/>
  <c r="T88" i="2" s="1"/>
  <c r="T49" i="2"/>
  <c r="V22" i="2"/>
  <c r="U23" i="2"/>
  <c r="U21" i="2" s="1"/>
  <c r="A43" i="2"/>
  <c r="R76" i="2"/>
  <c r="S58" i="2"/>
  <c r="O59" i="2"/>
  <c r="N77" i="2"/>
  <c r="C284" i="33"/>
  <c r="AC177" i="2" a="1"/>
  <c r="AC177" i="2" s="1"/>
  <c r="Y446" i="2"/>
  <c r="Y458" i="2" s="1"/>
  <c r="X179" i="2"/>
  <c r="Y446" i="33"/>
  <c r="Z428" i="33"/>
  <c r="Z446" i="33" s="1"/>
  <c r="Y167" i="2"/>
  <c r="Y179" i="2" s="1"/>
  <c r="Z149" i="2"/>
  <c r="Z167" i="2" s="1"/>
  <c r="Z179" i="2" s="1"/>
  <c r="Z149" i="33"/>
  <c r="Z167" i="33" s="1"/>
  <c r="Y167" i="33"/>
  <c r="Y179" i="33" s="1"/>
  <c r="Y74" i="33"/>
  <c r="Y86" i="33" s="1"/>
  <c r="Z56" i="33"/>
  <c r="Z74" i="33" s="1"/>
  <c r="Z272" i="2"/>
  <c r="C191" i="2" s="1"/>
  <c r="Y272" i="2"/>
  <c r="AC177" i="33" a="1"/>
  <c r="AC177" i="33" s="1"/>
  <c r="AC84" i="33" a="1"/>
  <c r="AC84" i="33" s="1"/>
  <c r="X260" i="33"/>
  <c r="X272" i="33" s="1"/>
  <c r="Y242" i="33"/>
  <c r="Y270" i="33"/>
  <c r="Z258" i="33"/>
  <c r="Z270" i="33" s="1"/>
  <c r="Y363" i="2"/>
  <c r="Z351" i="2"/>
  <c r="Z363" i="2" s="1"/>
  <c r="Y335" i="2"/>
  <c r="X353" i="2"/>
  <c r="X365" i="2" s="1"/>
  <c r="A515" i="33" l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7" i="33" s="1"/>
  <c r="A528" i="33" s="1"/>
  <c r="A529" i="33" s="1"/>
  <c r="A530" i="33" s="1"/>
  <c r="A531" i="33" s="1"/>
  <c r="A532" i="33" s="1"/>
  <c r="A533" i="33" s="1"/>
  <c r="A534" i="33" s="1"/>
  <c r="A535" i="33" s="1"/>
  <c r="A536" i="33" s="1"/>
  <c r="A537" i="33" s="1"/>
  <c r="A538" i="33" s="1"/>
  <c r="A539" i="33" s="1"/>
  <c r="A540" i="33" s="1"/>
  <c r="F54" i="34"/>
  <c r="F84" i="34" s="1"/>
  <c r="AC74" i="33" a="1"/>
  <c r="AC74" i="33" s="1"/>
  <c r="F53" i="34" s="1"/>
  <c r="F83" i="34" s="1"/>
  <c r="AC446" i="33" a="1"/>
  <c r="AC446" i="33" s="1"/>
  <c r="J53" i="34" s="1"/>
  <c r="J83" i="34" s="1"/>
  <c r="AC270" i="33" a="1"/>
  <c r="AC270" i="33" s="1"/>
  <c r="AC353" i="33" a="1"/>
  <c r="AC353" i="33" s="1"/>
  <c r="I53" i="34" s="1"/>
  <c r="Z458" i="2"/>
  <c r="C377" i="2" s="1"/>
  <c r="Y458" i="33"/>
  <c r="Z458" i="33"/>
  <c r="Z644" i="33"/>
  <c r="AC640" i="33" a="1"/>
  <c r="AC640" i="33" s="1"/>
  <c r="AC167" i="33" a="1"/>
  <c r="AC167" i="33" s="1"/>
  <c r="G53" i="34" s="1"/>
  <c r="AC632" i="33" a="1"/>
  <c r="AC632" i="33" s="1"/>
  <c r="Y644" i="33"/>
  <c r="V632" i="2"/>
  <c r="V644" i="2" s="1"/>
  <c r="W614" i="2"/>
  <c r="Z621" i="2"/>
  <c r="Z639" i="2" s="1"/>
  <c r="Y639" i="2"/>
  <c r="I560" i="33"/>
  <c r="I512" i="33"/>
  <c r="I520" i="33" s="1"/>
  <c r="W640" i="2"/>
  <c r="X626" i="2"/>
  <c r="Y641" i="2"/>
  <c r="Z627" i="2"/>
  <c r="Z641" i="2" s="1"/>
  <c r="X642" i="2"/>
  <c r="Y630" i="2"/>
  <c r="Z605" i="2"/>
  <c r="Z613" i="2" s="1"/>
  <c r="C563" i="2" s="1"/>
  <c r="Z604" i="2"/>
  <c r="Z629" i="2" s="1"/>
  <c r="Z653" i="2"/>
  <c r="H549" i="33"/>
  <c r="I537" i="33"/>
  <c r="I549" i="33" s="1"/>
  <c r="J546" i="33"/>
  <c r="K528" i="33"/>
  <c r="J480" i="33"/>
  <c r="G539" i="33"/>
  <c r="G551" i="33" s="1"/>
  <c r="H521" i="33"/>
  <c r="H539" i="33" s="1"/>
  <c r="K534" i="33"/>
  <c r="J548" i="33"/>
  <c r="W523" i="33"/>
  <c r="V541" i="33"/>
  <c r="L480" i="33"/>
  <c r="M504" i="33"/>
  <c r="M505" i="33" s="1"/>
  <c r="M506" i="33" s="1"/>
  <c r="M519" i="33" s="1"/>
  <c r="X555" i="33"/>
  <c r="X514" i="33"/>
  <c r="K511" i="33"/>
  <c r="K536" i="33" s="1"/>
  <c r="K512" i="33"/>
  <c r="K520" i="33" s="1"/>
  <c r="K560" i="33"/>
  <c r="Z487" i="33"/>
  <c r="Z488" i="33" s="1"/>
  <c r="Y488" i="33"/>
  <c r="Y486" i="33" s="1"/>
  <c r="R542" i="33"/>
  <c r="S524" i="33"/>
  <c r="I533" i="33"/>
  <c r="H547" i="33"/>
  <c r="W539" i="2"/>
  <c r="W551" i="2" s="1"/>
  <c r="X521" i="2"/>
  <c r="AC546" i="2" a="1"/>
  <c r="AC546" i="2" s="1"/>
  <c r="Z512" i="2"/>
  <c r="Z520" i="2" s="1"/>
  <c r="C470" i="2" s="1"/>
  <c r="Z560" i="2"/>
  <c r="Z511" i="2"/>
  <c r="Z536" i="2" s="1"/>
  <c r="Z537" i="2" s="1"/>
  <c r="Z549" i="2" s="1"/>
  <c r="Y533" i="2"/>
  <c r="X547" i="2"/>
  <c r="Y549" i="2"/>
  <c r="AC548" i="2" a="1"/>
  <c r="AC548" i="2" s="1"/>
  <c r="T58" i="2"/>
  <c r="S76" i="2"/>
  <c r="A44" i="2"/>
  <c r="W22" i="2"/>
  <c r="V23" i="2"/>
  <c r="V21" i="2" s="1"/>
  <c r="U49" i="2"/>
  <c r="U90" i="2"/>
  <c r="U88" i="2" s="1"/>
  <c r="O77" i="2"/>
  <c r="P59" i="2"/>
  <c r="Z179" i="33"/>
  <c r="C98" i="33" s="1"/>
  <c r="Z86" i="33"/>
  <c r="C5" i="33" s="1"/>
  <c r="AC167" i="2" a="1"/>
  <c r="AC167" i="2" s="1"/>
  <c r="Y260" i="33"/>
  <c r="Y272" i="33" s="1"/>
  <c r="Z242" i="33"/>
  <c r="Z260" i="33" s="1"/>
  <c r="Z272" i="33" s="1"/>
  <c r="Z335" i="2"/>
  <c r="Z353" i="2" s="1"/>
  <c r="Z365" i="2" s="1"/>
  <c r="C284" i="2" s="1"/>
  <c r="Y353" i="2"/>
  <c r="Y365" i="2" s="1"/>
  <c r="G54" i="34" l="1"/>
  <c r="G84" i="34" s="1"/>
  <c r="P54" i="34"/>
  <c r="I54" i="34"/>
  <c r="K54" i="34"/>
  <c r="K84" i="34" s="1"/>
  <c r="J54" i="34"/>
  <c r="J84" i="34" s="1"/>
  <c r="N54" i="34"/>
  <c r="H54" i="34"/>
  <c r="Q54" i="34"/>
  <c r="A541" i="33"/>
  <c r="S54" i="34"/>
  <c r="R54" i="34"/>
  <c r="T54" i="34"/>
  <c r="L54" i="34"/>
  <c r="L84" i="34" s="1"/>
  <c r="M54" i="34"/>
  <c r="O54" i="34"/>
  <c r="C377" i="33"/>
  <c r="AC260" i="33" a="1"/>
  <c r="AC260" i="33" s="1"/>
  <c r="H53" i="34" s="1"/>
  <c r="C563" i="33"/>
  <c r="G83" i="34"/>
  <c r="AC639" i="2" a="1"/>
  <c r="AC639" i="2" s="1"/>
  <c r="W632" i="2"/>
  <c r="W644" i="2" s="1"/>
  <c r="X614" i="2"/>
  <c r="AC641" i="2" a="1"/>
  <c r="AC641" i="2" s="1"/>
  <c r="Y626" i="2"/>
  <c r="X640" i="2"/>
  <c r="Z630" i="2"/>
  <c r="Z642" i="2" s="1"/>
  <c r="Y642" i="2"/>
  <c r="H551" i="33"/>
  <c r="J511" i="33"/>
  <c r="J536" i="33" s="1"/>
  <c r="J537" i="33" s="1"/>
  <c r="J549" i="33" s="1"/>
  <c r="J512" i="33"/>
  <c r="J520" i="33" s="1"/>
  <c r="J560" i="33"/>
  <c r="K546" i="33"/>
  <c r="L528" i="33"/>
  <c r="I521" i="33"/>
  <c r="Z486" i="33"/>
  <c r="Z514" i="33" s="1"/>
  <c r="AA488" i="33"/>
  <c r="M480" i="33"/>
  <c r="N504" i="33"/>
  <c r="N505" i="33" s="1"/>
  <c r="N506" i="33" s="1"/>
  <c r="N519" i="33" s="1"/>
  <c r="J533" i="33"/>
  <c r="I547" i="33"/>
  <c r="L534" i="33"/>
  <c r="K548" i="33"/>
  <c r="T524" i="33"/>
  <c r="S542" i="33"/>
  <c r="Y555" i="33"/>
  <c r="Y514" i="33"/>
  <c r="L512" i="33"/>
  <c r="L520" i="33" s="1"/>
  <c r="L511" i="33"/>
  <c r="L536" i="33" s="1"/>
  <c r="L560" i="33"/>
  <c r="X523" i="33"/>
  <c r="W541" i="33"/>
  <c r="X539" i="2"/>
  <c r="X551" i="2" s="1"/>
  <c r="Y521" i="2"/>
  <c r="Z533" i="2"/>
  <c r="Z547" i="2" s="1"/>
  <c r="Y547" i="2"/>
  <c r="AC549" i="2" a="1"/>
  <c r="AC549" i="2" s="1"/>
  <c r="F44" i="2"/>
  <c r="A45" i="2"/>
  <c r="V49" i="2"/>
  <c r="V90" i="2"/>
  <c r="V88" i="2" s="1"/>
  <c r="T76" i="2"/>
  <c r="U58" i="2"/>
  <c r="X22" i="2"/>
  <c r="W23" i="2"/>
  <c r="W21" i="2" s="1"/>
  <c r="Q59" i="2"/>
  <c r="P77" i="2"/>
  <c r="C191" i="33"/>
  <c r="G55" i="34" l="1"/>
  <c r="G85" i="34" s="1"/>
  <c r="J55" i="34"/>
  <c r="J85" i="34" s="1"/>
  <c r="H55" i="34"/>
  <c r="F55" i="34"/>
  <c r="A542" i="33"/>
  <c r="I55" i="34"/>
  <c r="K537" i="33"/>
  <c r="Z555" i="33"/>
  <c r="X632" i="2"/>
  <c r="X644" i="2" s="1"/>
  <c r="Y614" i="2"/>
  <c r="J521" i="33"/>
  <c r="I539" i="33"/>
  <c r="I551" i="33" s="1"/>
  <c r="Z626" i="2"/>
  <c r="Z640" i="2" s="1"/>
  <c r="Y640" i="2"/>
  <c r="AC640" i="2" s="1" a="1"/>
  <c r="AC640" i="2" s="1"/>
  <c r="AC642" i="2" a="1"/>
  <c r="AC642" i="2" s="1"/>
  <c r="L546" i="33"/>
  <c r="M528" i="33"/>
  <c r="L548" i="33"/>
  <c r="M534" i="33"/>
  <c r="X541" i="33"/>
  <c r="Y523" i="33"/>
  <c r="U524" i="33"/>
  <c r="T542" i="33"/>
  <c r="M512" i="33"/>
  <c r="M520" i="33" s="1"/>
  <c r="M511" i="33"/>
  <c r="M536" i="33" s="1"/>
  <c r="M560" i="33"/>
  <c r="J547" i="33"/>
  <c r="K533" i="33"/>
  <c r="K549" i="33"/>
  <c r="L537" i="33"/>
  <c r="J539" i="33"/>
  <c r="K521" i="33"/>
  <c r="N480" i="33"/>
  <c r="O504" i="33"/>
  <c r="O505" i="33" s="1"/>
  <c r="O506" i="33" s="1"/>
  <c r="O519" i="33" s="1"/>
  <c r="Y539" i="2"/>
  <c r="Z521" i="2"/>
  <c r="Z539" i="2" s="1"/>
  <c r="Z551" i="2" s="1"/>
  <c r="AC547" i="2" a="1"/>
  <c r="AC547" i="2" s="1"/>
  <c r="W90" i="2"/>
  <c r="W88" i="2" s="1"/>
  <c r="W49" i="2"/>
  <c r="U76" i="2"/>
  <c r="V58" i="2"/>
  <c r="Y22" i="2"/>
  <c r="X23" i="2"/>
  <c r="X21" i="2" s="1"/>
  <c r="A46" i="2"/>
  <c r="W20" i="2"/>
  <c r="V20" i="2"/>
  <c r="L20" i="2"/>
  <c r="H20" i="2"/>
  <c r="F66" i="2"/>
  <c r="F69" i="2" s="1"/>
  <c r="G69" i="2" s="1"/>
  <c r="X20" i="2"/>
  <c r="AA20" i="2"/>
  <c r="T20" i="2"/>
  <c r="Y20" i="2"/>
  <c r="N20" i="2"/>
  <c r="I20" i="2"/>
  <c r="Q20" i="2"/>
  <c r="Z20" i="2"/>
  <c r="F43" i="2"/>
  <c r="O20" i="2"/>
  <c r="K20" i="2"/>
  <c r="J20" i="2"/>
  <c r="P20" i="2"/>
  <c r="G20" i="2"/>
  <c r="U20" i="2"/>
  <c r="M20" i="2"/>
  <c r="S20" i="2"/>
  <c r="R20" i="2"/>
  <c r="J39" i="2"/>
  <c r="J40" i="2" s="1"/>
  <c r="I39" i="2"/>
  <c r="I40" i="2" s="1"/>
  <c r="L39" i="2"/>
  <c r="L40" i="2" s="1"/>
  <c r="M39" i="2"/>
  <c r="M40" i="2" s="1"/>
  <c r="H39" i="2"/>
  <c r="H40" i="2" s="1"/>
  <c r="G39" i="2"/>
  <c r="G40" i="2" s="1"/>
  <c r="K39" i="2"/>
  <c r="K40" i="2" s="1"/>
  <c r="R59" i="2"/>
  <c r="Q77" i="2"/>
  <c r="G56" i="34" l="1"/>
  <c r="G86" i="34" s="1"/>
  <c r="F56" i="34"/>
  <c r="F86" i="34" s="1"/>
  <c r="H56" i="34"/>
  <c r="I56" i="34"/>
  <c r="A543" i="33"/>
  <c r="J56" i="34"/>
  <c r="J86" i="34" s="1"/>
  <c r="F85" i="34"/>
  <c r="Z614" i="2"/>
  <c r="Z632" i="2" s="1"/>
  <c r="Z644" i="2" s="1"/>
  <c r="Y632" i="2"/>
  <c r="AC632" i="2" s="1" a="1"/>
  <c r="AC632" i="2" s="1"/>
  <c r="AC539" i="2" a="1"/>
  <c r="AC539" i="2" s="1"/>
  <c r="J551" i="33"/>
  <c r="Y551" i="2"/>
  <c r="N528" i="33"/>
  <c r="M546" i="33"/>
  <c r="Y541" i="33"/>
  <c r="Z523" i="33"/>
  <c r="Z541" i="33" s="1"/>
  <c r="K547" i="33"/>
  <c r="L533" i="33"/>
  <c r="O480" i="33"/>
  <c r="P504" i="33"/>
  <c r="P505" i="33" s="1"/>
  <c r="P506" i="33" s="1"/>
  <c r="P519" i="33" s="1"/>
  <c r="N512" i="33"/>
  <c r="N520" i="33" s="1"/>
  <c r="N511" i="33"/>
  <c r="N536" i="33" s="1"/>
  <c r="N560" i="33"/>
  <c r="M548" i="33"/>
  <c r="N534" i="33"/>
  <c r="K539" i="33"/>
  <c r="L521" i="33"/>
  <c r="L549" i="33"/>
  <c r="M537" i="33"/>
  <c r="U542" i="33"/>
  <c r="V524" i="33"/>
  <c r="M41" i="2"/>
  <c r="M54" i="2" s="1"/>
  <c r="F65" i="2"/>
  <c r="F46" i="2"/>
  <c r="F71" i="2" s="1"/>
  <c r="F72" i="2" s="1"/>
  <c r="Z22" i="2"/>
  <c r="Z23" i="2" s="1"/>
  <c r="Y23" i="2"/>
  <c r="Y21" i="2" s="1"/>
  <c r="V76" i="2"/>
  <c r="W58" i="2"/>
  <c r="K41" i="2"/>
  <c r="K54" i="2" s="1"/>
  <c r="H69" i="2"/>
  <c r="G83" i="2"/>
  <c r="G41" i="2"/>
  <c r="G54" i="2" s="1"/>
  <c r="G63" i="2" s="1"/>
  <c r="I41" i="2"/>
  <c r="I54" i="2" s="1"/>
  <c r="N39" i="2"/>
  <c r="N40" i="2" s="1"/>
  <c r="S59" i="2"/>
  <c r="R77" i="2"/>
  <c r="L41" i="2"/>
  <c r="L54" i="2" s="1"/>
  <c r="H41" i="2"/>
  <c r="H54" i="2" s="1"/>
  <c r="J41" i="2"/>
  <c r="J54" i="2" s="1"/>
  <c r="A47" i="2"/>
  <c r="X90" i="2"/>
  <c r="X88" i="2" s="1"/>
  <c r="X49" i="2"/>
  <c r="G57" i="34" l="1"/>
  <c r="G87" i="34" s="1"/>
  <c r="F57" i="34"/>
  <c r="F87" i="34" s="1"/>
  <c r="Q57" i="34"/>
  <c r="T57" i="34"/>
  <c r="O57" i="34"/>
  <c r="S57" i="34"/>
  <c r="K57" i="34"/>
  <c r="K87" i="34" s="1"/>
  <c r="M57" i="34"/>
  <c r="I57" i="34"/>
  <c r="P57" i="34"/>
  <c r="J57" i="34"/>
  <c r="J87" i="34" s="1"/>
  <c r="N57" i="34"/>
  <c r="H57" i="34"/>
  <c r="L57" i="34"/>
  <c r="L87" i="34" s="1"/>
  <c r="A544" i="33"/>
  <c r="R57" i="34"/>
  <c r="Y644" i="2"/>
  <c r="J15" i="2"/>
  <c r="J47" i="2" s="1"/>
  <c r="J55" i="2" s="1"/>
  <c r="AC541" i="33" a="1"/>
  <c r="AC541" i="33" s="1"/>
  <c r="K55" i="34" s="1"/>
  <c r="O528" i="33"/>
  <c r="N546" i="33"/>
  <c r="L547" i="33"/>
  <c r="M533" i="33"/>
  <c r="P480" i="33"/>
  <c r="Q504" i="33"/>
  <c r="Q505" i="33" s="1"/>
  <c r="Q506" i="33" s="1"/>
  <c r="Q519" i="33" s="1"/>
  <c r="O511" i="33"/>
  <c r="O536" i="33" s="1"/>
  <c r="O512" i="33"/>
  <c r="O520" i="33" s="1"/>
  <c r="O560" i="33"/>
  <c r="K551" i="33"/>
  <c r="N537" i="33"/>
  <c r="M549" i="33"/>
  <c r="N548" i="33"/>
  <c r="O534" i="33"/>
  <c r="L539" i="33"/>
  <c r="M521" i="33"/>
  <c r="V542" i="33"/>
  <c r="W524" i="33"/>
  <c r="M15" i="2"/>
  <c r="M46" i="2" s="1"/>
  <c r="M71" i="2" s="1"/>
  <c r="H15" i="2"/>
  <c r="N41" i="2"/>
  <c r="N54" i="2" s="1"/>
  <c r="K15" i="2"/>
  <c r="L15" i="2"/>
  <c r="I15" i="2"/>
  <c r="F67" i="2"/>
  <c r="F68" i="2"/>
  <c r="G68" i="2" s="1"/>
  <c r="O39" i="2"/>
  <c r="P39" i="2" s="1"/>
  <c r="P40" i="2" s="1"/>
  <c r="G15" i="2"/>
  <c r="W76" i="2"/>
  <c r="X58" i="2"/>
  <c r="A48" i="2"/>
  <c r="S77" i="2"/>
  <c r="T59" i="2"/>
  <c r="G81" i="2"/>
  <c r="H63" i="2"/>
  <c r="Y90" i="2"/>
  <c r="Y88" i="2" s="1"/>
  <c r="Y49" i="2"/>
  <c r="I69" i="2"/>
  <c r="H83" i="2"/>
  <c r="Z21" i="2"/>
  <c r="AA23" i="2"/>
  <c r="G58" i="34" l="1"/>
  <c r="G88" i="34" s="1"/>
  <c r="F58" i="34"/>
  <c r="F88" i="34" s="1"/>
  <c r="O58" i="34"/>
  <c r="K58" i="34"/>
  <c r="K88" i="34" s="1"/>
  <c r="A545" i="33"/>
  <c r="L58" i="34"/>
  <c r="L88" i="34" s="1"/>
  <c r="Q58" i="34"/>
  <c r="S58" i="34"/>
  <c r="M58" i="34"/>
  <c r="T58" i="34"/>
  <c r="N58" i="34"/>
  <c r="I58" i="34"/>
  <c r="R58" i="34"/>
  <c r="J58" i="34"/>
  <c r="J88" i="34" s="1"/>
  <c r="P58" i="34"/>
  <c r="H58" i="34"/>
  <c r="K85" i="34"/>
  <c r="L551" i="33"/>
  <c r="J46" i="2"/>
  <c r="J71" i="2" s="1"/>
  <c r="J95" i="2"/>
  <c r="M47" i="2"/>
  <c r="M55" i="2" s="1"/>
  <c r="M95" i="2"/>
  <c r="N15" i="2"/>
  <c r="N95" i="2" s="1"/>
  <c r="Q55" i="34"/>
  <c r="P55" i="34"/>
  <c r="M55" i="34"/>
  <c r="S55" i="34"/>
  <c r="O55" i="34"/>
  <c r="R55" i="34"/>
  <c r="L55" i="34"/>
  <c r="L85" i="34" s="1"/>
  <c r="N55" i="34"/>
  <c r="P528" i="33"/>
  <c r="O546" i="33"/>
  <c r="P511" i="33"/>
  <c r="P536" i="33" s="1"/>
  <c r="P512" i="33"/>
  <c r="P520" i="33" s="1"/>
  <c r="P560" i="33"/>
  <c r="N521" i="33"/>
  <c r="M539" i="33"/>
  <c r="N533" i="33"/>
  <c r="M547" i="33"/>
  <c r="N549" i="33"/>
  <c r="O537" i="33"/>
  <c r="Q480" i="33"/>
  <c r="R504" i="33"/>
  <c r="R505" i="33" s="1"/>
  <c r="R506" i="33" s="1"/>
  <c r="R519" i="33" s="1"/>
  <c r="W542" i="33"/>
  <c r="X524" i="33"/>
  <c r="P534" i="33"/>
  <c r="O548" i="33"/>
  <c r="G47" i="2"/>
  <c r="G95" i="2"/>
  <c r="G46" i="2"/>
  <c r="G71" i="2" s="1"/>
  <c r="G72" i="2" s="1"/>
  <c r="L46" i="2"/>
  <c r="L71" i="2" s="1"/>
  <c r="L47" i="2"/>
  <c r="L55" i="2" s="1"/>
  <c r="L95" i="2"/>
  <c r="P41" i="2"/>
  <c r="P54" i="2" s="1"/>
  <c r="K47" i="2"/>
  <c r="K55" i="2" s="1"/>
  <c r="K95" i="2"/>
  <c r="K46" i="2"/>
  <c r="K71" i="2" s="1"/>
  <c r="H81" i="2"/>
  <c r="I63" i="2"/>
  <c r="A49" i="2"/>
  <c r="O40" i="2"/>
  <c r="Q39" i="2"/>
  <c r="H68" i="2"/>
  <c r="G82" i="2"/>
  <c r="I95" i="2"/>
  <c r="I47" i="2"/>
  <c r="I55" i="2" s="1"/>
  <c r="I46" i="2"/>
  <c r="I71" i="2" s="1"/>
  <c r="U59" i="2"/>
  <c r="T77" i="2"/>
  <c r="Z90" i="2"/>
  <c r="Z88" i="2" s="1"/>
  <c r="Z49" i="2"/>
  <c r="H47" i="2"/>
  <c r="H55" i="2" s="1"/>
  <c r="H95" i="2"/>
  <c r="H46" i="2"/>
  <c r="H71" i="2" s="1"/>
  <c r="J69" i="2"/>
  <c r="I83" i="2"/>
  <c r="Y58" i="2"/>
  <c r="X76" i="2"/>
  <c r="G59" i="34" l="1"/>
  <c r="G89" i="34" s="1"/>
  <c r="F59" i="34"/>
  <c r="A546" i="33"/>
  <c r="S59" i="34"/>
  <c r="R59" i="34"/>
  <c r="H59" i="34"/>
  <c r="L59" i="34"/>
  <c r="L89" i="34" s="1"/>
  <c r="N47" i="2"/>
  <c r="N55" i="2" s="1"/>
  <c r="N46" i="2"/>
  <c r="N71" i="2" s="1"/>
  <c r="P59" i="34"/>
  <c r="T59" i="34"/>
  <c r="T55" i="34"/>
  <c r="Q59" i="34"/>
  <c r="M59" i="34"/>
  <c r="N59" i="34"/>
  <c r="O59" i="34"/>
  <c r="P546" i="33"/>
  <c r="Q528" i="33"/>
  <c r="X542" i="33"/>
  <c r="Y524" i="33"/>
  <c r="N539" i="33"/>
  <c r="O521" i="33"/>
  <c r="R480" i="33"/>
  <c r="S504" i="33"/>
  <c r="S505" i="33" s="1"/>
  <c r="S506" i="33" s="1"/>
  <c r="S519" i="33" s="1"/>
  <c r="Q511" i="33"/>
  <c r="Q536" i="33" s="1"/>
  <c r="Q512" i="33"/>
  <c r="Q520" i="33" s="1"/>
  <c r="Q560" i="33"/>
  <c r="O549" i="33"/>
  <c r="P537" i="33"/>
  <c r="I59" i="34"/>
  <c r="K59" i="34"/>
  <c r="J59" i="34"/>
  <c r="J89" i="34" s="1"/>
  <c r="M551" i="33"/>
  <c r="P548" i="33"/>
  <c r="Q534" i="33"/>
  <c r="O533" i="33"/>
  <c r="N547" i="33"/>
  <c r="P15" i="2"/>
  <c r="P95" i="2" s="1"/>
  <c r="Z58" i="2"/>
  <c r="Z76" i="2" s="1"/>
  <c r="Y76" i="2"/>
  <c r="J63" i="2"/>
  <c r="I81" i="2"/>
  <c r="V59" i="2"/>
  <c r="U77" i="2"/>
  <c r="H72" i="2"/>
  <c r="G84" i="2"/>
  <c r="Q40" i="2"/>
  <c r="R39" i="2"/>
  <c r="K69" i="2"/>
  <c r="J83" i="2"/>
  <c r="O41" i="2"/>
  <c r="O54" i="2" s="1"/>
  <c r="G56" i="2"/>
  <c r="G55" i="2"/>
  <c r="I68" i="2"/>
  <c r="H82" i="2"/>
  <c r="A50" i="2"/>
  <c r="G60" i="34" l="1"/>
  <c r="G90" i="34" s="1"/>
  <c r="F60" i="34"/>
  <c r="F90" i="34" s="1"/>
  <c r="O60" i="34"/>
  <c r="T60" i="34"/>
  <c r="A547" i="33"/>
  <c r="S60" i="34"/>
  <c r="R60" i="34"/>
  <c r="P60" i="34"/>
  <c r="H60" i="34"/>
  <c r="N60" i="34"/>
  <c r="L60" i="34"/>
  <c r="L90" i="34" s="1"/>
  <c r="M60" i="34"/>
  <c r="Q60" i="34"/>
  <c r="F89" i="34"/>
  <c r="P46" i="2"/>
  <c r="P71" i="2" s="1"/>
  <c r="K89" i="34"/>
  <c r="N551" i="33"/>
  <c r="P47" i="2"/>
  <c r="P55" i="2" s="1"/>
  <c r="AC76" i="2" a="1"/>
  <c r="AC76" i="2" s="1"/>
  <c r="Q546" i="33"/>
  <c r="R528" i="33"/>
  <c r="S480" i="33"/>
  <c r="T504" i="33"/>
  <c r="T505" i="33" s="1"/>
  <c r="T506" i="33" s="1"/>
  <c r="T519" i="33" s="1"/>
  <c r="I60" i="34"/>
  <c r="J60" i="34"/>
  <c r="J90" i="34" s="1"/>
  <c r="R511" i="33"/>
  <c r="R536" i="33" s="1"/>
  <c r="R512" i="33"/>
  <c r="R520" i="33" s="1"/>
  <c r="R560" i="33"/>
  <c r="O539" i="33"/>
  <c r="P521" i="33"/>
  <c r="Q548" i="33"/>
  <c r="R534" i="33"/>
  <c r="O547" i="33"/>
  <c r="P533" i="33"/>
  <c r="P549" i="33"/>
  <c r="Q537" i="33"/>
  <c r="Y542" i="33"/>
  <c r="Z524" i="33"/>
  <c r="Z542" i="33" s="1"/>
  <c r="O15" i="2"/>
  <c r="O46" i="2" s="1"/>
  <c r="O71" i="2" s="1"/>
  <c r="V77" i="2"/>
  <c r="W59" i="2"/>
  <c r="K63" i="2"/>
  <c r="J81" i="2"/>
  <c r="L69" i="2"/>
  <c r="K83" i="2"/>
  <c r="R40" i="2"/>
  <c r="S39" i="2"/>
  <c r="Q41" i="2"/>
  <c r="Q54" i="2" s="1"/>
  <c r="A51" i="2"/>
  <c r="H56" i="2"/>
  <c r="G74" i="2"/>
  <c r="H84" i="2"/>
  <c r="I72" i="2"/>
  <c r="J68" i="2"/>
  <c r="I82" i="2"/>
  <c r="G61" i="34" l="1"/>
  <c r="G91" i="34" s="1"/>
  <c r="F61" i="34"/>
  <c r="F91" i="34" s="1"/>
  <c r="H61" i="34"/>
  <c r="I61" i="34"/>
  <c r="A548" i="33"/>
  <c r="A549" i="33" s="1"/>
  <c r="J61" i="34"/>
  <c r="J91" i="34" s="1"/>
  <c r="Q15" i="2"/>
  <c r="Q95" i="2" s="1"/>
  <c r="O551" i="33"/>
  <c r="O95" i="2"/>
  <c r="O47" i="2"/>
  <c r="O55" i="2" s="1"/>
  <c r="R546" i="33"/>
  <c r="S528" i="33"/>
  <c r="T480" i="33"/>
  <c r="U504" i="33"/>
  <c r="U505" i="33" s="1"/>
  <c r="U506" i="33" s="1"/>
  <c r="U519" i="33" s="1"/>
  <c r="R537" i="33"/>
  <c r="Q549" i="33"/>
  <c r="S511" i="33"/>
  <c r="S536" i="33" s="1"/>
  <c r="S512" i="33"/>
  <c r="S520" i="33" s="1"/>
  <c r="S560" i="33"/>
  <c r="Q533" i="33"/>
  <c r="P547" i="33"/>
  <c r="R548" i="33"/>
  <c r="S534" i="33"/>
  <c r="AC542" i="33" a="1"/>
  <c r="AC542" i="33" s="1"/>
  <c r="K56" i="34" s="1"/>
  <c r="P539" i="33"/>
  <c r="Q521" i="33"/>
  <c r="A550" i="33"/>
  <c r="I62" i="34"/>
  <c r="H62" i="34"/>
  <c r="J62" i="34"/>
  <c r="K68" i="2"/>
  <c r="J82" i="2"/>
  <c r="I56" i="2"/>
  <c r="H74" i="2"/>
  <c r="H86" i="2" s="1"/>
  <c r="M69" i="2"/>
  <c r="L83" i="2"/>
  <c r="I84" i="2"/>
  <c r="J72" i="2"/>
  <c r="Q47" i="2"/>
  <c r="Q55" i="2" s="1"/>
  <c r="W77" i="2"/>
  <c r="X59" i="2"/>
  <c r="A52" i="2"/>
  <c r="K81" i="2"/>
  <c r="L63" i="2"/>
  <c r="S40" i="2"/>
  <c r="T39" i="2"/>
  <c r="R41" i="2"/>
  <c r="R54" i="2" s="1"/>
  <c r="G86" i="2"/>
  <c r="G62" i="34" l="1"/>
  <c r="F62" i="34"/>
  <c r="Q46" i="2"/>
  <c r="Q71" i="2" s="1"/>
  <c r="A551" i="33"/>
  <c r="A552" i="33" s="1"/>
  <c r="A553" i="33" s="1"/>
  <c r="A554" i="33" s="1"/>
  <c r="A555" i="33" s="1"/>
  <c r="A556" i="33" s="1"/>
  <c r="A557" i="33" s="1"/>
  <c r="A558" i="33" s="1"/>
  <c r="A559" i="33" s="1"/>
  <c r="A560" i="33" s="1"/>
  <c r="J63" i="34"/>
  <c r="J92" i="34"/>
  <c r="I64" i="34"/>
  <c r="K86" i="34"/>
  <c r="R15" i="2"/>
  <c r="T51" i="34"/>
  <c r="R51" i="34"/>
  <c r="L51" i="34"/>
  <c r="P51" i="34"/>
  <c r="O51" i="34"/>
  <c r="S51" i="34"/>
  <c r="Q51" i="34"/>
  <c r="N51" i="34"/>
  <c r="M51" i="34"/>
  <c r="S546" i="33"/>
  <c r="T528" i="33"/>
  <c r="T56" i="34"/>
  <c r="L56" i="34"/>
  <c r="L86" i="34" s="1"/>
  <c r="P56" i="34"/>
  <c r="M56" i="34"/>
  <c r="R56" i="34"/>
  <c r="O56" i="34"/>
  <c r="Q56" i="34"/>
  <c r="S56" i="34"/>
  <c r="N56" i="34"/>
  <c r="R521" i="33"/>
  <c r="Q539" i="33"/>
  <c r="S537" i="33"/>
  <c r="R549" i="33"/>
  <c r="H64" i="34"/>
  <c r="H63" i="34"/>
  <c r="R533" i="33"/>
  <c r="Q547" i="33"/>
  <c r="V504" i="33"/>
  <c r="V505" i="33" s="1"/>
  <c r="V506" i="33" s="1"/>
  <c r="V519" i="33" s="1"/>
  <c r="U480" i="33"/>
  <c r="T512" i="33"/>
  <c r="T520" i="33" s="1"/>
  <c r="T511" i="33"/>
  <c r="T536" i="33" s="1"/>
  <c r="T560" i="33"/>
  <c r="J64" i="34"/>
  <c r="S548" i="33"/>
  <c r="T534" i="33"/>
  <c r="P551" i="33"/>
  <c r="I63" i="34"/>
  <c r="K51" i="34"/>
  <c r="E80" i="41"/>
  <c r="E82" i="41"/>
  <c r="E83" i="41"/>
  <c r="E84" i="41"/>
  <c r="E81" i="41"/>
  <c r="E85" i="41"/>
  <c r="E77" i="41"/>
  <c r="E78" i="41"/>
  <c r="E79" i="41"/>
  <c r="H51" i="34"/>
  <c r="I51" i="34"/>
  <c r="J51" i="34"/>
  <c r="F51" i="34"/>
  <c r="G51" i="34"/>
  <c r="E76" i="41"/>
  <c r="E74" i="41"/>
  <c r="E72" i="41"/>
  <c r="E73" i="41"/>
  <c r="E75" i="41"/>
  <c r="E71" i="41"/>
  <c r="S41" i="2"/>
  <c r="S54" i="2" s="1"/>
  <c r="X77" i="2"/>
  <c r="Y59" i="2"/>
  <c r="N69" i="2"/>
  <c r="M83" i="2"/>
  <c r="J56" i="2"/>
  <c r="I74" i="2"/>
  <c r="L68" i="2"/>
  <c r="K82" i="2"/>
  <c r="K72" i="2"/>
  <c r="J84" i="2"/>
  <c r="M63" i="2"/>
  <c r="L81" i="2"/>
  <c r="R95" i="2"/>
  <c r="R46" i="2"/>
  <c r="R71" i="2" s="1"/>
  <c r="R47" i="2"/>
  <c r="R55" i="2" s="1"/>
  <c r="U39" i="2"/>
  <c r="T40" i="2"/>
  <c r="A53" i="2"/>
  <c r="F92" i="34" l="1"/>
  <c r="F64" i="34"/>
  <c r="F63" i="34"/>
  <c r="G63" i="34"/>
  <c r="G92" i="34"/>
  <c r="G64" i="34"/>
  <c r="Q551" i="33"/>
  <c r="S15" i="2"/>
  <c r="S95" i="2" s="1"/>
  <c r="T546" i="33"/>
  <c r="U528" i="33"/>
  <c r="Y73" i="41"/>
  <c r="Z73" i="41" s="1"/>
  <c r="Y83" i="41"/>
  <c r="S549" i="33"/>
  <c r="T537" i="33"/>
  <c r="T548" i="33"/>
  <c r="U534" i="33"/>
  <c r="U512" i="33"/>
  <c r="U520" i="33" s="1"/>
  <c r="U511" i="33"/>
  <c r="U536" i="33" s="1"/>
  <c r="U560" i="33"/>
  <c r="Y82" i="41"/>
  <c r="W504" i="33"/>
  <c r="W505" i="33" s="1"/>
  <c r="W506" i="33" s="1"/>
  <c r="W519" i="33" s="1"/>
  <c r="V480" i="33"/>
  <c r="Y75" i="41"/>
  <c r="Z75" i="41" s="1"/>
  <c r="Y74" i="41"/>
  <c r="Z74" i="41" s="1"/>
  <c r="Y77" i="41"/>
  <c r="R539" i="33"/>
  <c r="S521" i="33"/>
  <c r="Y71" i="41"/>
  <c r="Y76" i="41"/>
  <c r="Y84" i="41"/>
  <c r="S533" i="33"/>
  <c r="R547" i="33"/>
  <c r="Y72" i="41"/>
  <c r="Y79" i="41"/>
  <c r="Y78" i="41"/>
  <c r="Y81" i="41"/>
  <c r="Y85" i="41"/>
  <c r="Y80" i="41"/>
  <c r="N63" i="2"/>
  <c r="M81" i="2"/>
  <c r="T41" i="2"/>
  <c r="T54" i="2" s="1"/>
  <c r="Z59" i="2"/>
  <c r="Z77" i="2" s="1"/>
  <c r="Y77" i="2"/>
  <c r="K84" i="2"/>
  <c r="L72" i="2"/>
  <c r="M68" i="2"/>
  <c r="L82" i="2"/>
  <c r="V39" i="2"/>
  <c r="U40" i="2"/>
  <c r="I86" i="2"/>
  <c r="K56" i="2"/>
  <c r="J74" i="2"/>
  <c r="J86" i="2" s="1"/>
  <c r="A54" i="2"/>
  <c r="O69" i="2"/>
  <c r="N83" i="2"/>
  <c r="AC77" i="2" l="1" a="1"/>
  <c r="AC77" i="2" s="1"/>
  <c r="S47" i="2"/>
  <c r="S55" i="2" s="1"/>
  <c r="S46" i="2"/>
  <c r="S71" i="2" s="1"/>
  <c r="R551" i="33"/>
  <c r="U546" i="33"/>
  <c r="V528" i="33"/>
  <c r="Z77" i="41"/>
  <c r="S547" i="33"/>
  <c r="T533" i="33"/>
  <c r="U548" i="33"/>
  <c r="V534" i="33"/>
  <c r="AA80" i="41"/>
  <c r="Z80" i="41"/>
  <c r="AA84" i="41"/>
  <c r="Z84" i="41"/>
  <c r="Z72" i="41"/>
  <c r="AA85" i="41"/>
  <c r="Z85" i="41"/>
  <c r="Z76" i="41"/>
  <c r="AA76" i="41"/>
  <c r="V512" i="33"/>
  <c r="V520" i="33" s="1"/>
  <c r="V511" i="33"/>
  <c r="V536" i="33" s="1"/>
  <c r="V560" i="33"/>
  <c r="T549" i="33"/>
  <c r="U537" i="33"/>
  <c r="Z81" i="41"/>
  <c r="AA81" i="41"/>
  <c r="Z71" i="41"/>
  <c r="X504" i="33"/>
  <c r="X505" i="33" s="1"/>
  <c r="X506" i="33" s="1"/>
  <c r="X519" i="33" s="1"/>
  <c r="W480" i="33"/>
  <c r="Z78" i="41"/>
  <c r="AA78" i="41"/>
  <c r="S539" i="33"/>
  <c r="T521" i="33"/>
  <c r="Z82" i="41"/>
  <c r="AA82" i="41"/>
  <c r="AA83" i="41"/>
  <c r="Z83" i="41"/>
  <c r="AA79" i="41"/>
  <c r="Z79" i="41"/>
  <c r="L56" i="2"/>
  <c r="K74" i="2"/>
  <c r="T15" i="2"/>
  <c r="P69" i="2"/>
  <c r="O83" i="2"/>
  <c r="M72" i="2"/>
  <c r="L84" i="2"/>
  <c r="N81" i="2"/>
  <c r="O63" i="2"/>
  <c r="U41" i="2"/>
  <c r="U54" i="2" s="1"/>
  <c r="W39" i="2"/>
  <c r="V40" i="2"/>
  <c r="A55" i="2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N68" i="2"/>
  <c r="M82" i="2"/>
  <c r="A75" i="2" l="1"/>
  <c r="V546" i="33"/>
  <c r="W528" i="33"/>
  <c r="W511" i="33"/>
  <c r="W536" i="33" s="1"/>
  <c r="W512" i="33"/>
  <c r="W520" i="33" s="1"/>
  <c r="W560" i="33"/>
  <c r="Y504" i="33"/>
  <c r="Y505" i="33" s="1"/>
  <c r="Y506" i="33" s="1"/>
  <c r="Y519" i="33" s="1"/>
  <c r="X480" i="33"/>
  <c r="T539" i="33"/>
  <c r="U521" i="33"/>
  <c r="V548" i="33"/>
  <c r="W534" i="33"/>
  <c r="V537" i="33"/>
  <c r="U549" i="33"/>
  <c r="S551" i="33"/>
  <c r="T547" i="33"/>
  <c r="U533" i="33"/>
  <c r="U15" i="2"/>
  <c r="U95" i="2" s="1"/>
  <c r="K86" i="2"/>
  <c r="F54" i="1"/>
  <c r="T47" i="2"/>
  <c r="T55" i="2" s="1"/>
  <c r="T95" i="2"/>
  <c r="T46" i="2"/>
  <c r="T71" i="2" s="1"/>
  <c r="P63" i="2"/>
  <c r="O81" i="2"/>
  <c r="M56" i="2"/>
  <c r="L74" i="2"/>
  <c r="L86" i="2" s="1"/>
  <c r="O68" i="2"/>
  <c r="N82" i="2"/>
  <c r="M84" i="2"/>
  <c r="N72" i="2"/>
  <c r="V41" i="2"/>
  <c r="V54" i="2" s="1"/>
  <c r="W40" i="2"/>
  <c r="X39" i="2"/>
  <c r="P83" i="2"/>
  <c r="Q69" i="2"/>
  <c r="A76" i="2" l="1"/>
  <c r="U46" i="2"/>
  <c r="U71" i="2" s="1"/>
  <c r="U47" i="2"/>
  <c r="U55" i="2" s="1"/>
  <c r="X528" i="33"/>
  <c r="W546" i="33"/>
  <c r="T551" i="33"/>
  <c r="V521" i="33"/>
  <c r="U539" i="33"/>
  <c r="X512" i="33"/>
  <c r="X520" i="33" s="1"/>
  <c r="X511" i="33"/>
  <c r="X536" i="33" s="1"/>
  <c r="X560" i="33"/>
  <c r="Z504" i="33"/>
  <c r="Z505" i="33" s="1"/>
  <c r="Z506" i="33" s="1"/>
  <c r="Z519" i="33" s="1"/>
  <c r="Y480" i="33"/>
  <c r="V549" i="33"/>
  <c r="W537" i="33"/>
  <c r="X534" i="33"/>
  <c r="W548" i="33"/>
  <c r="V533" i="33"/>
  <c r="U547" i="33"/>
  <c r="V15" i="2"/>
  <c r="V95" i="2" s="1"/>
  <c r="W41" i="2"/>
  <c r="W54" i="2" s="1"/>
  <c r="P68" i="2"/>
  <c r="O82" i="2"/>
  <c r="Y39" i="2"/>
  <c r="X40" i="2"/>
  <c r="Q83" i="2"/>
  <c r="R69" i="2"/>
  <c r="P81" i="2"/>
  <c r="Q63" i="2"/>
  <c r="N84" i="2"/>
  <c r="O72" i="2"/>
  <c r="N56" i="2"/>
  <c r="M74" i="2"/>
  <c r="M86" i="2" s="1"/>
  <c r="F84" i="1"/>
  <c r="A77" i="2" l="1"/>
  <c r="F55" i="1"/>
  <c r="F85" i="1" s="1"/>
  <c r="V47" i="2"/>
  <c r="V55" i="2" s="1"/>
  <c r="V46" i="2"/>
  <c r="V71" i="2" s="1"/>
  <c r="X546" i="33"/>
  <c r="Y528" i="33"/>
  <c r="U551" i="33"/>
  <c r="AA504" i="33"/>
  <c r="Z480" i="33"/>
  <c r="W533" i="33"/>
  <c r="V547" i="33"/>
  <c r="X548" i="33"/>
  <c r="Y534" i="33"/>
  <c r="W549" i="33"/>
  <c r="X537" i="33"/>
  <c r="Y511" i="33"/>
  <c r="Y536" i="33" s="1"/>
  <c r="Y512" i="33"/>
  <c r="Y520" i="33" s="1"/>
  <c r="Y560" i="33"/>
  <c r="V539" i="33"/>
  <c r="V551" i="33" s="1"/>
  <c r="W521" i="33"/>
  <c r="X41" i="2"/>
  <c r="X54" i="2" s="1"/>
  <c r="O56" i="2"/>
  <c r="N74" i="2"/>
  <c r="N86" i="2" s="1"/>
  <c r="Z39" i="2"/>
  <c r="Y40" i="2"/>
  <c r="Q68" i="2"/>
  <c r="P82" i="2"/>
  <c r="W15" i="2"/>
  <c r="R83" i="2"/>
  <c r="S69" i="2"/>
  <c r="P72" i="2"/>
  <c r="O84" i="2"/>
  <c r="R63" i="2"/>
  <c r="Q81" i="2"/>
  <c r="A78" i="2" l="1"/>
  <c r="F56" i="1"/>
  <c r="F86" i="1" s="1"/>
  <c r="Z528" i="33"/>
  <c r="Z546" i="33" s="1"/>
  <c r="Y546" i="33"/>
  <c r="W539" i="33"/>
  <c r="X521" i="33"/>
  <c r="Y548" i="33"/>
  <c r="Z534" i="33"/>
  <c r="Z548" i="33" s="1"/>
  <c r="Z511" i="33"/>
  <c r="Z536" i="33" s="1"/>
  <c r="Z512" i="33"/>
  <c r="Z520" i="33" s="1"/>
  <c r="C470" i="33" s="1"/>
  <c r="Z560" i="33"/>
  <c r="Y537" i="33"/>
  <c r="X549" i="33"/>
  <c r="W547" i="33"/>
  <c r="X533" i="33"/>
  <c r="S83" i="2"/>
  <c r="T69" i="2"/>
  <c r="P56" i="2"/>
  <c r="O74" i="2"/>
  <c r="O86" i="2" s="1"/>
  <c r="Q72" i="2"/>
  <c r="P84" i="2"/>
  <c r="W47" i="2"/>
  <c r="W55" i="2" s="1"/>
  <c r="W95" i="2"/>
  <c r="W46" i="2"/>
  <c r="W71" i="2" s="1"/>
  <c r="X15" i="2"/>
  <c r="AA39" i="2"/>
  <c r="Z40" i="2"/>
  <c r="R68" i="2"/>
  <c r="Q82" i="2"/>
  <c r="Y41" i="2"/>
  <c r="Y54" i="2" s="1"/>
  <c r="S63" i="2"/>
  <c r="R81" i="2"/>
  <c r="AC548" i="33" l="1" a="1"/>
  <c r="AC548" i="33" s="1"/>
  <c r="A79" i="2"/>
  <c r="F57" i="1"/>
  <c r="AC546" i="33" a="1"/>
  <c r="AC546" i="33" s="1"/>
  <c r="K60" i="34" s="1"/>
  <c r="Y533" i="33"/>
  <c r="X547" i="33"/>
  <c r="W551" i="33"/>
  <c r="X539" i="33"/>
  <c r="Y521" i="33"/>
  <c r="Z537" i="33"/>
  <c r="Z549" i="33" s="1"/>
  <c r="Y549" i="33"/>
  <c r="Z41" i="2"/>
  <c r="Z54" i="2" s="1"/>
  <c r="Q84" i="2"/>
  <c r="R72" i="2"/>
  <c r="X47" i="2"/>
  <c r="X55" i="2" s="1"/>
  <c r="X46" i="2"/>
  <c r="X71" i="2" s="1"/>
  <c r="X95" i="2"/>
  <c r="Q56" i="2"/>
  <c r="P74" i="2"/>
  <c r="P86" i="2" s="1"/>
  <c r="S68" i="2"/>
  <c r="R82" i="2"/>
  <c r="S81" i="2"/>
  <c r="T63" i="2"/>
  <c r="U69" i="2"/>
  <c r="T83" i="2"/>
  <c r="Y15" i="2"/>
  <c r="K90" i="34" l="1"/>
  <c r="F87" i="1"/>
  <c r="A80" i="2"/>
  <c r="F58" i="1"/>
  <c r="X551" i="33"/>
  <c r="Y539" i="33"/>
  <c r="Z521" i="33"/>
  <c r="Z539" i="33" s="1"/>
  <c r="AC549" i="33" a="1"/>
  <c r="AC549" i="33" s="1"/>
  <c r="K62" i="34" s="1"/>
  <c r="K92" i="34" s="1"/>
  <c r="Z533" i="33"/>
  <c r="Z547" i="33" s="1"/>
  <c r="Y547" i="33"/>
  <c r="V69" i="2"/>
  <c r="U83" i="2"/>
  <c r="S72" i="2"/>
  <c r="R84" i="2"/>
  <c r="T81" i="2"/>
  <c r="U63" i="2"/>
  <c r="S82" i="2"/>
  <c r="T68" i="2"/>
  <c r="Y46" i="2"/>
  <c r="Y71" i="2" s="1"/>
  <c r="Y95" i="2"/>
  <c r="Y47" i="2"/>
  <c r="Y55" i="2" s="1"/>
  <c r="Z15" i="2"/>
  <c r="R56" i="2"/>
  <c r="Q74" i="2"/>
  <c r="N57" i="1" l="1"/>
  <c r="N55" i="1"/>
  <c r="P58" i="1"/>
  <c r="L58" i="1"/>
  <c r="L88" i="1" s="1"/>
  <c r="I54" i="1"/>
  <c r="R55" i="1"/>
  <c r="Q54" i="1"/>
  <c r="P53" i="1"/>
  <c r="G56" i="1"/>
  <c r="G86" i="1" s="1"/>
  <c r="G55" i="1"/>
  <c r="G85" i="1" s="1"/>
  <c r="J56" i="1"/>
  <c r="J86" i="1" s="1"/>
  <c r="O54" i="1"/>
  <c r="I55" i="1"/>
  <c r="O53" i="1"/>
  <c r="N56" i="1"/>
  <c r="H54" i="1"/>
  <c r="J55" i="1"/>
  <c r="J85" i="1" s="1"/>
  <c r="I56" i="1"/>
  <c r="N53" i="1"/>
  <c r="R54" i="1"/>
  <c r="K55" i="1"/>
  <c r="K85" i="1" s="1"/>
  <c r="I53" i="1"/>
  <c r="T53" i="1"/>
  <c r="T54" i="1"/>
  <c r="H57" i="1"/>
  <c r="P55" i="1"/>
  <c r="R57" i="1"/>
  <c r="H55" i="1"/>
  <c r="M57" i="1"/>
  <c r="Q55" i="1"/>
  <c r="T57" i="1"/>
  <c r="T55" i="1"/>
  <c r="J57" i="1"/>
  <c r="J87" i="1" s="1"/>
  <c r="G57" i="1"/>
  <c r="G87" i="1" s="1"/>
  <c r="M54" i="1"/>
  <c r="S57" i="1"/>
  <c r="S55" i="1"/>
  <c r="O57" i="1"/>
  <c r="P57" i="1"/>
  <c r="A81" i="2"/>
  <c r="S56" i="1" s="1"/>
  <c r="L59" i="1"/>
  <c r="L89" i="1" s="1"/>
  <c r="K59" i="1"/>
  <c r="K89" i="1" s="1"/>
  <c r="T59" i="1"/>
  <c r="Q59" i="1"/>
  <c r="R59" i="1"/>
  <c r="J59" i="1"/>
  <c r="J89" i="1" s="1"/>
  <c r="I59" i="1"/>
  <c r="P59" i="1"/>
  <c r="M59" i="1"/>
  <c r="S59" i="1"/>
  <c r="H59" i="1"/>
  <c r="G59" i="1"/>
  <c r="G89" i="1" s="1"/>
  <c r="N59" i="1"/>
  <c r="O59" i="1"/>
  <c r="F59" i="1"/>
  <c r="F88" i="1"/>
  <c r="AC547" i="33" a="1"/>
  <c r="AC547" i="33" s="1"/>
  <c r="K61" i="34" s="1"/>
  <c r="Z551" i="33"/>
  <c r="K64" i="34"/>
  <c r="AC539" i="33" a="1"/>
  <c r="AC539" i="33" s="1"/>
  <c r="K53" i="34" s="1"/>
  <c r="K83" i="34" s="1"/>
  <c r="S53" i="34"/>
  <c r="P53" i="34"/>
  <c r="R53" i="34"/>
  <c r="L53" i="34"/>
  <c r="L83" i="34" s="1"/>
  <c r="O53" i="34"/>
  <c r="N53" i="34"/>
  <c r="M53" i="34"/>
  <c r="Q53" i="34"/>
  <c r="T53" i="34"/>
  <c r="P61" i="34"/>
  <c r="T61" i="34"/>
  <c r="R61" i="34"/>
  <c r="L61" i="34"/>
  <c r="L91" i="34" s="1"/>
  <c r="O61" i="34"/>
  <c r="M61" i="34"/>
  <c r="Q61" i="34"/>
  <c r="S61" i="34"/>
  <c r="N61" i="34"/>
  <c r="M62" i="34"/>
  <c r="M64" i="34" s="1"/>
  <c r="O62" i="34"/>
  <c r="O64" i="34" s="1"/>
  <c r="P62" i="34"/>
  <c r="P64" i="34" s="1"/>
  <c r="T62" i="34"/>
  <c r="T64" i="34" s="1"/>
  <c r="R62" i="34"/>
  <c r="R64" i="34" s="1"/>
  <c r="N62" i="34"/>
  <c r="N64" i="34" s="1"/>
  <c r="L62" i="34"/>
  <c r="S62" i="34"/>
  <c r="S64" i="34" s="1"/>
  <c r="Q62" i="34"/>
  <c r="Q64" i="34" s="1"/>
  <c r="Y551" i="33"/>
  <c r="Q86" i="2"/>
  <c r="S56" i="2"/>
  <c r="R74" i="2"/>
  <c r="R86" i="2" s="1"/>
  <c r="U81" i="2"/>
  <c r="V63" i="2"/>
  <c r="T82" i="2"/>
  <c r="U68" i="2"/>
  <c r="Z46" i="2"/>
  <c r="Z71" i="2" s="1"/>
  <c r="Z47" i="2"/>
  <c r="Z55" i="2" s="1"/>
  <c r="Z95" i="2"/>
  <c r="T72" i="2"/>
  <c r="S84" i="2"/>
  <c r="W69" i="2"/>
  <c r="V83" i="2"/>
  <c r="E7" i="34" l="1"/>
  <c r="E9" i="34"/>
  <c r="E13" i="34"/>
  <c r="E18" i="34"/>
  <c r="E14" i="34"/>
  <c r="E20" i="34"/>
  <c r="E6" i="34"/>
  <c r="E12" i="34"/>
  <c r="E17" i="34"/>
  <c r="E16" i="34"/>
  <c r="E15" i="34"/>
  <c r="E19" i="34"/>
  <c r="E11" i="34"/>
  <c r="E10" i="34"/>
  <c r="E8" i="34"/>
  <c r="R56" i="1"/>
  <c r="K54" i="1"/>
  <c r="K84" i="1" s="1"/>
  <c r="L54" i="1"/>
  <c r="L84" i="1" s="1"/>
  <c r="O56" i="1"/>
  <c r="S54" i="1"/>
  <c r="Q56" i="1"/>
  <c r="K57" i="1"/>
  <c r="K87" i="1" s="1"/>
  <c r="H56" i="1"/>
  <c r="K56" i="1"/>
  <c r="K86" i="1" s="1"/>
  <c r="L55" i="1"/>
  <c r="L85" i="1" s="1"/>
  <c r="R53" i="1"/>
  <c r="Q53" i="1"/>
  <c r="S53" i="1"/>
  <c r="Q57" i="1"/>
  <c r="K53" i="1"/>
  <c r="K83" i="1" s="1"/>
  <c r="G53" i="1"/>
  <c r="G83" i="1" s="1"/>
  <c r="L53" i="1"/>
  <c r="L83" i="1" s="1"/>
  <c r="I57" i="1"/>
  <c r="I58" i="1"/>
  <c r="L56" i="1"/>
  <c r="L86" i="1" s="1"/>
  <c r="N54" i="1"/>
  <c r="T56" i="1"/>
  <c r="P54" i="1"/>
  <c r="M53" i="1"/>
  <c r="O55" i="1"/>
  <c r="G54" i="1"/>
  <c r="G84" i="1" s="1"/>
  <c r="M55" i="1"/>
  <c r="H53" i="1"/>
  <c r="J54" i="1"/>
  <c r="J84" i="1" s="1"/>
  <c r="H58" i="1"/>
  <c r="J53" i="1"/>
  <c r="J83" i="1" s="1"/>
  <c r="O58" i="1"/>
  <c r="Q58" i="1"/>
  <c r="K58" i="1"/>
  <c r="K88" i="1" s="1"/>
  <c r="J58" i="1"/>
  <c r="J88" i="1" s="1"/>
  <c r="S58" i="1"/>
  <c r="G58" i="1"/>
  <c r="G88" i="1" s="1"/>
  <c r="M56" i="1"/>
  <c r="R58" i="1"/>
  <c r="T58" i="1"/>
  <c r="P56" i="1"/>
  <c r="M58" i="1"/>
  <c r="N58" i="1"/>
  <c r="L64" i="34"/>
  <c r="D13" i="34" s="1"/>
  <c r="L92" i="34"/>
  <c r="K91" i="34"/>
  <c r="F89" i="1"/>
  <c r="A82" i="2"/>
  <c r="L60" i="1"/>
  <c r="L90" i="1" s="1"/>
  <c r="T60" i="1"/>
  <c r="P60" i="1"/>
  <c r="J60" i="1"/>
  <c r="J90" i="1" s="1"/>
  <c r="K60" i="1"/>
  <c r="K90" i="1" s="1"/>
  <c r="G60" i="1"/>
  <c r="G90" i="1" s="1"/>
  <c r="H60" i="1"/>
  <c r="R60" i="1"/>
  <c r="O60" i="1"/>
  <c r="M60" i="1"/>
  <c r="S60" i="1"/>
  <c r="N60" i="1"/>
  <c r="Q60" i="1"/>
  <c r="I60" i="1"/>
  <c r="T63" i="34"/>
  <c r="K63" i="34"/>
  <c r="Q63" i="34"/>
  <c r="N63" i="34"/>
  <c r="M63" i="34"/>
  <c r="O63" i="34"/>
  <c r="L63" i="34"/>
  <c r="R63" i="34"/>
  <c r="P63" i="34"/>
  <c r="S63" i="34"/>
  <c r="V81" i="2"/>
  <c r="W63" i="2"/>
  <c r="X69" i="2"/>
  <c r="W83" i="2"/>
  <c r="U72" i="2"/>
  <c r="T84" i="2"/>
  <c r="T56" i="2"/>
  <c r="S74" i="2"/>
  <c r="S86" i="2" s="1"/>
  <c r="U82" i="2"/>
  <c r="V68" i="2"/>
  <c r="D8" i="34" l="1"/>
  <c r="D17" i="34"/>
  <c r="D11" i="34"/>
  <c r="D19" i="34"/>
  <c r="D16" i="34"/>
  <c r="D20" i="34"/>
  <c r="D14" i="34"/>
  <c r="D10" i="34"/>
  <c r="D7" i="34"/>
  <c r="D18" i="34"/>
  <c r="D15" i="34"/>
  <c r="D9" i="34"/>
  <c r="D6" i="34"/>
  <c r="D12" i="34"/>
  <c r="A83" i="2"/>
  <c r="A84" i="2" s="1"/>
  <c r="L61" i="1"/>
  <c r="L91" i="1" s="1"/>
  <c r="K61" i="1"/>
  <c r="K91" i="1" s="1"/>
  <c r="P61" i="1"/>
  <c r="M61" i="1"/>
  <c r="I61" i="1"/>
  <c r="O61" i="1"/>
  <c r="G61" i="1"/>
  <c r="G91" i="1" s="1"/>
  <c r="N61" i="1"/>
  <c r="T61" i="1"/>
  <c r="Q61" i="1"/>
  <c r="R61" i="1"/>
  <c r="H61" i="1"/>
  <c r="J61" i="1"/>
  <c r="J91" i="1" s="1"/>
  <c r="S61" i="1"/>
  <c r="E97" i="41"/>
  <c r="E92" i="41"/>
  <c r="E94" i="41"/>
  <c r="E96" i="41"/>
  <c r="E98" i="41"/>
  <c r="E99" i="41"/>
  <c r="T74" i="2"/>
  <c r="T86" i="2" s="1"/>
  <c r="U56" i="2"/>
  <c r="Y69" i="2"/>
  <c r="X83" i="2"/>
  <c r="V72" i="2"/>
  <c r="U84" i="2"/>
  <c r="W68" i="2"/>
  <c r="V82" i="2"/>
  <c r="W81" i="2"/>
  <c r="X63" i="2"/>
  <c r="E100" i="41" l="1"/>
  <c r="E90" i="41"/>
  <c r="A85" i="2"/>
  <c r="L62" i="1"/>
  <c r="L92" i="1" s="1"/>
  <c r="P62" i="1"/>
  <c r="K62" i="1"/>
  <c r="K92" i="1" s="1"/>
  <c r="R62" i="1"/>
  <c r="T62" i="1"/>
  <c r="M62" i="1"/>
  <c r="J62" i="1"/>
  <c r="J92" i="1" s="1"/>
  <c r="Q62" i="1"/>
  <c r="G62" i="1"/>
  <c r="G92" i="1" s="1"/>
  <c r="S62" i="1"/>
  <c r="N62" i="1"/>
  <c r="O62" i="1"/>
  <c r="I62" i="1"/>
  <c r="H62" i="1"/>
  <c r="X68" i="2"/>
  <c r="W82" i="2"/>
  <c r="W72" i="2"/>
  <c r="V84" i="2"/>
  <c r="Y83" i="2"/>
  <c r="Z69" i="2"/>
  <c r="Z83" i="2" s="1"/>
  <c r="X81" i="2"/>
  <c r="Y63" i="2"/>
  <c r="V56" i="2"/>
  <c r="U74" i="2"/>
  <c r="E93" i="41" l="1"/>
  <c r="E103" i="41"/>
  <c r="E102" i="41"/>
  <c r="E91" i="41"/>
  <c r="E89" i="41"/>
  <c r="E95" i="41"/>
  <c r="E101" i="41"/>
  <c r="Q64" i="1"/>
  <c r="Q63" i="1"/>
  <c r="A86" i="2"/>
  <c r="A87" i="2" s="1"/>
  <c r="A88" i="2" s="1"/>
  <c r="A89" i="2" s="1"/>
  <c r="A90" i="2" s="1"/>
  <c r="A91" i="2" s="1"/>
  <c r="A92" i="2" s="1"/>
  <c r="A93" i="2" s="1"/>
  <c r="A94" i="2" s="1"/>
  <c r="A95" i="2" s="1"/>
  <c r="Q51" i="1"/>
  <c r="R51" i="1"/>
  <c r="M51" i="1"/>
  <c r="T51" i="1"/>
  <c r="O51" i="1"/>
  <c r="P51" i="1"/>
  <c r="J64" i="1"/>
  <c r="J63" i="1"/>
  <c r="M64" i="1"/>
  <c r="M63" i="1"/>
  <c r="I64" i="1"/>
  <c r="I63" i="1"/>
  <c r="T64" i="1"/>
  <c r="T63" i="1"/>
  <c r="H64" i="1"/>
  <c r="H63" i="1"/>
  <c r="O64" i="1"/>
  <c r="O63" i="1"/>
  <c r="R64" i="1"/>
  <c r="R63" i="1"/>
  <c r="N64" i="1"/>
  <c r="N63" i="1"/>
  <c r="K64" i="1"/>
  <c r="K63" i="1"/>
  <c r="S64" i="1"/>
  <c r="S63" i="1"/>
  <c r="P64" i="1"/>
  <c r="P63" i="1"/>
  <c r="G64" i="1"/>
  <c r="G63" i="1"/>
  <c r="L64" i="1"/>
  <c r="AC83" i="2" a="1"/>
  <c r="AC83" i="2" s="1"/>
  <c r="Y68" i="2"/>
  <c r="X82" i="2"/>
  <c r="X72" i="2"/>
  <c r="W84" i="2"/>
  <c r="V74" i="2"/>
  <c r="V86" i="2" s="1"/>
  <c r="W56" i="2"/>
  <c r="Z63" i="2"/>
  <c r="Z81" i="2" s="1"/>
  <c r="Y81" i="2"/>
  <c r="U86" i="2"/>
  <c r="S51" i="1" l="1"/>
  <c r="I51" i="1"/>
  <c r="N51" i="1"/>
  <c r="Y94" i="41"/>
  <c r="Z94" i="41" s="1"/>
  <c r="H51" i="1"/>
  <c r="G51" i="1"/>
  <c r="K51" i="1"/>
  <c r="J51" i="1"/>
  <c r="Y102" i="41"/>
  <c r="Z102" i="41" s="1"/>
  <c r="Y98" i="41"/>
  <c r="Z98" i="41" s="1"/>
  <c r="Y93" i="41"/>
  <c r="AA75" i="41" s="1"/>
  <c r="Y89" i="41"/>
  <c r="Y91" i="41"/>
  <c r="Y95" i="41"/>
  <c r="Y99" i="41"/>
  <c r="Z99" i="41" s="1"/>
  <c r="Y90" i="41"/>
  <c r="Y92" i="41"/>
  <c r="Z92" i="41" s="1"/>
  <c r="Y96" i="41"/>
  <c r="Z96" i="41" s="1"/>
  <c r="Y100" i="41"/>
  <c r="Z100" i="41" s="1"/>
  <c r="Y101" i="41"/>
  <c r="Z101" i="41" s="1"/>
  <c r="Y103" i="41"/>
  <c r="Z103" i="41" s="1"/>
  <c r="Y97" i="41"/>
  <c r="Z97" i="41" s="1"/>
  <c r="L57" i="1"/>
  <c r="L51" i="1"/>
  <c r="AC81" i="2" a="1"/>
  <c r="AC81" i="2" s="1"/>
  <c r="F60" i="1" s="1"/>
  <c r="F90" i="1" s="1"/>
  <c r="W74" i="2"/>
  <c r="X56" i="2"/>
  <c r="Y72" i="2"/>
  <c r="X84" i="2"/>
  <c r="Y82" i="2"/>
  <c r="Z68" i="2"/>
  <c r="Z82" i="2" s="1"/>
  <c r="Z89" i="41" l="1"/>
  <c r="AA71" i="41"/>
  <c r="Z90" i="41"/>
  <c r="AA72" i="41"/>
  <c r="Z93" i="41"/>
  <c r="Z95" i="41"/>
  <c r="AA77" i="41"/>
  <c r="L87" i="1"/>
  <c r="L63" i="1"/>
  <c r="Z91" i="41"/>
  <c r="AA73" i="41"/>
  <c r="AA74" i="41"/>
  <c r="AC82" i="2" a="1"/>
  <c r="AC82" i="2" s="1"/>
  <c r="F61" i="1" s="1"/>
  <c r="Z72" i="2"/>
  <c r="Z84" i="2" s="1"/>
  <c r="Y84" i="2"/>
  <c r="W86" i="2"/>
  <c r="Y56" i="2"/>
  <c r="X74" i="2"/>
  <c r="X86" i="2" s="1"/>
  <c r="F91" i="1" l="1"/>
  <c r="Z56" i="2"/>
  <c r="Z74" i="2" s="1"/>
  <c r="Z86" i="2" s="1"/>
  <c r="Y74" i="2"/>
  <c r="AC84" i="2" a="1"/>
  <c r="AC84" i="2" s="1"/>
  <c r="F62" i="1" s="1"/>
  <c r="AC74" i="2" l="1" a="1"/>
  <c r="AC74" i="2" s="1"/>
  <c r="F53" i="1" s="1"/>
  <c r="F83" i="1" s="1"/>
  <c r="F64" i="1"/>
  <c r="F92" i="1"/>
  <c r="Y86" i="2"/>
  <c r="C5" i="2" s="1"/>
  <c r="F63" i="1" l="1"/>
  <c r="E15" i="1"/>
  <c r="D15" i="1" s="1"/>
  <c r="E8" i="1"/>
  <c r="D8" i="1" s="1"/>
  <c r="E19" i="1"/>
  <c r="D19" i="1" s="1"/>
  <c r="E12" i="1"/>
  <c r="D12" i="1" s="1"/>
  <c r="E14" i="1"/>
  <c r="D14" i="1" s="1"/>
  <c r="E18" i="1"/>
  <c r="D18" i="1" s="1"/>
  <c r="E16" i="1"/>
  <c r="D16" i="1" s="1"/>
  <c r="E13" i="1"/>
  <c r="D13" i="1" s="1"/>
  <c r="E11" i="1"/>
  <c r="D11" i="1" s="1"/>
  <c r="E9" i="1"/>
  <c r="D9" i="1" s="1"/>
  <c r="E6" i="1"/>
  <c r="D6" i="1" s="1"/>
  <c r="E20" i="1"/>
  <c r="D20" i="1" s="1"/>
  <c r="E10" i="1"/>
  <c r="D10" i="1" s="1"/>
  <c r="E7" i="1"/>
  <c r="D7" i="1" s="1"/>
  <c r="E17" i="1"/>
  <c r="D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Ибрагимова Алена Мухамедовна</author>
  </authors>
  <commentList>
    <comment ref="D279" authorId="0" shapeId="0" xr:uid="{AD15AF53-C5E8-45D1-9D12-FCD1826EF6CC}">
      <text>
        <r>
          <rPr>
            <b/>
            <sz val="9"/>
            <color indexed="81"/>
            <rFont val="Tahoma"/>
            <family val="2"/>
            <charset val="204"/>
          </rPr>
          <t>Ибрагимова Алена Мухамедовна:</t>
        </r>
        <r>
          <rPr>
            <sz val="9"/>
            <color indexed="81"/>
            <rFont val="Tahoma"/>
            <family val="2"/>
            <charset val="204"/>
          </rPr>
          <t xml:space="preserve">
КИП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Ибрагимова Алена Мухамедовна</author>
  </authors>
  <commentList>
    <comment ref="C3" authorId="0" shapeId="0" xr:uid="{044CF698-B166-4EDA-9432-A4A3F3642E02}">
      <text>
        <r>
          <rPr>
            <b/>
            <sz val="9"/>
            <color indexed="81"/>
            <rFont val="Tahoma"/>
            <family val="2"/>
            <charset val="204"/>
          </rPr>
          <t>Ибрагимова Алена Мухамедовна:</t>
        </r>
        <r>
          <rPr>
            <sz val="9"/>
            <color indexed="81"/>
            <rFont val="Tahoma"/>
            <family val="2"/>
            <charset val="204"/>
          </rPr>
          <t xml:space="preserve">
Захаров Н.Н., 01.07.2026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Ибрагимова Алена Мухамедовна</author>
  </authors>
  <commentList>
    <comment ref="B5" authorId="0" shapeId="0" xr:uid="{9CE54131-6B4E-4B14-B5A2-05A1030286CD}">
      <text>
        <r>
          <rPr>
            <b/>
            <sz val="9"/>
            <color indexed="81"/>
            <rFont val="Tahoma"/>
            <family val="2"/>
            <charset val="204"/>
          </rPr>
          <t>Ибрагимова Алена Мухамедовна:</t>
        </r>
        <r>
          <rPr>
            <sz val="9"/>
            <color indexed="81"/>
            <rFont val="Tahoma"/>
            <family val="2"/>
            <charset val="204"/>
          </rPr>
          <t xml:space="preserve">
07.07.2026
3,7 - НС
4 - доп. тариф (3.2)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4ADC052A-D566-420C-8CE4-23EB087D92D8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B4F1FACB-CBA7-4C1E-8CDE-4DA931D93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Черкашина Елена Владимировна</author>
  </authors>
  <commentList>
    <comment ref="B18" authorId="0" shapeId="0" xr:uid="{566D6708-E728-4DD7-8120-AFB752C131F3}">
      <text>
        <r>
          <rPr>
            <b/>
            <sz val="9"/>
            <color indexed="81"/>
            <rFont val="Tahoma"/>
            <charset val="1"/>
          </rPr>
          <t>Черкашина Елена Владимировна:</t>
        </r>
        <r>
          <rPr>
            <sz val="9"/>
            <color indexed="81"/>
            <rFont val="Tahoma"/>
            <charset val="1"/>
          </rPr>
          <t xml:space="preserve">
поправить наименование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E10" authorId="0" shapeId="0" xr:uid="{A2F53C46-FB96-4B8A-87EC-8DBE26F2A95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D3F81DCF-39C9-4AA3-BEF5-2AD9295257C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438CE89D-E9D1-47D6-9A7A-8C85C43BFB51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Ибрагимова Алена Мухамедовна</author>
  </authors>
  <commentList>
    <comment ref="D279" authorId="0" shapeId="0" xr:uid="{59AA67C4-268C-413D-8CD1-CD72CAE4A6D3}">
      <text>
        <r>
          <rPr>
            <b/>
            <sz val="9"/>
            <color indexed="81"/>
            <rFont val="Tahoma"/>
            <family val="2"/>
            <charset val="204"/>
          </rPr>
          <t>Ибрагимова Алена Мухамедовна:</t>
        </r>
        <r>
          <rPr>
            <sz val="9"/>
            <color indexed="81"/>
            <rFont val="Tahoma"/>
            <family val="2"/>
            <charset val="204"/>
          </rPr>
          <t xml:space="preserve">
КИП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C237EF7-2963-42D2-A9D0-9B5A39C4CD1B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5B1B6F1A-0C17-42D1-8F4D-FA0CFCF74E3A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Черкашина Елена Владимировна</author>
  </authors>
  <commentList>
    <comment ref="B18" authorId="0" shapeId="0" xr:uid="{73163EE1-6D64-447F-A276-C07792D889B5}">
      <text>
        <r>
          <rPr>
            <b/>
            <sz val="9"/>
            <color indexed="81"/>
            <rFont val="Tahoma"/>
            <charset val="1"/>
          </rPr>
          <t>Черкашина Елена Владимировна:</t>
        </r>
        <r>
          <rPr>
            <sz val="9"/>
            <color indexed="81"/>
            <rFont val="Tahoma"/>
            <charset val="1"/>
          </rPr>
          <t xml:space="preserve">
поправить наименование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E10" authorId="0" shapeId="0" xr:uid="{3ACB02A2-DB88-4988-B8D0-7CE5066807F3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6B324F83-A158-4FB4-8268-C77397202F81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DB36C749-A20A-49DA-BA95-7D3ADD83B634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<sst xmlns="http://schemas.openxmlformats.org/spreadsheetml/2006/main" count="6172" uniqueCount="950">
  <si>
    <t>Технико-экономическая оценка стоимости владения</t>
  </si>
  <si>
    <t>Ранжирование общих аннуитетов - по возрастанию</t>
  </si>
  <si>
    <t>Ранжирование по стоимости самосвала - по возрастанию</t>
  </si>
  <si>
    <t>№</t>
  </si>
  <si>
    <t>Марка автосамосвала</t>
  </si>
  <si>
    <t>Аннуитет, руб/ткм</t>
  </si>
  <si>
    <t>Цена за ед., тыс. руб.</t>
  </si>
  <si>
    <t>Показатель</t>
  </si>
  <si>
    <t>Ед. изм.</t>
  </si>
  <si>
    <t>Комментарий</t>
  </si>
  <si>
    <t>Грузоподъемность</t>
  </si>
  <si>
    <t>т</t>
  </si>
  <si>
    <t>Мощность двигателя</t>
  </si>
  <si>
    <t>л.с.</t>
  </si>
  <si>
    <t>Срок эксплуатации</t>
  </si>
  <si>
    <t>лет</t>
  </si>
  <si>
    <t>КТГ (средний за эксплуатацию)</t>
  </si>
  <si>
    <t>коэфф.</t>
  </si>
  <si>
    <t>КТГ (1-й год)</t>
  </si>
  <si>
    <t>КИО (средний за эксплуатацию)</t>
  </si>
  <si>
    <t>Среднетехническая скорость (1-й год)</t>
  </si>
  <si>
    <t>км/час</t>
  </si>
  <si>
    <t>Производительность (средняя за эксплуатацию)</t>
  </si>
  <si>
    <t>тыс. т</t>
  </si>
  <si>
    <t>тыс. ткм</t>
  </si>
  <si>
    <t>Производительность (1-й год)</t>
  </si>
  <si>
    <t>Габариты:</t>
  </si>
  <si>
    <t>заполнить</t>
  </si>
  <si>
    <t>эксплуатационная ширина</t>
  </si>
  <si>
    <t>мм</t>
  </si>
  <si>
    <t>высота по переднему козырьку</t>
  </si>
  <si>
    <t>габаритная длина</t>
  </si>
  <si>
    <t>Стоимость самосвала</t>
  </si>
  <si>
    <t>тыс. руб.</t>
  </si>
  <si>
    <t>Цена в долларах</t>
  </si>
  <si>
    <t>тыс. долл.</t>
  </si>
  <si>
    <t>Цена в юанях</t>
  </si>
  <si>
    <t>тыс. юаней</t>
  </si>
  <si>
    <t>Цена в рублях</t>
  </si>
  <si>
    <t>Шины</t>
  </si>
  <si>
    <t>Сборка</t>
  </si>
  <si>
    <t>ед.</t>
  </si>
  <si>
    <t>Среднегодовые затраты на ТО (включая смазочные) и ремонты</t>
  </si>
  <si>
    <t>для ранжирования</t>
  </si>
  <si>
    <t>не удалять</t>
  </si>
  <si>
    <t>*</t>
  </si>
  <si>
    <t>проверки</t>
  </si>
  <si>
    <t>средние на ТО, ТР, ППР</t>
  </si>
  <si>
    <t>аннуитет</t>
  </si>
  <si>
    <t>Расчет аннуитета</t>
  </si>
  <si>
    <t>КТГ</t>
  </si>
  <si>
    <t>%</t>
  </si>
  <si>
    <t>КИО</t>
  </si>
  <si>
    <t>Производительность: масса</t>
  </si>
  <si>
    <t>Производительность: грузооборот</t>
  </si>
  <si>
    <t>Грузооборот кумулятивный</t>
  </si>
  <si>
    <t>Пробег</t>
  </si>
  <si>
    <t>тыс. км</t>
  </si>
  <si>
    <t>Операционный денежный поток</t>
  </si>
  <si>
    <t>ТО, ТР, ППР</t>
  </si>
  <si>
    <t>ТО (включая смазочные)</t>
  </si>
  <si>
    <t>ТР, ППР</t>
  </si>
  <si>
    <t>трудозатраты</t>
  </si>
  <si>
    <t>% стоимости справочно</t>
  </si>
  <si>
    <t>удельный расход</t>
  </si>
  <si>
    <t>шт./тыс. км</t>
  </si>
  <si>
    <t>расход за период</t>
  </si>
  <si>
    <t>шт.</t>
  </si>
  <si>
    <t>цена</t>
  </si>
  <si>
    <t>тыс. руб./шт.</t>
  </si>
  <si>
    <t>Топливо</t>
  </si>
  <si>
    <t>справочно</t>
  </si>
  <si>
    <t>тыс. руб./т</t>
  </si>
  <si>
    <t>Смазочные</t>
  </si>
  <si>
    <t>Затраты на персонал</t>
  </si>
  <si>
    <t>отчисления</t>
  </si>
  <si>
    <t>прочее</t>
  </si>
  <si>
    <t>Транспортный налог</t>
  </si>
  <si>
    <t>мощность двигателя</t>
  </si>
  <si>
    <t>налоговая ставка</t>
  </si>
  <si>
    <t>руб./л.с.</t>
  </si>
  <si>
    <t>Амортизация НУ</t>
  </si>
  <si>
    <t>Налогооблагаемая база (по налогу на прибыль)</t>
  </si>
  <si>
    <t>Налог на прибыль</t>
  </si>
  <si>
    <t>Инвестиционный денежный поток</t>
  </si>
  <si>
    <t>Самосвал</t>
  </si>
  <si>
    <t>Денежный поток</t>
  </si>
  <si>
    <t>Дисконтированный операционный денежный поток</t>
  </si>
  <si>
    <t>проверка полноты</t>
  </si>
  <si>
    <t>Кумулятивный дисконтированный операционный денежный поток</t>
  </si>
  <si>
    <t>Дисконтированный инвестиционный поток</t>
  </si>
  <si>
    <t>Кумулятивный инвестиционный поток</t>
  </si>
  <si>
    <t>Дисконтированный денежный поток</t>
  </si>
  <si>
    <t>Кумулятивный дисконтированный денежный поток</t>
  </si>
  <si>
    <t>Аннуитет операционный</t>
  </si>
  <si>
    <t>руб/ткм</t>
  </si>
  <si>
    <t>Аннуитет инвестиционный</t>
  </si>
  <si>
    <t>Аннуитет общий</t>
  </si>
  <si>
    <t>Себестоимость (справочно)</t>
  </si>
  <si>
    <t>Наименование показателя</t>
  </si>
  <si>
    <t>средняя</t>
  </si>
  <si>
    <t>Количество дней в периоде</t>
  </si>
  <si>
    <t>дней</t>
  </si>
  <si>
    <t>Календарный фонд времени</t>
  </si>
  <si>
    <t>час.</t>
  </si>
  <si>
    <t>Расстояние транспортировки</t>
  </si>
  <si>
    <t>км</t>
  </si>
  <si>
    <t>КИГ</t>
  </si>
  <si>
    <t>Время технической готовности</t>
  </si>
  <si>
    <t>Ежесменные регламентные простои (пересменка, обед, личные надобности)</t>
  </si>
  <si>
    <t>мин/см</t>
  </si>
  <si>
    <t>Сменные простои</t>
  </si>
  <si>
    <t>Эффективное время</t>
  </si>
  <si>
    <t>Средняя техническая скорость</t>
  </si>
  <si>
    <t>Время рейса</t>
  </si>
  <si>
    <t>мин</t>
  </si>
  <si>
    <t>Время подхода, загрузки и разгрузки</t>
  </si>
  <si>
    <t>Прочие</t>
  </si>
  <si>
    <t>Время движения</t>
  </si>
  <si>
    <t>Количество рейсов</t>
  </si>
  <si>
    <t>Производительность на 1 ед. за период</t>
  </si>
  <si>
    <t>Простои в смену</t>
  </si>
  <si>
    <t>Простои за рейс</t>
  </si>
  <si>
    <t>взрыв</t>
  </si>
  <si>
    <t>планируемые (взрыв отдельно)</t>
  </si>
  <si>
    <t>регламент</t>
  </si>
  <si>
    <t>погрузка</t>
  </si>
  <si>
    <t>разгрузка</t>
  </si>
  <si>
    <t>минут</t>
  </si>
  <si>
    <t>минут/смена</t>
  </si>
  <si>
    <t>Перегон</t>
  </si>
  <si>
    <t>Подкачка шин</t>
  </si>
  <si>
    <t>Заправка</t>
  </si>
  <si>
    <t>обед</t>
  </si>
  <si>
    <t>пересменка</t>
  </si>
  <si>
    <t>личные</t>
  </si>
  <si>
    <t>очередь на погрузку</t>
  </si>
  <si>
    <t>установка на погрузку</t>
  </si>
  <si>
    <t>загрузка</t>
  </si>
  <si>
    <t>ожидание на разгрузке</t>
  </si>
  <si>
    <t>Топливо - цена</t>
  </si>
  <si>
    <t>Топливо - расход</t>
  </si>
  <si>
    <t>Амортизация</t>
  </si>
  <si>
    <t>Макро</t>
  </si>
  <si>
    <t>г/ткм</t>
  </si>
  <si>
    <t>л/час</t>
  </si>
  <si>
    <t>норма в расчет - заполнить</t>
  </si>
  <si>
    <t>Пробег, тыс. км</t>
  </si>
  <si>
    <t>норма, шт./тыс. км</t>
  </si>
  <si>
    <t>мощность, л.с.</t>
  </si>
  <si>
    <t>ставка, руб./л.с.</t>
  </si>
  <si>
    <t>СПИ, мес.</t>
  </si>
  <si>
    <t>%, год</t>
  </si>
  <si>
    <t>Курс валют</t>
  </si>
  <si>
    <t>доллар</t>
  </si>
  <si>
    <t>юань</t>
  </si>
  <si>
    <t>Дисконтирующий фактор</t>
  </si>
  <si>
    <t>НИ</t>
  </si>
  <si>
    <t>Дизтопливо зимнее, кг</t>
  </si>
  <si>
    <t>Дизтопливо летнее, кг</t>
  </si>
  <si>
    <t>Дизтопливо арктическое, кг</t>
  </si>
  <si>
    <t>SANY SET240S</t>
  </si>
  <si>
    <t>Estar ESDE240</t>
  </si>
  <si>
    <t>NHL NTE 240</t>
  </si>
  <si>
    <t>TZCO TZE240</t>
  </si>
  <si>
    <t>карьер, КП 1.0.1</t>
  </si>
  <si>
    <t xml:space="preserve">50/80R57 </t>
  </si>
  <si>
    <t>46/90R57</t>
  </si>
  <si>
    <t>Загрузка</t>
  </si>
  <si>
    <t>факт NTE c WK-35 (ПК 2025)</t>
  </si>
  <si>
    <t xml:space="preserve"> = NTE</t>
  </si>
  <si>
    <t>количество взрывов</t>
  </si>
  <si>
    <t>ПК, 2025</t>
  </si>
  <si>
    <t>Чистка кузова</t>
  </si>
  <si>
    <t>Ожидание зачистки забоя/блока</t>
  </si>
  <si>
    <t>Протяжка колесных гаек</t>
  </si>
  <si>
    <t>План БСЛ на 2027 (NTE 240)</t>
  </si>
  <si>
    <t>СЛ 2025</t>
  </si>
  <si>
    <t>https://its.1c.ru/db/taxtrans#content:210:hdoc</t>
  </si>
  <si>
    <t>Закон Иркутской области от 04.07.2007 № 53-оз (ред. от 09.06.2025)</t>
  </si>
  <si>
    <t>СЭБТ - NTE - 240 тн</t>
  </si>
  <si>
    <t>кг</t>
  </si>
  <si>
    <t>кг/ткм</t>
  </si>
  <si>
    <t>ткм</t>
  </si>
  <si>
    <t>рабочее время, час</t>
  </si>
  <si>
    <t>кг/час</t>
  </si>
  <si>
    <t>Парк самосвалов NHL NTE240</t>
  </si>
  <si>
    <t>1014858</t>
  </si>
  <si>
    <t>1014842</t>
  </si>
  <si>
    <t>1014843</t>
  </si>
  <si>
    <t>1014872</t>
  </si>
  <si>
    <t>топливо дизельное арктическое (кг)</t>
  </si>
  <si>
    <t>топливо дизельное зимнее (кг)</t>
  </si>
  <si>
    <t>топливо дизельное летнее (кг)</t>
  </si>
  <si>
    <t>топливо дизельное межсезонное (кг)</t>
  </si>
  <si>
    <t>Производительность по годам эксплуатации</t>
  </si>
  <si>
    <t>Потребность</t>
  </si>
  <si>
    <t>CAPEX на потребность</t>
  </si>
  <si>
    <t>Гончарова Марина Алексеевна</t>
  </si>
  <si>
    <t>Группа отчетности по заработной плате</t>
  </si>
  <si>
    <t>Руководитель группы</t>
  </si>
  <si>
    <t>Макаенко Анастасия Леонидовна</t>
  </si>
  <si>
    <t>Отдел специальной оценки условий труда и оценки профессиональных</t>
  </si>
  <si>
    <t>Начальник отдела</t>
  </si>
  <si>
    <t>НС, без скидки</t>
  </si>
  <si>
    <t>основной единый тариф страховых взносов</t>
  </si>
  <si>
    <t>страховые взносы по дополнительному тарифу:</t>
  </si>
  <si>
    <t>оценка труда, 3.2</t>
  </si>
  <si>
    <t>оценка труда, 3.1</t>
  </si>
  <si>
    <t>ПК, 2026_6</t>
  </si>
  <si>
    <t>40.00R57</t>
  </si>
  <si>
    <t>тонн в кузове</t>
  </si>
  <si>
    <t>кол-во циклов</t>
  </si>
  <si>
    <t>погрузка, минут</t>
  </si>
  <si>
    <t>NTE-240, ПК 2025</t>
  </si>
  <si>
    <t>Все</t>
  </si>
  <si>
    <t>07.07 - запросили политику загрузки с расчетом номинальной грузоподъемности, вес футеровки</t>
  </si>
  <si>
    <t>ТСО</t>
  </si>
  <si>
    <t>25-26.06 - отправка шаблона для заполнения поставщикам</t>
  </si>
  <si>
    <t>долги</t>
  </si>
  <si>
    <t>07.07 - прислали политику и вес стандартной футеровки
07.07 - запросили вес кузова с футеровкой под скальную спецификацию (с раскладкой листов в кузове, толщиной, весом и т.д.), отправили ТЗ на самосвал (по запросу)</t>
  </si>
  <si>
    <t>07.07 - получены замечания от Развития, направлены поставщикам</t>
  </si>
  <si>
    <t>1.	КТГ завышен
2.	Указать срок службы, установленный заводом-изготовителем (подтвердить документом)
3.	Некорректная цикличность ТО – проверить и исправить
4.	Текущие ремонты не заполнены
5.	Реальные трудозатраты и текущие ремонты не оценены
6.	Капитальные ремонты не досчитаны и не заполнены полностью
7.	Стоимостные расчеты занижены</t>
  </si>
  <si>
    <t>1.	Цикличность – ок
2.	Занижена станка н-часа
3.	5000H PERIODIC SERVICE(PM LABOR) -  затраты в ТО не представлены
4.	Автошины убрать (выделить стоимость)
5.	Указать срок службы, установленный заводом-изготовителем (подтвердить документом)</t>
  </si>
  <si>
    <t>1.  Шины включены – исключить (указать стоимость дополнительно отдельно)
2. Неполное предоставление данных по затратам на КР</t>
  </si>
  <si>
    <t>1.	Текущие ремонты отсутствуют
2.	Указать срок службы, установленный заводом-изготовителем (подтвердить документом)</t>
  </si>
  <si>
    <t>1.	Некорректная цикличность ТО (ТО-2 и ТО-3) – проверить и исправить
2.	Исходя из цикличности проверить правильность расходников в ТО
3.	Перепроверить периодичность КР узлов
4.	Указать срок службы, установленный заводом-изготовителем (подтвердить документом)
5.	КТГ завышен</t>
  </si>
  <si>
    <t>08.07 - встреча с поставщиком (наши вопросы, как заполнять шаблон)</t>
  </si>
  <si>
    <t>07.07 - запрос (с ТСО) указать срок службы, установленный заводом-изготовителем (подтвердить документом)</t>
  </si>
  <si>
    <t>08.07 - прислали руководство по эксплуатации БЕЛАЗ-7531; "Руководство во вложении, вы можете все перепроверить"
08.07 - встреча с поставщиком (наши вопросы, как заполнять шаблон)</t>
  </si>
  <si>
    <t>Кузнецов В.Е., Михайлов А.С. - уточняют с поставщиком/заводом</t>
  </si>
  <si>
    <t>09.07 - прислали данные, направлены вопросы (занижение ремонтов 7-й год (как результат, высокий КТГ), ремонты – не скорректирован ресурс до замены (обсуждали на встрече))</t>
  </si>
  <si>
    <t>10.07 - ждут ответ от завода</t>
  </si>
  <si>
    <t>08.07 - прислали руководство; на встрече договорились, что запросят у завода
10.07 - ждут ответ от завода</t>
  </si>
  <si>
    <t>нет ответа от завода</t>
  </si>
  <si>
    <t>09.07 - прислали политику; заданы вопросы (путаница в цифрах 220/240, 228/334)
10.07 - беру в расчет 227,8 (236 - 8,2 футеровка) пока нет иных данных</t>
  </si>
  <si>
    <t>03.07 - получены заполненные файлы от Михайлова А.С. (21:02)
06.07 - направлены в Развитие для оценки, Лысенко Д.В, Кузнецов В.Е. (09:11)</t>
  </si>
  <si>
    <t>нет ответа от завода, ТСО на 10 лет</t>
  </si>
  <si>
    <t>нет ответа, ТСО на 10 лет</t>
  </si>
  <si>
    <t>Власенко Светлана Леонидовна</t>
  </si>
  <si>
    <t>Старший бизнес-партнер</t>
  </si>
  <si>
    <t>Дирекция по экономике и финансам</t>
  </si>
  <si>
    <t>Питание</t>
  </si>
  <si>
    <t>ДМС</t>
  </si>
  <si>
    <t>СИЗы и АутсорсСпецодСпецОбувИдрСИЗ (УСО ПЛ)</t>
  </si>
  <si>
    <t>Медосмотры</t>
  </si>
  <si>
    <t>Проезд внутри ГОК</t>
  </si>
  <si>
    <t xml:space="preserve">Проезд к месту работы и обратно </t>
  </si>
  <si>
    <t>ВСХ с учетом проезда от места проживания до места работы</t>
  </si>
  <si>
    <t>Прочие затраты</t>
  </si>
  <si>
    <t>тыс. руб. в год/1 человек</t>
  </si>
  <si>
    <t>Экипаж</t>
  </si>
  <si>
    <t>человек</t>
  </si>
  <si>
    <t>Персонал_ФОТ</t>
  </si>
  <si>
    <t>Давыденко Сергей Александрович</t>
  </si>
  <si>
    <t>Бизнес-партнер по управлению персоналом</t>
  </si>
  <si>
    <t>Дирекция по персоналу</t>
  </si>
  <si>
    <t>ФОТ</t>
  </si>
  <si>
    <t>10.07 - ответ, что данные корректны; берем в работу (Кузнецов В.Е.)</t>
  </si>
  <si>
    <t>ячейки к заполнению поставщиком</t>
  </si>
  <si>
    <t>в действующих ценах на момент заполнения</t>
  </si>
  <si>
    <t>Карьерный автосамосвал</t>
  </si>
  <si>
    <t>Б-7531(G,H,N)</t>
  </si>
  <si>
    <t>Примечания</t>
  </si>
  <si>
    <t>Период</t>
  </si>
  <si>
    <t>Габариты машины</t>
  </si>
  <si>
    <t>Эксплуатационная ширина (по зеркалам)</t>
  </si>
  <si>
    <t>Высота по переднему козырьку</t>
  </si>
  <si>
    <t>Габаритная длина</t>
  </si>
  <si>
    <t>тн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</si>
  <si>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</si>
  <si>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</si>
  <si>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простои на ТО</t>
  </si>
  <si>
    <t>час</t>
  </si>
  <si>
    <t>простои в ремонтах</t>
  </si>
  <si>
    <t>ежесменный осмотр (20 минут в смену)</t>
  </si>
  <si>
    <t>Время подъема кузова с грузом</t>
  </si>
  <si>
    <t>сек</t>
  </si>
  <si>
    <t>Время опускания кузова</t>
  </si>
  <si>
    <t>ТО, ТР, ПР, сервис (включая смазочные)</t>
  </si>
  <si>
    <t>тыс.долл/год</t>
  </si>
  <si>
    <t>ТО, включая смазочные</t>
  </si>
  <si>
    <t>тыс.дол./год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</si>
  <si>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</si>
  <si>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</si>
  <si>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</si>
  <si>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</si>
  <si>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типоразмер</t>
  </si>
  <si>
    <t>40.00 57</t>
  </si>
  <si>
    <t>40.00R57 Michelin</t>
  </si>
  <si>
    <t>Цена за единицу</t>
  </si>
  <si>
    <t>Белшина</t>
  </si>
  <si>
    <t>$</t>
  </si>
  <si>
    <t>Расход - легкие условия</t>
  </si>
  <si>
    <t>Расход - средние условия</t>
  </si>
  <si>
    <t>Расход - тяжелые условия</t>
  </si>
  <si>
    <t>Сроки поставки</t>
  </si>
  <si>
    <t>мес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</si>
  <si>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</si>
  <si>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</si>
  <si>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</si>
  <si>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</si>
  <si>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</si>
  <si>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</si>
  <si>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</si>
  <si>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</si>
  <si>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</si>
  <si>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</si>
  <si>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</si>
  <si>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</si>
  <si>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</si>
  <si>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</si>
  <si>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</si>
  <si>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</si>
  <si>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</si>
  <si>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</si>
  <si>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ТО-100 (разовое)</t>
  </si>
  <si>
    <t>ТО-1</t>
  </si>
  <si>
    <t>ТО-2</t>
  </si>
  <si>
    <t>ТО-3</t>
  </si>
  <si>
    <t>СО</t>
  </si>
  <si>
    <t>ТО-2500</t>
  </si>
  <si>
    <t>ТО-4000</t>
  </si>
  <si>
    <t>Каталожный номер</t>
  </si>
  <si>
    <t>стоимость за ед., $</t>
  </si>
  <si>
    <t>Кол-во</t>
  </si>
  <si>
    <t>ТО</t>
  </si>
  <si>
    <t xml:space="preserve">Центробежный масляный фильтр (комплект) </t>
  </si>
  <si>
    <t>фильтр сапуна</t>
  </si>
  <si>
    <t>EE100310 / DIFA 4347 MK</t>
  </si>
  <si>
    <t xml:space="preserve">фильтр масляный  </t>
  </si>
  <si>
    <t xml:space="preserve">масло моторное </t>
  </si>
  <si>
    <t>BELAZ G-PROFI MINING 15W-40 / BELAZ 15W-40</t>
  </si>
  <si>
    <t>1011630999/1013032300</t>
  </si>
  <si>
    <t xml:space="preserve">фильтр топливный грубой очистки   </t>
  </si>
  <si>
    <t>1008088044/1000104480/1008083389</t>
  </si>
  <si>
    <t xml:space="preserve">фильтр топливный тонкой очистки   </t>
  </si>
  <si>
    <t>1008088046/1000104483/1008083393</t>
  </si>
  <si>
    <t>DIFA 43247</t>
  </si>
  <si>
    <t>фильтр гидравлический</t>
  </si>
  <si>
    <t>EE500600 / M5409MK</t>
  </si>
  <si>
    <t>EE502300 / DIFA 5402MK-01</t>
  </si>
  <si>
    <t>масло гидравлическое</t>
  </si>
  <si>
    <t>BELAZ G-Profi HVLP32</t>
  </si>
  <si>
    <t>масло трансмиссионное</t>
  </si>
  <si>
    <t>BELAZ G-PROFI TRANS 85W-140 / BELAZ TRANS 85W-140</t>
  </si>
  <si>
    <t xml:space="preserve">смазка </t>
  </si>
  <si>
    <t>BELAZ G-Profi Grease MP EP2</t>
  </si>
  <si>
    <t>фильтр воздушный основной</t>
  </si>
  <si>
    <t>EE100300 / DIFA 4305MK</t>
  </si>
  <si>
    <t>фильтр салонный</t>
  </si>
  <si>
    <t>EE148200 / DIFA 4701 M</t>
  </si>
  <si>
    <t>фильтр воздушный предохранительный</t>
  </si>
  <si>
    <t>EE100301 / DIFA 4305MK-01</t>
  </si>
  <si>
    <t>BELAZ G-PROFI ANTIFREEZE GREEN 40 / BELAZ ANTIFREEZE GREEN 40</t>
  </si>
  <si>
    <t>Ед.изм.</t>
  </si>
  <si>
    <t>Простои в ремонтах</t>
  </si>
  <si>
    <t>Затраты на ТО и ремонты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</si>
  <si>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</si>
  <si>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</si>
  <si>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</si>
  <si>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</si>
  <si>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</si>
  <si>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Аварийные ремонты</t>
  </si>
  <si>
    <t>ТР ДВС (8000 м/ч)</t>
  </si>
  <si>
    <t>БЕЛАЗ-7531 ТР-1 (6000 м/ч)</t>
  </si>
  <si>
    <t>БЕЛАЗ-7531 ТР-2 (12 000 м/ч)</t>
  </si>
  <si>
    <t>Двигатель кап.ремонт (25 000 м/ч)</t>
  </si>
  <si>
    <t>Тяговый генератор (20 000 м/ч)</t>
  </si>
  <si>
    <t>Тяговый мотор (20 000 м/ч)</t>
  </si>
  <si>
    <t>ШПСУ (30 000 м/ч)</t>
  </si>
  <si>
    <t>Прочие ПР (КР)</t>
  </si>
  <si>
    <t>Трудозатраты на ремонты (ч/час)</t>
  </si>
  <si>
    <t>Стоимость ч/часа</t>
  </si>
  <si>
    <t>Всего ч/часов</t>
  </si>
  <si>
    <t>ч/часов</t>
  </si>
  <si>
    <t>ТР ДВС</t>
  </si>
  <si>
    <t>РМК</t>
  </si>
  <si>
    <t>ПГП</t>
  </si>
  <si>
    <t>Передняя ось</t>
  </si>
  <si>
    <t>Рулевое управление</t>
  </si>
  <si>
    <t>ЦОМ</t>
  </si>
  <si>
    <t>Кулак поворотный</t>
  </si>
  <si>
    <t>Корпус тормоза</t>
  </si>
  <si>
    <t>Радиатор</t>
  </si>
  <si>
    <t>Основной насос</t>
  </si>
  <si>
    <t>Автомат разгрузки насоса</t>
  </si>
  <si>
    <t>Пневмогидроаккумулятор</t>
  </si>
  <si>
    <t>УВТР</t>
  </si>
  <si>
    <t>Затраты на ремонты ($)</t>
  </si>
  <si>
    <t>Детализация затрат</t>
  </si>
  <si>
    <t>Стоимость за ед., $</t>
  </si>
  <si>
    <t>Ресурс до замены / ремонта, м/ч</t>
  </si>
  <si>
    <t>Кол-во МТР</t>
  </si>
  <si>
    <t>Текущие ремонты
(если планируются)</t>
  </si>
  <si>
    <t>ДВС</t>
  </si>
  <si>
    <t>Силовая передача</t>
  </si>
  <si>
    <t>Гидравлика</t>
  </si>
  <si>
    <t>Другое</t>
  </si>
  <si>
    <t>груженый</t>
  </si>
  <si>
    <t>порожний</t>
  </si>
  <si>
    <t>футеровка</t>
  </si>
  <si>
    <t>номинал</t>
  </si>
  <si>
    <t>подъем</t>
  </si>
  <si>
    <t>опускание</t>
  </si>
  <si>
    <t>50/80R57 MS453/403 S2 257/B TL Maxam</t>
  </si>
  <si>
    <t>40.00R57 MS453/403 PRO E4 Maxam</t>
  </si>
  <si>
    <t>46/90R57 AG01 E4 TL Aeolus</t>
  </si>
  <si>
    <t>долл/шт.</t>
  </si>
  <si>
    <t>юаней/шт.</t>
  </si>
  <si>
    <t>цена DDP Лесосибирск, без НДС:</t>
  </si>
  <si>
    <t>цена, тыс. руб./шт.</t>
  </si>
  <si>
    <t>13.07 - прислали письмо о сроке службы (12 лет)</t>
  </si>
  <si>
    <t>13.07 - прислали обновленный файл для обсуждения (встреча 13.07); на встрече обсудили вопросы, ждем данные для расчета с учетом замечаний (наработка узлов, завышен КТГ, не заполнены полностью часы простоя и трудоемкость)</t>
  </si>
  <si>
    <t>13.07 - по тексту письма: 8 лет</t>
  </si>
  <si>
    <t>13.07 - прислали ТСО; запрос: скорректировать на срок службы (8 лет)+замечания (трудозатраты и простои на КР, динамика КТГ с учетом КР)</t>
  </si>
  <si>
    <t>второй год</t>
  </si>
  <si>
    <t>14.07 - прислали ТСО с затратами на 35% меньше первой версии; замечания не исправлены, КТГ 0,94 на 20 лет; назначена встреча, еще раз обсудили замечания</t>
  </si>
  <si>
    <t>15.07 - прислали политику, не прислали расчет номинальной; повторно запрошен</t>
  </si>
  <si>
    <t>Марка, модель</t>
  </si>
  <si>
    <r>
      <t xml:space="preserve">Учесть срок эксплуатации (в данном примере это 12 лет). </t>
    </r>
    <r>
      <rPr>
        <b/>
        <sz val="10"/>
        <rFont val="Arial"/>
        <family val="2"/>
        <charset val="204"/>
      </rPr>
      <t>Регламентированный производителем срок службы - 8 лет.</t>
    </r>
  </si>
  <si>
    <t>Номинальная грузоподъёмность</t>
  </si>
  <si>
    <t>Стандартный кузов, SAE 2:1</t>
  </si>
  <si>
    <t>ТО, ТР, ПР, сервис (кроме/включая смазочных), моточас работы</t>
  </si>
  <si>
    <t>на час эксплуатации оборудования</t>
  </si>
  <si>
    <t xml:space="preserve">46/90R57 </t>
  </si>
  <si>
    <t>Указать нужные данные (здесь приведены - в качестве примера)</t>
  </si>
  <si>
    <t>3-4</t>
  </si>
  <si>
    <t>Обьем услуг</t>
  </si>
  <si>
    <t>Человеко
часы</t>
  </si>
  <si>
    <t>Машино
часы</t>
  </si>
  <si>
    <t>Простои, час</t>
  </si>
  <si>
    <t>250H PERIODIC SERVICE(PM LABOR)</t>
  </si>
  <si>
    <t>500H PERIODIC SERVICE(PM LABOR)</t>
  </si>
  <si>
    <t>1000H PERIODIC SERVICE(PM LABOR)</t>
  </si>
  <si>
    <t>2500H PERIODIC SERVICE(PM LABOR)</t>
  </si>
  <si>
    <t>5000H PERIODIC SERVICE(PM LABOR)</t>
  </si>
  <si>
    <t xml:space="preserve">Масло SAE15W-40 ENGINE OIL  </t>
  </si>
  <si>
    <t>SYZZ-15W40DM-Y</t>
  </si>
  <si>
    <t>Консистентная смазка GL-2, GL-0 (кг)</t>
  </si>
  <si>
    <t>SYZZ-GA-16CNLI</t>
  </si>
  <si>
    <t>Воздушный фильтр (сапун гидробака)</t>
  </si>
  <si>
    <t>0160 MU 010 P</t>
  </si>
  <si>
    <t>Фильтр XA2134/WF2075</t>
  </si>
  <si>
    <t>6742-01-4110</t>
  </si>
  <si>
    <t>Фильтр XA4515 /LF9050</t>
  </si>
  <si>
    <t>XA3898</t>
  </si>
  <si>
    <t>Фильтрующий элемент возвратного 
масляного фильтра</t>
  </si>
  <si>
    <t>RFB-1300X20</t>
  </si>
  <si>
    <t>Фильтрующий элемент 
подъемного фильтра</t>
  </si>
  <si>
    <t>0990 D 010 ON</t>
  </si>
  <si>
    <t>Фильтрующий элемент 
рулевого управления</t>
  </si>
  <si>
    <t>0500 D 010 ON</t>
  </si>
  <si>
    <t>Уплотнительное кольцо фильтра гидросистемы</t>
  </si>
  <si>
    <t>WA0100</t>
  </si>
  <si>
    <t>Кольцо фильтра гидросистемы подъема и тормозной системы</t>
  </si>
  <si>
    <t>3046999R1</t>
  </si>
  <si>
    <t>Фильтр рец.воздуха</t>
  </si>
  <si>
    <t>EM0055</t>
  </si>
  <si>
    <t>Фильтр PB7001</t>
  </si>
  <si>
    <t>PB7001</t>
  </si>
  <si>
    <t>Уплотнительное кольцо фильтра автоматической системы смазки</t>
  </si>
  <si>
    <t>BF5459</t>
  </si>
  <si>
    <t>BF5460</t>
  </si>
  <si>
    <t>Наружный элемент воздушного фильтра</t>
  </si>
  <si>
    <t>P608306</t>
  </si>
  <si>
    <t>Внутренний элемент 
воздушного фильтра</t>
  </si>
  <si>
    <t>P608305</t>
  </si>
  <si>
    <t>Масло SAE10W</t>
  </si>
  <si>
    <t>SYZZ-TO10-DM-Y</t>
  </si>
  <si>
    <t>Антифриз</t>
  </si>
  <si>
    <t>SYZZ-AFNACDM60-E-AA</t>
  </si>
  <si>
    <t>Фильтр автоматической системы смазки</t>
  </si>
  <si>
    <t>BF5461</t>
  </si>
  <si>
    <t>Масло 80W90</t>
  </si>
  <si>
    <t>SYZZ-80W90-DM</t>
  </si>
  <si>
    <t>Масло редукторное  680  38 л. в каждый редуктор.</t>
  </si>
  <si>
    <t>Смазка Mobilith SHC 100</t>
  </si>
  <si>
    <t>ремонт-1</t>
  </si>
  <si>
    <t>ремонт-2</t>
  </si>
  <si>
    <t>ремонт-3</t>
  </si>
  <si>
    <t xml:space="preserve"> </t>
  </si>
  <si>
    <t>текущий ремонт-1</t>
  </si>
  <si>
    <t>текущий ремонт-2</t>
  </si>
  <si>
    <t>текущий ремонт-3</t>
  </si>
  <si>
    <t>текущий ремонт-4</t>
  </si>
  <si>
    <t>текущий ремонт-5</t>
  </si>
  <si>
    <t>ENGINE (ремонт по регламенту)</t>
  </si>
  <si>
    <t>ALTERNATOR &amp; BLOWER ASSY - MINOR</t>
  </si>
  <si>
    <t>RETARDER BLOWER MOTOR</t>
  </si>
  <si>
    <t>RETARDING GRID ASSY</t>
  </si>
  <si>
    <t>WHEEL MOTOR TRANSMISSION AND BRAKE ASSY - MINOR</t>
  </si>
  <si>
    <t>REAR BRAKE- MAJOR</t>
  </si>
  <si>
    <t>POWER WIRING</t>
  </si>
  <si>
    <t>EX.CONTROL CABINET WIRING</t>
  </si>
  <si>
    <t>ALTERNATOR</t>
  </si>
  <si>
    <t>STARTING MOTOR</t>
  </si>
  <si>
    <t>ACCUMULATOR- BRAKE</t>
  </si>
  <si>
    <t>STEERING ACCUMULATOR ASSY</t>
  </si>
  <si>
    <t>BODY UP &amp; HOIST LIMIT SWITCH концевой выключатель</t>
  </si>
  <si>
    <t>HOIST CYLINDER &amp; MOUNTING</t>
  </si>
  <si>
    <t>STEERING CYLINDER ASSY</t>
  </si>
  <si>
    <t>STEERING PUMP REBUILD</t>
  </si>
  <si>
    <t>HOIST PUMP REBUILD</t>
  </si>
  <si>
    <t>HOIST VALVE MODULE</t>
  </si>
  <si>
    <t>STEERING CONTROL VALVE</t>
  </si>
  <si>
    <t>Шасси</t>
  </si>
  <si>
    <t>FRONT DISC BRAKE</t>
  </si>
  <si>
    <t>FRONT BRAKE. Колодки тормозные перед.</t>
  </si>
  <si>
    <t>FRONT SUSPENSION &amp; MOUNTING</t>
  </si>
  <si>
    <t>REAR SUSPENSION &amp; MOUNTING</t>
  </si>
  <si>
    <t>REAR DISC BRAKE</t>
  </si>
  <si>
    <t>REAR BRAKE. Колодки торм.задние (раб.тормоз)</t>
  </si>
  <si>
    <t>REAR BRAKE.Колодки стояночного тормоза 
заднего колеса</t>
  </si>
  <si>
    <t>NOSE CONE PIN</t>
  </si>
  <si>
    <t>Шарнирный подшипник</t>
  </si>
  <si>
    <t>PIN Штифт</t>
  </si>
  <si>
    <t>ELECTRONIC TREADLE</t>
  </si>
  <si>
    <t>24V ELECTRIC WIRING &amp; MOUNTS</t>
  </si>
  <si>
    <t>Автошины</t>
  </si>
  <si>
    <t xml:space="preserve"> +/- 2/1</t>
  </si>
  <si>
    <t>третий год</t>
  </si>
  <si>
    <t xml:space="preserve"> +/- 3/2</t>
  </si>
  <si>
    <t>всего</t>
  </si>
  <si>
    <t>год</t>
  </si>
  <si>
    <t>Предыдущий тендер</t>
  </si>
  <si>
    <t>ТО, ремонты</t>
  </si>
  <si>
    <t>сервис</t>
  </si>
  <si>
    <t>Расходы на персонал</t>
  </si>
  <si>
    <t>ФОТ+резервы (без взносов)</t>
  </si>
  <si>
    <t>тыс. руб. в год/чел.</t>
  </si>
  <si>
    <t>п/п</t>
  </si>
  <si>
    <t>Модель</t>
  </si>
  <si>
    <t>TZE240</t>
  </si>
  <si>
    <t>Ед. измерения</t>
  </si>
  <si>
    <t>Масса порожнего самосвала</t>
  </si>
  <si>
    <t xml:space="preserve">Полная масса самосвала </t>
  </si>
  <si>
    <t>Масса стандартного кузова</t>
  </si>
  <si>
    <t>Масса футеровки кузова, дополнительно</t>
  </si>
  <si>
    <t>Размер шин</t>
  </si>
  <si>
    <t>Масса шин (х6)</t>
  </si>
  <si>
    <t>Масса ободьев колес (x6)</t>
  </si>
  <si>
    <t xml:space="preserve">Топливный бак 100% </t>
  </si>
  <si>
    <t>Номинальная грузоподъемность (минус футеровка кузова)</t>
  </si>
  <si>
    <t>Загрузка 110% от номинальной грузоподъемности (с учетом футеровки кузова)</t>
  </si>
  <si>
    <t>Загрузка 120% от номинальной грузоподъемности. Никогда не превышать полезную нагрузку, свыше (с учетом футеровки кузова)</t>
  </si>
  <si>
    <t>16.07 - прислали расчет полезной нагрузки с учетом футеровки</t>
  </si>
  <si>
    <t>Учесть срок эксплуатации (в данном примере это 12 лет)</t>
  </si>
  <si>
    <t>Стандартный кузов, SAE 2:1, W-образный</t>
  </si>
  <si>
    <t>2091 (2843 л.с.)</t>
  </si>
  <si>
    <t>50/80R57</t>
  </si>
  <si>
    <t>формулы для примера, можно менять под необходимые параметры</t>
  </si>
  <si>
    <t>ТО-4</t>
  </si>
  <si>
    <t>ТО-5</t>
  </si>
  <si>
    <t>ТО-6</t>
  </si>
  <si>
    <t>фильтр маслянный</t>
  </si>
  <si>
    <t>160605020062A</t>
  </si>
  <si>
    <t>фильтр тонкой очистки</t>
  </si>
  <si>
    <t>160604020053B</t>
  </si>
  <si>
    <t>фильтр грубой очистки</t>
  </si>
  <si>
    <t>160101100048A010/160102170003A002</t>
  </si>
  <si>
    <t>фильтр водо-сепаратор</t>
  </si>
  <si>
    <t>160603020024A</t>
  </si>
  <si>
    <t xml:space="preserve"> воздушный фильтр основной</t>
  </si>
  <si>
    <t>B222100000426</t>
  </si>
  <si>
    <t xml:space="preserve"> воздушный фильтр предохранительный</t>
  </si>
  <si>
    <t>B222100000427</t>
  </si>
  <si>
    <t>масло ДВС</t>
  </si>
  <si>
    <t>API CI-4, вязкость по сезону</t>
  </si>
  <si>
    <t>смазка АЦСС</t>
  </si>
  <si>
    <t>NLGI по сезону</t>
  </si>
  <si>
    <t>фильтр водосипаратор</t>
  </si>
  <si>
    <t xml:space="preserve"> воздушны фильтр основной</t>
  </si>
  <si>
    <t xml:space="preserve"> возвратный фильтр</t>
  </si>
  <si>
    <t>151503000097A002</t>
  </si>
  <si>
    <t xml:space="preserve"> фильтр линии подьемного трубопровода</t>
  </si>
  <si>
    <t>фильтр линии трубопровода рулевого управления</t>
  </si>
  <si>
    <t>сапун гидробака</t>
  </si>
  <si>
    <t>фильтр гидробака</t>
  </si>
  <si>
    <t>фильтр группы тормозных клапанов</t>
  </si>
  <si>
    <t>Замена ОЖ</t>
  </si>
  <si>
    <t>ASTM D6210 GB 29743</t>
  </si>
  <si>
    <t>Замена масла передних ступиц</t>
  </si>
  <si>
    <t>AGMA 9005-F16 DIN 51517-3: 2018-09 ISO L-CKD (ISO 12925-1: 2018)   Мобил SHC 460 SHC 680</t>
  </si>
  <si>
    <t>Замена масла в редукторах заднего моста</t>
  </si>
  <si>
    <t>Замена гидравлического масла</t>
  </si>
  <si>
    <t>ISO11158 HV, вязкость по сезону</t>
  </si>
  <si>
    <t>фильтр</t>
  </si>
  <si>
    <t>масло</t>
  </si>
  <si>
    <t>смазка</t>
  </si>
  <si>
    <t>ремонт-4</t>
  </si>
  <si>
    <t>ремонт-5</t>
  </si>
  <si>
    <t>ППР 10000</t>
  </si>
  <si>
    <t>ППР 20000</t>
  </si>
  <si>
    <t>ППР 30000</t>
  </si>
  <si>
    <t>ДВС и Электрическая система</t>
  </si>
  <si>
    <t>Двигатель</t>
  </si>
  <si>
    <t>Турбокомпрессор</t>
  </si>
  <si>
    <t>Компрессор</t>
  </si>
  <si>
    <t>Блок управления температурой аккумулятора</t>
  </si>
  <si>
    <t>Генератор переменного тока</t>
  </si>
  <si>
    <t>Коробка резисторов</t>
  </si>
  <si>
    <t>Тяговый аккумулятор в сборе</t>
  </si>
  <si>
    <t>Установка вентилятора и воздуховода</t>
  </si>
  <si>
    <t>Тяговый эл.Двигатель</t>
  </si>
  <si>
    <t>Группа блоков клапанов подъема и слияния</t>
  </si>
  <si>
    <t>Группа тормозных клапанов</t>
  </si>
  <si>
    <t>Рулевой цилиндр</t>
  </si>
  <si>
    <t>Агрегат тяговой штанги</t>
  </si>
  <si>
    <t>Переходная коробка в сборе</t>
  </si>
  <si>
    <t>Карданный вал</t>
  </si>
  <si>
    <t>Насос рулевого управления</t>
  </si>
  <si>
    <t>Насос гидравлический</t>
  </si>
  <si>
    <t>Цилиндр подъема кузова левый/правый</t>
  </si>
  <si>
    <t>Установка соединения группы балансировочных клапанов</t>
  </si>
  <si>
    <t>Цилиндр подвески задний</t>
  </si>
  <si>
    <t>Цилиндр подвески передний</t>
  </si>
  <si>
    <t>Передняя ступица (подшипники)</t>
  </si>
  <si>
    <t xml:space="preserve"> А рычаг</t>
  </si>
  <si>
    <t>15.07 - прислали ТСО, берем в работу (Кузнецов В.Е.)</t>
  </si>
  <si>
    <t>ТЕХНИЧЕСКОЕ ОБСЛУЖИВАНИЕ</t>
  </si>
  <si>
    <t>ТЕКУЩИЙ РЕМОНТ</t>
  </si>
  <si>
    <t>КАПИТАЛЬНЫЙ РЕМОНТ</t>
  </si>
  <si>
    <t>ПРОЧЕЕ</t>
  </si>
  <si>
    <t>КОМПОНЕНТЫ</t>
  </si>
  <si>
    <t>Факт затрат на 1 ед. (по годам старения), тыс. руб.</t>
  </si>
  <si>
    <t>1 год</t>
  </si>
  <si>
    <t>2 год</t>
  </si>
  <si>
    <t>3 год</t>
  </si>
  <si>
    <t>Персонал_Прочее</t>
  </si>
  <si>
    <t>Загрузка, 2025</t>
  </si>
  <si>
    <t>коэффициент</t>
  </si>
  <si>
    <t>км с коэффициентом</t>
  </si>
  <si>
    <t>Пробег НИ</t>
  </si>
  <si>
    <t>Пробег НИ_1</t>
  </si>
  <si>
    <t>см. Загрузка</t>
  </si>
  <si>
    <t>12 лет</t>
  </si>
  <si>
    <t>8 лет</t>
  </si>
  <si>
    <t>7 лет</t>
  </si>
  <si>
    <t>Данные для расчета по варианту "Производство"</t>
  </si>
  <si>
    <t>г/п, т</t>
  </si>
  <si>
    <t>Вес, т</t>
  </si>
  <si>
    <t>Норма топлива, г/ткм</t>
  </si>
  <si>
    <t>Пробег шин, тыс. км</t>
  </si>
  <si>
    <t>Эксплуатация, лет</t>
  </si>
  <si>
    <t>Техн скорость, км/час</t>
  </si>
  <si>
    <t>Погрузка, мин</t>
  </si>
  <si>
    <t>Разгрузка, мин</t>
  </si>
  <si>
    <t>КТГ по годам старения в расчете</t>
  </si>
  <si>
    <t>Средний</t>
  </si>
  <si>
    <t>КТГ поставщиков (текущий тендер)</t>
  </si>
  <si>
    <t>КТГ тендер дек. 2024</t>
  </si>
  <si>
    <t>ESTAR ESDE240</t>
  </si>
  <si>
    <t>БелАЗ-7531H привод Силовые Маш</t>
  </si>
  <si>
    <t>Первые 4 года - среднесрок, далее - на динамике от поставщика</t>
  </si>
  <si>
    <t>равно NTE 240</t>
  </si>
  <si>
    <t>1-ый год - факт Карельского Окатыша (30 ед. БелАЗ-7531H, введенные 2023-2024), далее - динамика поставщика</t>
  </si>
  <si>
    <t>Затраты на ТО и Ремонты</t>
  </si>
  <si>
    <t>руб/долл</t>
  </si>
  <si>
    <t>Затраты в расчете</t>
  </si>
  <si>
    <t>Всего</t>
  </si>
  <si>
    <t>Среднее</t>
  </si>
  <si>
    <t>Производство/Поставщик</t>
  </si>
  <si>
    <t>Затраты от поставщиков (текущий тендер)</t>
  </si>
  <si>
    <t>включая смазочные и трудозатраты</t>
  </si>
  <si>
    <t>Затраты тендер дек. 2024</t>
  </si>
  <si>
    <t>20.07 - прислали политику и схему футеровки</t>
  </si>
  <si>
    <t>факт Komatsu 1500 (СЛ ОПР 2025)</t>
  </si>
  <si>
    <t>футеровка стандартный кузов</t>
  </si>
  <si>
    <t>футеровка скальный кузов</t>
  </si>
  <si>
    <t>21.07 - прислали вес скального кузова; замечание Кузнецова В.Е.</t>
  </si>
  <si>
    <t>XCMG 240</t>
  </si>
  <si>
    <t>22.07 - получен ответ</t>
  </si>
  <si>
    <t>22.07 - запросили расчет, политику</t>
  </si>
  <si>
    <t>22.07 - запросили</t>
  </si>
  <si>
    <t>нет данных</t>
  </si>
  <si>
    <t>данные поставщика от 16.07.2026</t>
  </si>
  <si>
    <t>данные поставщика от 15.07.2026</t>
  </si>
  <si>
    <t>16.07 - прислали ТСО, берем в работу (Кузнецов В.Е.)</t>
  </si>
  <si>
    <t>данные поставщика от 09.07.2026</t>
  </si>
  <si>
    <t>в действующих ценах</t>
  </si>
  <si>
    <t>7531N</t>
  </si>
  <si>
    <t>не более 2000 кг/куб.м</t>
  </si>
  <si>
    <t>КТГ (сервисный)</t>
  </si>
  <si>
    <t>при применении оборотных агрегатов</t>
  </si>
  <si>
    <t>ежесменный осмотр (20 минут в смену силами водителя)</t>
  </si>
  <si>
    <t>ТО, ТР, ПР, сервис (включая смазочных), моточас работы</t>
  </si>
  <si>
    <t>поставка без шин</t>
  </si>
  <si>
    <t>90,3-135,4</t>
  </si>
  <si>
    <t>135,4-180,6</t>
  </si>
  <si>
    <t>180,6-225,7</t>
  </si>
  <si>
    <t>долл в час простоя ТО</t>
  </si>
  <si>
    <t>численность на ТО</t>
  </si>
  <si>
    <t>человека</t>
  </si>
  <si>
    <t>долл в час простоя сервис</t>
  </si>
  <si>
    <t>численность на ремонт</t>
  </si>
  <si>
    <t>стоимость ч/час ТО</t>
  </si>
  <si>
    <t>с транспортными?</t>
  </si>
  <si>
    <t>стоимость ч/час ремонт</t>
  </si>
  <si>
    <t>* все стоимости указаны без НДС</t>
  </si>
  <si>
    <t>**  эксплуатации машин на плече не более 5 км</t>
  </si>
  <si>
    <t>*** без учета шин и топлива</t>
  </si>
  <si>
    <t>простой</t>
  </si>
  <si>
    <t>Н/ч</t>
  </si>
  <si>
    <t>ТО-100 (один раз после обкатки)</t>
  </si>
  <si>
    <t>ТО-каждые 2500 м/ч</t>
  </si>
  <si>
    <t>ТО-каждые 4000 м/ч</t>
  </si>
  <si>
    <t>ТО-каждые 5000 м/ч</t>
  </si>
  <si>
    <t>ТО-100</t>
  </si>
  <si>
    <t xml:space="preserve">Масло моторное </t>
  </si>
  <si>
    <t>BELAZG-ProfiMining15W-40</t>
  </si>
  <si>
    <t>Заменить центробежный масляный фильтр ДВС</t>
  </si>
  <si>
    <t>Заменить фильтр масляный полнопоточный ДВС</t>
  </si>
  <si>
    <t>Заменить фильтр топливный грубой очистки ДВС</t>
  </si>
  <si>
    <t>1008088044(1000104480)</t>
  </si>
  <si>
    <t>Заменить фильтр топливный тонкой очистки ДВС</t>
  </si>
  <si>
    <t>1008088046(1000104483)</t>
  </si>
  <si>
    <t>Заменить масло в РМК</t>
  </si>
  <si>
    <t>BELAZ G-Profi TRANS Plus 680</t>
  </si>
  <si>
    <t xml:space="preserve"> добавить смазку в манжеты картера редуктора РМК (100 г в каждую масленку)</t>
  </si>
  <si>
    <t>BELAZ G-Profi Grease MP EP 2 / CLS</t>
  </si>
  <si>
    <t>Произвести замену масла объединенной гидравлической системы</t>
  </si>
  <si>
    <t>BELAZG-ProfiHydraulicHVLP46/32</t>
  </si>
  <si>
    <t>Заменить фильтрующий элемент гидробака</t>
  </si>
  <si>
    <t>EE500600/М5409МК</t>
  </si>
  <si>
    <t>Заменить фильтрующий элемент напорной линии насоса</t>
  </si>
  <si>
    <t>EE502300 (М5402МК)</t>
  </si>
  <si>
    <t>Заменить основной фильтрующий элемент воздушного фильтра</t>
  </si>
  <si>
    <t>ЕЕ100300 (В4305МК)</t>
  </si>
  <si>
    <t>Заменить предохранительный фильтрующий элемент воздушного фильтра</t>
  </si>
  <si>
    <t>ЕЕ100301 (В4305MK-01)</t>
  </si>
  <si>
    <t>Пополнить смазку подшипников (50г в каждый подшипник)</t>
  </si>
  <si>
    <t xml:space="preserve">SKF LGHP </t>
  </si>
  <si>
    <t>Заполнить бачек централизованной системы смазки</t>
  </si>
  <si>
    <t>Смазать подшипники эл. двигателя вентилятора охлаждения тормозной установки УВТР</t>
  </si>
  <si>
    <t>Смазать подшипники ступиц колес передней оси</t>
  </si>
  <si>
    <t>Заменить фильтрующие элементы сапунов бака объединенной гидросистемы</t>
  </si>
  <si>
    <t>EE100310 (4347МК)</t>
  </si>
  <si>
    <t>Заменить фильтрующий элемент в масляном баке гидросистемы</t>
  </si>
  <si>
    <t>EE500600</t>
  </si>
  <si>
    <t>Заменить фильтрующий элемент в напорной линии насоса</t>
  </si>
  <si>
    <t>Провести замену фильтрующих элементов воздухозаборника кабины</t>
  </si>
  <si>
    <t>ЕЕ 148200 (В4701МК)</t>
  </si>
  <si>
    <t>Заменить фильтрующие элементы сапунов редукторов электромотор-колес</t>
  </si>
  <si>
    <t>Заменить ремень привода зарядного генератора</t>
  </si>
  <si>
    <t>612600062561.</t>
  </si>
  <si>
    <t>Заменить ремень компрессора кондиционера</t>
  </si>
  <si>
    <t>Заменить ремень муфты вентилятора</t>
  </si>
  <si>
    <t>Заменить масло в РМК (2 х 105 л)</t>
  </si>
  <si>
    <t>Замена охлаждающей жидкости, очистка радиатора системы охлаждения двигателя</t>
  </si>
  <si>
    <t>BELAZG-PROFIANTIFREEZEGREEN40</t>
  </si>
  <si>
    <t>4 год</t>
  </si>
  <si>
    <t>5 год</t>
  </si>
  <si>
    <t>6 год</t>
  </si>
  <si>
    <t>7 год</t>
  </si>
  <si>
    <t>8 год</t>
  </si>
  <si>
    <t>9 год</t>
  </si>
  <si>
    <t>10 год</t>
  </si>
  <si>
    <t>ТР ДВС (10000 м/ч)</t>
  </si>
  <si>
    <t>БЕЛАЗ 7531N ТР-1 (6000 м/ч)</t>
  </si>
  <si>
    <t>БЕЛАЗ 7531N ТР-2 (12 000 м/ч)</t>
  </si>
  <si>
    <t xml:space="preserve">Двигатель кап.ремонт (замена) </t>
  </si>
  <si>
    <t>Тяговый генератор</t>
  </si>
  <si>
    <t>Тяговый мотор</t>
  </si>
  <si>
    <t>Всего ч/часов*</t>
  </si>
  <si>
    <t>п.цилиндр. подвески</t>
  </si>
  <si>
    <t>з.цилиндр. подвески</t>
  </si>
  <si>
    <t>Кулак поворотный со ступицей</t>
  </si>
  <si>
    <t>Обод</t>
  </si>
  <si>
    <t>*- демонтажно-монтажные работы, без цехового ремонта</t>
  </si>
  <si>
    <t>Стоимость  за ед., $</t>
  </si>
  <si>
    <t>23.07 - принято (Кузнецов В.Е.)</t>
  </si>
  <si>
    <t>данные поставщика от 22.07.2026</t>
  </si>
  <si>
    <t>22.07 - прислали ТСО</t>
  </si>
  <si>
    <t>БелАЗ 7531 (ГПФК)</t>
  </si>
  <si>
    <t>БелАЗ 7531 (БТЛ)</t>
  </si>
  <si>
    <t>Фактический КТГ по годам старения</t>
  </si>
  <si>
    <t>NTE-240</t>
  </si>
  <si>
    <t>курс ЦБ на хх.07.2026</t>
  </si>
  <si>
    <t>6 мес. 2026</t>
  </si>
  <si>
    <t xml:space="preserve">Учесть срок эксплуатации </t>
  </si>
  <si>
    <t>108/148</t>
  </si>
  <si>
    <t xml:space="preserve">50/80 R57 E4 MAXAM </t>
  </si>
  <si>
    <t>20000 $</t>
  </si>
  <si>
    <t>ТО-7</t>
  </si>
  <si>
    <t>ТО-8</t>
  </si>
  <si>
    <t>Фильтр масла ДВС</t>
  </si>
  <si>
    <t>ES800173477</t>
  </si>
  <si>
    <t>ES800172357</t>
  </si>
  <si>
    <t>Топливный фильтр грубой очистки</t>
  </si>
  <si>
    <t>ES800157453</t>
  </si>
  <si>
    <t>Топливный фильтр тонкой очистки</t>
  </si>
  <si>
    <t>ES800153892</t>
  </si>
  <si>
    <t>Фильтр системы охлаждения ДВС WF2075 (3100308)</t>
  </si>
  <si>
    <t>ES800156860</t>
  </si>
  <si>
    <t>Масло моторное ESTAR SHPD 15W-40, 205л</t>
  </si>
  <si>
    <t>Смазка низкотемпературная ESTAR 5 WINTER MOLY 150 EP1, 205л/180кг</t>
  </si>
  <si>
    <t>Воздушный фильтр двигателя первичный</t>
  </si>
  <si>
    <t>ES800174411</t>
  </si>
  <si>
    <t>Сапун топливного бака</t>
  </si>
  <si>
    <t>ES803280923</t>
  </si>
  <si>
    <t>Сапун гидравлического бака</t>
  </si>
  <si>
    <t>ES803425128</t>
  </si>
  <si>
    <t>Фильтр гидравлической системы подъема кузова</t>
  </si>
  <si>
    <t>ES803400692</t>
  </si>
  <si>
    <t>Фильтр гидравлической системы рулевого управления</t>
  </si>
  <si>
    <t>ES803400693</t>
  </si>
  <si>
    <t>Фильтр гидравлической системы, обратный</t>
  </si>
  <si>
    <t>ES860153098</t>
  </si>
  <si>
    <t>Уплотнение обратного фильтра гидравлической системы</t>
  </si>
  <si>
    <t>ES803199921</t>
  </si>
  <si>
    <t>Фильтр пилотной линии гидравлической системы</t>
  </si>
  <si>
    <t>ES803497577</t>
  </si>
  <si>
    <t>Воздушный фильтр кондиционера кабины</t>
  </si>
  <si>
    <t>ES803596605</t>
  </si>
  <si>
    <t>Фильтр нагнетателя воздуха в кабину</t>
  </si>
  <si>
    <t>ES803403535</t>
  </si>
  <si>
    <t>Воздушный фильтр двигателя вторичный</t>
  </si>
  <si>
    <t>ES800174410</t>
  </si>
  <si>
    <t>Фильтр высокого давления гидравлической системы</t>
  </si>
  <si>
    <t>ES803428458</t>
  </si>
  <si>
    <t>Уплотнение фильтра высокого давления гидравлической системы</t>
  </si>
  <si>
    <t>ES803385978</t>
  </si>
  <si>
    <t>Масло гидравлическое ESTAR HVLP-46, 205л</t>
  </si>
  <si>
    <t>Редукторное масло ESTAR Gear 680 Synth, 205л</t>
  </si>
  <si>
    <t>Фильтр насоса ЦСС</t>
  </si>
  <si>
    <t>ES819972083</t>
  </si>
  <si>
    <t>Антифриз COOLANT LONG LIFE 50/50, 205л</t>
  </si>
  <si>
    <t>Двигатель(капитальный ремонт)</t>
  </si>
  <si>
    <t>Радиатор в сборе</t>
  </si>
  <si>
    <t xml:space="preserve">Генератор </t>
  </si>
  <si>
    <t>Стартер</t>
  </si>
  <si>
    <t>Мотор-колесо</t>
  </si>
  <si>
    <t xml:space="preserve">Электрический шкаф </t>
  </si>
  <si>
    <t>Генератор</t>
  </si>
  <si>
    <t>Гидравлическая система</t>
  </si>
  <si>
    <t>Гидравлический насос</t>
  </si>
  <si>
    <t>Комплект уплотнений рулевого цилиндра (ремонт)</t>
  </si>
  <si>
    <t>Комплект тормозных клапанов</t>
  </si>
  <si>
    <t>Тормозной гидроаккумулятор</t>
  </si>
  <si>
    <t>Атмосферный клапан</t>
  </si>
  <si>
    <t>Тормозной аккумулятор в сборе</t>
  </si>
  <si>
    <t>Хомуты комплект</t>
  </si>
  <si>
    <t>Гидравлический педальный клапан с пилотным управлением</t>
  </si>
  <si>
    <t>Коллектор противовесного клапана</t>
  </si>
  <si>
    <t>Главный клапан подъема</t>
  </si>
  <si>
    <t>Тандемный шестеренчатый насос</t>
  </si>
  <si>
    <t>Подъемный клапан в сборе</t>
  </si>
  <si>
    <t>Клапан ограничения подъема</t>
  </si>
  <si>
    <t>Пилотный клапан подъема</t>
  </si>
  <si>
    <t>Комплект рулевых клапанов</t>
  </si>
  <si>
    <t>Нагнетательный клапан для поршневых насосов</t>
  </si>
  <si>
    <t>Гидравлический насос рулевого управления</t>
  </si>
  <si>
    <t>Блоки объединения рулевого управления</t>
  </si>
  <si>
    <t>Поршневой гидроаккумулятор</t>
  </si>
  <si>
    <t>Датчик давления</t>
  </si>
  <si>
    <t>Цилиндр задней подвески</t>
  </si>
  <si>
    <t>Цилиндр передней подвески</t>
  </si>
  <si>
    <t>Рулевые цилиндры</t>
  </si>
  <si>
    <t>Подъемные цилиндры</t>
  </si>
  <si>
    <t>Балансировочный клапан</t>
  </si>
  <si>
    <t>Ходовая система</t>
  </si>
  <si>
    <t>Фрикционные накладки для рабочих тормозов задних колес</t>
  </si>
  <si>
    <t>Фрикционные накладки для рабочих тормозов передних колес</t>
  </si>
  <si>
    <t>Фрикционная накладка стояночного тормоза</t>
  </si>
  <si>
    <t>Комплект тормозных уплотнений для обслуживания задних колес</t>
  </si>
  <si>
    <t>Комплект тормозных уплотнений для обслуживания передних колес</t>
  </si>
  <si>
    <t>Комплект уплотнений стояночного тормоза</t>
  </si>
  <si>
    <t>Задние тормозные диски</t>
  </si>
  <si>
    <t>Передние тормозные диски</t>
  </si>
  <si>
    <t>Передний Суппорт</t>
  </si>
  <si>
    <t>Стояночный суппорт</t>
  </si>
  <si>
    <t>Задний суппорт</t>
  </si>
  <si>
    <t>Ремонт ступицы (подшипники,даукон)</t>
  </si>
  <si>
    <t>Электрическая система</t>
  </si>
  <si>
    <t>Модуль управления питанием</t>
  </si>
  <si>
    <t>Контроллер</t>
  </si>
  <si>
    <t>Бортовая диагностическая система Главный компьютер</t>
  </si>
  <si>
    <t>Позиционный кнопочный блок</t>
  </si>
  <si>
    <t>Жгут проводов от электрошкафа к панели приборов</t>
  </si>
  <si>
    <t>Жгут проводов от электрошкафа к центральной консоли</t>
  </si>
  <si>
    <t>Жгут проводов от электрического шкафа управления к задней части кабины</t>
  </si>
  <si>
    <t>Жгуты проводов рамы</t>
  </si>
  <si>
    <t>Бесконтактный выключатель</t>
  </si>
  <si>
    <t>Жгуты гидравлической системы</t>
  </si>
  <si>
    <t>Модуль ввода-вывода общего назначения</t>
  </si>
  <si>
    <t>Система кондиционирования</t>
  </si>
  <si>
    <t>Незапланированные  простои(внеплановые отказы)</t>
  </si>
  <si>
    <t>24.07 - прислали ТСО, берем в работу (Кузнецов В.Е.)</t>
  </si>
  <si>
    <t>Estar ESDE240 (ГПБ К)</t>
  </si>
  <si>
    <t>данные поставщика от 24.07.2026</t>
  </si>
  <si>
    <t>Учесть срок эксплуатации (в данном примере это 20 лет)</t>
  </si>
  <si>
    <t>Ширина по зеркалам</t>
  </si>
  <si>
    <t>Высота по козырьку кузова</t>
  </si>
  <si>
    <t>Длина с учетом переднего бампера с лестницей</t>
  </si>
  <si>
    <t>Указана максимальная мощность двигателя</t>
  </si>
  <si>
    <t>тыс.Юаней/год</t>
  </si>
  <si>
    <t>Стоимость ТО без учета смазочных материалов</t>
  </si>
  <si>
    <t>На 1 час эксплуатации оборудования</t>
  </si>
  <si>
    <t>Модель резины по выбору завода изготовителя (обычно это MAXAM)</t>
  </si>
  <si>
    <t>Точная цена у Покупателя, такие шины Покупатель приобретает самостоятельно.</t>
  </si>
  <si>
    <t>Средний расход топлива в час при обычном режиме работы</t>
  </si>
  <si>
    <t>Средний расход - легкие условия</t>
  </si>
  <si>
    <t>Средний расход - средние условия</t>
  </si>
  <si>
    <t>Средний расход - тяжелые условия</t>
  </si>
  <si>
    <t>От 6 до 14</t>
  </si>
  <si>
    <t>Сроки поставки зависят от количества самосвалов в партии и даты заказа.</t>
  </si>
  <si>
    <t>Юаней в /год</t>
  </si>
  <si>
    <t>стоимость за ед., ¥</t>
  </si>
  <si>
    <t>¥</t>
  </si>
  <si>
    <t>масло 15W-40</t>
  </si>
  <si>
    <t>смазка 1-100 HD</t>
  </si>
  <si>
    <t>антифриз HD Long Life</t>
  </si>
  <si>
    <t xml:space="preserve">916254 / 20059910 </t>
  </si>
  <si>
    <t>UR24465</t>
  </si>
  <si>
    <t>масло 680</t>
  </si>
  <si>
    <t>масло Hydraulic Oil 32</t>
  </si>
  <si>
    <t>ЕР 1,5-460</t>
  </si>
  <si>
    <t>регулировка  ГРМ</t>
  </si>
  <si>
    <t>Затраты на ремонты</t>
  </si>
  <si>
    <t>¥ / год</t>
  </si>
  <si>
    <t>Планово-предупредительные (капитальные) ремонты</t>
  </si>
  <si>
    <t>Сервис (трудозатраты)</t>
  </si>
  <si>
    <t>Блок инжектора</t>
  </si>
  <si>
    <t>Глушитель</t>
  </si>
  <si>
    <t>Главный Генератор</t>
  </si>
  <si>
    <t>Ретардер</t>
  </si>
  <si>
    <t>Регулировка клапанов ГРМ ДВС при ТО6 (10000 м\час)</t>
  </si>
  <si>
    <t>ТО6-10000</t>
  </si>
  <si>
    <t>Подвеска (передняя и задняя)</t>
  </si>
  <si>
    <t>Гидроцилиндры цом</t>
  </si>
  <si>
    <t>Гидроцилиндры рул</t>
  </si>
  <si>
    <t xml:space="preserve">Насос гидравлический </t>
  </si>
  <si>
    <t>Насос рулевой</t>
  </si>
  <si>
    <t xml:space="preserve">Радиатор гидравличекий </t>
  </si>
  <si>
    <t>Вентилятор</t>
  </si>
  <si>
    <t>Водяной насос охлаждения</t>
  </si>
  <si>
    <t>Насос ЦСС</t>
  </si>
  <si>
    <t>Подшипники передней оси</t>
  </si>
  <si>
    <t>Ходовая часть + прочие работы</t>
  </si>
  <si>
    <t>Затраты на ремонты (¥)</t>
  </si>
  <si>
    <t>Стоимость за ед., ¥</t>
  </si>
  <si>
    <t>долл</t>
  </si>
  <si>
    <t>данные поставщика от 27.07.2026</t>
  </si>
  <si>
    <t>27.07 - прислали ТСО</t>
  </si>
  <si>
    <t>28.07 - отправили замечания, не правят; берем в работу что есть</t>
  </si>
  <si>
    <t>29.07 - прислали письмо, 8 лет</t>
  </si>
  <si>
    <t>29.07 - еще раз прислали письмо, по запросу</t>
  </si>
  <si>
    <t>29.07 - прислали письмо от завода (15-20 лет)</t>
  </si>
  <si>
    <t>нет ответа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</si>
</sst>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[$$-409]#,##0"/>
    <numFmt numFmtId="167" formatCode="[$¥-804]#,##0"/>
    <numFmt numFmtId="168" formatCode="#,##0\ &quot;₽&quot;"/>
    <numFmt numFmtId="169" formatCode="_-* #,##0.0\ _₽_-;\-* #,##0.0\ _₽_-;_-* &quot;-&quot;?\ _₽_-;_-@_-"/>
    <numFmt numFmtId="170" formatCode="_-* #,##0.00\ _₽_-;\-* #,##0.00\ _₽_-;_-* &quot;-&quot;??\ _₽_-;_-@_-"/>
    <numFmt numFmtId="171" formatCode="_-* #,##0.000_-;\-* #,##0.000_-;_-* &quot;-&quot;??_-;_-@_-"/>
    <numFmt numFmtId="172" formatCode="_-* #,##0.0_-;\-* #,##0.0_-;_-* &quot;-&quot;??_-;_-@_-"/>
    <numFmt numFmtId="173" formatCode="0.0%"/>
    <numFmt numFmtId="174" formatCode="###,000"/>
    <numFmt numFmtId="175" formatCode="#,##0.00000;\-#,##0.00000;#,##0.00000"/>
    <numFmt numFmtId="176" formatCode="_-* #,##0.00_р_._-;\-* #,##0.00_р_._-;_-* &quot;-&quot;??_р_._-;_-@_-"/>
    <numFmt numFmtId="177" formatCode="[$$-C09]#,##0.0000"/>
    <numFmt numFmtId="178" formatCode="#,##0.0;\-#,##0.0;#,##0.0"/>
    <numFmt numFmtId="179" formatCode="#,##0.0&quot; ТКМ&quot;;\-#,##0.0&quot; ТКМ&quot;;#,##0.0&quot; ТКМ&quot;"/>
    <numFmt numFmtId="180" formatCode="_-* #,##0.000\ _₽_-;\-* #,##0.000\ _₽_-;_-* &quot;-&quot;???\ _₽_-;_-@_-"/>
    <numFmt numFmtId="181" formatCode="#,##0;[Red]\-#,##0;\-"/>
    <numFmt numFmtId="182" formatCode="0_ ;[Red]\-0\ "/>
    <numFmt numFmtId="183" formatCode="_-* #,##0_р_._-;\-* #,##0_р_._-;_-* &quot;-&quot;??_р_._-;_-@_-"/>
    <numFmt numFmtId="184" formatCode="#,##0_ ;[Red]\-#,##0\ "/>
    <numFmt numFmtId="185" formatCode="[$$-409]#,##0.00"/>
    <numFmt numFmtId="186" formatCode="_(* #,##0.0_);_(* \(#,##0.0\);_(* &quot;-&quot;??_);_(@_)"/>
    <numFmt numFmtId="187" formatCode="_(* #,##0_);_(* \(#,##0\);_(* &quot;-&quot;??_);_(@_)"/>
    <numFmt numFmtId="188" formatCode="0.00_ ;[Red]\-0.00\ "/>
    <numFmt numFmtId="189" formatCode="#,##0.0"/>
    <numFmt numFmtId="190" formatCode="[$¥-478]#,##0"/>
    <numFmt numFmtId="191" formatCode="[$¥-478]#,##0.00"/>
  </numFmts>
  <fonts count="7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b/>
      <sz val="11"/>
      <color rgb="FF0000FF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b/>
      <sz val="10"/>
      <color rgb="FFC00000"/>
      <name val="Calibri"/>
      <family val="2"/>
      <scheme val="minor"/>
    </font>
    <font>
      <i/>
      <sz val="10"/>
      <color rgb="FF00B050"/>
      <name val="Calibri"/>
      <family val="2"/>
      <charset val="204"/>
      <scheme val="minor"/>
    </font>
    <font>
      <i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color rgb="FFFF0000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1F497D"/>
      <name val="Verdana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8"/>
      <name val="Times New Roman"/>
      <family val="1"/>
    </font>
    <font>
      <sz val="8"/>
      <color rgb="FF000000"/>
      <name val="Verdana"/>
      <family val="2"/>
      <charset val="204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0070C0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0070C0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i/>
      <sz val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EEE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B7CF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000000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4" fontId="26" fillId="10" borderId="10" applyNumberFormat="0" applyAlignment="0" applyProtection="0">
      <alignment horizontal="left" vertical="center" indent="1"/>
    </xf>
    <xf numFmtId="174" fontId="27" fillId="0" borderId="12" applyNumberFormat="0" applyProtection="0">
      <alignment horizontal="right" vertical="center"/>
    </xf>
    <xf numFmtId="0" fontId="28" fillId="0" borderId="0"/>
    <xf numFmtId="0" fontId="30" fillId="0" borderId="0"/>
    <xf numFmtId="176" fontId="28" fillId="0" borderId="0" applyFont="0" applyFill="0" applyBorder="0" applyAlignment="0" applyProtection="0"/>
    <xf numFmtId="0" fontId="31" fillId="12" borderId="0" applyNumberFormat="0" applyBorder="0" applyAlignment="0" applyProtection="0"/>
    <xf numFmtId="0" fontId="28" fillId="0" borderId="0"/>
    <xf numFmtId="0" fontId="29" fillId="0" borderId="0"/>
    <xf numFmtId="177" fontId="32" fillId="0" borderId="0"/>
    <xf numFmtId="0" fontId="33" fillId="13" borderId="10" applyNumberFormat="0" applyAlignment="0" applyProtection="0">
      <alignment horizontal="left" vertical="center" indent="1"/>
    </xf>
    <xf numFmtId="0" fontId="41" fillId="0" borderId="0"/>
    <xf numFmtId="0" fontId="29" fillId="0" borderId="0"/>
    <xf numFmtId="0" fontId="28" fillId="0" borderId="0"/>
    <xf numFmtId="43" fontId="30" fillId="0" borderId="0" applyFont="0" applyFill="0" applyBorder="0" applyAlignment="0" applyProtection="0"/>
  </cellStyleXfs>
  <cellXfs count="1078">
    <xf numFmtId="0" fontId="0" fillId="0" borderId="0" xfId="0"/>
    <xf numFmtId="0" fontId="4" fillId="0" borderId="0" xfId="3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/>
    </xf>
    <xf numFmtId="164" fontId="6" fillId="0" borderId="3" xfId="1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3"/>
    </xf>
    <xf numFmtId="166" fontId="6" fillId="0" borderId="3" xfId="0" applyNumberFormat="1" applyFont="1" applyBorder="1" applyAlignment="1">
      <alignment horizontal="center" vertical="center"/>
    </xf>
    <xf numFmtId="43" fontId="6" fillId="3" borderId="0" xfId="1" applyFont="1" applyFill="1"/>
    <xf numFmtId="167" fontId="6" fillId="0" borderId="3" xfId="0" applyNumberFormat="1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center" vertical="center"/>
    </xf>
    <xf numFmtId="0" fontId="9" fillId="0" borderId="0" xfId="0" applyFont="1"/>
    <xf numFmtId="43" fontId="3" fillId="0" borderId="3" xfId="1" applyFont="1" applyFill="1" applyBorder="1" applyAlignment="1">
      <alignment vertical="center"/>
    </xf>
    <xf numFmtId="43" fontId="6" fillId="0" borderId="3" xfId="1" applyFont="1" applyFill="1" applyBorder="1" applyAlignment="1">
      <alignment vertical="center"/>
    </xf>
    <xf numFmtId="169" fontId="6" fillId="0" borderId="0" xfId="0" applyNumberFormat="1" applyFont="1"/>
    <xf numFmtId="0" fontId="10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70" fontId="11" fillId="0" borderId="4" xfId="0" applyNumberFormat="1" applyFont="1" applyBorder="1" applyAlignment="1">
      <alignment vertical="center"/>
    </xf>
    <xf numFmtId="43" fontId="6" fillId="0" borderId="0" xfId="1" applyFont="1"/>
    <xf numFmtId="164" fontId="6" fillId="0" borderId="0" xfId="1" applyNumberFormat="1" applyFont="1"/>
    <xf numFmtId="0" fontId="11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6" fillId="0" borderId="0" xfId="0" applyFont="1" applyAlignment="1">
      <alignment horizontal="center"/>
    </xf>
    <xf numFmtId="164" fontId="11" fillId="4" borderId="0" xfId="1" applyNumberFormat="1" applyFont="1" applyFill="1"/>
    <xf numFmtId="0" fontId="12" fillId="0" borderId="0" xfId="0" applyFont="1"/>
    <xf numFmtId="0" fontId="13" fillId="0" borderId="0" xfId="0" applyFont="1" applyAlignment="1">
      <alignment horizontal="right"/>
    </xf>
    <xf numFmtId="0" fontId="13" fillId="0" borderId="0" xfId="0" applyFont="1"/>
    <xf numFmtId="0" fontId="9" fillId="5" borderId="0" xfId="0" applyFont="1" applyFill="1"/>
    <xf numFmtId="0" fontId="8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3" xfId="1" applyNumberFormat="1" applyFont="1" applyBorder="1" applyAlignment="1">
      <alignment vertical="center"/>
    </xf>
    <xf numFmtId="9" fontId="2" fillId="0" borderId="3" xfId="2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164" fontId="8" fillId="0" borderId="3" xfId="1" applyNumberFormat="1" applyFont="1" applyBorder="1" applyAlignment="1">
      <alignment vertical="center"/>
    </xf>
    <xf numFmtId="0" fontId="2" fillId="0" borderId="3" xfId="0" applyFont="1" applyBorder="1" applyAlignment="1">
      <alignment horizontal="right"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164" fontId="14" fillId="0" borderId="3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164" fontId="8" fillId="3" borderId="3" xfId="1" applyNumberFormat="1" applyFont="1" applyFill="1" applyBorder="1" applyAlignment="1">
      <alignment vertical="center"/>
    </xf>
    <xf numFmtId="164" fontId="6" fillId="4" borderId="0" xfId="0" applyNumberFormat="1" applyFont="1" applyFill="1"/>
    <xf numFmtId="0" fontId="6" fillId="3" borderId="3" xfId="0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vertical="center"/>
    </xf>
    <xf numFmtId="164" fontId="6" fillId="3" borderId="3" xfId="1" applyNumberFormat="1" applyFont="1" applyFill="1" applyBorder="1"/>
    <xf numFmtId="0" fontId="15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9" fontId="15" fillId="0" borderId="3" xfId="2" applyFont="1" applyFill="1" applyBorder="1" applyAlignment="1">
      <alignment vertical="center"/>
    </xf>
    <xf numFmtId="9" fontId="15" fillId="0" borderId="0" xfId="2" applyFont="1" applyFill="1"/>
    <xf numFmtId="164" fontId="8" fillId="0" borderId="3" xfId="1" applyNumberFormat="1" applyFont="1" applyFill="1" applyBorder="1" applyAlignment="1">
      <alignment vertical="center"/>
    </xf>
    <xf numFmtId="171" fontId="6" fillId="3" borderId="3" xfId="1" applyNumberFormat="1" applyFont="1" applyFill="1" applyBorder="1" applyAlignment="1">
      <alignment vertical="center"/>
    </xf>
    <xf numFmtId="171" fontId="6" fillId="0" borderId="3" xfId="1" applyNumberFormat="1" applyFont="1" applyFill="1" applyBorder="1" applyAlignment="1">
      <alignment vertical="center"/>
    </xf>
    <xf numFmtId="164" fontId="11" fillId="0" borderId="0" xfId="0" applyNumberFormat="1" applyFont="1"/>
    <xf numFmtId="164" fontId="6" fillId="0" borderId="3" xfId="1" applyNumberFormat="1" applyFont="1" applyFill="1" applyBorder="1" applyAlignment="1">
      <alignment vertical="center"/>
    </xf>
    <xf numFmtId="172" fontId="6" fillId="3" borderId="3" xfId="1" applyNumberFormat="1" applyFont="1" applyFill="1" applyBorder="1" applyAlignment="1">
      <alignment vertical="center"/>
    </xf>
    <xf numFmtId="172" fontId="6" fillId="0" borderId="3" xfId="1" applyNumberFormat="1" applyFont="1" applyFill="1" applyBorder="1" applyAlignment="1">
      <alignment vertical="center"/>
    </xf>
    <xf numFmtId="164" fontId="6" fillId="0" borderId="0" xfId="0" applyNumberFormat="1" applyFont="1"/>
    <xf numFmtId="0" fontId="16" fillId="0" borderId="3" xfId="0" applyFont="1" applyBorder="1" applyAlignment="1">
      <alignment horizontal="right" vertical="center" wrapText="1"/>
    </xf>
    <xf numFmtId="0" fontId="16" fillId="3" borderId="3" xfId="0" applyFont="1" applyFill="1" applyBorder="1" applyAlignment="1">
      <alignment horizontal="center" vertical="center"/>
    </xf>
    <xf numFmtId="172" fontId="17" fillId="0" borderId="3" xfId="1" applyNumberFormat="1" applyFont="1" applyFill="1" applyBorder="1" applyAlignment="1">
      <alignment vertical="center"/>
    </xf>
    <xf numFmtId="172" fontId="16" fillId="0" borderId="3" xfId="1" applyNumberFormat="1" applyFont="1" applyFill="1" applyBorder="1" applyAlignment="1">
      <alignment vertical="center"/>
    </xf>
    <xf numFmtId="9" fontId="6" fillId="3" borderId="3" xfId="2" applyFont="1" applyFill="1" applyBorder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172" fontId="6" fillId="3" borderId="0" xfId="1" applyNumberFormat="1" applyFont="1" applyFill="1"/>
    <xf numFmtId="164" fontId="8" fillId="5" borderId="3" xfId="1" applyNumberFormat="1" applyFont="1" applyFill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164" fontId="8" fillId="6" borderId="3" xfId="1" applyNumberFormat="1" applyFont="1" applyFill="1" applyBorder="1" applyAlignment="1">
      <alignment vertical="center"/>
    </xf>
    <xf numFmtId="164" fontId="6" fillId="6" borderId="3" xfId="1" applyNumberFormat="1" applyFont="1" applyFill="1" applyBorder="1" applyAlignment="1">
      <alignment vertical="center"/>
    </xf>
    <xf numFmtId="0" fontId="11" fillId="0" borderId="3" xfId="0" applyFont="1" applyBorder="1" applyAlignment="1">
      <alignment horizontal="right" vertical="center" wrapText="1"/>
    </xf>
    <xf numFmtId="164" fontId="11" fillId="6" borderId="3" xfId="1" applyNumberFormat="1" applyFont="1" applyFill="1" applyBorder="1" applyAlignment="1">
      <alignment vertical="center"/>
    </xf>
    <xf numFmtId="164" fontId="11" fillId="0" borderId="3" xfId="1" applyNumberFormat="1" applyFont="1" applyBorder="1" applyAlignment="1">
      <alignment vertical="center"/>
    </xf>
    <xf numFmtId="0" fontId="8" fillId="0" borderId="3" xfId="0" applyFont="1" applyBorder="1" applyAlignment="1">
      <alignment horizontal="right" vertical="center" wrapText="1"/>
    </xf>
    <xf numFmtId="0" fontId="8" fillId="7" borderId="3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horizontal="center" vertical="center"/>
    </xf>
    <xf numFmtId="164" fontId="8" fillId="7" borderId="3" xfId="1" applyNumberFormat="1" applyFont="1" applyFill="1" applyBorder="1" applyAlignment="1">
      <alignment vertical="center"/>
    </xf>
    <xf numFmtId="172" fontId="8" fillId="7" borderId="3" xfId="1" applyNumberFormat="1" applyFont="1" applyFill="1" applyBorder="1" applyAlignment="1">
      <alignment vertical="center"/>
    </xf>
    <xf numFmtId="172" fontId="3" fillId="4" borderId="0" xfId="1" applyNumberFormat="1" applyFont="1" applyFill="1"/>
    <xf numFmtId="0" fontId="18" fillId="0" borderId="3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172" fontId="18" fillId="0" borderId="3" xfId="1" applyNumberFormat="1" applyFont="1" applyBorder="1" applyAlignment="1">
      <alignment vertical="center"/>
    </xf>
    <xf numFmtId="172" fontId="6" fillId="4" borderId="0" xfId="1" applyNumberFormat="1" applyFont="1" applyFill="1"/>
    <xf numFmtId="0" fontId="3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vertical="center"/>
    </xf>
    <xf numFmtId="172" fontId="6" fillId="0" borderId="3" xfId="1" applyNumberFormat="1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11" fillId="0" borderId="0" xfId="1" applyNumberFormat="1" applyFont="1" applyBorder="1" applyAlignment="1">
      <alignment vertical="center"/>
    </xf>
    <xf numFmtId="0" fontId="19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172" fontId="19" fillId="0" borderId="6" xfId="0" applyNumberFormat="1" applyFont="1" applyBorder="1" applyAlignment="1">
      <alignment vertical="center"/>
    </xf>
    <xf numFmtId="169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64" fontId="6" fillId="3" borderId="2" xfId="1" applyNumberFormat="1" applyFont="1" applyFill="1" applyBorder="1" applyAlignment="1">
      <alignment vertical="center"/>
    </xf>
    <xf numFmtId="164" fontId="6" fillId="0" borderId="2" xfId="1" applyNumberFormat="1" applyFont="1" applyFill="1" applyBorder="1" applyAlignment="1">
      <alignment vertical="center"/>
    </xf>
    <xf numFmtId="0" fontId="9" fillId="0" borderId="0" xfId="0" applyFont="1" applyAlignment="1">
      <alignment horizontal="center"/>
    </xf>
    <xf numFmtId="43" fontId="8" fillId="3" borderId="3" xfId="1" applyFont="1" applyFill="1" applyBorder="1" applyAlignment="1">
      <alignment vertical="center"/>
    </xf>
    <xf numFmtId="0" fontId="21" fillId="0" borderId="3" xfId="0" applyFont="1" applyBorder="1" applyAlignment="1">
      <alignment horizontal="right" vertical="center" wrapText="1"/>
    </xf>
    <xf numFmtId="43" fontId="6" fillId="0" borderId="3" xfId="1" applyFont="1" applyBorder="1" applyAlignment="1">
      <alignment vertical="center"/>
    </xf>
    <xf numFmtId="0" fontId="9" fillId="5" borderId="0" xfId="0" applyFont="1" applyFill="1" applyAlignment="1">
      <alignment horizontal="center"/>
    </xf>
    <xf numFmtId="164" fontId="6" fillId="3" borderId="0" xfId="1" applyNumberFormat="1" applyFont="1" applyFill="1"/>
    <xf numFmtId="43" fontId="6" fillId="3" borderId="3" xfId="1" applyFont="1" applyFill="1" applyBorder="1" applyAlignment="1">
      <alignment vertical="center"/>
    </xf>
    <xf numFmtId="43" fontId="6" fillId="0" borderId="0" xfId="0" applyNumberFormat="1" applyFont="1"/>
    <xf numFmtId="0" fontId="22" fillId="0" borderId="3" xfId="0" applyFont="1" applyBorder="1" applyAlignment="1">
      <alignment horizontal="left" vertical="center" wrapText="1"/>
    </xf>
    <xf numFmtId="172" fontId="6" fillId="3" borderId="3" xfId="1" applyNumberFormat="1" applyFont="1" applyFill="1" applyBorder="1" applyAlignment="1">
      <alignment horizontal="center" vertical="center"/>
    </xf>
    <xf numFmtId="172" fontId="6" fillId="0" borderId="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8" borderId="0" xfId="0" applyFont="1" applyFill="1"/>
    <xf numFmtId="0" fontId="6" fillId="8" borderId="0" xfId="0" applyFont="1" applyFill="1"/>
    <xf numFmtId="0" fontId="8" fillId="9" borderId="0" xfId="0" applyFont="1" applyFill="1"/>
    <xf numFmtId="0" fontId="6" fillId="9" borderId="0" xfId="0" applyFont="1" applyFill="1"/>
    <xf numFmtId="0" fontId="8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4" borderId="0" xfId="0" applyFont="1" applyFill="1"/>
    <xf numFmtId="43" fontId="8" fillId="4" borderId="0" xfId="1" applyFont="1" applyFill="1"/>
    <xf numFmtId="0" fontId="8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172" fontId="6" fillId="3" borderId="3" xfId="1" applyNumberFormat="1" applyFont="1" applyFill="1" applyBorder="1"/>
    <xf numFmtId="0" fontId="6" fillId="3" borderId="3" xfId="0" applyFont="1" applyFill="1" applyBorder="1"/>
    <xf numFmtId="164" fontId="6" fillId="3" borderId="2" xfId="1" applyNumberFormat="1" applyFont="1" applyFill="1" applyBorder="1"/>
    <xf numFmtId="171" fontId="6" fillId="0" borderId="2" xfId="1" applyNumberFormat="1" applyFont="1" applyBorder="1"/>
    <xf numFmtId="172" fontId="6" fillId="0" borderId="2" xfId="1" applyNumberFormat="1" applyFont="1" applyFill="1" applyBorder="1"/>
    <xf numFmtId="171" fontId="6" fillId="0" borderId="3" xfId="1" applyNumberFormat="1" applyFont="1" applyBorder="1"/>
    <xf numFmtId="172" fontId="6" fillId="0" borderId="3" xfId="1" applyNumberFormat="1" applyFont="1" applyFill="1" applyBorder="1"/>
    <xf numFmtId="0" fontId="6" fillId="0" borderId="0" xfId="0" applyFont="1" applyAlignment="1">
      <alignment horizontal="right"/>
    </xf>
    <xf numFmtId="172" fontId="6" fillId="0" borderId="0" xfId="1" applyNumberFormat="1" applyFont="1"/>
    <xf numFmtId="9" fontId="6" fillId="3" borderId="0" xfId="2" applyFont="1" applyFill="1"/>
    <xf numFmtId="9" fontId="6" fillId="3" borderId="0" xfId="0" applyNumberFormat="1" applyFont="1" applyFill="1"/>
    <xf numFmtId="0" fontId="6" fillId="0" borderId="4" xfId="0" applyFont="1" applyBorder="1"/>
    <xf numFmtId="164" fontId="6" fillId="0" borderId="4" xfId="1" applyNumberFormat="1" applyFont="1" applyBorder="1"/>
    <xf numFmtId="43" fontId="6" fillId="11" borderId="0" xfId="1" applyFont="1" applyFill="1"/>
    <xf numFmtId="0" fontId="6" fillId="11" borderId="3" xfId="0" applyFont="1" applyFill="1" applyBorder="1" applyAlignment="1">
      <alignment horizontal="right" vertical="center" wrapText="1"/>
    </xf>
    <xf numFmtId="43" fontId="6" fillId="11" borderId="3" xfId="1" applyFont="1" applyFill="1" applyBorder="1" applyAlignment="1">
      <alignment vertical="center"/>
    </xf>
    <xf numFmtId="0" fontId="6" fillId="0" borderId="0" xfId="0" applyFont="1" applyFill="1"/>
    <xf numFmtId="0" fontId="10" fillId="0" borderId="0" xfId="0" applyFont="1"/>
    <xf numFmtId="14" fontId="10" fillId="0" borderId="0" xfId="0" applyNumberFormat="1" applyFont="1"/>
    <xf numFmtId="1" fontId="0" fillId="0" borderId="0" xfId="0" applyNumberFormat="1"/>
    <xf numFmtId="43" fontId="0" fillId="0" borderId="0" xfId="1" applyFont="1"/>
    <xf numFmtId="43" fontId="0" fillId="3" borderId="0" xfId="1" applyFont="1" applyFill="1"/>
    <xf numFmtId="171" fontId="10" fillId="0" borderId="0" xfId="1" applyNumberFormat="1" applyFont="1"/>
    <xf numFmtId="171" fontId="10" fillId="4" borderId="0" xfId="1" applyNumberFormat="1" applyFont="1" applyFill="1"/>
    <xf numFmtId="0" fontId="6" fillId="0" borderId="0" xfId="0" applyFont="1" applyFill="1" applyAlignment="1">
      <alignment horizontal="center"/>
    </xf>
    <xf numFmtId="0" fontId="3" fillId="0" borderId="0" xfId="0" applyFont="1"/>
    <xf numFmtId="172" fontId="6" fillId="11" borderId="0" xfId="1" applyNumberFormat="1" applyFont="1" applyFill="1"/>
    <xf numFmtId="164" fontId="6" fillId="0" borderId="0" xfId="1" applyNumberFormat="1" applyFont="1" applyFill="1"/>
    <xf numFmtId="43" fontId="6" fillId="3" borderId="3" xfId="1" applyFont="1" applyFill="1" applyBorder="1" applyAlignment="1">
      <alignment horizontal="center" vertical="center"/>
    </xf>
    <xf numFmtId="164" fontId="6" fillId="11" borderId="3" xfId="1" applyNumberFormat="1" applyFont="1" applyFill="1" applyBorder="1"/>
    <xf numFmtId="0" fontId="6" fillId="11" borderId="3" xfId="0" applyFont="1" applyFill="1" applyBorder="1"/>
    <xf numFmtId="172" fontId="6" fillId="11" borderId="3" xfId="1" applyNumberFormat="1" applyFont="1" applyFill="1" applyBorder="1"/>
    <xf numFmtId="164" fontId="6" fillId="11" borderId="2" xfId="1" applyNumberFormat="1" applyFont="1" applyFill="1" applyBorder="1"/>
    <xf numFmtId="0" fontId="35" fillId="0" borderId="0" xfId="0" applyFont="1"/>
    <xf numFmtId="0" fontId="26" fillId="10" borderId="11" xfId="4" quotePrefix="1" applyNumberFormat="1" applyFont="1" applyBorder="1" applyAlignment="1"/>
    <xf numFmtId="0" fontId="26" fillId="10" borderId="10" xfId="4" quotePrefix="1" applyNumberFormat="1" applyFont="1" applyAlignment="1"/>
    <xf numFmtId="39" fontId="27" fillId="0" borderId="13" xfId="5" applyNumberFormat="1" applyFont="1" applyBorder="1">
      <alignment horizontal="right" vertical="center"/>
    </xf>
    <xf numFmtId="175" fontId="27" fillId="0" borderId="12" xfId="5" applyNumberFormat="1" applyFont="1">
      <alignment horizontal="right" vertical="center"/>
    </xf>
    <xf numFmtId="164" fontId="34" fillId="0" borderId="0" xfId="1" applyNumberFormat="1" applyFont="1"/>
    <xf numFmtId="171" fontId="34" fillId="0" borderId="0" xfId="1" applyNumberFormat="1" applyFont="1"/>
    <xf numFmtId="179" fontId="27" fillId="0" borderId="12" xfId="5" applyNumberFormat="1" applyFont="1">
      <alignment horizontal="right" vertical="center"/>
    </xf>
    <xf numFmtId="178" fontId="27" fillId="0" borderId="12" xfId="5" applyNumberFormat="1" applyFont="1">
      <alignment horizontal="right" vertical="center"/>
    </xf>
    <xf numFmtId="180" fontId="35" fillId="0" borderId="0" xfId="0" applyNumberFormat="1" applyFont="1"/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9" fontId="0" fillId="0" borderId="0" xfId="0" applyNumberFormat="1"/>
    <xf numFmtId="10" fontId="0" fillId="0" borderId="0" xfId="0" applyNumberFormat="1"/>
    <xf numFmtId="0" fontId="8" fillId="11" borderId="0" xfId="0" applyFont="1" applyFill="1"/>
    <xf numFmtId="164" fontId="36" fillId="0" borderId="0" xfId="1" applyNumberFormat="1" applyFont="1"/>
    <xf numFmtId="164" fontId="6" fillId="11" borderId="0" xfId="1" applyNumberFormat="1" applyFont="1" applyFill="1"/>
    <xf numFmtId="0" fontId="6" fillId="11" borderId="0" xfId="0" applyFont="1" applyFill="1"/>
    <xf numFmtId="0" fontId="8" fillId="0" borderId="3" xfId="0" applyFont="1" applyFill="1" applyBorder="1" applyAlignment="1">
      <alignment vertical="center" wrapText="1"/>
    </xf>
    <xf numFmtId="3" fontId="6" fillId="11" borderId="3" xfId="0" applyNumberFormat="1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>
      <alignment horizontal="center" vertical="center"/>
    </xf>
    <xf numFmtId="167" fontId="6" fillId="11" borderId="3" xfId="0" applyNumberFormat="1" applyFont="1" applyFill="1" applyBorder="1" applyAlignment="1">
      <alignment horizontal="center" vertical="center"/>
    </xf>
    <xf numFmtId="168" fontId="6" fillId="11" borderId="3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17" fillId="0" borderId="0" xfId="1" applyNumberFormat="1" applyFont="1"/>
    <xf numFmtId="172" fontId="17" fillId="0" borderId="0" xfId="1" applyNumberFormat="1" applyFont="1"/>
    <xf numFmtId="0" fontId="6" fillId="0" borderId="6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/>
    </xf>
    <xf numFmtId="0" fontId="11" fillId="0" borderId="3" xfId="0" applyFont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11" fillId="0" borderId="3" xfId="0" applyFont="1" applyFill="1" applyBorder="1" applyAlignment="1">
      <alignment vertical="top" wrapText="1"/>
    </xf>
    <xf numFmtId="164" fontId="3" fillId="0" borderId="0" xfId="1" applyNumberFormat="1" applyFont="1"/>
    <xf numFmtId="0" fontId="8" fillId="0" borderId="4" xfId="0" applyFont="1" applyBorder="1" applyAlignment="1">
      <alignment vertical="center"/>
    </xf>
    <xf numFmtId="0" fontId="29" fillId="0" borderId="0" xfId="6" applyFont="1" applyAlignment="1">
      <alignment vertical="center"/>
    </xf>
    <xf numFmtId="0" fontId="30" fillId="14" borderId="0" xfId="7" applyFill="1" applyAlignment="1">
      <alignment horizontal="left"/>
    </xf>
    <xf numFmtId="0" fontId="29" fillId="0" borderId="0" xfId="6" applyFont="1" applyAlignment="1">
      <alignment horizontal="center" vertical="center"/>
    </xf>
    <xf numFmtId="181" fontId="29" fillId="0" borderId="0" xfId="6" applyNumberFormat="1" applyFont="1" applyAlignment="1">
      <alignment horizontal="center" vertical="center"/>
    </xf>
    <xf numFmtId="0" fontId="29" fillId="15" borderId="0" xfId="6" applyFont="1" applyFill="1" applyAlignment="1">
      <alignment vertical="center"/>
    </xf>
    <xf numFmtId="0" fontId="37" fillId="0" borderId="0" xfId="6" applyFont="1" applyAlignment="1">
      <alignment vertical="center"/>
    </xf>
    <xf numFmtId="0" fontId="38" fillId="0" borderId="0" xfId="6" applyFont="1" applyAlignment="1">
      <alignment horizontal="left" vertical="center" wrapText="1"/>
    </xf>
    <xf numFmtId="0" fontId="29" fillId="14" borderId="0" xfId="6" applyFont="1" applyFill="1" applyAlignment="1">
      <alignment horizontal="center" vertical="center"/>
    </xf>
    <xf numFmtId="182" fontId="39" fillId="0" borderId="0" xfId="6" applyNumberFormat="1" applyFont="1" applyAlignment="1">
      <alignment horizontal="center" vertical="center"/>
    </xf>
    <xf numFmtId="0" fontId="38" fillId="0" borderId="0" xfId="6" applyFont="1" applyAlignment="1">
      <alignment horizontal="center" vertical="center"/>
    </xf>
    <xf numFmtId="0" fontId="40" fillId="0" borderId="1" xfId="6" applyFont="1" applyBorder="1" applyAlignment="1">
      <alignment vertical="center" wrapText="1"/>
    </xf>
    <xf numFmtId="0" fontId="40" fillId="0" borderId="1" xfId="6" applyFont="1" applyBorder="1" applyAlignment="1">
      <alignment horizontal="center" vertical="center" wrapText="1"/>
    </xf>
    <xf numFmtId="183" fontId="40" fillId="0" borderId="0" xfId="8" applyNumberFormat="1" applyFont="1" applyFill="1" applyAlignment="1">
      <alignment vertical="center"/>
    </xf>
    <xf numFmtId="0" fontId="40" fillId="0" borderId="0" xfId="6" applyFont="1" applyAlignment="1">
      <alignment vertical="center"/>
    </xf>
    <xf numFmtId="1" fontId="29" fillId="0" borderId="1" xfId="14" applyNumberFormat="1" applyFont="1" applyBorder="1" applyAlignment="1">
      <alignment horizontal="right" wrapText="1"/>
    </xf>
    <xf numFmtId="0" fontId="29" fillId="0" borderId="1" xfId="14" applyFont="1" applyBorder="1" applyAlignment="1">
      <alignment horizontal="center" wrapText="1"/>
    </xf>
    <xf numFmtId="0" fontId="40" fillId="14" borderId="1" xfId="6" applyFont="1" applyFill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center" wrapText="1"/>
    </xf>
    <xf numFmtId="183" fontId="29" fillId="0" borderId="0" xfId="8" applyNumberFormat="1" applyFont="1" applyFill="1" applyAlignment="1">
      <alignment vertical="center"/>
    </xf>
    <xf numFmtId="4" fontId="40" fillId="0" borderId="1" xfId="6" applyNumberFormat="1" applyFont="1" applyBorder="1" applyAlignment="1">
      <alignment horizontal="center" vertical="center" wrapText="1"/>
    </xf>
    <xf numFmtId="0" fontId="29" fillId="0" borderId="1" xfId="6" applyFont="1" applyBorder="1" applyAlignment="1">
      <alignment horizontal="right" vertical="center" wrapText="1"/>
    </xf>
    <xf numFmtId="3" fontId="29" fillId="0" borderId="1" xfId="6" applyNumberFormat="1" applyFont="1" applyBorder="1" applyAlignment="1">
      <alignment horizontal="center" vertical="center" wrapText="1"/>
    </xf>
    <xf numFmtId="0" fontId="29" fillId="14" borderId="1" xfId="6" applyFont="1" applyFill="1" applyBorder="1" applyAlignment="1">
      <alignment horizontal="center" vertical="center" wrapText="1"/>
    </xf>
    <xf numFmtId="4" fontId="29" fillId="0" borderId="1" xfId="6" applyNumberFormat="1" applyFont="1" applyBorder="1" applyAlignment="1">
      <alignment horizontal="center" vertical="center" wrapText="1"/>
    </xf>
    <xf numFmtId="1" fontId="29" fillId="0" borderId="1" xfId="15" applyNumberFormat="1" applyBorder="1" applyAlignment="1">
      <alignment horizontal="center" vertical="center" wrapText="1"/>
    </xf>
    <xf numFmtId="184" fontId="40" fillId="0" borderId="1" xfId="6" applyNumberFormat="1" applyFont="1" applyBorder="1" applyAlignment="1">
      <alignment horizontal="center" vertical="center" wrapText="1"/>
    </xf>
    <xf numFmtId="184" fontId="29" fillId="0" borderId="0" xfId="6" applyNumberFormat="1" applyFont="1" applyAlignment="1">
      <alignment vertical="center"/>
    </xf>
    <xf numFmtId="181" fontId="29" fillId="0" borderId="1" xfId="6" applyNumberFormat="1" applyFont="1" applyBorder="1" applyAlignment="1">
      <alignment horizontal="center" vertical="center" wrapText="1"/>
    </xf>
    <xf numFmtId="1" fontId="40" fillId="0" borderId="1" xfId="15" applyNumberFormat="1" applyFont="1" applyBorder="1" applyAlignment="1">
      <alignment horizontal="left" vertical="center" wrapText="1"/>
    </xf>
    <xf numFmtId="3" fontId="29" fillId="0" borderId="1" xfId="6" applyNumberFormat="1" applyFont="1" applyBorder="1" applyAlignment="1">
      <alignment horizontal="center" vertical="center"/>
    </xf>
    <xf numFmtId="1" fontId="29" fillId="0" borderId="1" xfId="15" applyNumberFormat="1" applyBorder="1" applyAlignment="1">
      <alignment horizontal="right" vertical="center" wrapText="1"/>
    </xf>
    <xf numFmtId="3" fontId="29" fillId="0" borderId="1" xfId="16" applyNumberFormat="1" applyFont="1" applyBorder="1" applyAlignment="1">
      <alignment horizontal="center" vertical="center"/>
    </xf>
    <xf numFmtId="0" fontId="30" fillId="14" borderId="1" xfId="7" applyFill="1" applyBorder="1" applyAlignment="1">
      <alignment horizontal="center"/>
    </xf>
    <xf numFmtId="3" fontId="30" fillId="14" borderId="1" xfId="7" applyNumberFormat="1" applyFill="1" applyBorder="1" applyAlignment="1">
      <alignment horizontal="center"/>
    </xf>
    <xf numFmtId="181" fontId="29" fillId="0" borderId="1" xfId="6" applyNumberFormat="1" applyFont="1" applyBorder="1" applyAlignment="1">
      <alignment horizontal="center" vertical="center"/>
    </xf>
    <xf numFmtId="1" fontId="29" fillId="14" borderId="1" xfId="15" applyNumberFormat="1" applyFill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center"/>
    </xf>
    <xf numFmtId="0" fontId="29" fillId="14" borderId="1" xfId="6" applyFont="1" applyFill="1" applyBorder="1" applyAlignment="1">
      <alignment horizontal="center" vertical="center"/>
    </xf>
    <xf numFmtId="0" fontId="29" fillId="0" borderId="0" xfId="6" applyFont="1" applyAlignment="1">
      <alignment vertical="center" wrapText="1"/>
    </xf>
    <xf numFmtId="0" fontId="30" fillId="0" borderId="0" xfId="7"/>
    <xf numFmtId="0" fontId="30" fillId="0" borderId="0" xfId="7" applyAlignment="1">
      <alignment horizontal="center"/>
    </xf>
    <xf numFmtId="4" fontId="30" fillId="0" borderId="0" xfId="7" applyNumberFormat="1" applyAlignment="1">
      <alignment horizontal="center"/>
    </xf>
    <xf numFmtId="0" fontId="10" fillId="0" borderId="15" xfId="7" applyFont="1" applyBorder="1"/>
    <xf numFmtId="0" fontId="40" fillId="0" borderId="16" xfId="6" applyFont="1" applyBorder="1" applyAlignment="1">
      <alignment horizontal="center" vertical="center" wrapText="1"/>
    </xf>
    <xf numFmtId="0" fontId="30" fillId="0" borderId="17" xfId="7" applyBorder="1"/>
    <xf numFmtId="0" fontId="30" fillId="0" borderId="18" xfId="7" applyBorder="1"/>
    <xf numFmtId="0" fontId="30" fillId="0" borderId="19" xfId="7" applyBorder="1" applyAlignment="1">
      <alignment horizontal="center"/>
    </xf>
    <xf numFmtId="0" fontId="40" fillId="0" borderId="17" xfId="6" applyFont="1" applyBorder="1" applyAlignment="1">
      <alignment horizontal="center" vertical="center" wrapText="1"/>
    </xf>
    <xf numFmtId="0" fontId="30" fillId="0" borderId="20" xfId="7" applyBorder="1"/>
    <xf numFmtId="0" fontId="30" fillId="0" borderId="21" xfId="7" applyBorder="1" applyAlignment="1">
      <alignment horizontal="center"/>
    </xf>
    <xf numFmtId="0" fontId="30" fillId="0" borderId="22" xfId="7" applyBorder="1"/>
    <xf numFmtId="0" fontId="30" fillId="0" borderId="23" xfId="7" applyBorder="1"/>
    <xf numFmtId="0" fontId="30" fillId="0" borderId="24" xfId="7" applyBorder="1" applyAlignment="1">
      <alignment horizontal="center"/>
    </xf>
    <xf numFmtId="3" fontId="30" fillId="0" borderId="22" xfId="7" applyNumberFormat="1" applyBorder="1" applyAlignment="1">
      <alignment horizontal="center"/>
    </xf>
    <xf numFmtId="0" fontId="30" fillId="0" borderId="25" xfId="7" applyBorder="1"/>
    <xf numFmtId="0" fontId="30" fillId="0" borderId="26" xfId="7" applyBorder="1" applyAlignment="1">
      <alignment horizontal="center"/>
    </xf>
    <xf numFmtId="0" fontId="30" fillId="0" borderId="1" xfId="7" applyBorder="1"/>
    <xf numFmtId="0" fontId="30" fillId="0" borderId="27" xfId="7" applyBorder="1"/>
    <xf numFmtId="3" fontId="29" fillId="0" borderId="8" xfId="6" applyNumberFormat="1" applyFont="1" applyBorder="1" applyAlignment="1">
      <alignment horizontal="center" vertical="center" wrapText="1"/>
    </xf>
    <xf numFmtId="3" fontId="30" fillId="0" borderId="1" xfId="7" applyNumberFormat="1" applyBorder="1" applyAlignment="1">
      <alignment horizontal="center"/>
    </xf>
    <xf numFmtId="0" fontId="29" fillId="0" borderId="25" xfId="6" applyFont="1" applyBorder="1" applyAlignment="1">
      <alignment horizontal="right" vertical="center" wrapText="1"/>
    </xf>
    <xf numFmtId="0" fontId="29" fillId="0" borderId="26" xfId="6" applyFont="1" applyBorder="1" applyAlignment="1">
      <alignment horizontal="center" vertical="center" wrapText="1"/>
    </xf>
    <xf numFmtId="0" fontId="29" fillId="0" borderId="27" xfId="6" applyFont="1" applyBorder="1" applyAlignment="1">
      <alignment horizontal="center" vertical="center" wrapText="1"/>
    </xf>
    <xf numFmtId="0" fontId="29" fillId="0" borderId="8" xfId="6" applyFont="1" applyBorder="1" applyAlignment="1">
      <alignment horizontal="center" vertical="center" wrapText="1"/>
    </xf>
    <xf numFmtId="0" fontId="40" fillId="0" borderId="25" xfId="6" applyFont="1" applyBorder="1" applyAlignment="1">
      <alignment vertical="center" wrapText="1"/>
    </xf>
    <xf numFmtId="1" fontId="29" fillId="0" borderId="26" xfId="15" applyNumberFormat="1" applyBorder="1" applyAlignment="1">
      <alignment horizontal="center" vertical="center" wrapText="1"/>
    </xf>
    <xf numFmtId="3" fontId="40" fillId="0" borderId="1" xfId="6" applyNumberFormat="1" applyFont="1" applyBorder="1" applyAlignment="1">
      <alignment horizontal="center" vertical="center" wrapText="1"/>
    </xf>
    <xf numFmtId="3" fontId="30" fillId="0" borderId="0" xfId="7" applyNumberFormat="1"/>
    <xf numFmtId="0" fontId="43" fillId="0" borderId="25" xfId="6" applyFont="1" applyBorder="1" applyAlignment="1">
      <alignment horizontal="right" vertical="center" wrapText="1"/>
    </xf>
    <xf numFmtId="1" fontId="43" fillId="0" borderId="26" xfId="15" applyNumberFormat="1" applyFont="1" applyBorder="1" applyAlignment="1">
      <alignment horizontal="center" vertical="center" wrapText="1"/>
    </xf>
    <xf numFmtId="1" fontId="43" fillId="0" borderId="1" xfId="15" applyNumberFormat="1" applyFont="1" applyBorder="1" applyAlignment="1">
      <alignment horizontal="center" vertical="center" wrapText="1"/>
    </xf>
    <xf numFmtId="1" fontId="29" fillId="0" borderId="27" xfId="15" applyNumberFormat="1" applyBorder="1" applyAlignment="1">
      <alignment horizontal="center" vertical="center" wrapText="1"/>
    </xf>
    <xf numFmtId="1" fontId="29" fillId="0" borderId="8" xfId="15" applyNumberFormat="1" applyBorder="1" applyAlignment="1">
      <alignment horizontal="center" vertical="center" wrapText="1"/>
    </xf>
    <xf numFmtId="0" fontId="43" fillId="0" borderId="28" xfId="6" applyFont="1" applyBorder="1" applyAlignment="1">
      <alignment horizontal="right" vertical="center" wrapText="1"/>
    </xf>
    <xf numFmtId="1" fontId="43" fillId="0" borderId="29" xfId="15" applyNumberFormat="1" applyFont="1" applyBorder="1" applyAlignment="1">
      <alignment horizontal="center" vertical="center" wrapText="1"/>
    </xf>
    <xf numFmtId="1" fontId="43" fillId="0" borderId="30" xfId="15" applyNumberFormat="1" applyFont="1" applyBorder="1" applyAlignment="1">
      <alignment horizontal="center" vertical="center" wrapText="1"/>
    </xf>
    <xf numFmtId="1" fontId="29" fillId="0" borderId="31" xfId="15" applyNumberFormat="1" applyBorder="1" applyAlignment="1">
      <alignment horizontal="center" vertical="center" wrapText="1"/>
    </xf>
    <xf numFmtId="166" fontId="29" fillId="14" borderId="32" xfId="15" applyNumberFormat="1" applyFill="1" applyBorder="1" applyAlignment="1">
      <alignment horizontal="center" vertical="center" wrapText="1"/>
    </xf>
    <xf numFmtId="181" fontId="29" fillId="0" borderId="30" xfId="6" applyNumberFormat="1" applyFont="1" applyBorder="1" applyAlignment="1">
      <alignment horizontal="center" vertical="center" wrapText="1"/>
    </xf>
    <xf numFmtId="0" fontId="44" fillId="0" borderId="35" xfId="6" applyFont="1" applyBorder="1" applyAlignment="1">
      <alignment horizontal="center" vertical="center" wrapText="1"/>
    </xf>
    <xf numFmtId="1" fontId="44" fillId="0" borderId="36" xfId="15" applyNumberFormat="1" applyFont="1" applyBorder="1" applyAlignment="1">
      <alignment horizontal="center" vertical="center" wrapText="1"/>
    </xf>
    <xf numFmtId="1" fontId="44" fillId="0" borderId="37" xfId="15" applyNumberFormat="1" applyFont="1" applyBorder="1" applyAlignment="1">
      <alignment horizontal="center" vertical="center" wrapText="1"/>
    </xf>
    <xf numFmtId="1" fontId="44" fillId="0" borderId="38" xfId="15" applyNumberFormat="1" applyFont="1" applyBorder="1" applyAlignment="1">
      <alignment horizontal="center" vertical="center" wrapText="1"/>
    </xf>
    <xf numFmtId="1" fontId="44" fillId="0" borderId="39" xfId="15" applyNumberFormat="1" applyFont="1" applyBorder="1" applyAlignment="1">
      <alignment horizontal="center" vertical="center" wrapText="1"/>
    </xf>
    <xf numFmtId="0" fontId="44" fillId="0" borderId="40" xfId="6" applyFont="1" applyBorder="1" applyAlignment="1">
      <alignment horizontal="center" vertical="center" wrapText="1"/>
    </xf>
    <xf numFmtId="0" fontId="40" fillId="0" borderId="25" xfId="6" applyFont="1" applyBorder="1" applyAlignment="1">
      <alignment horizontal="center" vertical="center" wrapText="1"/>
    </xf>
    <xf numFmtId="1" fontId="40" fillId="0" borderId="26" xfId="15" applyNumberFormat="1" applyFont="1" applyBorder="1" applyAlignment="1">
      <alignment horizontal="center" vertical="center" wrapText="1"/>
    </xf>
    <xf numFmtId="1" fontId="40" fillId="0" borderId="41" xfId="15" applyNumberFormat="1" applyFont="1" applyBorder="1" applyAlignment="1">
      <alignment horizontal="center" vertical="center" wrapText="1"/>
    </xf>
    <xf numFmtId="1" fontId="40" fillId="0" borderId="42" xfId="15" applyNumberFormat="1" applyFont="1" applyBorder="1" applyAlignment="1">
      <alignment horizontal="center" vertical="center" wrapText="1"/>
    </xf>
    <xf numFmtId="0" fontId="30" fillId="0" borderId="43" xfId="7" applyBorder="1"/>
    <xf numFmtId="0" fontId="40" fillId="0" borderId="41" xfId="6" applyFont="1" applyBorder="1" applyAlignment="1">
      <alignment horizontal="center" vertical="center" wrapText="1"/>
    </xf>
    <xf numFmtId="0" fontId="29" fillId="14" borderId="25" xfId="6" applyFont="1" applyFill="1" applyBorder="1" applyAlignment="1">
      <alignment horizontal="right" vertical="center" wrapText="1"/>
    </xf>
    <xf numFmtId="3" fontId="30" fillId="14" borderId="26" xfId="7" applyNumberFormat="1" applyFill="1" applyBorder="1"/>
    <xf numFmtId="0" fontId="30" fillId="14" borderId="27" xfId="7" applyFill="1" applyBorder="1" applyAlignment="1">
      <alignment horizontal="center"/>
    </xf>
    <xf numFmtId="0" fontId="30" fillId="14" borderId="8" xfId="7" applyFill="1" applyBorder="1" applyAlignment="1">
      <alignment horizontal="center"/>
    </xf>
    <xf numFmtId="0" fontId="30" fillId="0" borderId="44" xfId="7" applyBorder="1" applyAlignment="1">
      <alignment horizontal="center"/>
    </xf>
    <xf numFmtId="0" fontId="30" fillId="14" borderId="30" xfId="7" applyFill="1" applyBorder="1" applyAlignment="1">
      <alignment horizontal="center"/>
    </xf>
    <xf numFmtId="0" fontId="30" fillId="14" borderId="31" xfId="7" applyFill="1" applyBorder="1" applyAlignment="1">
      <alignment horizontal="center"/>
    </xf>
    <xf numFmtId="0" fontId="30" fillId="14" borderId="32" xfId="7" applyFill="1" applyBorder="1" applyAlignment="1">
      <alignment horizontal="center"/>
    </xf>
    <xf numFmtId="0" fontId="40" fillId="0" borderId="35" xfId="6" applyFont="1" applyBorder="1" applyAlignment="1">
      <alignment horizontal="center" vertical="center" wrapText="1"/>
    </xf>
    <xf numFmtId="0" fontId="40" fillId="0" borderId="36" xfId="6" applyFont="1" applyBorder="1" applyAlignment="1">
      <alignment horizontal="center" vertical="center" wrapText="1"/>
    </xf>
    <xf numFmtId="0" fontId="40" fillId="0" borderId="37" xfId="6" applyFont="1" applyBorder="1" applyAlignment="1">
      <alignment horizontal="center" vertical="center" wrapText="1"/>
    </xf>
    <xf numFmtId="0" fontId="40" fillId="0" borderId="38" xfId="6" applyFont="1" applyBorder="1" applyAlignment="1">
      <alignment horizontal="center" vertical="center" wrapText="1"/>
    </xf>
    <xf numFmtId="0" fontId="40" fillId="0" borderId="39" xfId="6" applyFont="1" applyBorder="1" applyAlignment="1">
      <alignment horizontal="center" vertical="center" wrapText="1"/>
    </xf>
    <xf numFmtId="0" fontId="10" fillId="0" borderId="37" xfId="7" applyFont="1" applyBorder="1" applyAlignment="1">
      <alignment horizontal="center" vertical="center"/>
    </xf>
    <xf numFmtId="0" fontId="40" fillId="0" borderId="45" xfId="6" applyFont="1" applyBorder="1" applyAlignment="1">
      <alignment horizontal="center" vertical="center" wrapText="1"/>
    </xf>
    <xf numFmtId="0" fontId="40" fillId="0" borderId="46" xfId="6" applyFont="1" applyBorder="1" applyAlignment="1">
      <alignment horizontal="center" vertical="center" wrapText="1"/>
    </xf>
    <xf numFmtId="0" fontId="40" fillId="0" borderId="0" xfId="6" applyFont="1" applyAlignment="1">
      <alignment horizontal="center" vertical="center" wrapText="1"/>
    </xf>
    <xf numFmtId="0" fontId="40" fillId="0" borderId="47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3" fontId="10" fillId="0" borderId="1" xfId="7" applyNumberFormat="1" applyFont="1" applyBorder="1" applyAlignment="1">
      <alignment horizontal="center"/>
    </xf>
    <xf numFmtId="0" fontId="30" fillId="0" borderId="25" xfId="7" applyBorder="1" applyAlignment="1">
      <alignment horizontal="left" indent="2"/>
    </xf>
    <xf numFmtId="166" fontId="29" fillId="0" borderId="1" xfId="6" applyNumberFormat="1" applyFont="1" applyBorder="1" applyAlignment="1">
      <alignment horizontal="center" vertical="center" wrapText="1"/>
    </xf>
    <xf numFmtId="3" fontId="29" fillId="0" borderId="27" xfId="6" applyNumberFormat="1" applyFont="1" applyBorder="1" applyAlignment="1">
      <alignment horizontal="center" vertical="center" wrapText="1"/>
    </xf>
    <xf numFmtId="164" fontId="30" fillId="0" borderId="1" xfId="7" applyNumberFormat="1" applyBorder="1"/>
    <xf numFmtId="164" fontId="30" fillId="0" borderId="1" xfId="7" applyNumberFormat="1" applyBorder="1" applyAlignment="1">
      <alignment horizontal="center"/>
    </xf>
    <xf numFmtId="0" fontId="30" fillId="0" borderId="25" xfId="7" applyBorder="1" applyAlignment="1">
      <alignment horizontal="right" indent="2"/>
    </xf>
    <xf numFmtId="0" fontId="30" fillId="14" borderId="26" xfId="7" applyFill="1" applyBorder="1" applyAlignment="1">
      <alignment horizontal="center"/>
    </xf>
    <xf numFmtId="166" fontId="29" fillId="14" borderId="1" xfId="6" applyNumberFormat="1" applyFont="1" applyFill="1" applyBorder="1" applyAlignment="1">
      <alignment horizontal="center" vertical="center" wrapText="1"/>
    </xf>
    <xf numFmtId="3" fontId="29" fillId="14" borderId="27" xfId="6" applyNumberFormat="1" applyFont="1" applyFill="1" applyBorder="1" applyAlignment="1">
      <alignment horizontal="center" vertical="center" wrapText="1"/>
    </xf>
    <xf numFmtId="0" fontId="30" fillId="0" borderId="25" xfId="7" applyBorder="1" applyAlignment="1">
      <alignment horizontal="right" wrapText="1" indent="2"/>
    </xf>
    <xf numFmtId="0" fontId="30" fillId="0" borderId="20" xfId="7" applyBorder="1" applyAlignment="1">
      <alignment horizontal="right" wrapText="1" indent="2"/>
    </xf>
    <xf numFmtId="1" fontId="29" fillId="0" borderId="8" xfId="6" applyNumberFormat="1" applyFont="1" applyBorder="1" applyAlignment="1">
      <alignment horizontal="center" vertical="center" wrapText="1"/>
    </xf>
    <xf numFmtId="0" fontId="30" fillId="0" borderId="20" xfId="7" applyBorder="1" applyAlignment="1">
      <alignment horizontal="center" vertical="center" wrapText="1"/>
    </xf>
    <xf numFmtId="0" fontId="30" fillId="14" borderId="26" xfId="7" applyFill="1" applyBorder="1" applyAlignment="1">
      <alignment horizontal="center" wrapText="1"/>
    </xf>
    <xf numFmtId="3" fontId="29" fillId="16" borderId="27" xfId="6" applyNumberFormat="1" applyFont="1" applyFill="1" applyBorder="1" applyAlignment="1">
      <alignment horizontal="center" vertical="center" wrapText="1"/>
    </xf>
    <xf numFmtId="164" fontId="30" fillId="0" borderId="0" xfId="7" applyNumberFormat="1"/>
    <xf numFmtId="0" fontId="30" fillId="14" borderId="26" xfId="7" applyFill="1" applyBorder="1" applyAlignment="1">
      <alignment horizontal="left" indent="2"/>
    </xf>
    <xf numFmtId="0" fontId="30" fillId="0" borderId="26" xfId="7" applyBorder="1" applyAlignment="1">
      <alignment horizontal="left" indent="2"/>
    </xf>
    <xf numFmtId="0" fontId="30" fillId="14" borderId="0" xfId="7" applyFill="1" applyAlignment="1">
      <alignment horizontal="center"/>
    </xf>
    <xf numFmtId="0" fontId="10" fillId="0" borderId="36" xfId="7" applyFont="1" applyBorder="1" applyAlignment="1">
      <alignment horizontal="center" vertical="center"/>
    </xf>
    <xf numFmtId="0" fontId="45" fillId="0" borderId="37" xfId="7" applyFont="1" applyBorder="1" applyAlignment="1">
      <alignment horizontal="center" vertical="center"/>
    </xf>
    <xf numFmtId="0" fontId="30" fillId="0" borderId="0" xfId="7" applyAlignment="1">
      <alignment horizontal="center" vertical="center"/>
    </xf>
    <xf numFmtId="0" fontId="30" fillId="0" borderId="26" xfId="7" applyBorder="1"/>
    <xf numFmtId="0" fontId="30" fillId="0" borderId="1" xfId="7" applyBorder="1" applyAlignment="1">
      <alignment horizontal="center"/>
    </xf>
    <xf numFmtId="0" fontId="30" fillId="0" borderId="29" xfId="7" applyBorder="1"/>
    <xf numFmtId="0" fontId="30" fillId="0" borderId="30" xfId="7" applyBorder="1" applyAlignment="1">
      <alignment horizontal="center"/>
    </xf>
    <xf numFmtId="0" fontId="30" fillId="0" borderId="30" xfId="7" applyBorder="1"/>
    <xf numFmtId="3" fontId="29" fillId="0" borderId="30" xfId="6" applyNumberFormat="1" applyFont="1" applyBorder="1" applyAlignment="1">
      <alignment horizontal="center" vertical="center" wrapText="1"/>
    </xf>
    <xf numFmtId="3" fontId="30" fillId="0" borderId="30" xfId="7" applyNumberFormat="1" applyBorder="1" applyAlignment="1">
      <alignment horizontal="center"/>
    </xf>
    <xf numFmtId="0" fontId="29" fillId="0" borderId="36" xfId="6" applyFont="1" applyBorder="1" applyAlignment="1">
      <alignment horizontal="right" vertical="center" wrapText="1"/>
    </xf>
    <xf numFmtId="0" fontId="29" fillId="0" borderId="37" xfId="6" applyFont="1" applyBorder="1" applyAlignment="1">
      <alignment horizontal="center" vertical="center" wrapText="1"/>
    </xf>
    <xf numFmtId="3" fontId="29" fillId="0" borderId="37" xfId="6" applyNumberFormat="1" applyFont="1" applyBorder="1" applyAlignment="1">
      <alignment horizontal="center" vertical="center" wrapText="1"/>
    </xf>
    <xf numFmtId="0" fontId="40" fillId="0" borderId="26" xfId="6" applyFont="1" applyBorder="1" applyAlignment="1">
      <alignment horizontal="center" vertical="center" wrapText="1"/>
    </xf>
    <xf numFmtId="1" fontId="40" fillId="0" borderId="1" xfId="15" applyNumberFormat="1" applyFont="1" applyBorder="1" applyAlignment="1">
      <alignment horizontal="center" vertical="center" wrapText="1"/>
    </xf>
    <xf numFmtId="0" fontId="29" fillId="0" borderId="26" xfId="6" applyFont="1" applyBorder="1" applyAlignment="1">
      <alignment horizontal="right" vertical="center" wrapText="1"/>
    </xf>
    <xf numFmtId="0" fontId="29" fillId="0" borderId="29" xfId="6" applyFont="1" applyBorder="1" applyAlignment="1">
      <alignment horizontal="right" vertical="center" wrapText="1"/>
    </xf>
    <xf numFmtId="1" fontId="29" fillId="0" borderId="30" xfId="15" applyNumberFormat="1" applyBorder="1" applyAlignment="1">
      <alignment horizontal="center" vertical="center" wrapText="1"/>
    </xf>
    <xf numFmtId="0" fontId="43" fillId="0" borderId="0" xfId="6" applyFont="1" applyAlignment="1">
      <alignment horizontal="right" vertical="center" wrapText="1"/>
    </xf>
    <xf numFmtId="1" fontId="29" fillId="0" borderId="0" xfId="15" applyNumberFormat="1" applyAlignment="1">
      <alignment horizontal="center" vertical="center" wrapText="1"/>
    </xf>
    <xf numFmtId="181" fontId="29" fillId="0" borderId="0" xfId="6" applyNumberFormat="1" applyFont="1" applyAlignment="1">
      <alignment horizontal="center" vertical="center" wrapText="1"/>
    </xf>
    <xf numFmtId="0" fontId="10" fillId="0" borderId="0" xfId="7" applyFont="1" applyAlignment="1">
      <alignment horizontal="left"/>
    </xf>
    <xf numFmtId="1" fontId="29" fillId="0" borderId="37" xfId="15" applyNumberFormat="1" applyBorder="1" applyAlignment="1">
      <alignment horizontal="center" vertical="center" wrapText="1"/>
    </xf>
    <xf numFmtId="181" fontId="40" fillId="0" borderId="37" xfId="6" applyNumberFormat="1" applyFont="1" applyBorder="1" applyAlignment="1">
      <alignment horizontal="center" vertical="center" wrapText="1"/>
    </xf>
    <xf numFmtId="0" fontId="40" fillId="0" borderId="26" xfId="6" applyFont="1" applyBorder="1" applyAlignment="1">
      <alignment vertical="center" wrapText="1"/>
    </xf>
    <xf numFmtId="181" fontId="40" fillId="0" borderId="1" xfId="6" applyNumberFormat="1" applyFont="1" applyBorder="1" applyAlignment="1">
      <alignment horizontal="center" vertical="center" wrapText="1"/>
    </xf>
    <xf numFmtId="0" fontId="30" fillId="14" borderId="26" xfId="7" applyFill="1" applyBorder="1" applyAlignment="1">
      <alignment horizontal="right" wrapText="1"/>
    </xf>
    <xf numFmtId="181" fontId="29" fillId="14" borderId="41" xfId="6" applyNumberFormat="1" applyFont="1" applyFill="1" applyBorder="1" applyAlignment="1">
      <alignment horizontal="center" vertical="center" wrapText="1"/>
    </xf>
    <xf numFmtId="181" fontId="29" fillId="14" borderId="1" xfId="6" applyNumberFormat="1" applyFont="1" applyFill="1" applyBorder="1" applyAlignment="1">
      <alignment horizontal="center" vertical="center" wrapText="1"/>
    </xf>
    <xf numFmtId="181" fontId="30" fillId="0" borderId="0" xfId="7" applyNumberFormat="1"/>
    <xf numFmtId="3" fontId="29" fillId="14" borderId="26" xfId="6" applyNumberFormat="1" applyFont="1" applyFill="1" applyBorder="1" applyAlignment="1">
      <alignment horizontal="right" vertical="center" wrapText="1"/>
    </xf>
    <xf numFmtId="3" fontId="29" fillId="14" borderId="29" xfId="6" applyNumberFormat="1" applyFont="1" applyFill="1" applyBorder="1" applyAlignment="1">
      <alignment horizontal="right" vertical="center" wrapText="1"/>
    </xf>
    <xf numFmtId="1" fontId="29" fillId="14" borderId="30" xfId="15" applyNumberFormat="1" applyFill="1" applyBorder="1" applyAlignment="1">
      <alignment horizontal="center" vertical="center" wrapText="1"/>
    </xf>
    <xf numFmtId="181" fontId="29" fillId="14" borderId="30" xfId="6" applyNumberFormat="1" applyFont="1" applyFill="1" applyBorder="1" applyAlignment="1">
      <alignment horizontal="center" vertical="center" wrapText="1"/>
    </xf>
    <xf numFmtId="0" fontId="46" fillId="0" borderId="0" xfId="7" applyFont="1"/>
    <xf numFmtId="0" fontId="45" fillId="0" borderId="0" xfId="7" applyFont="1" applyAlignment="1">
      <alignment horizontal="left"/>
    </xf>
    <xf numFmtId="185" fontId="30" fillId="0" borderId="0" xfId="7" applyNumberFormat="1" applyAlignment="1">
      <alignment horizontal="center"/>
    </xf>
    <xf numFmtId="0" fontId="45" fillId="0" borderId="37" xfId="7" applyFont="1" applyBorder="1" applyAlignment="1">
      <alignment horizontal="center" vertical="center" wrapText="1"/>
    </xf>
    <xf numFmtId="3" fontId="29" fillId="0" borderId="26" xfId="6" applyNumberFormat="1" applyFont="1" applyBorder="1" applyAlignment="1">
      <alignment horizontal="right" vertical="center" wrapText="1"/>
    </xf>
    <xf numFmtId="185" fontId="30" fillId="0" borderId="1" xfId="7" applyNumberFormat="1" applyBorder="1" applyAlignment="1">
      <alignment horizontal="center"/>
    </xf>
    <xf numFmtId="3" fontId="29" fillId="14" borderId="1" xfId="6" applyNumberFormat="1" applyFont="1" applyFill="1" applyBorder="1" applyAlignment="1">
      <alignment horizontal="center" vertical="center" wrapText="1"/>
    </xf>
    <xf numFmtId="185" fontId="30" fillId="14" borderId="1" xfId="7" applyNumberFormat="1" applyFill="1" applyBorder="1" applyAlignment="1">
      <alignment horizontal="center"/>
    </xf>
    <xf numFmtId="3" fontId="29" fillId="14" borderId="48" xfId="6" applyNumberFormat="1" applyFont="1" applyFill="1" applyBorder="1" applyAlignment="1">
      <alignment horizontal="right" vertical="center" wrapText="1"/>
    </xf>
    <xf numFmtId="1" fontId="29" fillId="14" borderId="41" xfId="15" applyNumberFormat="1" applyFill="1" applyBorder="1" applyAlignment="1">
      <alignment horizontal="center" vertical="center" wrapText="1"/>
    </xf>
    <xf numFmtId="0" fontId="30" fillId="14" borderId="41" xfId="7" applyFill="1" applyBorder="1" applyAlignment="1">
      <alignment horizontal="center"/>
    </xf>
    <xf numFmtId="185" fontId="30" fillId="14" borderId="30" xfId="7" applyNumberFormat="1" applyFill="1" applyBorder="1" applyAlignment="1">
      <alignment horizontal="center"/>
    </xf>
    <xf numFmtId="3" fontId="29" fillId="0" borderId="0" xfId="6" applyNumberFormat="1" applyFont="1" applyAlignment="1">
      <alignment horizontal="center" vertical="center" wrapText="1"/>
    </xf>
    <xf numFmtId="3" fontId="30" fillId="0" borderId="0" xfId="7" applyNumberFormat="1" applyAlignment="1">
      <alignment horizontal="center"/>
    </xf>
    <xf numFmtId="3" fontId="10" fillId="0" borderId="37" xfId="7" applyNumberFormat="1" applyFont="1" applyBorder="1" applyAlignment="1">
      <alignment horizontal="center" vertical="center"/>
    </xf>
    <xf numFmtId="3" fontId="30" fillId="17" borderId="1" xfId="7" applyNumberFormat="1" applyFill="1" applyBorder="1" applyAlignment="1">
      <alignment horizontal="center"/>
    </xf>
    <xf numFmtId="166" fontId="30" fillId="0" borderId="0" xfId="7" applyNumberFormat="1"/>
    <xf numFmtId="0" fontId="30" fillId="14" borderId="26" xfId="7" applyFill="1" applyBorder="1" applyAlignment="1">
      <alignment horizontal="right"/>
    </xf>
    <xf numFmtId="0" fontId="30" fillId="14" borderId="1" xfId="7" applyFill="1" applyBorder="1"/>
    <xf numFmtId="0" fontId="30" fillId="17" borderId="1" xfId="7" applyFill="1" applyBorder="1" applyAlignment="1">
      <alignment horizontal="center"/>
    </xf>
    <xf numFmtId="0" fontId="30" fillId="0" borderId="26" xfId="7" applyBorder="1" applyAlignment="1">
      <alignment horizontal="right"/>
    </xf>
    <xf numFmtId="0" fontId="30" fillId="0" borderId="29" xfId="7" applyBorder="1" applyAlignment="1">
      <alignment horizontal="right"/>
    </xf>
    <xf numFmtId="166" fontId="29" fillId="0" borderId="30" xfId="6" applyNumberFormat="1" applyFont="1" applyBorder="1" applyAlignment="1">
      <alignment horizontal="center" vertical="center" wrapText="1"/>
    </xf>
    <xf numFmtId="3" fontId="30" fillId="17" borderId="30" xfId="7" applyNumberFormat="1" applyFill="1" applyBorder="1" applyAlignment="1">
      <alignment horizontal="center"/>
    </xf>
    <xf numFmtId="2" fontId="29" fillId="0" borderId="1" xfId="6" applyNumberFormat="1" applyFont="1" applyFill="1" applyBorder="1" applyAlignment="1">
      <alignment horizontal="left" vertical="center" wrapText="1"/>
    </xf>
    <xf numFmtId="3" fontId="6" fillId="0" borderId="3" xfId="0" applyNumberFormat="1" applyFont="1" applyFill="1" applyBorder="1" applyAlignment="1">
      <alignment horizontal="center" vertical="center"/>
    </xf>
    <xf numFmtId="43" fontId="6" fillId="0" borderId="0" xfId="1" applyFont="1" applyFill="1"/>
    <xf numFmtId="0" fontId="6" fillId="18" borderId="3" xfId="0" applyFont="1" applyFill="1" applyBorder="1" applyAlignment="1">
      <alignment horizontal="right" vertical="center" wrapText="1"/>
    </xf>
    <xf numFmtId="0" fontId="6" fillId="18" borderId="3" xfId="0" applyFont="1" applyFill="1" applyBorder="1" applyAlignment="1">
      <alignment horizontal="center" vertical="center"/>
    </xf>
    <xf numFmtId="185" fontId="30" fillId="0" borderId="0" xfId="7" applyNumberFormat="1"/>
    <xf numFmtId="0" fontId="8" fillId="18" borderId="3" xfId="0" applyFont="1" applyFill="1" applyBorder="1" applyAlignment="1">
      <alignment vertical="center" wrapText="1"/>
    </xf>
    <xf numFmtId="0" fontId="29" fillId="0" borderId="1" xfId="6" applyFont="1" applyFill="1" applyBorder="1" applyAlignment="1">
      <alignment vertical="center"/>
    </xf>
    <xf numFmtId="0" fontId="6" fillId="0" borderId="49" xfId="0" applyFont="1" applyBorder="1"/>
    <xf numFmtId="0" fontId="3" fillId="0" borderId="50" xfId="0" applyFont="1" applyBorder="1"/>
    <xf numFmtId="0" fontId="6" fillId="0" borderId="50" xfId="0" applyFont="1" applyBorder="1"/>
    <xf numFmtId="0" fontId="6" fillId="0" borderId="43" xfId="0" applyFont="1" applyBorder="1" applyAlignment="1">
      <alignment horizontal="center"/>
    </xf>
    <xf numFmtId="0" fontId="9" fillId="0" borderId="44" xfId="0" applyFont="1" applyBorder="1"/>
    <xf numFmtId="0" fontId="6" fillId="0" borderId="0" xfId="0" applyFont="1" applyBorder="1" applyAlignment="1">
      <alignment horizontal="right"/>
    </xf>
    <xf numFmtId="0" fontId="6" fillId="0" borderId="52" xfId="0" applyFont="1" applyBorder="1"/>
    <xf numFmtId="0" fontId="6" fillId="0" borderId="53" xfId="0" applyFont="1" applyBorder="1"/>
    <xf numFmtId="0" fontId="6" fillId="0" borderId="24" xfId="0" applyFont="1" applyBorder="1"/>
    <xf numFmtId="164" fontId="6" fillId="3" borderId="0" xfId="1" applyNumberFormat="1" applyFont="1" applyFill="1" applyBorder="1"/>
    <xf numFmtId="0" fontId="6" fillId="3" borderId="0" xfId="0" applyFont="1" applyFill="1" applyBorder="1"/>
    <xf numFmtId="164" fontId="6" fillId="3" borderId="51" xfId="1" applyNumberFormat="1" applyFont="1" applyFill="1" applyBorder="1"/>
    <xf numFmtId="0" fontId="47" fillId="0" borderId="0" xfId="0" applyFont="1"/>
    <xf numFmtId="0" fontId="11" fillId="3" borderId="3" xfId="0" applyFont="1" applyFill="1" applyBorder="1" applyAlignment="1">
      <alignment vertical="top" wrapText="1"/>
    </xf>
    <xf numFmtId="3" fontId="3" fillId="3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164" fontId="8" fillId="11" borderId="3" xfId="1" applyNumberFormat="1" applyFont="1" applyFill="1" applyBorder="1" applyAlignment="1">
      <alignment vertical="center"/>
    </xf>
    <xf numFmtId="164" fontId="6" fillId="11" borderId="3" xfId="1" applyNumberFormat="1" applyFont="1" applyFill="1" applyBorder="1" applyAlignment="1">
      <alignment vertical="center"/>
    </xf>
    <xf numFmtId="164" fontId="8" fillId="18" borderId="3" xfId="1" applyNumberFormat="1" applyFont="1" applyFill="1" applyBorder="1" applyAlignment="1">
      <alignment vertical="center"/>
    </xf>
    <xf numFmtId="164" fontId="6" fillId="18" borderId="3" xfId="1" applyNumberFormat="1" applyFont="1" applyFill="1" applyBorder="1" applyAlignment="1">
      <alignment vertical="center"/>
    </xf>
    <xf numFmtId="164" fontId="6" fillId="9" borderId="2" xfId="1" applyNumberFormat="1" applyFont="1" applyFill="1" applyBorder="1" applyAlignment="1">
      <alignment vertical="center"/>
    </xf>
    <xf numFmtId="43" fontId="8" fillId="9" borderId="3" xfId="1" applyFont="1" applyFill="1" applyBorder="1" applyAlignment="1">
      <alignment vertical="center"/>
    </xf>
    <xf numFmtId="172" fontId="6" fillId="9" borderId="3" xfId="1" applyNumberFormat="1" applyFont="1" applyFill="1" applyBorder="1" applyAlignment="1">
      <alignment vertical="center"/>
    </xf>
    <xf numFmtId="43" fontId="6" fillId="9" borderId="3" xfId="1" applyFont="1" applyFill="1" applyBorder="1" applyAlignment="1">
      <alignment vertical="center"/>
    </xf>
    <xf numFmtId="164" fontId="6" fillId="9" borderId="3" xfId="1" applyNumberFormat="1" applyFont="1" applyFill="1" applyBorder="1" applyAlignment="1">
      <alignment vertical="center"/>
    </xf>
    <xf numFmtId="172" fontId="6" fillId="9" borderId="3" xfId="1" applyNumberFormat="1" applyFont="1" applyFill="1" applyBorder="1" applyAlignment="1">
      <alignment horizontal="center" vertical="center"/>
    </xf>
    <xf numFmtId="43" fontId="6" fillId="9" borderId="3" xfId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166" fontId="6" fillId="0" borderId="3" xfId="0" applyNumberFormat="1" applyFont="1" applyFill="1" applyBorder="1" applyAlignment="1">
      <alignment horizontal="center" vertical="center"/>
    </xf>
    <xf numFmtId="167" fontId="6" fillId="0" borderId="3" xfId="0" applyNumberFormat="1" applyFont="1" applyFill="1" applyBorder="1" applyAlignment="1">
      <alignment horizontal="center" vertical="center"/>
    </xf>
    <xf numFmtId="168" fontId="6" fillId="0" borderId="3" xfId="0" applyNumberFormat="1" applyFont="1" applyFill="1" applyBorder="1" applyAlignment="1">
      <alignment horizontal="center" vertical="center"/>
    </xf>
    <xf numFmtId="0" fontId="9" fillId="0" borderId="0" xfId="0" applyFont="1" applyFill="1"/>
    <xf numFmtId="2" fontId="29" fillId="0" borderId="1" xfId="6" applyNumberFormat="1" applyFont="1" applyBorder="1" applyAlignment="1">
      <alignment horizontal="left" vertical="center" wrapText="1"/>
    </xf>
    <xf numFmtId="166" fontId="30" fillId="14" borderId="1" xfId="7" applyNumberFormat="1" applyFill="1" applyBorder="1" applyAlignment="1">
      <alignment horizontal="center"/>
    </xf>
    <xf numFmtId="4" fontId="29" fillId="14" borderId="1" xfId="15" applyNumberFormat="1" applyFill="1" applyBorder="1" applyAlignment="1">
      <alignment horizontal="center" vertical="center" wrapText="1"/>
    </xf>
    <xf numFmtId="49" fontId="29" fillId="14" borderId="1" xfId="6" applyNumberFormat="1" applyFont="1" applyFill="1" applyBorder="1" applyAlignment="1">
      <alignment horizontal="center" vertical="center"/>
    </xf>
    <xf numFmtId="0" fontId="29" fillId="0" borderId="1" xfId="6" applyFont="1" applyBorder="1" applyAlignment="1">
      <alignment vertical="center"/>
    </xf>
    <xf numFmtId="3" fontId="30" fillId="0" borderId="22" xfId="7" applyNumberFormat="1" applyBorder="1" applyAlignment="1">
      <alignment horizontal="right"/>
    </xf>
    <xf numFmtId="3" fontId="30" fillId="0" borderId="22" xfId="7" applyNumberFormat="1" applyBorder="1"/>
    <xf numFmtId="3" fontId="30" fillId="0" borderId="1" xfId="7" applyNumberFormat="1" applyBorder="1"/>
    <xf numFmtId="0" fontId="44" fillId="0" borderId="5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43" fontId="26" fillId="0" borderId="26" xfId="17" applyFont="1" applyFill="1" applyBorder="1" applyAlignment="1" applyProtection="1">
      <alignment horizontal="center" vertical="center" textRotation="90" wrapText="1"/>
    </xf>
    <xf numFmtId="43" fontId="26" fillId="0" borderId="1" xfId="17" applyFont="1" applyFill="1" applyBorder="1" applyAlignment="1" applyProtection="1">
      <alignment horizontal="center" vertical="center" textRotation="90" wrapText="1"/>
    </xf>
    <xf numFmtId="43" fontId="26" fillId="0" borderId="27" xfId="17" applyFont="1" applyFill="1" applyBorder="1" applyAlignment="1" applyProtection="1">
      <alignment horizontal="center" vertical="center" textRotation="90" wrapText="1"/>
    </xf>
    <xf numFmtId="0" fontId="30" fillId="14" borderId="7" xfId="7" applyFill="1" applyBorder="1" applyAlignment="1">
      <alignment horizontal="center"/>
    </xf>
    <xf numFmtId="186" fontId="46" fillId="14" borderId="26" xfId="17" applyNumberFormat="1" applyFont="1" applyFill="1" applyBorder="1" applyAlignment="1" applyProtection="1">
      <alignment horizontal="center"/>
    </xf>
    <xf numFmtId="186" fontId="46" fillId="14" borderId="1" xfId="17" applyNumberFormat="1" applyFont="1" applyFill="1" applyBorder="1" applyAlignment="1" applyProtection="1">
      <alignment horizontal="center"/>
    </xf>
    <xf numFmtId="186" fontId="46" fillId="14" borderId="27" xfId="17" applyNumberFormat="1" applyFont="1" applyFill="1" applyBorder="1" applyAlignment="1" applyProtection="1">
      <alignment horizontal="center"/>
    </xf>
    <xf numFmtId="186" fontId="46" fillId="14" borderId="29" xfId="17" applyNumberFormat="1" applyFont="1" applyFill="1" applyBorder="1" applyAlignment="1" applyProtection="1">
      <alignment horizontal="center"/>
    </xf>
    <xf numFmtId="186" fontId="46" fillId="14" borderId="30" xfId="17" applyNumberFormat="1" applyFont="1" applyFill="1" applyBorder="1" applyAlignment="1" applyProtection="1">
      <alignment horizontal="center"/>
    </xf>
    <xf numFmtId="186" fontId="46" fillId="14" borderId="31" xfId="17" applyNumberFormat="1" applyFont="1" applyFill="1" applyBorder="1" applyAlignment="1" applyProtection="1">
      <alignment horizontal="center"/>
    </xf>
    <xf numFmtId="0" fontId="30" fillId="14" borderId="26" xfId="7" applyFill="1" applyBorder="1" applyAlignment="1">
      <alignment horizontal="right" indent="2"/>
    </xf>
    <xf numFmtId="3" fontId="29" fillId="14" borderId="27" xfId="6" applyNumberFormat="1" applyFont="1" applyFill="1" applyBorder="1" applyAlignment="1">
      <alignment horizontal="right" vertical="center" wrapText="1"/>
    </xf>
    <xf numFmtId="1" fontId="29" fillId="14" borderId="8" xfId="6" applyNumberFormat="1" applyFont="1" applyFill="1" applyBorder="1" applyAlignment="1">
      <alignment horizontal="center" vertical="center" wrapText="1"/>
    </xf>
    <xf numFmtId="164" fontId="30" fillId="14" borderId="1" xfId="7" applyNumberFormat="1" applyFill="1" applyBorder="1"/>
    <xf numFmtId="3" fontId="30" fillId="0" borderId="30" xfId="7" applyNumberFormat="1" applyBorder="1"/>
    <xf numFmtId="0" fontId="10" fillId="0" borderId="38" xfId="7" applyFont="1" applyBorder="1" applyAlignment="1">
      <alignment horizontal="center" vertical="center"/>
    </xf>
    <xf numFmtId="3" fontId="10" fillId="0" borderId="27" xfId="7" applyNumberFormat="1" applyFont="1" applyBorder="1" applyAlignment="1">
      <alignment horizontal="center"/>
    </xf>
    <xf numFmtId="0" fontId="30" fillId="0" borderId="26" xfId="7" applyBorder="1" applyAlignment="1">
      <alignment horizontal="left" wrapText="1" indent="2"/>
    </xf>
    <xf numFmtId="3" fontId="29" fillId="14" borderId="1" xfId="6" applyNumberFormat="1" applyFont="1" applyFill="1" applyBorder="1" applyAlignment="1">
      <alignment horizontal="right" vertical="center" wrapText="1"/>
    </xf>
    <xf numFmtId="3" fontId="30" fillId="0" borderId="27" xfId="7" applyNumberFormat="1" applyBorder="1"/>
    <xf numFmtId="3" fontId="10" fillId="0" borderId="7" xfId="7" applyNumberFormat="1" applyFont="1" applyBorder="1" applyAlignment="1">
      <alignment horizontal="center"/>
    </xf>
    <xf numFmtId="0" fontId="30" fillId="0" borderId="7" xfId="7" applyBorder="1"/>
    <xf numFmtId="3" fontId="30" fillId="14" borderId="1" xfId="7" applyNumberFormat="1" applyFill="1" applyBorder="1"/>
    <xf numFmtId="3" fontId="30" fillId="14" borderId="7" xfId="7" applyNumberFormat="1" applyFill="1" applyBorder="1"/>
    <xf numFmtId="187" fontId="46" fillId="14" borderId="26" xfId="17" applyNumberFormat="1" applyFont="1" applyFill="1" applyBorder="1" applyAlignment="1" applyProtection="1">
      <alignment horizontal="center"/>
    </xf>
    <xf numFmtId="187" fontId="46" fillId="14" borderId="1" xfId="17" applyNumberFormat="1" applyFont="1" applyFill="1" applyBorder="1" applyAlignment="1" applyProtection="1">
      <alignment horizontal="center"/>
    </xf>
    <xf numFmtId="187" fontId="46" fillId="14" borderId="27" xfId="17" applyNumberFormat="1" applyFont="1" applyFill="1" applyBorder="1" applyAlignment="1" applyProtection="1">
      <alignment horizontal="center"/>
    </xf>
    <xf numFmtId="187" fontId="46" fillId="0" borderId="26" xfId="17" applyNumberFormat="1" applyFont="1" applyFill="1" applyBorder="1" applyAlignment="1" applyProtection="1">
      <alignment horizontal="center"/>
    </xf>
    <xf numFmtId="187" fontId="46" fillId="0" borderId="1" xfId="17" applyNumberFormat="1" applyFont="1" applyFill="1" applyBorder="1" applyAlignment="1" applyProtection="1">
      <alignment horizontal="center"/>
    </xf>
    <xf numFmtId="187" fontId="46" fillId="0" borderId="27" xfId="17" applyNumberFormat="1" applyFont="1" applyFill="1" applyBorder="1" applyAlignment="1" applyProtection="1">
      <alignment horizontal="center"/>
    </xf>
    <xf numFmtId="0" fontId="30" fillId="0" borderId="26" xfId="7" applyBorder="1" applyAlignment="1">
      <alignment horizontal="right" wrapText="1"/>
    </xf>
    <xf numFmtId="187" fontId="49" fillId="14" borderId="26" xfId="17" applyNumberFormat="1" applyFont="1" applyFill="1" applyBorder="1" applyAlignment="1" applyProtection="1"/>
    <xf numFmtId="187" fontId="49" fillId="14" borderId="1" xfId="17" applyNumberFormat="1" applyFont="1" applyFill="1" applyBorder="1" applyAlignment="1" applyProtection="1"/>
    <xf numFmtId="187" fontId="49" fillId="14" borderId="27" xfId="17" applyNumberFormat="1" applyFont="1" applyFill="1" applyBorder="1" applyAlignment="1" applyProtection="1"/>
    <xf numFmtId="187" fontId="49" fillId="14" borderId="26" xfId="17" applyNumberFormat="1" applyFont="1" applyFill="1" applyBorder="1" applyAlignment="1" applyProtection="1">
      <alignment horizontal="right"/>
    </xf>
    <xf numFmtId="187" fontId="49" fillId="14" borderId="1" xfId="17" applyNumberFormat="1" applyFont="1" applyFill="1" applyBorder="1" applyAlignment="1" applyProtection="1">
      <alignment horizontal="right"/>
    </xf>
    <xf numFmtId="187" fontId="49" fillId="14" borderId="27" xfId="17" applyNumberFormat="1" applyFont="1" applyFill="1" applyBorder="1" applyAlignment="1" applyProtection="1">
      <alignment horizontal="right"/>
    </xf>
    <xf numFmtId="187" fontId="0" fillId="14" borderId="26" xfId="17" applyNumberFormat="1" applyFont="1" applyFill="1" applyBorder="1" applyAlignment="1" applyProtection="1">
      <alignment horizontal="right"/>
    </xf>
    <xf numFmtId="0" fontId="30" fillId="14" borderId="29" xfId="7" applyFill="1" applyBorder="1"/>
    <xf numFmtId="0" fontId="30" fillId="14" borderId="30" xfId="7" applyFill="1" applyBorder="1"/>
    <xf numFmtId="0" fontId="30" fillId="14" borderId="31" xfId="7" applyFill="1" applyBorder="1"/>
    <xf numFmtId="0" fontId="50" fillId="0" borderId="0" xfId="0" applyFont="1"/>
    <xf numFmtId="0" fontId="50" fillId="0" borderId="7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64" fontId="50" fillId="11" borderId="0" xfId="1" applyNumberFormat="1" applyFont="1" applyFill="1"/>
    <xf numFmtId="164" fontId="50" fillId="0" borderId="0" xfId="1" applyNumberFormat="1" applyFont="1" applyFill="1"/>
    <xf numFmtId="164" fontId="50" fillId="3" borderId="0" xfId="1" applyNumberFormat="1" applyFont="1" applyFill="1"/>
    <xf numFmtId="164" fontId="52" fillId="0" borderId="0" xfId="0" applyNumberFormat="1" applyFont="1"/>
    <xf numFmtId="164" fontId="53" fillId="0" borderId="0" xfId="1" applyNumberFormat="1" applyFont="1" applyAlignment="1">
      <alignment horizontal="center" vertical="center"/>
    </xf>
    <xf numFmtId="164" fontId="54" fillId="0" borderId="0" xfId="1" applyNumberFormat="1" applyFont="1" applyAlignment="1">
      <alignment vertical="center"/>
    </xf>
    <xf numFmtId="164" fontId="53" fillId="0" borderId="0" xfId="1" applyNumberFormat="1" applyFont="1" applyAlignment="1">
      <alignment vertical="center"/>
    </xf>
    <xf numFmtId="164" fontId="2" fillId="5" borderId="3" xfId="1" applyNumberFormat="1" applyFont="1" applyFill="1" applyBorder="1" applyAlignment="1">
      <alignment vertical="center"/>
    </xf>
    <xf numFmtId="0" fontId="53" fillId="0" borderId="0" xfId="6" applyFont="1" applyAlignment="1">
      <alignment vertical="center"/>
    </xf>
    <xf numFmtId="164" fontId="54" fillId="0" borderId="0" xfId="1" applyNumberFormat="1" applyFont="1" applyAlignment="1">
      <alignment horizontal="center" vertical="center"/>
    </xf>
    <xf numFmtId="0" fontId="55" fillId="0" borderId="0" xfId="0" applyFont="1"/>
    <xf numFmtId="0" fontId="35" fillId="0" borderId="0" xfId="0" applyFont="1" applyAlignment="1">
      <alignment horizontal="right"/>
    </xf>
    <xf numFmtId="0" fontId="34" fillId="0" borderId="0" xfId="0" applyFont="1"/>
    <xf numFmtId="0" fontId="1" fillId="0" borderId="0" xfId="0" applyFont="1"/>
    <xf numFmtId="173" fontId="1" fillId="3" borderId="0" xfId="2" applyNumberFormat="1" applyFont="1" applyFill="1"/>
    <xf numFmtId="164" fontId="1" fillId="11" borderId="0" xfId="1" applyNumberFormat="1" applyFont="1" applyFill="1"/>
    <xf numFmtId="0" fontId="1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3" fontId="0" fillId="0" borderId="3" xfId="0" applyNumberFormat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6" fillId="0" borderId="4" xfId="0" applyFont="1" applyBorder="1" applyAlignment="1">
      <alignment vertical="center" wrapText="1"/>
    </xf>
    <xf numFmtId="3" fontId="56" fillId="0" borderId="4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0" fillId="14" borderId="0" xfId="6" applyFont="1" applyFill="1" applyAlignment="1">
      <alignment horizontal="center" vertical="center"/>
    </xf>
    <xf numFmtId="0" fontId="29" fillId="14" borderId="28" xfId="6" applyFont="1" applyFill="1" applyBorder="1" applyAlignment="1">
      <alignment horizontal="right" vertical="center" wrapText="1"/>
    </xf>
    <xf numFmtId="3" fontId="30" fillId="14" borderId="29" xfId="7" applyNumberFormat="1" applyFill="1" applyBorder="1"/>
    <xf numFmtId="0" fontId="30" fillId="0" borderId="8" xfId="7" applyBorder="1" applyAlignment="1">
      <alignment horizontal="left" indent="2"/>
    </xf>
    <xf numFmtId="0" fontId="30" fillId="14" borderId="8" xfId="7" applyFill="1" applyBorder="1" applyAlignment="1">
      <alignment horizontal="center" vertical="center" wrapText="1"/>
    </xf>
    <xf numFmtId="0" fontId="30" fillId="14" borderId="51" xfId="7" applyFill="1" applyBorder="1" applyAlignment="1">
      <alignment horizontal="center" vertical="center" wrapText="1"/>
    </xf>
    <xf numFmtId="0" fontId="30" fillId="0" borderId="25" xfId="7" applyBorder="1" applyAlignment="1">
      <alignment horizontal="center" vertical="center" wrapText="1"/>
    </xf>
    <xf numFmtId="0" fontId="30" fillId="14" borderId="24" xfId="7" applyFill="1" applyBorder="1" applyAlignment="1">
      <alignment horizontal="center" vertical="center" wrapText="1"/>
    </xf>
    <xf numFmtId="3" fontId="29" fillId="14" borderId="27" xfId="6" applyNumberFormat="1" applyFont="1" applyFill="1" applyBorder="1" applyAlignment="1">
      <alignment vertical="center" wrapText="1"/>
    </xf>
    <xf numFmtId="0" fontId="30" fillId="14" borderId="1" xfId="7" applyFill="1" applyBorder="1" applyAlignment="1">
      <alignment vertical="center" wrapText="1"/>
    </xf>
    <xf numFmtId="0" fontId="30" fillId="14" borderId="8" xfId="7" applyFill="1" applyBorder="1" applyAlignment="1">
      <alignment horizontal="right" indent="2"/>
    </xf>
    <xf numFmtId="0" fontId="30" fillId="14" borderId="8" xfId="7" applyFill="1" applyBorder="1" applyAlignment="1">
      <alignment horizontal="left" indent="2"/>
    </xf>
    <xf numFmtId="0" fontId="30" fillId="0" borderId="8" xfId="7" applyBorder="1"/>
    <xf numFmtId="0" fontId="30" fillId="0" borderId="28" xfId="7" applyBorder="1" applyAlignment="1">
      <alignment horizontal="right" indent="2"/>
    </xf>
    <xf numFmtId="0" fontId="30" fillId="0" borderId="32" xfId="7" applyBorder="1"/>
    <xf numFmtId="164" fontId="30" fillId="0" borderId="30" xfId="7" applyNumberFormat="1" applyBorder="1"/>
    <xf numFmtId="3" fontId="30" fillId="0" borderId="31" xfId="7" applyNumberFormat="1" applyBorder="1"/>
    <xf numFmtId="3" fontId="29" fillId="0" borderId="38" xfId="6" applyNumberFormat="1" applyFont="1" applyBorder="1" applyAlignment="1">
      <alignment horizontal="center" vertical="center" wrapText="1"/>
    </xf>
    <xf numFmtId="3" fontId="40" fillId="0" borderId="27" xfId="6" applyNumberFormat="1" applyFont="1" applyBorder="1" applyAlignment="1">
      <alignment horizontal="center" vertical="center" wrapText="1"/>
    </xf>
    <xf numFmtId="181" fontId="29" fillId="0" borderId="27" xfId="6" applyNumberFormat="1" applyFont="1" applyBorder="1" applyAlignment="1">
      <alignment horizontal="center" vertical="center" wrapText="1"/>
    </xf>
    <xf numFmtId="181" fontId="29" fillId="0" borderId="31" xfId="6" applyNumberFormat="1" applyFont="1" applyBorder="1" applyAlignment="1">
      <alignment horizontal="center" vertical="center" wrapText="1"/>
    </xf>
    <xf numFmtId="181" fontId="40" fillId="0" borderId="38" xfId="6" applyNumberFormat="1" applyFont="1" applyBorder="1" applyAlignment="1">
      <alignment horizontal="center" vertical="center" wrapText="1"/>
    </xf>
    <xf numFmtId="181" fontId="40" fillId="0" borderId="0" xfId="6" applyNumberFormat="1" applyFont="1" applyAlignment="1">
      <alignment horizontal="center" vertical="center" wrapText="1"/>
    </xf>
    <xf numFmtId="181" fontId="40" fillId="0" borderId="27" xfId="6" applyNumberFormat="1" applyFont="1" applyBorder="1" applyAlignment="1">
      <alignment horizontal="center" vertical="center" wrapText="1"/>
    </xf>
    <xf numFmtId="181" fontId="29" fillId="14" borderId="27" xfId="6" applyNumberFormat="1" applyFont="1" applyFill="1" applyBorder="1" applyAlignment="1">
      <alignment horizontal="center" vertical="center" wrapText="1"/>
    </xf>
    <xf numFmtId="181" fontId="29" fillId="14" borderId="31" xfId="6" applyNumberFormat="1" applyFont="1" applyFill="1" applyBorder="1" applyAlignment="1">
      <alignment horizontal="center" vertical="center" wrapText="1"/>
    </xf>
    <xf numFmtId="3" fontId="29" fillId="0" borderId="29" xfId="6" applyNumberFormat="1" applyFont="1" applyBorder="1" applyAlignment="1">
      <alignment horizontal="right" vertical="center" wrapText="1"/>
    </xf>
    <xf numFmtId="185" fontId="30" fillId="0" borderId="30" xfId="7" applyNumberFormat="1" applyBorder="1" applyAlignment="1">
      <alignment horizontal="center"/>
    </xf>
    <xf numFmtId="165" fontId="29" fillId="14" borderId="1" xfId="6" applyNumberFormat="1" applyFont="1" applyFill="1" applyBorder="1" applyAlignment="1">
      <alignment horizontal="center" vertical="center" wrapText="1"/>
    </xf>
    <xf numFmtId="3" fontId="30" fillId="14" borderId="27" xfId="7" applyNumberFormat="1" applyFill="1" applyBorder="1"/>
    <xf numFmtId="0" fontId="30" fillId="17" borderId="26" xfId="7" applyFill="1" applyBorder="1" applyAlignment="1">
      <alignment horizontal="right"/>
    </xf>
    <xf numFmtId="0" fontId="30" fillId="0" borderId="48" xfId="7" applyBorder="1" applyAlignment="1">
      <alignment horizontal="left" indent="2"/>
    </xf>
    <xf numFmtId="0" fontId="30" fillId="0" borderId="41" xfId="7" applyBorder="1"/>
    <xf numFmtId="0" fontId="30" fillId="0" borderId="41" xfId="7" applyBorder="1" applyAlignment="1">
      <alignment horizontal="center"/>
    </xf>
    <xf numFmtId="0" fontId="30" fillId="0" borderId="42" xfId="7" applyBorder="1"/>
    <xf numFmtId="0" fontId="57" fillId="0" borderId="26" xfId="7" applyFont="1" applyBorder="1" applyAlignment="1">
      <alignment horizontal="right" wrapText="1"/>
    </xf>
    <xf numFmtId="0" fontId="58" fillId="0" borderId="26" xfId="7" applyFont="1" applyBorder="1" applyAlignment="1">
      <alignment horizontal="right"/>
    </xf>
    <xf numFmtId="164" fontId="29" fillId="3" borderId="0" xfId="1" applyNumberFormat="1" applyFont="1" applyFill="1" applyAlignment="1">
      <alignment vertical="center"/>
    </xf>
    <xf numFmtId="43" fontId="10" fillId="0" borderId="0" xfId="1" applyFont="1"/>
    <xf numFmtId="164" fontId="0" fillId="0" borderId="0" xfId="1" applyNumberFormat="1" applyFont="1"/>
    <xf numFmtId="164" fontId="0" fillId="3" borderId="0" xfId="1" applyNumberFormat="1" applyFont="1" applyFill="1"/>
    <xf numFmtId="170" fontId="0" fillId="0" borderId="0" xfId="0" applyNumberFormat="1"/>
    <xf numFmtId="164" fontId="6" fillId="5" borderId="0" xfId="1" applyNumberFormat="1" applyFont="1" applyFill="1"/>
    <xf numFmtId="0" fontId="0" fillId="3" borderId="0" xfId="0" applyFill="1"/>
    <xf numFmtId="0" fontId="6" fillId="0" borderId="2" xfId="0" applyFont="1" applyBorder="1" applyAlignment="1">
      <alignment horizontal="left" vertical="center"/>
    </xf>
    <xf numFmtId="165" fontId="6" fillId="0" borderId="2" xfId="1" applyNumberFormat="1" applyFont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2" fontId="6" fillId="0" borderId="3" xfId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0" fontId="7" fillId="19" borderId="0" xfId="0" applyFont="1" applyFill="1"/>
    <xf numFmtId="0" fontId="7" fillId="0" borderId="0" xfId="0" applyFont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2" fontId="8" fillId="0" borderId="6" xfId="1" applyNumberFormat="1" applyFont="1" applyBorder="1" applyAlignment="1">
      <alignment horizontal="center" vertical="center"/>
    </xf>
    <xf numFmtId="2" fontId="8" fillId="0" borderId="3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64" fontId="6" fillId="0" borderId="6" xfId="1" applyNumberFormat="1" applyFont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9" fontId="6" fillId="0" borderId="0" xfId="2" applyFont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/>
    </xf>
    <xf numFmtId="164" fontId="8" fillId="0" borderId="0" xfId="1" applyNumberFormat="1" applyFont="1" applyBorder="1" applyAlignment="1">
      <alignment horizontal="center" vertical="center"/>
    </xf>
    <xf numFmtId="0" fontId="35" fillId="3" borderId="0" xfId="0" applyFont="1" applyFill="1"/>
    <xf numFmtId="0" fontId="59" fillId="0" borderId="0" xfId="0" applyFont="1"/>
    <xf numFmtId="0" fontId="6" fillId="11" borderId="0" xfId="0" applyFont="1" applyFill="1" applyAlignment="1">
      <alignment horizontal="left" vertical="center" wrapText="1"/>
    </xf>
    <xf numFmtId="0" fontId="0" fillId="0" borderId="0" xfId="0" applyFont="1"/>
    <xf numFmtId="0" fontId="7" fillId="0" borderId="0" xfId="0" applyFont="1" applyAlignment="1">
      <alignment horizontal="center"/>
    </xf>
    <xf numFmtId="164" fontId="7" fillId="0" borderId="0" xfId="1" applyNumberFormat="1" applyFont="1"/>
    <xf numFmtId="0" fontId="0" fillId="0" borderId="0" xfId="0" applyFont="1" applyAlignment="1">
      <alignment horizontal="right"/>
    </xf>
    <xf numFmtId="0" fontId="0" fillId="0" borderId="4" xfId="0" applyFont="1" applyBorder="1"/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0" fontId="6" fillId="0" borderId="3" xfId="0" applyFont="1" applyBorder="1"/>
    <xf numFmtId="0" fontId="35" fillId="0" borderId="0" xfId="0" applyFont="1" applyAlignment="1">
      <alignment horizontal="center"/>
    </xf>
    <xf numFmtId="0" fontId="35" fillId="5" borderId="0" xfId="0" applyFont="1" applyFill="1" applyAlignment="1">
      <alignment horizontal="center"/>
    </xf>
    <xf numFmtId="0" fontId="35" fillId="0" borderId="0" xfId="0" applyFont="1" applyFill="1" applyBorder="1" applyAlignment="1">
      <alignment horizontal="center"/>
    </xf>
    <xf numFmtId="164" fontId="6" fillId="4" borderId="0" xfId="1" applyNumberFormat="1" applyFont="1" applyFill="1"/>
    <xf numFmtId="43" fontId="6" fillId="5" borderId="3" xfId="1" applyFont="1" applyFill="1" applyBorder="1" applyAlignment="1">
      <alignment vertical="center"/>
    </xf>
    <xf numFmtId="172" fontId="6" fillId="5" borderId="3" xfId="1" applyNumberFormat="1" applyFont="1" applyFill="1" applyBorder="1" applyAlignment="1">
      <alignment vertical="center"/>
    </xf>
    <xf numFmtId="43" fontId="17" fillId="0" borderId="0" xfId="0" applyNumberFormat="1" applyFont="1"/>
    <xf numFmtId="43" fontId="6" fillId="3" borderId="3" xfId="1" applyNumberFormat="1" applyFont="1" applyFill="1" applyBorder="1" applyAlignment="1">
      <alignment vertical="center"/>
    </xf>
    <xf numFmtId="43" fontId="6" fillId="11" borderId="3" xfId="1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43" fontId="55" fillId="11" borderId="0" xfId="1" applyFont="1" applyFill="1"/>
    <xf numFmtId="43" fontId="35" fillId="11" borderId="0" xfId="1" applyFont="1" applyFill="1"/>
    <xf numFmtId="188" fontId="34" fillId="0" borderId="0" xfId="1" applyNumberFormat="1" applyFont="1" applyFill="1"/>
    <xf numFmtId="188" fontId="35" fillId="0" borderId="0" xfId="1" applyNumberFormat="1" applyFont="1" applyFill="1"/>
    <xf numFmtId="0" fontId="6" fillId="11" borderId="3" xfId="0" applyFont="1" applyFill="1" applyBorder="1" applyAlignment="1">
      <alignment horizontal="left" vertical="center"/>
    </xf>
    <xf numFmtId="2" fontId="6" fillId="11" borderId="3" xfId="1" applyNumberFormat="1" applyFont="1" applyFill="1" applyBorder="1" applyAlignment="1">
      <alignment horizontal="center" vertical="center"/>
    </xf>
    <xf numFmtId="2" fontId="8" fillId="11" borderId="3" xfId="1" applyNumberFormat="1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left" vertical="center"/>
    </xf>
    <xf numFmtId="0" fontId="0" fillId="11" borderId="3" xfId="0" applyFont="1" applyFill="1" applyBorder="1" applyAlignment="1">
      <alignment horizontal="center" vertical="center"/>
    </xf>
    <xf numFmtId="164" fontId="0" fillId="11" borderId="3" xfId="1" applyNumberFormat="1" applyFont="1" applyFill="1" applyBorder="1" applyAlignment="1">
      <alignment horizontal="center" vertical="center"/>
    </xf>
    <xf numFmtId="164" fontId="7" fillId="11" borderId="3" xfId="1" applyNumberFormat="1" applyFont="1" applyFill="1" applyBorder="1" applyAlignment="1">
      <alignment horizontal="center" vertical="center"/>
    </xf>
    <xf numFmtId="43" fontId="55" fillId="0" borderId="0" xfId="1" applyFont="1" applyFill="1"/>
    <xf numFmtId="43" fontId="35" fillId="0" borderId="0" xfId="1" applyFont="1" applyFill="1"/>
    <xf numFmtId="181" fontId="29" fillId="4" borderId="0" xfId="6" applyNumberFormat="1" applyFont="1" applyFill="1" applyAlignment="1">
      <alignment horizontal="center" vertical="center"/>
    </xf>
    <xf numFmtId="181" fontId="29" fillId="0" borderId="0" xfId="6" applyNumberFormat="1" applyFont="1" applyAlignment="1">
      <alignment horizontal="left" vertical="center"/>
    </xf>
    <xf numFmtId="0" fontId="10" fillId="0" borderId="0" xfId="7" applyFont="1"/>
    <xf numFmtId="0" fontId="10" fillId="0" borderId="0" xfId="7" applyFont="1" applyAlignment="1">
      <alignment horizontal="center"/>
    </xf>
    <xf numFmtId="0" fontId="10" fillId="20" borderId="15" xfId="7" applyFont="1" applyFill="1" applyBorder="1"/>
    <xf numFmtId="0" fontId="40" fillId="20" borderId="16" xfId="6" applyFont="1" applyFill="1" applyBorder="1" applyAlignment="1">
      <alignment horizontal="center" vertical="center" wrapText="1"/>
    </xf>
    <xf numFmtId="0" fontId="30" fillId="20" borderId="17" xfId="7" applyFill="1" applyBorder="1"/>
    <xf numFmtId="0" fontId="30" fillId="20" borderId="18" xfId="7" applyFill="1" applyBorder="1"/>
    <xf numFmtId="0" fontId="30" fillId="20" borderId="19" xfId="7" applyFill="1" applyBorder="1" applyAlignment="1">
      <alignment horizontal="center"/>
    </xf>
    <xf numFmtId="0" fontId="40" fillId="20" borderId="17" xfId="6" applyFont="1" applyFill="1" applyBorder="1" applyAlignment="1">
      <alignment horizontal="center" vertical="center" wrapText="1"/>
    </xf>
    <xf numFmtId="3" fontId="40" fillId="0" borderId="0" xfId="6" applyNumberFormat="1" applyFont="1" applyAlignment="1">
      <alignment horizontal="center" vertical="center" wrapText="1"/>
    </xf>
    <xf numFmtId="0" fontId="44" fillId="20" borderId="35" xfId="6" applyFont="1" applyFill="1" applyBorder="1" applyAlignment="1">
      <alignment horizontal="center" vertical="center" wrapText="1"/>
    </xf>
    <xf numFmtId="1" fontId="44" fillId="20" borderId="36" xfId="15" applyNumberFormat="1" applyFont="1" applyFill="1" applyBorder="1" applyAlignment="1">
      <alignment horizontal="center" vertical="center" wrapText="1"/>
    </xf>
    <xf numFmtId="1" fontId="44" fillId="20" borderId="37" xfId="15" applyNumberFormat="1" applyFont="1" applyFill="1" applyBorder="1" applyAlignment="1">
      <alignment horizontal="center" vertical="center" wrapText="1"/>
    </xf>
    <xf numFmtId="1" fontId="44" fillId="20" borderId="38" xfId="15" applyNumberFormat="1" applyFont="1" applyFill="1" applyBorder="1" applyAlignment="1">
      <alignment horizontal="center" vertical="center" wrapText="1"/>
    </xf>
    <xf numFmtId="1" fontId="44" fillId="20" borderId="39" xfId="15" applyNumberFormat="1" applyFont="1" applyFill="1" applyBorder="1" applyAlignment="1">
      <alignment horizontal="center" vertical="center" wrapText="1"/>
    </xf>
    <xf numFmtId="0" fontId="44" fillId="20" borderId="40" xfId="6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1" fontId="40" fillId="0" borderId="41" xfId="6" applyNumberFormat="1" applyFont="1" applyBorder="1" applyAlignment="1">
      <alignment horizontal="center" vertical="center" wrapText="1"/>
    </xf>
    <xf numFmtId="1" fontId="40" fillId="0" borderId="0" xfId="6" applyNumberFormat="1" applyFont="1" applyAlignment="1">
      <alignment horizontal="center" vertical="center" wrapText="1"/>
    </xf>
    <xf numFmtId="165" fontId="30" fillId="14" borderId="1" xfId="7" applyNumberFormat="1" applyFill="1" applyBorder="1" applyAlignment="1">
      <alignment horizontal="center"/>
    </xf>
    <xf numFmtId="165" fontId="30" fillId="0" borderId="0" xfId="7" applyNumberFormat="1" applyAlignment="1">
      <alignment horizontal="center"/>
    </xf>
    <xf numFmtId="0" fontId="29" fillId="14" borderId="55" xfId="6" applyFont="1" applyFill="1" applyBorder="1" applyAlignment="1">
      <alignment horizontal="right" vertical="center" wrapText="1"/>
    </xf>
    <xf numFmtId="3" fontId="30" fillId="14" borderId="48" xfId="7" applyNumberFormat="1" applyFill="1" applyBorder="1"/>
    <xf numFmtId="0" fontId="30" fillId="14" borderId="42" xfId="7" applyFill="1" applyBorder="1" applyAlignment="1">
      <alignment horizontal="center"/>
    </xf>
    <xf numFmtId="165" fontId="30" fillId="14" borderId="41" xfId="7" applyNumberFormat="1" applyFill="1" applyBorder="1" applyAlignment="1">
      <alignment horizontal="center"/>
    </xf>
    <xf numFmtId="2" fontId="30" fillId="14" borderId="42" xfId="7" applyNumberFormat="1" applyFill="1" applyBorder="1" applyAlignment="1">
      <alignment horizontal="center"/>
    </xf>
    <xf numFmtId="165" fontId="30" fillId="14" borderId="31" xfId="7" applyNumberFormat="1" applyFill="1" applyBorder="1" applyAlignment="1">
      <alignment horizontal="center"/>
    </xf>
    <xf numFmtId="165" fontId="30" fillId="14" borderId="30" xfId="7" applyNumberFormat="1" applyFill="1" applyBorder="1" applyAlignment="1">
      <alignment horizontal="center"/>
    </xf>
    <xf numFmtId="0" fontId="40" fillId="20" borderId="35" xfId="6" applyFont="1" applyFill="1" applyBorder="1" applyAlignment="1">
      <alignment horizontal="center" vertical="center" wrapText="1"/>
    </xf>
    <xf numFmtId="0" fontId="40" fillId="20" borderId="36" xfId="6" applyFont="1" applyFill="1" applyBorder="1" applyAlignment="1">
      <alignment horizontal="center" vertical="center" wrapText="1"/>
    </xf>
    <xf numFmtId="0" fontId="40" fillId="20" borderId="37" xfId="6" applyFont="1" applyFill="1" applyBorder="1" applyAlignment="1">
      <alignment horizontal="center" vertical="center" wrapText="1"/>
    </xf>
    <xf numFmtId="0" fontId="40" fillId="20" borderId="38" xfId="6" applyFont="1" applyFill="1" applyBorder="1" applyAlignment="1">
      <alignment horizontal="center" vertical="center" wrapText="1"/>
    </xf>
    <xf numFmtId="0" fontId="40" fillId="20" borderId="39" xfId="6" applyFont="1" applyFill="1" applyBorder="1" applyAlignment="1">
      <alignment horizontal="center" vertical="center" wrapText="1"/>
    </xf>
    <xf numFmtId="0" fontId="10" fillId="20" borderId="37" xfId="7" applyFont="1" applyFill="1" applyBorder="1" applyAlignment="1">
      <alignment horizontal="center" vertical="center"/>
    </xf>
    <xf numFmtId="0" fontId="10" fillId="0" borderId="0" xfId="7" applyFont="1" applyAlignment="1">
      <alignment horizontal="center" vertical="center"/>
    </xf>
    <xf numFmtId="4" fontId="40" fillId="0" borderId="0" xfId="6" applyNumberFormat="1" applyFont="1" applyAlignment="1">
      <alignment horizontal="center" vertical="center" wrapText="1"/>
    </xf>
    <xf numFmtId="3" fontId="10" fillId="0" borderId="0" xfId="7" applyNumberFormat="1" applyFont="1" applyAlignment="1">
      <alignment horizontal="center"/>
    </xf>
    <xf numFmtId="0" fontId="10" fillId="8" borderId="25" xfId="7" applyFont="1" applyFill="1" applyBorder="1" applyAlignment="1">
      <alignment horizontal="left" indent="2"/>
    </xf>
    <xf numFmtId="0" fontId="10" fillId="8" borderId="26" xfId="7" applyFont="1" applyFill="1" applyBorder="1" applyAlignment="1">
      <alignment horizontal="left" indent="2"/>
    </xf>
    <xf numFmtId="4" fontId="40" fillId="8" borderId="1" xfId="6" applyNumberFormat="1" applyFont="1" applyFill="1" applyBorder="1" applyAlignment="1">
      <alignment horizontal="center" vertical="center" wrapText="1"/>
    </xf>
    <xf numFmtId="3" fontId="40" fillId="8" borderId="7" xfId="6" applyNumberFormat="1" applyFont="1" applyFill="1" applyBorder="1" applyAlignment="1">
      <alignment horizontal="center" vertical="center" wrapText="1"/>
    </xf>
    <xf numFmtId="189" fontId="29" fillId="8" borderId="1" xfId="6" applyNumberFormat="1" applyFont="1" applyFill="1" applyBorder="1" applyAlignment="1">
      <alignment horizontal="center" vertical="center" wrapText="1"/>
    </xf>
    <xf numFmtId="3" fontId="30" fillId="8" borderId="1" xfId="7" applyNumberFormat="1" applyFill="1" applyBorder="1"/>
    <xf numFmtId="4" fontId="29" fillId="20" borderId="1" xfId="6" applyNumberFormat="1" applyFont="1" applyFill="1" applyBorder="1" applyAlignment="1">
      <alignment horizontal="center" vertical="center" wrapText="1"/>
    </xf>
    <xf numFmtId="3" fontId="29" fillId="20" borderId="7" xfId="6" applyNumberFormat="1" applyFont="1" applyFill="1" applyBorder="1" applyAlignment="1">
      <alignment horizontal="center" vertical="center" wrapText="1"/>
    </xf>
    <xf numFmtId="1" fontId="29" fillId="0" borderId="1" xfId="6" applyNumberFormat="1" applyFont="1" applyBorder="1" applyAlignment="1">
      <alignment horizontal="center" vertical="center" wrapText="1"/>
    </xf>
    <xf numFmtId="4" fontId="29" fillId="20" borderId="7" xfId="6" applyNumberFormat="1" applyFont="1" applyFill="1" applyBorder="1" applyAlignment="1">
      <alignment horizontal="center" vertical="center" wrapText="1"/>
    </xf>
    <xf numFmtId="0" fontId="30" fillId="0" borderId="1" xfId="7" applyBorder="1" applyAlignment="1">
      <alignment vertical="center" wrapText="1"/>
    </xf>
    <xf numFmtId="0" fontId="63" fillId="14" borderId="1" xfId="7" applyFont="1" applyFill="1" applyBorder="1" applyAlignment="1">
      <alignment horizontal="center" vertical="center" wrapText="1"/>
    </xf>
    <xf numFmtId="3" fontId="29" fillId="0" borderId="7" xfId="6" applyNumberFormat="1" applyFont="1" applyBorder="1" applyAlignment="1">
      <alignment horizontal="center" vertical="center" wrapText="1"/>
    </xf>
    <xf numFmtId="0" fontId="58" fillId="0" borderId="7" xfId="11" applyFont="1" applyBorder="1" applyAlignment="1">
      <alignment horizontal="left" vertical="top" wrapText="1"/>
    </xf>
    <xf numFmtId="0" fontId="30" fillId="0" borderId="1" xfId="7" applyBorder="1" applyAlignment="1">
      <alignment horizontal="left" vertical="center" wrapText="1"/>
    </xf>
    <xf numFmtId="0" fontId="30" fillId="17" borderId="1" xfId="7" applyFill="1" applyBorder="1" applyAlignment="1">
      <alignment horizontal="left" vertical="center" wrapText="1"/>
    </xf>
    <xf numFmtId="0" fontId="30" fillId="0" borderId="41" xfId="7" applyBorder="1" applyAlignment="1">
      <alignment vertical="center" wrapText="1"/>
    </xf>
    <xf numFmtId="4" fontId="40" fillId="8" borderId="7" xfId="6" applyNumberFormat="1" applyFont="1" applyFill="1" applyBorder="1" applyAlignment="1">
      <alignment horizontal="center" vertical="center" wrapText="1"/>
    </xf>
    <xf numFmtId="0" fontId="30" fillId="0" borderId="1" xfId="7" applyBorder="1" applyAlignment="1">
      <alignment wrapText="1"/>
    </xf>
    <xf numFmtId="0" fontId="30" fillId="0" borderId="41" xfId="7" applyBorder="1" applyAlignment="1">
      <alignment horizontal="left" vertical="center" wrapText="1"/>
    </xf>
    <xf numFmtId="0" fontId="30" fillId="0" borderId="50" xfId="7" applyBorder="1" applyAlignment="1">
      <alignment horizontal="left" vertical="center" wrapText="1"/>
    </xf>
    <xf numFmtId="0" fontId="30" fillId="17" borderId="1" xfId="7" applyFill="1" applyBorder="1" applyAlignment="1">
      <alignment vertical="center" wrapText="1"/>
    </xf>
    <xf numFmtId="0" fontId="10" fillId="20" borderId="36" xfId="7" applyFont="1" applyFill="1" applyBorder="1" applyAlignment="1">
      <alignment horizontal="center" vertical="center"/>
    </xf>
    <xf numFmtId="0" fontId="45" fillId="20" borderId="37" xfId="7" applyFont="1" applyFill="1" applyBorder="1" applyAlignment="1">
      <alignment horizontal="center" vertical="center"/>
    </xf>
    <xf numFmtId="0" fontId="29" fillId="20" borderId="36" xfId="6" applyFont="1" applyFill="1" applyBorder="1" applyAlignment="1">
      <alignment horizontal="right" vertical="center" wrapText="1"/>
    </xf>
    <xf numFmtId="0" fontId="29" fillId="20" borderId="37" xfId="6" applyFont="1" applyFill="1" applyBorder="1" applyAlignment="1">
      <alignment horizontal="center" vertical="center" wrapText="1"/>
    </xf>
    <xf numFmtId="3" fontId="29" fillId="20" borderId="37" xfId="6" applyNumberFormat="1" applyFont="1" applyFill="1" applyBorder="1" applyAlignment="1">
      <alignment horizontal="center" vertical="center" wrapText="1"/>
    </xf>
    <xf numFmtId="1" fontId="29" fillId="20" borderId="37" xfId="15" applyNumberFormat="1" applyFill="1" applyBorder="1" applyAlignment="1">
      <alignment horizontal="center" vertical="center" wrapText="1"/>
    </xf>
    <xf numFmtId="181" fontId="40" fillId="20" borderId="37" xfId="6" applyNumberFormat="1" applyFont="1" applyFill="1" applyBorder="1" applyAlignment="1">
      <alignment horizontal="center" vertical="center" wrapText="1"/>
    </xf>
    <xf numFmtId="0" fontId="40" fillId="20" borderId="1" xfId="6" applyFont="1" applyFill="1" applyBorder="1" applyAlignment="1">
      <alignment horizontal="center" vertical="center" wrapText="1"/>
    </xf>
    <xf numFmtId="0" fontId="45" fillId="20" borderId="1" xfId="7" applyFont="1" applyFill="1" applyBorder="1" applyAlignment="1">
      <alignment horizontal="center" vertical="center"/>
    </xf>
    <xf numFmtId="0" fontId="45" fillId="20" borderId="1" xfId="7" applyFont="1" applyFill="1" applyBorder="1" applyAlignment="1">
      <alignment horizontal="center" vertical="center" wrapText="1"/>
    </xf>
    <xf numFmtId="181" fontId="40" fillId="20" borderId="1" xfId="6" applyNumberFormat="1" applyFont="1" applyFill="1" applyBorder="1" applyAlignment="1">
      <alignment horizontal="center" vertical="center" wrapText="1"/>
    </xf>
    <xf numFmtId="0" fontId="30" fillId="14" borderId="1" xfId="7" applyFill="1" applyBorder="1" applyAlignment="1">
      <alignment horizontal="right" wrapText="1"/>
    </xf>
    <xf numFmtId="170" fontId="30" fillId="14" borderId="1" xfId="7" applyNumberFormat="1" applyFill="1" applyBorder="1" applyAlignment="1">
      <alignment horizontal="center"/>
    </xf>
    <xf numFmtId="0" fontId="30" fillId="14" borderId="1" xfId="7" applyFill="1" applyBorder="1" applyAlignment="1">
      <alignment horizontal="right"/>
    </xf>
    <xf numFmtId="166" fontId="30" fillId="14" borderId="7" xfId="7" applyNumberFormat="1" applyFill="1" applyBorder="1" applyAlignment="1">
      <alignment horizontal="center"/>
    </xf>
    <xf numFmtId="166" fontId="30" fillId="0" borderId="7" xfId="7" applyNumberFormat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43" fontId="6" fillId="9" borderId="0" xfId="1" applyFont="1" applyFill="1"/>
    <xf numFmtId="0" fontId="29" fillId="0" borderId="0" xfId="6" applyFont="1" applyAlignment="1">
      <alignment horizontal="left" vertical="center" wrapText="1"/>
    </xf>
    <xf numFmtId="0" fontId="10" fillId="14" borderId="0" xfId="7" applyFont="1" applyFill="1" applyAlignment="1">
      <alignment horizontal="left"/>
    </xf>
    <xf numFmtId="3" fontId="10" fillId="14" borderId="1" xfId="7" applyNumberFormat="1" applyFont="1" applyFill="1" applyBorder="1" applyAlignment="1">
      <alignment horizontal="center"/>
    </xf>
    <xf numFmtId="1" fontId="40" fillId="14" borderId="1" xfId="15" applyNumberFormat="1" applyFont="1" applyFill="1" applyBorder="1" applyAlignment="1">
      <alignment horizontal="center" vertical="center" wrapText="1"/>
    </xf>
    <xf numFmtId="0" fontId="10" fillId="0" borderId="25" xfId="7" applyFont="1" applyBorder="1" applyAlignment="1">
      <alignment horizontal="left" indent="2"/>
    </xf>
    <xf numFmtId="170" fontId="41" fillId="0" borderId="1" xfId="7" applyNumberFormat="1" applyFont="1" applyBorder="1" applyAlignment="1" applyProtection="1">
      <alignment horizontal="left" vertical="justify" wrapText="1"/>
      <protection locked="0"/>
    </xf>
    <xf numFmtId="49" fontId="64" fillId="14" borderId="1" xfId="7" applyNumberFormat="1" applyFont="1" applyFill="1" applyBorder="1" applyAlignment="1" applyProtection="1">
      <alignment horizontal="center" vertical="justify" wrapText="1"/>
      <protection locked="0"/>
    </xf>
    <xf numFmtId="3" fontId="64" fillId="14" borderId="27" xfId="6" applyNumberFormat="1" applyFont="1" applyFill="1" applyBorder="1" applyAlignment="1">
      <alignment horizontal="right" vertical="center" wrapText="1"/>
    </xf>
    <xf numFmtId="164" fontId="30" fillId="0" borderId="14" xfId="7" applyNumberFormat="1" applyBorder="1"/>
    <xf numFmtId="170" fontId="41" fillId="0" borderId="1" xfId="7" applyNumberFormat="1" applyFont="1" applyBorder="1" applyAlignment="1" applyProtection="1">
      <alignment horizontal="left" vertical="top" wrapText="1"/>
      <protection locked="0"/>
    </xf>
    <xf numFmtId="49" fontId="64" fillId="14" borderId="1" xfId="7" applyNumberFormat="1" applyFont="1" applyFill="1" applyBorder="1" applyAlignment="1" applyProtection="1">
      <alignment horizontal="center" vertical="top" wrapText="1"/>
      <protection locked="0"/>
    </xf>
    <xf numFmtId="49" fontId="65" fillId="14" borderId="8" xfId="7" applyNumberFormat="1" applyFont="1" applyFill="1" applyBorder="1" applyAlignment="1" applyProtection="1">
      <alignment horizontal="center" vertical="top" wrapText="1"/>
      <protection locked="0"/>
    </xf>
    <xf numFmtId="4" fontId="64" fillId="14" borderId="1" xfId="9" applyNumberFormat="1" applyFont="1" applyFill="1" applyBorder="1" applyAlignment="1" applyProtection="1">
      <alignment vertical="top"/>
      <protection locked="0"/>
    </xf>
    <xf numFmtId="49" fontId="41" fillId="14" borderId="1" xfId="7" applyNumberFormat="1" applyFont="1" applyFill="1" applyBorder="1" applyAlignment="1" applyProtection="1">
      <alignment horizontal="center" vertical="top" wrapText="1"/>
      <protection locked="0"/>
    </xf>
    <xf numFmtId="166" fontId="41" fillId="14" borderId="1" xfId="6" applyNumberFormat="1" applyFont="1" applyFill="1" applyBorder="1" applyAlignment="1">
      <alignment horizontal="center" vertical="center" wrapText="1"/>
    </xf>
    <xf numFmtId="3" fontId="41" fillId="14" borderId="27" xfId="6" applyNumberFormat="1" applyFont="1" applyFill="1" applyBorder="1" applyAlignment="1">
      <alignment horizontal="right" vertical="center" wrapText="1"/>
    </xf>
    <xf numFmtId="170" fontId="41" fillId="17" borderId="1" xfId="7" applyNumberFormat="1" applyFont="1" applyFill="1" applyBorder="1" applyAlignment="1" applyProtection="1">
      <alignment horizontal="left" vertical="top" wrapText="1"/>
      <protection locked="0"/>
    </xf>
    <xf numFmtId="0" fontId="66" fillId="0" borderId="1" xfId="10" applyFont="1" applyBorder="1" applyAlignment="1">
      <alignment horizontal="left" vertical="top" wrapText="1" shrinkToFit="1"/>
    </xf>
    <xf numFmtId="49" fontId="41" fillId="14" borderId="8" xfId="7" applyNumberFormat="1" applyFont="1" applyFill="1" applyBorder="1" applyAlignment="1" applyProtection="1">
      <alignment horizontal="center" vertical="top" wrapText="1"/>
      <protection locked="0"/>
    </xf>
    <xf numFmtId="4" fontId="41" fillId="14" borderId="1" xfId="9" applyNumberFormat="1" applyFont="1" applyFill="1" applyBorder="1" applyAlignment="1" applyProtection="1">
      <alignment vertical="top"/>
      <protection locked="0"/>
    </xf>
    <xf numFmtId="0" fontId="66" fillId="14" borderId="26" xfId="7" applyFont="1" applyFill="1" applyBorder="1" applyAlignment="1">
      <alignment horizontal="left" indent="2"/>
    </xf>
    <xf numFmtId="0" fontId="30" fillId="17" borderId="26" xfId="7" applyFill="1" applyBorder="1" applyAlignment="1">
      <alignment horizontal="left" indent="2"/>
    </xf>
    <xf numFmtId="166" fontId="29" fillId="17" borderId="1" xfId="6" applyNumberFormat="1" applyFont="1" applyFill="1" applyBorder="1" applyAlignment="1">
      <alignment horizontal="center" vertical="center" wrapText="1"/>
    </xf>
    <xf numFmtId="3" fontId="40" fillId="17" borderId="27" xfId="6" applyNumberFormat="1" applyFont="1" applyFill="1" applyBorder="1" applyAlignment="1">
      <alignment horizontal="center" vertical="center" wrapText="1"/>
    </xf>
    <xf numFmtId="170" fontId="41" fillId="14" borderId="1" xfId="7" applyNumberFormat="1" applyFont="1" applyFill="1" applyBorder="1" applyAlignment="1" applyProtection="1">
      <alignment horizontal="center" vertical="top" wrapText="1"/>
      <protection locked="0"/>
    </xf>
    <xf numFmtId="0" fontId="41" fillId="14" borderId="1" xfId="9" applyNumberFormat="1" applyFont="1" applyFill="1" applyBorder="1" applyAlignment="1" applyProtection="1">
      <alignment vertical="top"/>
      <protection locked="0"/>
    </xf>
    <xf numFmtId="3" fontId="29" fillId="0" borderId="27" xfId="6" applyNumberFormat="1" applyFont="1" applyBorder="1" applyAlignment="1">
      <alignment horizontal="right" vertical="center" wrapText="1"/>
    </xf>
    <xf numFmtId="4" fontId="67" fillId="14" borderId="1" xfId="9" applyNumberFormat="1" applyFont="1" applyFill="1" applyBorder="1" applyAlignment="1" applyProtection="1">
      <alignment vertical="top"/>
      <protection locked="0"/>
    </xf>
    <xf numFmtId="4" fontId="41" fillId="14" borderId="7" xfId="9" applyNumberFormat="1" applyFont="1" applyFill="1" applyBorder="1" applyAlignment="1" applyProtection="1">
      <alignment vertical="top"/>
      <protection locked="0"/>
    </xf>
    <xf numFmtId="164" fontId="30" fillId="0" borderId="41" xfId="7" applyNumberFormat="1" applyBorder="1"/>
    <xf numFmtId="0" fontId="68" fillId="17" borderId="1" xfId="7" applyFont="1" applyFill="1" applyBorder="1" applyAlignment="1">
      <alignment horizontal="left"/>
    </xf>
    <xf numFmtId="4" fontId="41" fillId="17" borderId="1" xfId="9" applyNumberFormat="1" applyFont="1" applyFill="1" applyBorder="1" applyAlignment="1" applyProtection="1">
      <alignment horizontal="left" vertical="top" wrapText="1"/>
      <protection locked="0"/>
    </xf>
    <xf numFmtId="0" fontId="68" fillId="0" borderId="1" xfId="7" applyFont="1" applyBorder="1" applyAlignment="1">
      <alignment horizontal="left"/>
    </xf>
    <xf numFmtId="0" fontId="41" fillId="17" borderId="1" xfId="11" applyFont="1" applyFill="1" applyBorder="1" applyAlignment="1">
      <alignment horizontal="left" vertical="center" wrapText="1"/>
    </xf>
    <xf numFmtId="0" fontId="66" fillId="0" borderId="1" xfId="7" applyFont="1" applyBorder="1" applyAlignment="1">
      <alignment horizontal="left"/>
    </xf>
    <xf numFmtId="0" fontId="41" fillId="0" borderId="1" xfId="11" applyFont="1" applyBorder="1" applyAlignment="1">
      <alignment horizontal="left" vertical="center" wrapText="1"/>
    </xf>
    <xf numFmtId="4" fontId="41" fillId="0" borderId="1" xfId="9" applyNumberFormat="1" applyFont="1" applyFill="1" applyBorder="1" applyAlignment="1" applyProtection="1">
      <alignment horizontal="left" vertical="top" wrapText="1"/>
      <protection locked="0"/>
    </xf>
    <xf numFmtId="4" fontId="69" fillId="0" borderId="1" xfId="9" applyNumberFormat="1" applyFont="1" applyFill="1" applyBorder="1" applyAlignment="1" applyProtection="1">
      <alignment horizontal="left" vertical="top" wrapText="1"/>
      <protection locked="0"/>
    </xf>
    <xf numFmtId="3" fontId="41" fillId="0" borderId="29" xfId="6" applyNumberFormat="1" applyFont="1" applyBorder="1" applyAlignment="1">
      <alignment horizontal="left" vertical="center" wrapText="1"/>
    </xf>
    <xf numFmtId="0" fontId="68" fillId="0" borderId="26" xfId="7" applyFont="1" applyBorder="1"/>
    <xf numFmtId="0" fontId="66" fillId="17" borderId="1" xfId="7" applyFont="1" applyFill="1" applyBorder="1" applyAlignment="1">
      <alignment horizontal="left"/>
    </xf>
    <xf numFmtId="3" fontId="70" fillId="14" borderId="1" xfId="7" applyNumberFormat="1" applyFont="1" applyFill="1" applyBorder="1" applyAlignment="1">
      <alignment horizontal="center"/>
    </xf>
    <xf numFmtId="2" fontId="71" fillId="0" borderId="1" xfId="12" applyNumberFormat="1" applyFont="1" applyBorder="1" applyAlignment="1">
      <alignment vertical="center"/>
    </xf>
    <xf numFmtId="0" fontId="37" fillId="0" borderId="0" xfId="6" applyFont="1" applyAlignment="1">
      <alignment horizontal="center" vertical="center"/>
    </xf>
    <xf numFmtId="0" fontId="40" fillId="0" borderId="1" xfId="6" applyFont="1" applyBorder="1" applyAlignment="1">
      <alignment horizontal="left" vertical="center" wrapText="1"/>
    </xf>
    <xf numFmtId="2" fontId="29" fillId="0" borderId="1" xfId="6" applyNumberFormat="1" applyFont="1" applyBorder="1" applyAlignment="1">
      <alignment horizontal="center" vertical="center" wrapText="1"/>
    </xf>
    <xf numFmtId="1" fontId="29" fillId="0" borderId="1" xfId="14" applyNumberFormat="1" applyFont="1" applyBorder="1" applyAlignment="1">
      <alignment horizontal="left" wrapText="1"/>
    </xf>
    <xf numFmtId="0" fontId="29" fillId="0" borderId="1" xfId="6" applyFont="1" applyBorder="1" applyAlignment="1">
      <alignment horizontal="left" vertical="center" wrapText="1"/>
    </xf>
    <xf numFmtId="190" fontId="40" fillId="0" borderId="1" xfId="6" applyNumberFormat="1" applyFont="1" applyBorder="1" applyAlignment="1">
      <alignment horizontal="center" vertical="center" wrapText="1"/>
    </xf>
    <xf numFmtId="1" fontId="29" fillId="0" borderId="1" xfId="15" applyNumberFormat="1" applyBorder="1" applyAlignment="1">
      <alignment horizontal="left" vertical="center" wrapText="1"/>
    </xf>
    <xf numFmtId="1" fontId="29" fillId="17" borderId="1" xfId="15" applyNumberFormat="1" applyFill="1" applyBorder="1" applyAlignment="1">
      <alignment horizontal="center" vertical="center" wrapText="1" shrinkToFit="1"/>
    </xf>
    <xf numFmtId="191" fontId="30" fillId="14" borderId="1" xfId="7" applyNumberFormat="1" applyFill="1" applyBorder="1" applyAlignment="1">
      <alignment horizontal="center" vertical="center" wrapText="1" shrinkToFit="1"/>
    </xf>
    <xf numFmtId="190" fontId="29" fillId="0" borderId="1" xfId="6" applyNumberFormat="1" applyFont="1" applyBorder="1" applyAlignment="1">
      <alignment horizontal="center" vertical="center" wrapText="1" shrinkToFit="1"/>
    </xf>
    <xf numFmtId="181" fontId="29" fillId="17" borderId="1" xfId="6" applyNumberFormat="1" applyFont="1" applyFill="1" applyBorder="1" applyAlignment="1">
      <alignment horizontal="center" vertical="center" wrapText="1" shrinkToFit="1"/>
    </xf>
    <xf numFmtId="16" fontId="29" fillId="0" borderId="1" xfId="6" applyNumberFormat="1" applyFont="1" applyBorder="1" applyAlignment="1">
      <alignment horizontal="center" vertical="center"/>
    </xf>
    <xf numFmtId="0" fontId="30" fillId="0" borderId="0" xfId="7" applyAlignment="1">
      <alignment horizontal="center" vertical="center" wrapText="1" shrinkToFit="1"/>
    </xf>
    <xf numFmtId="0" fontId="30" fillId="0" borderId="33" xfId="7" applyBorder="1" applyAlignment="1">
      <alignment horizontal="left"/>
    </xf>
    <xf numFmtId="0" fontId="30" fillId="0" borderId="34" xfId="7" applyBorder="1" applyAlignment="1">
      <alignment horizontal="center" vertical="center" wrapText="1" shrinkToFit="1"/>
    </xf>
    <xf numFmtId="0" fontId="30" fillId="0" borderId="34" xfId="7" applyBorder="1"/>
    <xf numFmtId="0" fontId="30" fillId="0" borderId="34" xfId="7" applyBorder="1" applyAlignment="1">
      <alignment horizontal="center" vertical="center"/>
    </xf>
    <xf numFmtId="4" fontId="30" fillId="0" borderId="34" xfId="7" applyNumberFormat="1" applyBorder="1" applyAlignment="1">
      <alignment horizontal="center" vertical="center"/>
    </xf>
    <xf numFmtId="4" fontId="30" fillId="0" borderId="56" xfId="7" applyNumberFormat="1" applyBorder="1" applyAlignment="1">
      <alignment horizontal="center" vertical="center"/>
    </xf>
    <xf numFmtId="0" fontId="10" fillId="0" borderId="15" xfId="7" applyFont="1" applyBorder="1" applyAlignment="1">
      <alignment horizontal="left"/>
    </xf>
    <xf numFmtId="0" fontId="40" fillId="0" borderId="16" xfId="6" applyFont="1" applyBorder="1" applyAlignment="1">
      <alignment horizontal="center" vertical="center" wrapText="1" shrinkToFit="1"/>
    </xf>
    <xf numFmtId="0" fontId="30" fillId="0" borderId="57" xfId="7" applyBorder="1" applyAlignment="1">
      <alignment horizontal="center" vertical="center"/>
    </xf>
    <xf numFmtId="0" fontId="30" fillId="0" borderId="16" xfId="7" applyBorder="1" applyAlignment="1">
      <alignment horizontal="center"/>
    </xf>
    <xf numFmtId="0" fontId="40" fillId="0" borderId="18" xfId="6" applyFont="1" applyBorder="1" applyAlignment="1">
      <alignment horizontal="center" vertical="center" wrapText="1"/>
    </xf>
    <xf numFmtId="0" fontId="30" fillId="0" borderId="20" xfId="7" applyBorder="1" applyAlignment="1">
      <alignment horizontal="left"/>
    </xf>
    <xf numFmtId="0" fontId="30" fillId="0" borderId="21" xfId="7" applyBorder="1" applyAlignment="1">
      <alignment horizontal="center" vertical="center" wrapText="1" shrinkToFit="1"/>
    </xf>
    <xf numFmtId="0" fontId="30" fillId="0" borderId="23" xfId="7" applyBorder="1" applyAlignment="1">
      <alignment horizontal="center" vertical="center"/>
    </xf>
    <xf numFmtId="3" fontId="30" fillId="0" borderId="22" xfId="7" applyNumberFormat="1" applyBorder="1" applyAlignment="1">
      <alignment horizontal="center" vertical="center"/>
    </xf>
    <xf numFmtId="3" fontId="30" fillId="0" borderId="23" xfId="7" applyNumberFormat="1" applyBorder="1" applyAlignment="1">
      <alignment horizontal="center" vertical="center"/>
    </xf>
    <xf numFmtId="0" fontId="30" fillId="0" borderId="25" xfId="7" applyBorder="1" applyAlignment="1">
      <alignment horizontal="left"/>
    </xf>
    <xf numFmtId="0" fontId="30" fillId="0" borderId="26" xfId="7" applyBorder="1" applyAlignment="1">
      <alignment horizontal="center" vertical="center" wrapText="1" shrinkToFit="1"/>
    </xf>
    <xf numFmtId="0" fontId="30" fillId="0" borderId="27" xfId="7" applyBorder="1" applyAlignment="1">
      <alignment horizontal="center" vertical="center"/>
    </xf>
    <xf numFmtId="3" fontId="30" fillId="0" borderId="1" xfId="7" applyNumberFormat="1" applyBorder="1" applyAlignment="1">
      <alignment horizontal="center" vertical="center"/>
    </xf>
    <xf numFmtId="3" fontId="30" fillId="0" borderId="0" xfId="7" applyNumberFormat="1" applyAlignment="1">
      <alignment horizontal="center" vertical="center"/>
    </xf>
    <xf numFmtId="3" fontId="30" fillId="0" borderId="47" xfId="7" applyNumberFormat="1" applyBorder="1" applyAlignment="1">
      <alignment horizontal="center" vertical="center"/>
    </xf>
    <xf numFmtId="0" fontId="29" fillId="0" borderId="25" xfId="6" applyFont="1" applyBorder="1" applyAlignment="1">
      <alignment horizontal="left" vertical="center" wrapText="1"/>
    </xf>
    <xf numFmtId="0" fontId="29" fillId="0" borderId="26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left" vertical="center" wrapText="1"/>
    </xf>
    <xf numFmtId="1" fontId="29" fillId="0" borderId="26" xfId="15" applyNumberFormat="1" applyBorder="1" applyAlignment="1">
      <alignment horizontal="center" vertical="center" wrapText="1" shrinkToFit="1"/>
    </xf>
    <xf numFmtId="0" fontId="43" fillId="0" borderId="25" xfId="6" applyFont="1" applyBorder="1" applyAlignment="1">
      <alignment horizontal="left" vertical="center" wrapText="1"/>
    </xf>
    <xf numFmtId="1" fontId="43" fillId="0" borderId="26" xfId="15" applyNumberFormat="1" applyFont="1" applyBorder="1" applyAlignment="1">
      <alignment horizontal="center" vertical="center" wrapText="1" shrinkToFit="1"/>
    </xf>
    <xf numFmtId="0" fontId="43" fillId="0" borderId="28" xfId="6" applyFont="1" applyBorder="1" applyAlignment="1">
      <alignment horizontal="left" vertical="center" wrapText="1"/>
    </xf>
    <xf numFmtId="1" fontId="43" fillId="0" borderId="29" xfId="15" applyNumberFormat="1" applyFont="1" applyBorder="1" applyAlignment="1">
      <alignment horizontal="center" vertical="center" wrapText="1" shrinkToFit="1"/>
    </xf>
    <xf numFmtId="190" fontId="46" fillId="14" borderId="32" xfId="15" applyNumberFormat="1" applyFont="1" applyFill="1" applyBorder="1" applyAlignment="1">
      <alignment horizontal="center" vertical="center" wrapText="1"/>
    </xf>
    <xf numFmtId="0" fontId="44" fillId="0" borderId="59" xfId="6" applyFont="1" applyBorder="1" applyAlignment="1">
      <alignment horizontal="left" vertical="center" wrapText="1"/>
    </xf>
    <xf numFmtId="1" fontId="44" fillId="0" borderId="36" xfId="15" applyNumberFormat="1" applyFont="1" applyBorder="1" applyAlignment="1">
      <alignment horizontal="center" vertical="center" wrapText="1" shrinkToFit="1"/>
    </xf>
    <xf numFmtId="0" fontId="44" fillId="0" borderId="37" xfId="6" applyFont="1" applyBorder="1" applyAlignment="1">
      <alignment horizontal="center" vertical="center" wrapText="1"/>
    </xf>
    <xf numFmtId="0" fontId="44" fillId="0" borderId="38" xfId="6" applyFont="1" applyBorder="1" applyAlignment="1">
      <alignment horizontal="center" vertical="center" wrapText="1"/>
    </xf>
    <xf numFmtId="0" fontId="40" fillId="0" borderId="60" xfId="6" applyFont="1" applyBorder="1" applyAlignment="1">
      <alignment horizontal="left" vertical="center" wrapText="1"/>
    </xf>
    <xf numFmtId="1" fontId="40" fillId="0" borderId="48" xfId="15" applyNumberFormat="1" applyFont="1" applyBorder="1" applyAlignment="1">
      <alignment horizontal="center" vertical="center" wrapText="1" shrinkToFit="1"/>
    </xf>
    <xf numFmtId="1" fontId="40" fillId="0" borderId="42" xfId="6" applyNumberFormat="1" applyFont="1" applyBorder="1" applyAlignment="1">
      <alignment horizontal="center" vertical="center" wrapText="1"/>
    </xf>
    <xf numFmtId="0" fontId="29" fillId="14" borderId="36" xfId="6" applyFont="1" applyFill="1" applyBorder="1" applyAlignment="1">
      <alignment horizontal="center" vertical="center" wrapText="1"/>
    </xf>
    <xf numFmtId="1" fontId="30" fillId="14" borderId="37" xfId="7" applyNumberFormat="1" applyFill="1" applyBorder="1" applyAlignment="1">
      <alignment horizontal="center" vertical="center" wrapText="1" shrinkToFit="1"/>
    </xf>
    <xf numFmtId="165" fontId="30" fillId="14" borderId="37" xfId="7" applyNumberFormat="1" applyFill="1" applyBorder="1" applyAlignment="1">
      <alignment horizontal="center" vertical="center" wrapText="1" shrinkToFit="1"/>
    </xf>
    <xf numFmtId="0" fontId="30" fillId="14" borderId="38" xfId="7" applyFill="1" applyBorder="1" applyAlignment="1">
      <alignment horizontal="center" vertical="center"/>
    </xf>
    <xf numFmtId="1" fontId="30" fillId="14" borderId="39" xfId="7" applyNumberFormat="1" applyFill="1" applyBorder="1" applyAlignment="1">
      <alignment horizontal="center" vertical="center" wrapText="1" shrinkToFit="1"/>
    </xf>
    <xf numFmtId="1" fontId="30" fillId="14" borderId="37" xfId="7" applyNumberFormat="1" applyFill="1" applyBorder="1" applyAlignment="1">
      <alignment horizontal="center" vertical="center"/>
    </xf>
    <xf numFmtId="1" fontId="30" fillId="14" borderId="38" xfId="7" applyNumberFormat="1" applyFill="1" applyBorder="1" applyAlignment="1">
      <alignment horizontal="center" vertical="center"/>
    </xf>
    <xf numFmtId="0" fontId="29" fillId="14" borderId="26" xfId="6" applyFont="1" applyFill="1" applyBorder="1" applyAlignment="1">
      <alignment horizontal="center" vertical="center" wrapText="1"/>
    </xf>
    <xf numFmtId="1" fontId="30" fillId="14" borderId="1" xfId="7" applyNumberFormat="1" applyFill="1" applyBorder="1" applyAlignment="1">
      <alignment horizontal="center" vertical="center" wrapText="1" shrinkToFit="1"/>
    </xf>
    <xf numFmtId="165" fontId="30" fillId="14" borderId="1" xfId="7" applyNumberFormat="1" applyFill="1" applyBorder="1" applyAlignment="1">
      <alignment horizontal="center" vertical="center" wrapText="1" shrinkToFit="1"/>
    </xf>
    <xf numFmtId="0" fontId="30" fillId="14" borderId="27" xfId="7" applyFill="1" applyBorder="1" applyAlignment="1">
      <alignment horizontal="center" vertical="center"/>
    </xf>
    <xf numFmtId="1" fontId="30" fillId="14" borderId="8" xfId="7" applyNumberFormat="1" applyFill="1" applyBorder="1" applyAlignment="1">
      <alignment horizontal="center" vertical="center" wrapText="1" shrinkToFit="1"/>
    </xf>
    <xf numFmtId="1" fontId="30" fillId="14" borderId="1" xfId="7" applyNumberFormat="1" applyFill="1" applyBorder="1" applyAlignment="1">
      <alignment horizontal="center" vertical="center"/>
    </xf>
    <xf numFmtId="1" fontId="30" fillId="14" borderId="27" xfId="7" applyNumberFormat="1" applyFill="1" applyBorder="1" applyAlignment="1">
      <alignment horizontal="center" vertical="center"/>
    </xf>
    <xf numFmtId="0" fontId="29" fillId="14" borderId="29" xfId="6" applyFont="1" applyFill="1" applyBorder="1" applyAlignment="1">
      <alignment horizontal="center" vertical="center" wrapText="1"/>
    </xf>
    <xf numFmtId="1" fontId="30" fillId="14" borderId="30" xfId="7" applyNumberFormat="1" applyFill="1" applyBorder="1" applyAlignment="1">
      <alignment horizontal="center" vertical="center" wrapText="1" shrinkToFit="1"/>
    </xf>
    <xf numFmtId="165" fontId="30" fillId="14" borderId="30" xfId="7" applyNumberFormat="1" applyFill="1" applyBorder="1" applyAlignment="1">
      <alignment horizontal="center" vertical="center" wrapText="1" shrinkToFit="1"/>
    </xf>
    <xf numFmtId="0" fontId="30" fillId="14" borderId="31" xfId="7" applyFill="1" applyBorder="1" applyAlignment="1">
      <alignment horizontal="center" vertical="center"/>
    </xf>
    <xf numFmtId="1" fontId="30" fillId="14" borderId="32" xfId="7" applyNumberFormat="1" applyFill="1" applyBorder="1" applyAlignment="1">
      <alignment horizontal="center" vertical="center" wrapText="1" shrinkToFit="1"/>
    </xf>
    <xf numFmtId="1" fontId="30" fillId="14" borderId="30" xfId="7" applyNumberFormat="1" applyFill="1" applyBorder="1" applyAlignment="1">
      <alignment horizontal="center" vertical="center"/>
    </xf>
    <xf numFmtId="1" fontId="30" fillId="14" borderId="31" xfId="7" applyNumberFormat="1" applyFill="1" applyBorder="1" applyAlignment="1">
      <alignment horizontal="center" vertical="center"/>
    </xf>
    <xf numFmtId="0" fontId="40" fillId="0" borderId="35" xfId="6" applyFont="1" applyBorder="1" applyAlignment="1">
      <alignment horizontal="left" vertical="center" wrapText="1"/>
    </xf>
    <xf numFmtId="0" fontId="40" fillId="0" borderId="35" xfId="6" applyFont="1" applyBorder="1" applyAlignment="1">
      <alignment horizontal="center" vertical="center" wrapText="1" shrinkToFit="1"/>
    </xf>
    <xf numFmtId="0" fontId="40" fillId="0" borderId="45" xfId="6" applyFont="1" applyBorder="1" applyAlignment="1">
      <alignment horizontal="left" vertical="center" wrapText="1"/>
    </xf>
    <xf numFmtId="0" fontId="40" fillId="0" borderId="45" xfId="6" applyFont="1" applyBorder="1" applyAlignment="1">
      <alignment horizontal="center" vertical="center" wrapText="1" shrinkToFit="1"/>
    </xf>
    <xf numFmtId="3" fontId="10" fillId="0" borderId="1" xfId="7" applyNumberFormat="1" applyFont="1" applyBorder="1" applyAlignment="1">
      <alignment horizontal="center" vertical="center"/>
    </xf>
    <xf numFmtId="3" fontId="10" fillId="0" borderId="27" xfId="7" applyNumberFormat="1" applyFont="1" applyBorder="1" applyAlignment="1">
      <alignment horizontal="center" vertical="center"/>
    </xf>
    <xf numFmtId="0" fontId="30" fillId="0" borderId="25" xfId="7" applyBorder="1" applyAlignment="1">
      <alignment horizontal="center" vertical="center"/>
    </xf>
    <xf numFmtId="0" fontId="30" fillId="0" borderId="25" xfId="7" applyBorder="1" applyAlignment="1">
      <alignment horizontal="center" vertical="center" wrapText="1" shrinkToFit="1"/>
    </xf>
    <xf numFmtId="166" fontId="46" fillId="0" borderId="25" xfId="6" applyNumberFormat="1" applyFont="1" applyBorder="1" applyAlignment="1">
      <alignment horizontal="center" vertical="center" wrapText="1"/>
    </xf>
    <xf numFmtId="3" fontId="46" fillId="0" borderId="25" xfId="6" applyNumberFormat="1" applyFont="1" applyBorder="1" applyAlignment="1">
      <alignment horizontal="center" vertical="center" wrapText="1"/>
    </xf>
    <xf numFmtId="3" fontId="46" fillId="0" borderId="8" xfId="6" applyNumberFormat="1" applyFont="1" applyBorder="1" applyAlignment="1">
      <alignment horizontal="center" vertical="center" wrapText="1"/>
    </xf>
    <xf numFmtId="0" fontId="30" fillId="14" borderId="25" xfId="7" applyFill="1" applyBorder="1" applyAlignment="1">
      <alignment horizontal="center" vertical="center" wrapText="1" shrinkToFit="1"/>
    </xf>
    <xf numFmtId="190" fontId="46" fillId="14" borderId="25" xfId="6" applyNumberFormat="1" applyFont="1" applyFill="1" applyBorder="1" applyAlignment="1">
      <alignment horizontal="center" vertical="center" wrapText="1"/>
    </xf>
    <xf numFmtId="1" fontId="30" fillId="14" borderId="25" xfId="7" applyNumberFormat="1" applyFill="1" applyBorder="1" applyAlignment="1">
      <alignment horizontal="center" vertical="center" wrapText="1" shrinkToFit="1"/>
    </xf>
    <xf numFmtId="1" fontId="46" fillId="0" borderId="8" xfId="6" applyNumberFormat="1" applyFont="1" applyBorder="1" applyAlignment="1">
      <alignment horizontal="center" vertical="center" wrapText="1"/>
    </xf>
    <xf numFmtId="164" fontId="30" fillId="0" borderId="1" xfId="7" applyNumberFormat="1" applyBorder="1" applyAlignment="1">
      <alignment horizontal="center" vertical="center"/>
    </xf>
    <xf numFmtId="164" fontId="30" fillId="0" borderId="27" xfId="7" applyNumberFormat="1" applyBorder="1" applyAlignment="1">
      <alignment horizontal="center" vertical="center"/>
    </xf>
    <xf numFmtId="190" fontId="46" fillId="0" borderId="25" xfId="6" applyNumberFormat="1" applyFont="1" applyBorder="1" applyAlignment="1">
      <alignment horizontal="center" vertical="center" wrapText="1"/>
    </xf>
    <xf numFmtId="164" fontId="30" fillId="0" borderId="0" xfId="7" applyNumberFormat="1" applyAlignment="1">
      <alignment horizontal="center" vertical="center"/>
    </xf>
    <xf numFmtId="164" fontId="30" fillId="0" borderId="47" xfId="7" applyNumberFormat="1" applyBorder="1" applyAlignment="1">
      <alignment horizontal="center" vertical="center"/>
    </xf>
    <xf numFmtId="3" fontId="30" fillId="0" borderId="27" xfId="7" applyNumberFormat="1" applyBorder="1" applyAlignment="1">
      <alignment horizontal="center" vertical="center"/>
    </xf>
    <xf numFmtId="164" fontId="72" fillId="0" borderId="1" xfId="7" applyNumberFormat="1" applyFont="1" applyBorder="1" applyAlignment="1">
      <alignment horizontal="center" vertical="center"/>
    </xf>
    <xf numFmtId="0" fontId="30" fillId="0" borderId="1" xfId="7" applyBorder="1" applyAlignment="1">
      <alignment horizontal="center" vertical="center"/>
    </xf>
    <xf numFmtId="0" fontId="30" fillId="0" borderId="28" xfId="7" applyBorder="1" applyAlignment="1">
      <alignment horizontal="center" vertical="center"/>
    </xf>
    <xf numFmtId="0" fontId="30" fillId="14" borderId="28" xfId="7" applyFill="1" applyBorder="1" applyAlignment="1">
      <alignment horizontal="center" vertical="center" wrapText="1" shrinkToFit="1"/>
    </xf>
    <xf numFmtId="190" fontId="46" fillId="14" borderId="28" xfId="6" applyNumberFormat="1" applyFont="1" applyFill="1" applyBorder="1" applyAlignment="1">
      <alignment horizontal="center" vertical="center" wrapText="1"/>
    </xf>
    <xf numFmtId="3" fontId="46" fillId="14" borderId="28" xfId="6" applyNumberFormat="1" applyFont="1" applyFill="1" applyBorder="1" applyAlignment="1">
      <alignment horizontal="center" vertical="center" wrapText="1"/>
    </xf>
    <xf numFmtId="164" fontId="30" fillId="0" borderId="30" xfId="7" applyNumberFormat="1" applyBorder="1" applyAlignment="1">
      <alignment horizontal="center" vertical="center"/>
    </xf>
    <xf numFmtId="164" fontId="30" fillId="0" borderId="31" xfId="7" applyNumberFormat="1" applyBorder="1" applyAlignment="1">
      <alignment horizontal="center" vertical="center"/>
    </xf>
    <xf numFmtId="0" fontId="30" fillId="0" borderId="0" xfId="7" applyAlignment="1">
      <alignment horizontal="left"/>
    </xf>
    <xf numFmtId="0" fontId="46" fillId="14" borderId="0" xfId="7" applyFont="1" applyFill="1" applyAlignment="1">
      <alignment horizontal="left"/>
    </xf>
    <xf numFmtId="0" fontId="46" fillId="14" borderId="0" xfId="7" applyFont="1" applyFill="1" applyAlignment="1">
      <alignment horizontal="center" vertical="center"/>
    </xf>
    <xf numFmtId="0" fontId="46" fillId="0" borderId="0" xfId="7" applyFont="1" applyAlignment="1">
      <alignment horizontal="center"/>
    </xf>
    <xf numFmtId="0" fontId="46" fillId="0" borderId="0" xfId="7" applyFont="1" applyAlignment="1">
      <alignment horizontal="center" wrapText="1" shrinkToFit="1"/>
    </xf>
    <xf numFmtId="0" fontId="45" fillId="0" borderId="16" xfId="7" applyFont="1" applyBorder="1" applyAlignment="1">
      <alignment horizontal="left"/>
    </xf>
    <xf numFmtId="0" fontId="46" fillId="0" borderId="19" xfId="7" applyFont="1" applyBorder="1" applyAlignment="1">
      <alignment horizontal="center" vertical="center"/>
    </xf>
    <xf numFmtId="0" fontId="46" fillId="0" borderId="17" xfId="7" applyFont="1" applyBorder="1" applyAlignment="1">
      <alignment horizontal="center"/>
    </xf>
    <xf numFmtId="4" fontId="46" fillId="0" borderId="17" xfId="7" applyNumberFormat="1" applyFont="1" applyBorder="1" applyAlignment="1">
      <alignment horizontal="center"/>
    </xf>
    <xf numFmtId="4" fontId="46" fillId="0" borderId="17" xfId="7" applyNumberFormat="1" applyFont="1" applyBorder="1" applyAlignment="1">
      <alignment horizontal="center" wrapText="1" shrinkToFit="1"/>
    </xf>
    <xf numFmtId="4" fontId="46" fillId="0" borderId="18" xfId="7" applyNumberFormat="1" applyFont="1" applyBorder="1" applyAlignment="1">
      <alignment horizontal="center" wrapText="1" shrinkToFit="1"/>
    </xf>
    <xf numFmtId="0" fontId="45" fillId="0" borderId="35" xfId="7" applyFont="1" applyBorder="1" applyAlignment="1">
      <alignment horizontal="left" vertical="center"/>
    </xf>
    <xf numFmtId="0" fontId="45" fillId="0" borderId="63" xfId="7" applyFont="1" applyBorder="1" applyAlignment="1">
      <alignment horizontal="center" vertical="center"/>
    </xf>
    <xf numFmtId="0" fontId="45" fillId="0" borderId="36" xfId="7" applyFont="1" applyBorder="1" applyAlignment="1">
      <alignment horizontal="center"/>
    </xf>
    <xf numFmtId="0" fontId="45" fillId="0" borderId="37" xfId="7" applyFont="1" applyBorder="1" applyAlignment="1">
      <alignment horizontal="center"/>
    </xf>
    <xf numFmtId="0" fontId="40" fillId="0" borderId="37" xfId="6" applyFont="1" applyBorder="1" applyAlignment="1">
      <alignment horizontal="center" wrapText="1"/>
    </xf>
    <xf numFmtId="0" fontId="40" fillId="0" borderId="64" xfId="6" applyFont="1" applyBorder="1" applyAlignment="1">
      <alignment horizontal="center" wrapText="1"/>
    </xf>
    <xf numFmtId="0" fontId="40" fillId="0" borderId="36" xfId="6" applyFont="1" applyBorder="1" applyAlignment="1">
      <alignment horizontal="center" wrapText="1"/>
    </xf>
    <xf numFmtId="0" fontId="40" fillId="0" borderId="37" xfId="6" applyFont="1" applyBorder="1" applyAlignment="1">
      <alignment horizontal="center" wrapText="1" shrinkToFit="1"/>
    </xf>
    <xf numFmtId="0" fontId="40" fillId="0" borderId="38" xfId="6" applyFont="1" applyBorder="1" applyAlignment="1">
      <alignment horizontal="center" wrapText="1" shrinkToFit="1"/>
    </xf>
    <xf numFmtId="0" fontId="30" fillId="14" borderId="0" xfId="7" applyFill="1" applyAlignment="1">
      <alignment horizontal="center" vertical="center"/>
    </xf>
    <xf numFmtId="0" fontId="46" fillId="14" borderId="25" xfId="7" applyFont="1" applyFill="1" applyBorder="1" applyAlignment="1">
      <alignment horizontal="left"/>
    </xf>
    <xf numFmtId="0" fontId="46" fillId="14" borderId="65" xfId="7" applyFont="1" applyFill="1" applyBorder="1" applyAlignment="1">
      <alignment horizontal="center" vertical="center"/>
    </xf>
    <xf numFmtId="0" fontId="46" fillId="14" borderId="26" xfId="7" applyFont="1" applyFill="1" applyBorder="1" applyAlignment="1">
      <alignment horizontal="center"/>
    </xf>
    <xf numFmtId="0" fontId="46" fillId="14" borderId="1" xfId="7" applyFont="1" applyFill="1" applyBorder="1" applyAlignment="1">
      <alignment horizontal="center"/>
    </xf>
    <xf numFmtId="3" fontId="46" fillId="14" borderId="1" xfId="7" applyNumberFormat="1" applyFont="1" applyFill="1" applyBorder="1" applyAlignment="1">
      <alignment horizontal="center"/>
    </xf>
    <xf numFmtId="3" fontId="46" fillId="14" borderId="7" xfId="7" applyNumberFormat="1" applyFont="1" applyFill="1" applyBorder="1" applyAlignment="1">
      <alignment horizontal="center"/>
    </xf>
    <xf numFmtId="3" fontId="46" fillId="14" borderId="26" xfId="7" applyNumberFormat="1" applyFont="1" applyFill="1" applyBorder="1" applyAlignment="1">
      <alignment horizontal="center"/>
    </xf>
    <xf numFmtId="0" fontId="46" fillId="14" borderId="1" xfId="7" applyFont="1" applyFill="1" applyBorder="1" applyAlignment="1">
      <alignment horizontal="center" wrapText="1" shrinkToFit="1"/>
    </xf>
    <xf numFmtId="0" fontId="46" fillId="14" borderId="27" xfId="7" applyFont="1" applyFill="1" applyBorder="1" applyAlignment="1">
      <alignment horizontal="center" wrapText="1" shrinkToFit="1"/>
    </xf>
    <xf numFmtId="0" fontId="30" fillId="14" borderId="0" xfId="7" applyFill="1"/>
    <xf numFmtId="0" fontId="46" fillId="14" borderId="28" xfId="7" applyFont="1" applyFill="1" applyBorder="1" applyAlignment="1">
      <alignment horizontal="left"/>
    </xf>
    <xf numFmtId="0" fontId="46" fillId="14" borderId="66" xfId="7" applyFont="1" applyFill="1" applyBorder="1" applyAlignment="1">
      <alignment horizontal="center" vertical="center"/>
    </xf>
    <xf numFmtId="0" fontId="46" fillId="14" borderId="29" xfId="7" applyFont="1" applyFill="1" applyBorder="1" applyAlignment="1">
      <alignment horizontal="center"/>
    </xf>
    <xf numFmtId="0" fontId="46" fillId="14" borderId="30" xfId="7" applyFont="1" applyFill="1" applyBorder="1" applyAlignment="1">
      <alignment horizontal="center"/>
    </xf>
    <xf numFmtId="3" fontId="29" fillId="14" borderId="30" xfId="6" applyNumberFormat="1" applyFont="1" applyFill="1" applyBorder="1" applyAlignment="1">
      <alignment horizontal="center" wrapText="1"/>
    </xf>
    <xf numFmtId="3" fontId="46" fillId="14" borderId="30" xfId="7" applyNumberFormat="1" applyFont="1" applyFill="1" applyBorder="1" applyAlignment="1">
      <alignment horizontal="center"/>
    </xf>
    <xf numFmtId="3" fontId="46" fillId="14" borderId="67" xfId="7" applyNumberFormat="1" applyFont="1" applyFill="1" applyBorder="1" applyAlignment="1">
      <alignment horizontal="center"/>
    </xf>
    <xf numFmtId="3" fontId="46" fillId="14" borderId="29" xfId="7" applyNumberFormat="1" applyFont="1" applyFill="1" applyBorder="1" applyAlignment="1">
      <alignment horizontal="center"/>
    </xf>
    <xf numFmtId="0" fontId="46" fillId="14" borderId="30" xfId="7" applyFont="1" applyFill="1" applyBorder="1" applyAlignment="1">
      <alignment horizontal="center" wrapText="1" shrinkToFit="1"/>
    </xf>
    <xf numFmtId="0" fontId="46" fillId="14" borderId="31" xfId="7" applyFont="1" applyFill="1" applyBorder="1" applyAlignment="1">
      <alignment horizontal="center" wrapText="1" shrinkToFit="1"/>
    </xf>
    <xf numFmtId="0" fontId="46" fillId="0" borderId="0" xfId="7" applyFont="1" applyAlignment="1">
      <alignment horizontal="left"/>
    </xf>
    <xf numFmtId="0" fontId="46" fillId="0" borderId="0" xfId="7" applyFont="1" applyAlignment="1">
      <alignment horizontal="center" vertical="center"/>
    </xf>
    <xf numFmtId="0" fontId="40" fillId="0" borderId="15" xfId="6" applyFont="1" applyBorder="1" applyAlignment="1">
      <alignment horizontal="left" vertical="center" wrapText="1"/>
    </xf>
    <xf numFmtId="0" fontId="29" fillId="0" borderId="19" xfId="6" applyFont="1" applyBorder="1" applyAlignment="1">
      <alignment horizontal="center" vertical="center" wrapText="1"/>
    </xf>
    <xf numFmtId="0" fontId="29" fillId="0" borderId="17" xfId="6" applyFont="1" applyBorder="1" applyAlignment="1">
      <alignment horizontal="center" wrapText="1"/>
    </xf>
    <xf numFmtId="3" fontId="29" fillId="0" borderId="17" xfId="6" applyNumberFormat="1" applyFont="1" applyBorder="1" applyAlignment="1">
      <alignment horizontal="center" wrapText="1"/>
    </xf>
    <xf numFmtId="3" fontId="29" fillId="0" borderId="18" xfId="6" applyNumberFormat="1" applyFont="1" applyBorder="1" applyAlignment="1">
      <alignment horizontal="center" wrapText="1"/>
    </xf>
    <xf numFmtId="0" fontId="40" fillId="0" borderId="19" xfId="6" applyFont="1" applyBorder="1" applyAlignment="1">
      <alignment horizontal="center" vertical="center" wrapText="1"/>
    </xf>
    <xf numFmtId="1" fontId="40" fillId="0" borderId="17" xfId="15" applyNumberFormat="1" applyFont="1" applyBorder="1" applyAlignment="1">
      <alignment horizontal="center" wrapText="1"/>
    </xf>
    <xf numFmtId="190" fontId="40" fillId="0" borderId="17" xfId="6" applyNumberFormat="1" applyFont="1" applyBorder="1" applyAlignment="1">
      <alignment horizontal="center" wrapText="1"/>
    </xf>
    <xf numFmtId="190" fontId="45" fillId="0" borderId="17" xfId="6" applyNumberFormat="1" applyFont="1" applyBorder="1" applyAlignment="1">
      <alignment horizontal="center" wrapText="1"/>
    </xf>
    <xf numFmtId="190" fontId="45" fillId="0" borderId="18" xfId="6" applyNumberFormat="1" applyFont="1" applyBorder="1" applyAlignment="1">
      <alignment horizontal="center" wrapText="1"/>
    </xf>
    <xf numFmtId="0" fontId="29" fillId="0" borderId="20" xfId="6" applyFont="1" applyBorder="1" applyAlignment="1">
      <alignment horizontal="left" vertical="center" wrapText="1"/>
    </xf>
    <xf numFmtId="0" fontId="29" fillId="0" borderId="24" xfId="6" applyFont="1" applyBorder="1" applyAlignment="1">
      <alignment horizontal="center" vertical="center" wrapText="1"/>
    </xf>
    <xf numFmtId="1" fontId="29" fillId="0" borderId="22" xfId="15" applyNumberFormat="1" applyBorder="1" applyAlignment="1">
      <alignment horizontal="center" wrapText="1"/>
    </xf>
    <xf numFmtId="190" fontId="46" fillId="0" borderId="22" xfId="6" applyNumberFormat="1" applyFont="1" applyBorder="1" applyAlignment="1">
      <alignment horizontal="center" wrapText="1"/>
    </xf>
    <xf numFmtId="190" fontId="46" fillId="0" borderId="23" xfId="6" applyNumberFormat="1" applyFont="1" applyBorder="1" applyAlignment="1">
      <alignment horizontal="center" wrapText="1"/>
    </xf>
    <xf numFmtId="0" fontId="29" fillId="0" borderId="28" xfId="6" applyFont="1" applyBorder="1" applyAlignment="1">
      <alignment horizontal="left" vertical="center" wrapText="1"/>
    </xf>
    <xf numFmtId="0" fontId="29" fillId="0" borderId="32" xfId="6" applyFont="1" applyBorder="1" applyAlignment="1">
      <alignment horizontal="center" vertical="center" wrapText="1"/>
    </xf>
    <xf numFmtId="1" fontId="29" fillId="0" borderId="30" xfId="15" applyNumberFormat="1" applyBorder="1" applyAlignment="1">
      <alignment horizontal="center" wrapText="1"/>
    </xf>
    <xf numFmtId="190" fontId="46" fillId="0" borderId="30" xfId="6" applyNumberFormat="1" applyFont="1" applyBorder="1" applyAlignment="1">
      <alignment horizontal="center" wrapText="1"/>
    </xf>
    <xf numFmtId="190" fontId="46" fillId="0" borderId="31" xfId="6" applyNumberFormat="1" applyFont="1" applyBorder="1" applyAlignment="1">
      <alignment horizontal="center" wrapText="1"/>
    </xf>
    <xf numFmtId="0" fontId="45" fillId="0" borderId="0" xfId="7" applyFont="1" applyAlignment="1">
      <alignment horizontal="center" vertical="center"/>
    </xf>
    <xf numFmtId="1" fontId="29" fillId="0" borderId="0" xfId="15" applyNumberFormat="1" applyAlignment="1">
      <alignment horizontal="center" wrapText="1"/>
    </xf>
    <xf numFmtId="181" fontId="29" fillId="0" borderId="0" xfId="6" applyNumberFormat="1" applyFont="1" applyAlignment="1">
      <alignment horizontal="center" wrapText="1"/>
    </xf>
    <xf numFmtId="0" fontId="45" fillId="0" borderId="17" xfId="7" applyFont="1" applyBorder="1" applyAlignment="1">
      <alignment horizontal="center"/>
    </xf>
    <xf numFmtId="1" fontId="29" fillId="0" borderId="17" xfId="15" applyNumberFormat="1" applyBorder="1" applyAlignment="1">
      <alignment horizontal="center" wrapText="1"/>
    </xf>
    <xf numFmtId="181" fontId="40" fillId="0" borderId="17" xfId="6" applyNumberFormat="1" applyFont="1" applyBorder="1" applyAlignment="1">
      <alignment horizontal="center" wrapText="1"/>
    </xf>
    <xf numFmtId="0" fontId="46" fillId="0" borderId="17" xfId="7" applyFont="1" applyBorder="1" applyAlignment="1">
      <alignment horizontal="center" wrapText="1" shrinkToFit="1"/>
    </xf>
    <xf numFmtId="0" fontId="46" fillId="0" borderId="18" xfId="7" applyFont="1" applyBorder="1" applyAlignment="1">
      <alignment horizontal="center" wrapText="1" shrinkToFit="1"/>
    </xf>
    <xf numFmtId="0" fontId="40" fillId="0" borderId="68" xfId="6" applyFont="1" applyBorder="1" applyAlignment="1">
      <alignment horizontal="left" vertical="center" wrapText="1"/>
    </xf>
    <xf numFmtId="0" fontId="40" fillId="0" borderId="69" xfId="6" applyFont="1" applyBorder="1" applyAlignment="1">
      <alignment horizontal="center" vertical="center" wrapText="1"/>
    </xf>
    <xf numFmtId="3" fontId="40" fillId="0" borderId="40" xfId="6" applyNumberFormat="1" applyFont="1" applyBorder="1" applyAlignment="1">
      <alignment horizontal="center" wrapText="1"/>
    </xf>
    <xf numFmtId="1" fontId="29" fillId="0" borderId="40" xfId="15" applyNumberFormat="1" applyBorder="1" applyAlignment="1">
      <alignment horizontal="center" wrapText="1"/>
    </xf>
    <xf numFmtId="181" fontId="45" fillId="0" borderId="40" xfId="6" applyNumberFormat="1" applyFont="1" applyBorder="1" applyAlignment="1">
      <alignment horizontal="center" wrapText="1"/>
    </xf>
    <xf numFmtId="0" fontId="46" fillId="14" borderId="36" xfId="7" applyFont="1" applyFill="1" applyBorder="1" applyAlignment="1">
      <alignment horizontal="left"/>
    </xf>
    <xf numFmtId="0" fontId="40" fillId="14" borderId="37" xfId="6" applyFont="1" applyFill="1" applyBorder="1" applyAlignment="1">
      <alignment horizontal="center" wrapText="1"/>
    </xf>
    <xf numFmtId="0" fontId="29" fillId="14" borderId="37" xfId="6" applyFont="1" applyFill="1" applyBorder="1" applyAlignment="1">
      <alignment horizontal="center" wrapText="1"/>
    </xf>
    <xf numFmtId="3" fontId="46" fillId="14" borderId="37" xfId="7" applyNumberFormat="1" applyFont="1" applyFill="1" applyBorder="1" applyAlignment="1">
      <alignment horizontal="center"/>
    </xf>
    <xf numFmtId="0" fontId="29" fillId="14" borderId="37" xfId="7" applyFont="1" applyFill="1" applyBorder="1" applyAlignment="1">
      <alignment horizontal="center"/>
    </xf>
    <xf numFmtId="184" fontId="29" fillId="14" borderId="37" xfId="6" applyNumberFormat="1" applyFont="1" applyFill="1" applyBorder="1" applyAlignment="1">
      <alignment horizontal="center" wrapText="1"/>
    </xf>
    <xf numFmtId="184" fontId="29" fillId="14" borderId="38" xfId="6" applyNumberFormat="1" applyFont="1" applyFill="1" applyBorder="1" applyAlignment="1">
      <alignment horizontal="center" wrapText="1"/>
    </xf>
    <xf numFmtId="0" fontId="46" fillId="14" borderId="26" xfId="7" applyFont="1" applyFill="1" applyBorder="1" applyAlignment="1">
      <alignment horizontal="left"/>
    </xf>
    <xf numFmtId="0" fontId="40" fillId="14" borderId="1" xfId="6" applyFont="1" applyFill="1" applyBorder="1" applyAlignment="1">
      <alignment horizontal="center" wrapText="1"/>
    </xf>
    <xf numFmtId="3" fontId="46" fillId="14" borderId="1" xfId="6" applyNumberFormat="1" applyFont="1" applyFill="1" applyBorder="1" applyAlignment="1">
      <alignment horizontal="center" wrapText="1"/>
    </xf>
    <xf numFmtId="0" fontId="29" fillId="14" borderId="1" xfId="7" applyFont="1" applyFill="1" applyBorder="1" applyAlignment="1">
      <alignment horizontal="center"/>
    </xf>
    <xf numFmtId="184" fontId="29" fillId="14" borderId="1" xfId="6" applyNumberFormat="1" applyFont="1" applyFill="1" applyBorder="1" applyAlignment="1">
      <alignment horizontal="center" wrapText="1"/>
    </xf>
    <xf numFmtId="184" fontId="29" fillId="14" borderId="27" xfId="6" applyNumberFormat="1" applyFont="1" applyFill="1" applyBorder="1" applyAlignment="1">
      <alignment horizontal="center" wrapText="1"/>
    </xf>
    <xf numFmtId="0" fontId="29" fillId="14" borderId="1" xfId="6" applyFont="1" applyFill="1" applyBorder="1" applyAlignment="1">
      <alignment horizontal="center" wrapText="1"/>
    </xf>
    <xf numFmtId="3" fontId="46" fillId="14" borderId="26" xfId="6" applyNumberFormat="1" applyFont="1" applyFill="1" applyBorder="1" applyAlignment="1">
      <alignment horizontal="left" vertical="center" wrapText="1"/>
    </xf>
    <xf numFmtId="3" fontId="46" fillId="14" borderId="1" xfId="6" applyNumberFormat="1" applyFont="1" applyFill="1" applyBorder="1" applyAlignment="1">
      <alignment horizontal="center" vertical="center" wrapText="1"/>
    </xf>
    <xf numFmtId="1" fontId="29" fillId="14" borderId="1" xfId="15" applyNumberFormat="1" applyFill="1" applyBorder="1" applyAlignment="1">
      <alignment horizontal="center" wrapText="1"/>
    </xf>
    <xf numFmtId="1" fontId="46" fillId="14" borderId="1" xfId="15" applyNumberFormat="1" applyFont="1" applyFill="1" applyBorder="1" applyAlignment="1">
      <alignment horizontal="center" wrapText="1"/>
    </xf>
    <xf numFmtId="0" fontId="46" fillId="14" borderId="29" xfId="7" applyFont="1" applyFill="1" applyBorder="1" applyAlignment="1">
      <alignment horizontal="left"/>
    </xf>
    <xf numFmtId="3" fontId="46" fillId="14" borderId="30" xfId="6" applyNumberFormat="1" applyFont="1" applyFill="1" applyBorder="1" applyAlignment="1">
      <alignment horizontal="center" vertical="center" wrapText="1"/>
    </xf>
    <xf numFmtId="3" fontId="46" fillId="14" borderId="30" xfId="6" applyNumberFormat="1" applyFont="1" applyFill="1" applyBorder="1" applyAlignment="1">
      <alignment horizontal="center" wrapText="1"/>
    </xf>
    <xf numFmtId="1" fontId="46" fillId="14" borderId="30" xfId="15" applyNumberFormat="1" applyFont="1" applyFill="1" applyBorder="1" applyAlignment="1">
      <alignment horizontal="center" wrapText="1"/>
    </xf>
    <xf numFmtId="1" fontId="29" fillId="14" borderId="30" xfId="15" applyNumberFormat="1" applyFill="1" applyBorder="1" applyAlignment="1">
      <alignment horizontal="center" wrapText="1"/>
    </xf>
    <xf numFmtId="184" fontId="46" fillId="14" borderId="30" xfId="6" applyNumberFormat="1" applyFont="1" applyFill="1" applyBorder="1" applyAlignment="1">
      <alignment horizontal="center" wrapText="1"/>
    </xf>
    <xf numFmtId="184" fontId="46" fillId="14" borderId="31" xfId="6" applyNumberFormat="1" applyFont="1" applyFill="1" applyBorder="1" applyAlignment="1">
      <alignment horizontal="center" wrapText="1"/>
    </xf>
    <xf numFmtId="0" fontId="43" fillId="0" borderId="0" xfId="6" applyFont="1" applyAlignment="1">
      <alignment horizontal="left" vertical="center" wrapText="1"/>
    </xf>
    <xf numFmtId="0" fontId="43" fillId="0" borderId="0" xfId="6" applyFont="1" applyAlignment="1">
      <alignment horizontal="center" vertical="center" wrapText="1"/>
    </xf>
    <xf numFmtId="190" fontId="45" fillId="0" borderId="0" xfId="7" applyNumberFormat="1" applyFont="1" applyAlignment="1">
      <alignment horizontal="center"/>
    </xf>
    <xf numFmtId="0" fontId="45" fillId="0" borderId="17" xfId="7" applyFont="1" applyBorder="1" applyAlignment="1">
      <alignment horizontal="center" vertical="center"/>
    </xf>
    <xf numFmtId="0" fontId="45" fillId="0" borderId="17" xfId="7" applyFont="1" applyBorder="1" applyAlignment="1">
      <alignment horizontal="center" vertical="center" wrapText="1"/>
    </xf>
    <xf numFmtId="1" fontId="29" fillId="0" borderId="18" xfId="15" applyNumberFormat="1" applyBorder="1" applyAlignment="1">
      <alignment horizontal="center" vertical="center" wrapText="1"/>
    </xf>
    <xf numFmtId="181" fontId="40" fillId="0" borderId="19" xfId="6" applyNumberFormat="1" applyFont="1" applyBorder="1" applyAlignment="1">
      <alignment horizontal="center" vertical="center" wrapText="1"/>
    </xf>
    <xf numFmtId="181" fontId="40" fillId="0" borderId="17" xfId="6" applyNumberFormat="1" applyFont="1" applyBorder="1" applyAlignment="1">
      <alignment horizontal="center" vertical="center" wrapText="1"/>
    </xf>
    <xf numFmtId="0" fontId="46" fillId="0" borderId="17" xfId="7" applyFont="1" applyBorder="1" applyAlignment="1">
      <alignment horizontal="center" vertical="center" wrapText="1" shrinkToFit="1"/>
    </xf>
    <xf numFmtId="0" fontId="46" fillId="0" borderId="18" xfId="7" applyFont="1" applyBorder="1" applyAlignment="1">
      <alignment horizontal="center" vertical="center" wrapText="1" shrinkToFit="1"/>
    </xf>
    <xf numFmtId="0" fontId="40" fillId="0" borderId="51" xfId="6" applyFont="1" applyBorder="1" applyAlignment="1">
      <alignment horizontal="center" vertical="center" wrapText="1"/>
    </xf>
    <xf numFmtId="3" fontId="40" fillId="0" borderId="14" xfId="6" applyNumberFormat="1" applyFont="1" applyBorder="1" applyAlignment="1">
      <alignment horizontal="center" wrapText="1"/>
    </xf>
    <xf numFmtId="1" fontId="29" fillId="0" borderId="14" xfId="15" applyNumberFormat="1" applyBorder="1" applyAlignment="1">
      <alignment horizontal="center" wrapText="1"/>
    </xf>
    <xf numFmtId="1" fontId="29" fillId="0" borderId="70" xfId="15" applyNumberFormat="1" applyBorder="1" applyAlignment="1">
      <alignment horizontal="center" wrapText="1"/>
    </xf>
    <xf numFmtId="184" fontId="45" fillId="0" borderId="51" xfId="6" applyNumberFormat="1" applyFont="1" applyBorder="1" applyAlignment="1">
      <alignment horizontal="center" wrapText="1"/>
    </xf>
    <xf numFmtId="0" fontId="46" fillId="14" borderId="36" xfId="7" applyFont="1" applyFill="1" applyBorder="1" applyAlignment="1">
      <alignment horizontal="left" wrapText="1"/>
    </xf>
    <xf numFmtId="0" fontId="40" fillId="14" borderId="37" xfId="6" applyFont="1" applyFill="1" applyBorder="1" applyAlignment="1">
      <alignment horizontal="center" vertical="center" wrapText="1"/>
    </xf>
    <xf numFmtId="3" fontId="40" fillId="14" borderId="37" xfId="6" applyNumberFormat="1" applyFont="1" applyFill="1" applyBorder="1" applyAlignment="1">
      <alignment horizontal="center" wrapText="1"/>
    </xf>
    <xf numFmtId="191" fontId="29" fillId="14" borderId="37" xfId="15" applyNumberFormat="1" applyFill="1" applyBorder="1" applyAlignment="1">
      <alignment horizontal="center" wrapText="1"/>
    </xf>
    <xf numFmtId="1" fontId="29" fillId="14" borderId="37" xfId="15" applyNumberFormat="1" applyFill="1" applyBorder="1" applyAlignment="1">
      <alignment horizontal="center" wrapText="1"/>
    </xf>
    <xf numFmtId="0" fontId="46" fillId="14" borderId="26" xfId="7" applyFont="1" applyFill="1" applyBorder="1" applyAlignment="1">
      <alignment horizontal="left" wrapText="1"/>
    </xf>
    <xf numFmtId="3" fontId="40" fillId="14" borderId="1" xfId="6" applyNumberFormat="1" applyFont="1" applyFill="1" applyBorder="1" applyAlignment="1">
      <alignment horizontal="center" wrapText="1"/>
    </xf>
    <xf numFmtId="191" fontId="29" fillId="14" borderId="1" xfId="15" applyNumberFormat="1" applyFill="1" applyBorder="1" applyAlignment="1">
      <alignment horizontal="center" wrapText="1"/>
    </xf>
    <xf numFmtId="184" fontId="46" fillId="14" borderId="1" xfId="6" applyNumberFormat="1" applyFont="1" applyFill="1" applyBorder="1" applyAlignment="1">
      <alignment horizontal="center" wrapText="1"/>
    </xf>
    <xf numFmtId="184" fontId="46" fillId="14" borderId="27" xfId="6" applyNumberFormat="1" applyFont="1" applyFill="1" applyBorder="1" applyAlignment="1">
      <alignment horizontal="center" wrapText="1"/>
    </xf>
    <xf numFmtId="0" fontId="29" fillId="14" borderId="26" xfId="6" applyFont="1" applyFill="1" applyBorder="1" applyAlignment="1">
      <alignment horizontal="left" vertical="center" wrapText="1"/>
    </xf>
    <xf numFmtId="191" fontId="46" fillId="14" borderId="1" xfId="7" applyNumberFormat="1" applyFont="1" applyFill="1" applyBorder="1" applyAlignment="1">
      <alignment horizontal="center"/>
    </xf>
    <xf numFmtId="0" fontId="40" fillId="14" borderId="30" xfId="6" applyFont="1" applyFill="1" applyBorder="1" applyAlignment="1">
      <alignment horizontal="center" vertical="center" wrapText="1"/>
    </xf>
    <xf numFmtId="3" fontId="40" fillId="14" borderId="30" xfId="6" applyNumberFormat="1" applyFont="1" applyFill="1" applyBorder="1" applyAlignment="1">
      <alignment horizontal="center" wrapText="1"/>
    </xf>
    <xf numFmtId="191" fontId="29" fillId="14" borderId="30" xfId="15" applyNumberFormat="1" applyFill="1" applyBorder="1" applyAlignment="1">
      <alignment horizontal="center" wrapText="1"/>
    </xf>
    <xf numFmtId="0" fontId="30" fillId="0" borderId="0" xfId="7" applyAlignment="1">
      <alignment horizontal="center" wrapText="1" shrinkToFit="1"/>
    </xf>
    <xf numFmtId="3" fontId="46" fillId="0" borderId="0" xfId="7" applyNumberFormat="1" applyFont="1" applyAlignment="1">
      <alignment horizontal="center"/>
    </xf>
    <xf numFmtId="0" fontId="40" fillId="0" borderId="40" xfId="6" applyFont="1" applyBorder="1" applyAlignment="1">
      <alignment horizontal="center" vertical="center" wrapText="1"/>
    </xf>
    <xf numFmtId="190" fontId="45" fillId="0" borderId="40" xfId="7" applyNumberFormat="1" applyFont="1" applyBorder="1" applyAlignment="1">
      <alignment horizontal="center" vertical="center"/>
    </xf>
    <xf numFmtId="190" fontId="45" fillId="0" borderId="71" xfId="7" applyNumberFormat="1" applyFont="1" applyBorder="1" applyAlignment="1">
      <alignment horizontal="center" vertical="center"/>
    </xf>
    <xf numFmtId="0" fontId="30" fillId="0" borderId="0" xfId="7" applyAlignment="1">
      <alignment vertical="center"/>
    </xf>
    <xf numFmtId="0" fontId="46" fillId="17" borderId="35" xfId="7" applyFont="1" applyFill="1" applyBorder="1"/>
    <xf numFmtId="0" fontId="46" fillId="17" borderId="72" xfId="7" applyFont="1" applyFill="1" applyBorder="1" applyAlignment="1">
      <alignment horizontal="center" vertical="center"/>
    </xf>
    <xf numFmtId="0" fontId="46" fillId="0" borderId="36" xfId="7" applyFont="1" applyBorder="1" applyAlignment="1">
      <alignment horizontal="center"/>
    </xf>
    <xf numFmtId="0" fontId="46" fillId="0" borderId="37" xfId="7" applyFont="1" applyBorder="1" applyAlignment="1">
      <alignment horizontal="center"/>
    </xf>
    <xf numFmtId="0" fontId="46" fillId="0" borderId="37" xfId="7" applyFont="1" applyBorder="1" applyAlignment="1">
      <alignment horizontal="center" wrapText="1" shrinkToFit="1"/>
    </xf>
    <xf numFmtId="0" fontId="46" fillId="0" borderId="38" xfId="7" applyFont="1" applyBorder="1" applyAlignment="1">
      <alignment horizontal="center" wrapText="1" shrinkToFit="1"/>
    </xf>
    <xf numFmtId="0" fontId="46" fillId="14" borderId="9" xfId="7" applyFont="1" applyFill="1" applyBorder="1" applyAlignment="1">
      <alignment horizontal="center" vertical="center"/>
    </xf>
    <xf numFmtId="190" fontId="46" fillId="14" borderId="26" xfId="6" applyNumberFormat="1" applyFont="1" applyFill="1" applyBorder="1" applyAlignment="1">
      <alignment horizontal="center" wrapText="1"/>
    </xf>
    <xf numFmtId="190" fontId="46" fillId="14" borderId="1" xfId="7" applyNumberFormat="1" applyFont="1" applyFill="1" applyBorder="1" applyAlignment="1">
      <alignment horizontal="center"/>
    </xf>
    <xf numFmtId="190" fontId="46" fillId="14" borderId="27" xfId="7" applyNumberFormat="1" applyFont="1" applyFill="1" applyBorder="1" applyAlignment="1">
      <alignment horizontal="center"/>
    </xf>
    <xf numFmtId="190" fontId="46" fillId="14" borderId="1" xfId="6" applyNumberFormat="1" applyFont="1" applyFill="1" applyBorder="1" applyAlignment="1">
      <alignment horizontal="center" wrapText="1"/>
    </xf>
    <xf numFmtId="190" fontId="46" fillId="14" borderId="27" xfId="6" applyNumberFormat="1" applyFont="1" applyFill="1" applyBorder="1" applyAlignment="1">
      <alignment horizontal="center" wrapText="1"/>
    </xf>
    <xf numFmtId="0" fontId="46" fillId="14" borderId="55" xfId="7" applyFont="1" applyFill="1" applyBorder="1" applyAlignment="1">
      <alignment horizontal="left"/>
    </xf>
    <xf numFmtId="0" fontId="46" fillId="14" borderId="50" xfId="7" applyFont="1" applyFill="1" applyBorder="1" applyAlignment="1">
      <alignment horizontal="center" vertical="center"/>
    </xf>
    <xf numFmtId="190" fontId="46" fillId="14" borderId="26" xfId="7" applyNumberFormat="1" applyFont="1" applyFill="1" applyBorder="1" applyAlignment="1">
      <alignment horizontal="center"/>
    </xf>
    <xf numFmtId="0" fontId="46" fillId="14" borderId="73" xfId="7" applyFont="1" applyFill="1" applyBorder="1" applyAlignment="1">
      <alignment horizontal="center" vertical="center"/>
    </xf>
    <xf numFmtId="190" fontId="46" fillId="14" borderId="29" xfId="6" applyNumberFormat="1" applyFont="1" applyFill="1" applyBorder="1" applyAlignment="1">
      <alignment horizontal="center" wrapText="1"/>
    </xf>
    <xf numFmtId="190" fontId="46" fillId="14" borderId="30" xfId="7" applyNumberFormat="1" applyFont="1" applyFill="1" applyBorder="1" applyAlignment="1">
      <alignment horizontal="center"/>
    </xf>
    <xf numFmtId="190" fontId="46" fillId="14" borderId="30" xfId="6" applyNumberFormat="1" applyFont="1" applyFill="1" applyBorder="1" applyAlignment="1">
      <alignment horizontal="center" wrapText="1"/>
    </xf>
    <xf numFmtId="2" fontId="29" fillId="0" borderId="1" xfId="6" applyNumberFormat="1" applyFont="1" applyFill="1" applyBorder="1" applyAlignment="1">
      <alignment horizontal="center" vertical="center" wrapText="1"/>
    </xf>
    <xf numFmtId="190" fontId="29" fillId="0" borderId="1" xfId="6" applyNumberFormat="1" applyFont="1" applyFill="1" applyBorder="1" applyAlignment="1">
      <alignment horizontal="center" vertical="center" wrapText="1"/>
    </xf>
    <xf numFmtId="191" fontId="29" fillId="0" borderId="1" xfId="6" applyNumberFormat="1" applyFont="1" applyFill="1" applyBorder="1" applyAlignment="1">
      <alignment horizontal="center" vertical="center" wrapText="1"/>
    </xf>
    <xf numFmtId="3" fontId="29" fillId="0" borderId="1" xfId="6" applyNumberFormat="1" applyFont="1" applyFill="1" applyBorder="1" applyAlignment="1">
      <alignment horizontal="center" vertical="center" wrapText="1"/>
    </xf>
    <xf numFmtId="190" fontId="46" fillId="4" borderId="25" xfId="6" applyNumberFormat="1" applyFont="1" applyFill="1" applyBorder="1" applyAlignment="1">
      <alignment horizontal="center" vertical="center" wrapText="1"/>
    </xf>
    <xf numFmtId="43" fontId="29" fillId="3" borderId="0" xfId="1" applyFont="1" applyFill="1" applyAlignment="1">
      <alignment vertical="center"/>
    </xf>
    <xf numFmtId="164" fontId="29" fillId="4" borderId="0" xfId="1" applyNumberFormat="1" applyFont="1" applyFill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30" fillId="0" borderId="33" xfId="7" applyBorder="1" applyAlignment="1">
      <alignment horizontal="center"/>
    </xf>
    <xf numFmtId="0" fontId="30" fillId="0" borderId="34" xfId="7" applyBorder="1" applyAlignment="1">
      <alignment horizontal="center"/>
    </xf>
    <xf numFmtId="43" fontId="48" fillId="0" borderId="36" xfId="17" applyFont="1" applyFill="1" applyBorder="1" applyAlignment="1" applyProtection="1">
      <alignment horizontal="center" vertical="center"/>
    </xf>
    <xf numFmtId="43" fontId="48" fillId="0" borderId="37" xfId="17" applyFont="1" applyFill="1" applyBorder="1" applyAlignment="1" applyProtection="1">
      <alignment horizontal="center" vertical="center"/>
    </xf>
    <xf numFmtId="43" fontId="10" fillId="0" borderId="38" xfId="17" applyFont="1" applyFill="1" applyBorder="1" applyAlignment="1" applyProtection="1">
      <alignment horizontal="center" vertical="center"/>
    </xf>
    <xf numFmtId="0" fontId="29" fillId="0" borderId="0" xfId="6" applyFont="1" applyAlignment="1">
      <alignment horizontal="left" vertical="center" wrapText="1"/>
    </xf>
    <xf numFmtId="0" fontId="30" fillId="0" borderId="58" xfId="7" applyBorder="1" applyAlignment="1">
      <alignment horizontal="center"/>
    </xf>
    <xf numFmtId="0" fontId="30" fillId="0" borderId="61" xfId="7" applyBorder="1" applyAlignment="1">
      <alignment horizontal="center"/>
    </xf>
    <xf numFmtId="0" fontId="30" fillId="0" borderId="62" xfId="7" applyBorder="1" applyAlignment="1">
      <alignment horizontal="center"/>
    </xf>
  </cellXfs>
  <cellStyles count="18">
    <cellStyle name="Normal 2" xfId="12" xr:uid="{5404D78F-A6D1-415C-BF92-B88C26E8B472}"/>
    <cellStyle name="Normal 3" xfId="11" xr:uid="{AAC49C9A-3F27-4D25-8BCF-B10B21625538}"/>
    <cellStyle name="SAPDataCell" xfId="5" xr:uid="{AD332B4D-A960-4C39-B3BB-039A29FB79B0}"/>
    <cellStyle name="SAPHierarchyCell0" xfId="13" xr:uid="{3A810C28-3956-429B-B020-87DB72604919}"/>
    <cellStyle name="SAPMemberCell" xfId="4" xr:uid="{FAFAF862-085A-4227-9C8E-C131F958A3BB}"/>
    <cellStyle name="Гиперссылка" xfId="3" builtinId="8"/>
    <cellStyle name="Обычный" xfId="0" builtinId="0"/>
    <cellStyle name="Обычный 13 4" xfId="6" xr:uid="{C8536EDA-CC59-4A38-9246-6FF0BCF39189}"/>
    <cellStyle name="Обычный 2" xfId="7" xr:uid="{1B549DBA-58DB-483B-B7CE-F45B0A44DDCF}"/>
    <cellStyle name="Обычный 2 2" xfId="10" xr:uid="{2D18BF32-E577-4747-90B8-87AFC77A9EA2}"/>
    <cellStyle name="Обычный_Карточка. Балансировка АС-2009, 06.06.08-факт.КТГ 2 2" xfId="16" xr:uid="{631B1324-A92A-4CC2-8180-B79DF978D695}"/>
    <cellStyle name="Обычный_Приложение 6.  Карточка  и План управления проектом, 21 мар.07" xfId="14" xr:uid="{56BA91EF-688A-46D0-BFBE-09A1F07F164E}"/>
    <cellStyle name="Обычный_Расчет 1 вариант (в БП с внеш фин)" xfId="15" xr:uid="{8D0A9B66-D6BC-4BD0-8703-90C5E7869DE8}"/>
    <cellStyle name="Процентный" xfId="2" builtinId="5"/>
    <cellStyle name="Финансовый" xfId="1" builtinId="3"/>
    <cellStyle name="Финансовый 2" xfId="17" xr:uid="{D774476A-D580-42AB-87A5-53B4FF8CDBDB}"/>
    <cellStyle name="Финансовый 2 2" xfId="8" xr:uid="{3C81CB45-5780-4B84-BF9E-103FA16EC1E5}"/>
    <cellStyle name="Хороший 2" xfId="9" xr:uid="{E63EE355-EDB0-4EBB-A68E-A7C3C9192911}"/>
  </cellStyles>
  <dxfs count="8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112</xdr:row>
      <xdr:rowOff>0</xdr:rowOff>
    </xdr:from>
    <xdr:to>
      <xdr:col>14</xdr:col>
      <xdr:colOff>172528</xdr:colOff>
      <xdr:row>125</xdr:row>
      <xdr:rowOff>41399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94B0DDE-A5A0-45DE-A033-792795FB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4483" y="20625758"/>
          <a:ext cx="4761781" cy="239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151</xdr:row>
      <xdr:rowOff>0</xdr:rowOff>
    </xdr:from>
    <xdr:to>
      <xdr:col>27</xdr:col>
      <xdr:colOff>563688</xdr:colOff>
      <xdr:row>162</xdr:row>
      <xdr:rowOff>86263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FAB16A-17F1-4625-AC61-35C50AE5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5577" y="26232928"/>
          <a:ext cx="1650617" cy="1984075"/>
        </a:xfrm>
        <a:prstGeom prst="rect">
          <a:avLst/>
        </a:prstGeom>
      </xdr:spPr>
    </xdr:pic>
    <xdr:clientData/>
  </xdr:twoCellAnchor>
  <xdr:twoCellAnchor editAs="oneCell">
    <xdr:from>
      <xdr:col>28</xdr:col>
      <xdr:colOff>155274</xdr:colOff>
      <xdr:row>151</xdr:row>
      <xdr:rowOff>0</xdr:rowOff>
    </xdr:from>
    <xdr:to>
      <xdr:col>32</xdr:col>
      <xdr:colOff>457199</xdr:colOff>
      <xdr:row>153</xdr:row>
      <xdr:rowOff>11480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43FAB9F-CFCD-4A0E-9225-732A33911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98882" y="26232928"/>
          <a:ext cx="3303917" cy="356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603849</xdr:colOff>
      <xdr:row>27</xdr:row>
      <xdr:rowOff>149508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B83496F-82E7-4840-ABE3-4A65450E9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1985" y="543464"/>
          <a:ext cx="11809562" cy="44972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6</xdr:col>
      <xdr:colOff>0</xdr:colOff>
      <xdr:row>64</xdr:row>
      <xdr:rowOff>54313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7F2DFE-E9C5-4036-85F1-B1F887D4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249" y="5796951"/>
          <a:ext cx="6236898" cy="585126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26</xdr:col>
      <xdr:colOff>215660</xdr:colOff>
      <xdr:row>63</xdr:row>
      <xdr:rowOff>101321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EC0AC58-CAB2-462C-93F4-AF6CA46AB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97351" y="5796951"/>
          <a:ext cx="11395494" cy="57171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1</xdr:rowOff>
    </xdr:from>
    <xdr:to>
      <xdr:col>5</xdr:col>
      <xdr:colOff>276046</xdr:colOff>
      <xdr:row>85</xdr:row>
      <xdr:rowOff>121605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8865120-953D-480B-AA5A-5AAC90A76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8249" y="12318522"/>
          <a:ext cx="5891842" cy="3201234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69</xdr:row>
      <xdr:rowOff>0</xdr:rowOff>
    </xdr:from>
    <xdr:to>
      <xdr:col>17</xdr:col>
      <xdr:colOff>483080</xdr:colOff>
      <xdr:row>93</xdr:row>
      <xdr:rowOff>539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F784809-1EE6-433F-A1FE-4A36113E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76250" y="12499675"/>
          <a:ext cx="6694098" cy="4348253"/>
        </a:xfrm>
        <a:prstGeom prst="rect">
          <a:avLst/>
        </a:prstGeom>
      </xdr:spPr>
    </xdr:pic>
    <xdr:clientData/>
  </xdr:twoCellAnchor>
  <xdr:twoCellAnchor editAs="oneCell">
    <xdr:from>
      <xdr:col>20</xdr:col>
      <xdr:colOff>1</xdr:colOff>
      <xdr:row>69</xdr:row>
      <xdr:rowOff>0</xdr:rowOff>
    </xdr:from>
    <xdr:to>
      <xdr:col>30</xdr:col>
      <xdr:colOff>368703</xdr:colOff>
      <xdr:row>102</xdr:row>
      <xdr:rowOff>94891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A57084D8-E088-471E-B0D1-3A96D862C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50575" y="12499675"/>
          <a:ext cx="6579720" cy="60729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179029</xdr:colOff>
      <xdr:row>32</xdr:row>
      <xdr:rowOff>60384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650DD87-B31B-42BE-A811-5CB17B1C3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875" y="543464"/>
          <a:ext cx="5768946" cy="53138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15</xdr:col>
      <xdr:colOff>237133</xdr:colOff>
      <xdr:row>77</xdr:row>
      <xdr:rowOff>146649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9892D6E-9491-4B80-83B7-0083A3D2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6875" y="6340415"/>
          <a:ext cx="8311458" cy="77551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14</xdr:col>
      <xdr:colOff>46746</xdr:colOff>
      <xdr:row>105</xdr:row>
      <xdr:rowOff>146650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69B76480-8F62-43F3-90D7-1DE0BBEC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6875" y="14673532"/>
          <a:ext cx="7499969" cy="44943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10</xdr:col>
      <xdr:colOff>508959</xdr:colOff>
      <xdr:row>28</xdr:row>
      <xdr:rowOff>113294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8A9FAB9-671A-4E0B-9947-5089D434D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9238"/>
          <a:ext cx="7375585" cy="3736388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8</xdr:row>
      <xdr:rowOff>1</xdr:rowOff>
    </xdr:from>
    <xdr:to>
      <xdr:col>24</xdr:col>
      <xdr:colOff>94890</xdr:colOff>
      <xdr:row>29</xdr:row>
      <xdr:rowOff>25391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037994-7725-445A-B67B-9750F610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8831" y="1449239"/>
          <a:ext cx="7548112" cy="38296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26</xdr:row>
      <xdr:rowOff>0</xdr:rowOff>
    </xdr:from>
    <xdr:to>
      <xdr:col>38</xdr:col>
      <xdr:colOff>317404</xdr:colOff>
      <xdr:row>30</xdr:row>
      <xdr:rowOff>69010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3AC7533-DF97-4E13-B62C-1A7C471B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6091" y="4830792"/>
          <a:ext cx="7727494" cy="75912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11</xdr:col>
      <xdr:colOff>534838</xdr:colOff>
      <xdr:row>12</xdr:row>
      <xdr:rowOff>6957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F854EB2-1E86-4F52-BDFC-91473016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6513" y="862642"/>
          <a:ext cx="5020574" cy="1214655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24</xdr:row>
      <xdr:rowOff>0</xdr:rowOff>
    </xdr:from>
    <xdr:to>
      <xdr:col>30</xdr:col>
      <xdr:colOff>337049</xdr:colOff>
      <xdr:row>39</xdr:row>
      <xdr:rowOff>25879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8EAE574-3A5D-4455-9446-8A63C427A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38635" y="4149306"/>
          <a:ext cx="4598497" cy="261380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25</xdr:col>
      <xdr:colOff>552091</xdr:colOff>
      <xdr:row>46</xdr:row>
      <xdr:rowOff>121589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1C4ED00-E844-4EEA-81FB-1A78ED45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6045" y="5011947"/>
          <a:ext cx="3692106" cy="30545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</xdr:rowOff>
    </xdr:from>
    <xdr:to>
      <xdr:col>3</xdr:col>
      <xdr:colOff>517586</xdr:colOff>
      <xdr:row>29</xdr:row>
      <xdr:rowOff>138369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6FEF096-CE0A-469A-B5D7-EAFDCC07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3804250"/>
          <a:ext cx="6478438" cy="1346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1.bin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ts.1c.ru/db/taxtrans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F1CD-3959-4605-AD32-2CD552849984}">
  <dimension ref="A2:C14"/>
  <sheetViews>
    <sheetView showGridLines="0" workbookViewId="0">
      <selection activeCell="C47" sqref="C47"/>
    </sheetView>
  </sheetViews>
  <sheetFormatPr defaultRowHeight="14.3" x14ac:dyDescent="0.25"/>
  <cols>
    <col min="1" max="1" width="31.5" bestFit="1" customWidth="1"/>
    <col min="2" max="2" width="64.625" bestFit="1" customWidth="1"/>
    <col min="3" max="3" width="39.875" bestFit="1" customWidth="1"/>
  </cols>
  <sheetData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5" spans="1:3" x14ac:dyDescent="0.25">
      <c r="A5" s="212">
        <v>0.3</v>
      </c>
      <c r="B5" t="s">
        <v>205</v>
      </c>
    </row>
    <row r="6" spans="1:3" x14ac:dyDescent="0.25">
      <c r="A6" s="213">
        <v>3.6999999999999998E-2</v>
      </c>
      <c r="B6" t="s">
        <v>204</v>
      </c>
    </row>
    <row r="7" spans="1:3" x14ac:dyDescent="0.25">
      <c r="B7" t="s">
        <v>206</v>
      </c>
    </row>
    <row r="8" spans="1:3" x14ac:dyDescent="0.25">
      <c r="A8" s="212">
        <v>0.04</v>
      </c>
      <c r="B8" t="s">
        <v>207</v>
      </c>
    </row>
    <row r="9" spans="1:3" x14ac:dyDescent="0.25">
      <c r="A9" s="212">
        <v>0.02</v>
      </c>
      <c r="B9" t="s">
        <v>208</v>
      </c>
    </row>
    <row r="12" spans="1:3" x14ac:dyDescent="0.25">
      <c r="A12" t="s">
        <v>239</v>
      </c>
      <c r="B12" t="s">
        <v>241</v>
      </c>
      <c r="C12" t="s">
        <v>240</v>
      </c>
    </row>
    <row r="14" spans="1:3" x14ac:dyDescent="0.25">
      <c r="A14" t="s">
        <v>254</v>
      </c>
      <c r="B14" t="s">
        <v>256</v>
      </c>
      <c r="C14" t="s">
        <v>255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5FF5-0DA4-4C13-B04F-5DDD392AB31A}">
  <sheetPr>
    <tabColor rgb="FFFF0000"/>
  </sheetPr>
  <dimension ref="A1:AB133"/>
  <sheetViews>
    <sheetView showGridLines="0" topLeftCell="A58" workbookViewId="0">
      <selection activeCell="Z71" sqref="Z71"/>
    </sheetView>
  </sheetViews>
  <sheetFormatPr defaultRowHeight="14.3" outlineLevelCol="1" x14ac:dyDescent="0.25"/>
  <cols>
    <col min="1" max="1" width="8.125" style="621" bestFit="1" customWidth="1" outlineLevel="1"/>
    <col min="2" max="2" width="2.625" style="621" customWidth="1" outlineLevel="1"/>
    <col min="3" max="3" width="38.875" style="621" customWidth="1"/>
    <col min="4" max="26" width="9.5" style="621" customWidth="1"/>
    <col min="27" max="27" width="9" style="621"/>
    <col min="28" max="28" width="35.125" style="621" customWidth="1"/>
    <col min="29" max="16384" width="9" style="621"/>
  </cols>
  <sheetData>
    <row r="1" spans="1:12" x14ac:dyDescent="0.25">
      <c r="A1" s="196"/>
      <c r="B1" s="196">
        <v>1</v>
      </c>
    </row>
    <row r="2" spans="1:12" x14ac:dyDescent="0.25">
      <c r="A2" s="196"/>
      <c r="B2" s="640">
        <v>1</v>
      </c>
      <c r="C2" s="3" t="s">
        <v>639</v>
      </c>
    </row>
    <row r="3" spans="1:12" x14ac:dyDescent="0.25">
      <c r="A3" s="196"/>
      <c r="B3" s="640">
        <v>1</v>
      </c>
    </row>
    <row r="4" spans="1:12" ht="40.75" x14ac:dyDescent="0.25">
      <c r="A4" s="196"/>
      <c r="B4" s="640">
        <v>1</v>
      </c>
      <c r="C4" s="549" t="s">
        <v>532</v>
      </c>
      <c r="D4" s="549" t="s">
        <v>640</v>
      </c>
      <c r="E4" s="549" t="s">
        <v>107</v>
      </c>
      <c r="F4" s="549" t="s">
        <v>641</v>
      </c>
      <c r="G4" s="549" t="s">
        <v>646</v>
      </c>
      <c r="H4" s="549" t="s">
        <v>647</v>
      </c>
      <c r="I4" s="549" t="s">
        <v>642</v>
      </c>
      <c r="J4" s="549" t="s">
        <v>643</v>
      </c>
      <c r="K4" s="549" t="s">
        <v>644</v>
      </c>
      <c r="L4" s="549" t="s">
        <v>645</v>
      </c>
    </row>
    <row r="5" spans="1:12" x14ac:dyDescent="0.25">
      <c r="A5" s="196"/>
      <c r="B5" s="641">
        <f>IF(C5=0,0,1)</f>
        <v>1</v>
      </c>
      <c r="C5" s="594" t="str">
        <f>Производительность_1!C24</f>
        <v>NHL NTE 240</v>
      </c>
      <c r="D5" s="739">
        <f>Производительность_1!E24</f>
        <v>227.8</v>
      </c>
      <c r="E5" s="597">
        <f>Производительность_1!E40</f>
        <v>0.98371378402107112</v>
      </c>
      <c r="F5" s="595">
        <f>Производительность_1!E24</f>
        <v>227.8</v>
      </c>
      <c r="G5" s="597">
        <f>Простои!AA9</f>
        <v>3.5</v>
      </c>
      <c r="H5" s="597">
        <f>Простои!AC9</f>
        <v>0.8</v>
      </c>
      <c r="I5" s="596">
        <f>'ФОТ, МТР, макро'!O5</f>
        <v>90</v>
      </c>
      <c r="J5" s="596">
        <f>'ФОТ, МТР, макро'!Y5</f>
        <v>80</v>
      </c>
      <c r="K5" s="596">
        <f>Производительность_1!Y56</f>
        <v>20</v>
      </c>
      <c r="L5" s="595">
        <f>Производительность_1!E152</f>
        <v>22.46</v>
      </c>
    </row>
    <row r="6" spans="1:12" x14ac:dyDescent="0.25">
      <c r="A6" s="196"/>
      <c r="B6" s="641">
        <f t="shared" ref="B6:B19" si="0">IF(C6=0,0,1)</f>
        <v>1</v>
      </c>
      <c r="C6" s="598" t="str">
        <f>Производительность_1!C25</f>
        <v>Estar ESDE240 (ГПБ К)</v>
      </c>
      <c r="D6" s="740">
        <f>Производительность_1!E25</f>
        <v>211.392</v>
      </c>
      <c r="E6" s="599">
        <f>Производительность_1!E41</f>
        <v>0.98371378402107112</v>
      </c>
      <c r="F6" s="600">
        <f>Производительность_1!E25</f>
        <v>211.392</v>
      </c>
      <c r="G6" s="599">
        <f>Простои!AA10</f>
        <v>3.5</v>
      </c>
      <c r="H6" s="599">
        <f>Простои!AC10</f>
        <v>0.8</v>
      </c>
      <c r="I6" s="601">
        <f>'ФОТ, МТР, макро'!O6</f>
        <v>90</v>
      </c>
      <c r="J6" s="601">
        <f>'ФОТ, МТР, макро'!Y6</f>
        <v>80</v>
      </c>
      <c r="K6" s="601">
        <f>Производительность_1!Y57</f>
        <v>10</v>
      </c>
      <c r="L6" s="600">
        <f>Производительность_1!E153</f>
        <v>22.46</v>
      </c>
    </row>
    <row r="7" spans="1:12" x14ac:dyDescent="0.25">
      <c r="A7" s="196"/>
      <c r="B7" s="641">
        <f t="shared" si="0"/>
        <v>1</v>
      </c>
      <c r="C7" s="598" t="str">
        <f>Производительность_1!C26</f>
        <v>SANY SET240S</v>
      </c>
      <c r="D7" s="740">
        <f>Производительность_1!E26</f>
        <v>216.36200000000002</v>
      </c>
      <c r="E7" s="599">
        <f>Производительность_1!E42</f>
        <v>0.98371378402107112</v>
      </c>
      <c r="F7" s="600">
        <f>Производительность_1!E26</f>
        <v>216.36200000000002</v>
      </c>
      <c r="G7" s="599">
        <f>Простои!AA11</f>
        <v>3.5</v>
      </c>
      <c r="H7" s="599">
        <f>Простои!AC11</f>
        <v>0.8</v>
      </c>
      <c r="I7" s="601">
        <f>'ФОТ, МТР, макро'!O7</f>
        <v>90</v>
      </c>
      <c r="J7" s="601">
        <f>'ФОТ, МТР, макро'!Y7</f>
        <v>80</v>
      </c>
      <c r="K7" s="601">
        <f>Производительность_1!Y58</f>
        <v>12</v>
      </c>
      <c r="L7" s="600">
        <f>Производительность_1!E154</f>
        <v>22.46</v>
      </c>
    </row>
    <row r="8" spans="1:12" x14ac:dyDescent="0.25">
      <c r="A8" s="196"/>
      <c r="B8" s="641">
        <f t="shared" si="0"/>
        <v>1</v>
      </c>
      <c r="C8" s="598" t="str">
        <f>Производительность_1!C27</f>
        <v>TZCO TZE240</v>
      </c>
      <c r="D8" s="740">
        <f>Производительность_1!E27</f>
        <v>222</v>
      </c>
      <c r="E8" s="599">
        <f>Производительность_1!E43</f>
        <v>0.98371378402107112</v>
      </c>
      <c r="F8" s="600">
        <f>Производительность_1!E27</f>
        <v>222</v>
      </c>
      <c r="G8" s="599">
        <f>Простои!AA12</f>
        <v>3.5</v>
      </c>
      <c r="H8" s="599">
        <f>Простои!AC12</f>
        <v>0.8</v>
      </c>
      <c r="I8" s="601">
        <f>'ФОТ, МТР, макро'!O8</f>
        <v>90</v>
      </c>
      <c r="J8" s="601">
        <f>'ФОТ, МТР, макро'!Y8</f>
        <v>80</v>
      </c>
      <c r="K8" s="601">
        <f>Производительность_1!Y59</f>
        <v>8</v>
      </c>
      <c r="L8" s="600">
        <f>Производительность_1!E155</f>
        <v>22.46</v>
      </c>
    </row>
    <row r="9" spans="1:12" x14ac:dyDescent="0.25">
      <c r="A9" s="196"/>
      <c r="B9" s="641">
        <f t="shared" si="0"/>
        <v>1</v>
      </c>
      <c r="C9" s="598" t="str">
        <f>Производительность_1!C28</f>
        <v>БелАЗ 7531 (ГПФК)</v>
      </c>
      <c r="D9" s="740">
        <f>Производительность_1!E28</f>
        <v>231</v>
      </c>
      <c r="E9" s="599">
        <f>Производительность_1!E44</f>
        <v>0.98371378402107112</v>
      </c>
      <c r="F9" s="600">
        <f>Производительность_1!E28</f>
        <v>231</v>
      </c>
      <c r="G9" s="599">
        <f>Простои!AA13</f>
        <v>3.5</v>
      </c>
      <c r="H9" s="599">
        <f>Простои!AC13</f>
        <v>0.8</v>
      </c>
      <c r="I9" s="601">
        <f>'ФОТ, МТР, макро'!O9</f>
        <v>90</v>
      </c>
      <c r="J9" s="601">
        <f>'ФОТ, МТР, макро'!Y9</f>
        <v>90</v>
      </c>
      <c r="K9" s="601">
        <f>Производительность_1!Y60</f>
        <v>10</v>
      </c>
      <c r="L9" s="600">
        <f>Производительность_1!E156</f>
        <v>22.46</v>
      </c>
    </row>
    <row r="10" spans="1:12" x14ac:dyDescent="0.25">
      <c r="A10" s="196"/>
      <c r="B10" s="641">
        <f t="shared" si="0"/>
        <v>1</v>
      </c>
      <c r="C10" s="598" t="str">
        <f>Производительность_1!C29</f>
        <v>XCMG 240</v>
      </c>
      <c r="D10" s="740">
        <f>Производительность_1!E29</f>
        <v>211.392</v>
      </c>
      <c r="E10" s="599">
        <f>Производительность_1!E45</f>
        <v>0.98371378402107112</v>
      </c>
      <c r="F10" s="600">
        <f>Производительность_1!E29</f>
        <v>211.392</v>
      </c>
      <c r="G10" s="599">
        <f>Простои!AA14</f>
        <v>3.5</v>
      </c>
      <c r="H10" s="599">
        <f>Простои!AC14</f>
        <v>0.8</v>
      </c>
      <c r="I10" s="601">
        <f>'ФОТ, МТР, макро'!O10</f>
        <v>90</v>
      </c>
      <c r="J10" s="601">
        <f>'ФОТ, МТР, макро'!Y10</f>
        <v>80</v>
      </c>
      <c r="K10" s="601">
        <f>Производительность_1!Y61</f>
        <v>0</v>
      </c>
      <c r="L10" s="600">
        <f>Производительность_1!E157</f>
        <v>22.46</v>
      </c>
    </row>
    <row r="11" spans="1:12" x14ac:dyDescent="0.25">
      <c r="A11" s="196"/>
      <c r="B11" s="641">
        <f t="shared" si="0"/>
        <v>1</v>
      </c>
      <c r="C11" s="598" t="str">
        <f>Производительность_1!C30</f>
        <v>БелАЗ 7531 (БТЛ)</v>
      </c>
      <c r="D11" s="740">
        <f>Производительность_1!E30</f>
        <v>231</v>
      </c>
      <c r="E11" s="599">
        <f>Производительность_1!E46</f>
        <v>0.98371378402107112</v>
      </c>
      <c r="F11" s="600">
        <f>Производительность_1!E30</f>
        <v>231</v>
      </c>
      <c r="G11" s="599">
        <f>Простои!AA15</f>
        <v>3.5</v>
      </c>
      <c r="H11" s="599">
        <f>Простои!AC15</f>
        <v>0.8</v>
      </c>
      <c r="I11" s="601">
        <f>'ФОТ, МТР, макро'!O11</f>
        <v>90</v>
      </c>
      <c r="J11" s="601">
        <f>'ФОТ, МТР, макро'!Y11</f>
        <v>80</v>
      </c>
      <c r="K11" s="601">
        <f>Производительность_1!Y62</f>
        <v>10</v>
      </c>
      <c r="L11" s="600">
        <f>Производительность_1!E158</f>
        <v>22.46</v>
      </c>
    </row>
    <row r="12" spans="1:12" x14ac:dyDescent="0.25">
      <c r="A12" s="196"/>
      <c r="B12" s="641">
        <f t="shared" si="0"/>
        <v>0</v>
      </c>
      <c r="C12" s="598">
        <f>Производительность_1!C31</f>
        <v>0</v>
      </c>
      <c r="D12" s="740">
        <f>Производительность_1!E31</f>
        <v>0</v>
      </c>
      <c r="E12" s="599">
        <f>Производительность_1!E47</f>
        <v>0</v>
      </c>
      <c r="F12" s="600">
        <f>Производительность_1!E31</f>
        <v>0</v>
      </c>
      <c r="G12" s="599">
        <f>Простои!AA16</f>
        <v>0</v>
      </c>
      <c r="H12" s="599">
        <f>Простои!AC16</f>
        <v>0</v>
      </c>
      <c r="I12" s="601">
        <f>'ФОТ, МТР, макро'!O12</f>
        <v>0</v>
      </c>
      <c r="J12" s="601">
        <f>'ФОТ, МТР, макро'!Y12</f>
        <v>0</v>
      </c>
      <c r="K12" s="601">
        <f>Производительность_1!Y63</f>
        <v>0</v>
      </c>
      <c r="L12" s="600">
        <f>Производительность_1!E159</f>
        <v>0</v>
      </c>
    </row>
    <row r="13" spans="1:12" x14ac:dyDescent="0.25">
      <c r="A13" s="196"/>
      <c r="B13" s="641">
        <f t="shared" si="0"/>
        <v>0</v>
      </c>
      <c r="C13" s="598">
        <f>Производительность_1!C32</f>
        <v>0</v>
      </c>
      <c r="D13" s="740">
        <f>Производительность_1!E32</f>
        <v>0</v>
      </c>
      <c r="E13" s="599">
        <f>Производительность_1!E48</f>
        <v>0</v>
      </c>
      <c r="F13" s="600">
        <f>Производительность_1!E32</f>
        <v>0</v>
      </c>
      <c r="G13" s="599">
        <f>Простои!AA17</f>
        <v>0</v>
      </c>
      <c r="H13" s="599">
        <f>Простои!AC17</f>
        <v>0</v>
      </c>
      <c r="I13" s="601">
        <f>'ФОТ, МТР, макро'!O13</f>
        <v>0</v>
      </c>
      <c r="J13" s="601">
        <f>'ФОТ, МТР, макро'!Y13</f>
        <v>0</v>
      </c>
      <c r="K13" s="601">
        <f>Производительность_1!Y64</f>
        <v>0</v>
      </c>
      <c r="L13" s="600">
        <f>Производительность_1!E160</f>
        <v>0</v>
      </c>
    </row>
    <row r="14" spans="1:12" x14ac:dyDescent="0.25">
      <c r="A14" s="196"/>
      <c r="B14" s="641">
        <f t="shared" si="0"/>
        <v>0</v>
      </c>
      <c r="C14" s="598">
        <f>Производительность_1!C33</f>
        <v>0</v>
      </c>
      <c r="D14" s="740">
        <f>Производительность_1!E33</f>
        <v>0</v>
      </c>
      <c r="E14" s="599">
        <f>Производительность_1!E49</f>
        <v>0</v>
      </c>
      <c r="F14" s="600">
        <f>Производительность_1!E33</f>
        <v>0</v>
      </c>
      <c r="G14" s="599">
        <f>Простои!AA18</f>
        <v>0</v>
      </c>
      <c r="H14" s="599">
        <f>Простои!AC18</f>
        <v>0</v>
      </c>
      <c r="I14" s="601">
        <f>'ФОТ, МТР, макро'!O14</f>
        <v>0</v>
      </c>
      <c r="J14" s="601">
        <f>'ФОТ, МТР, макро'!Y14</f>
        <v>0</v>
      </c>
      <c r="K14" s="601">
        <f>Производительность_1!Y65</f>
        <v>0</v>
      </c>
      <c r="L14" s="600">
        <f>Производительность_1!E161</f>
        <v>0</v>
      </c>
    </row>
    <row r="15" spans="1:12" x14ac:dyDescent="0.25">
      <c r="A15" s="196"/>
      <c r="B15" s="641">
        <f t="shared" si="0"/>
        <v>0</v>
      </c>
      <c r="C15" s="598">
        <f>Производительность_1!C34</f>
        <v>0</v>
      </c>
      <c r="D15" s="740">
        <f>Производительность_1!E34</f>
        <v>0</v>
      </c>
      <c r="E15" s="599">
        <f>Производительность_1!E50</f>
        <v>0</v>
      </c>
      <c r="F15" s="600">
        <f>Производительность_1!E34</f>
        <v>0</v>
      </c>
      <c r="G15" s="599">
        <f>Простои!AA19</f>
        <v>0</v>
      </c>
      <c r="H15" s="599">
        <f>Простои!AC19</f>
        <v>0</v>
      </c>
      <c r="I15" s="601">
        <f>'ФОТ, МТР, макро'!O15</f>
        <v>0</v>
      </c>
      <c r="J15" s="601">
        <f>'ФОТ, МТР, макро'!Y15</f>
        <v>0</v>
      </c>
      <c r="K15" s="601">
        <f>Производительность_1!Y66</f>
        <v>0</v>
      </c>
      <c r="L15" s="600">
        <f>Производительность_1!E162</f>
        <v>0</v>
      </c>
    </row>
    <row r="16" spans="1:12" x14ac:dyDescent="0.25">
      <c r="A16" s="196"/>
      <c r="B16" s="641">
        <f t="shared" si="0"/>
        <v>0</v>
      </c>
      <c r="C16" s="598">
        <f>Производительность_1!C35</f>
        <v>0</v>
      </c>
      <c r="D16" s="740">
        <f>Производительность_1!E35</f>
        <v>0</v>
      </c>
      <c r="E16" s="599">
        <f>Производительность_1!E51</f>
        <v>0</v>
      </c>
      <c r="F16" s="600">
        <f>Производительность_1!E35</f>
        <v>0</v>
      </c>
      <c r="G16" s="599">
        <f>Простои!AA20</f>
        <v>0</v>
      </c>
      <c r="H16" s="599">
        <f>Простои!AC20</f>
        <v>0</v>
      </c>
      <c r="I16" s="601">
        <f>'ФОТ, МТР, макро'!O16</f>
        <v>0</v>
      </c>
      <c r="J16" s="601">
        <f>'ФОТ, МТР, макро'!Y16</f>
        <v>0</v>
      </c>
      <c r="K16" s="601">
        <f>Производительность_1!Y67</f>
        <v>0</v>
      </c>
      <c r="L16" s="600">
        <f>Производительность_1!E163</f>
        <v>0</v>
      </c>
    </row>
    <row r="17" spans="1:26" x14ac:dyDescent="0.25">
      <c r="A17" s="196"/>
      <c r="B17" s="641">
        <f t="shared" si="0"/>
        <v>0</v>
      </c>
      <c r="C17" s="598">
        <f>Производительность_1!C36</f>
        <v>0</v>
      </c>
      <c r="D17" s="740">
        <f>Производительность_1!E36</f>
        <v>0</v>
      </c>
      <c r="E17" s="599">
        <f>Производительность_1!E52</f>
        <v>0</v>
      </c>
      <c r="F17" s="600">
        <f>Производительность_1!E36</f>
        <v>0</v>
      </c>
      <c r="G17" s="599">
        <f>Простои!AA21</f>
        <v>0</v>
      </c>
      <c r="H17" s="599">
        <f>Простои!AC21</f>
        <v>0</v>
      </c>
      <c r="I17" s="601">
        <f>'ФОТ, МТР, макро'!O17</f>
        <v>0</v>
      </c>
      <c r="J17" s="601">
        <f>'ФОТ, МТР, макро'!Y17</f>
        <v>0</v>
      </c>
      <c r="K17" s="601">
        <f>Производительность_1!Y68</f>
        <v>0</v>
      </c>
      <c r="L17" s="600">
        <f>Производительность_1!E164</f>
        <v>0</v>
      </c>
    </row>
    <row r="18" spans="1:26" x14ac:dyDescent="0.25">
      <c r="A18" s="196"/>
      <c r="B18" s="641">
        <f t="shared" si="0"/>
        <v>0</v>
      </c>
      <c r="C18" s="598">
        <f>Производительность_1!C37</f>
        <v>0</v>
      </c>
      <c r="D18" s="740">
        <f>Производительность_1!E37</f>
        <v>0</v>
      </c>
      <c r="E18" s="599">
        <f>Производительность_1!E53</f>
        <v>0</v>
      </c>
      <c r="F18" s="600">
        <f>Производительность_1!E37</f>
        <v>0</v>
      </c>
      <c r="G18" s="599">
        <f>Простои!AA22</f>
        <v>0</v>
      </c>
      <c r="H18" s="599">
        <f>Простои!AC22</f>
        <v>0</v>
      </c>
      <c r="I18" s="601">
        <f>'ФОТ, МТР, макро'!O18</f>
        <v>0</v>
      </c>
      <c r="J18" s="601">
        <f>'ФОТ, МТР, макро'!Y18</f>
        <v>0</v>
      </c>
      <c r="K18" s="601">
        <f>Производительность_1!Y69</f>
        <v>0</v>
      </c>
      <c r="L18" s="600">
        <f>Производительность_1!E165</f>
        <v>0</v>
      </c>
    </row>
    <row r="19" spans="1:26" x14ac:dyDescent="0.25">
      <c r="A19" s="196"/>
      <c r="B19" s="641">
        <f t="shared" si="0"/>
        <v>0</v>
      </c>
      <c r="C19" s="598">
        <f>Производительность_1!C38</f>
        <v>0</v>
      </c>
      <c r="D19" s="740">
        <f>Производительность_1!E38</f>
        <v>0</v>
      </c>
      <c r="E19" s="599">
        <f>Производительность_1!E54</f>
        <v>0</v>
      </c>
      <c r="F19" s="600">
        <f>Производительность_1!E38</f>
        <v>0</v>
      </c>
      <c r="G19" s="599">
        <f>Простои!AA23</f>
        <v>0</v>
      </c>
      <c r="H19" s="599">
        <f>Простои!AC23</f>
        <v>0</v>
      </c>
      <c r="I19" s="601">
        <f>'ФОТ, МТР, макро'!O19</f>
        <v>0</v>
      </c>
      <c r="J19" s="601">
        <f>'ФОТ, МТР, макро'!Y19</f>
        <v>0</v>
      </c>
      <c r="K19" s="601">
        <f>Производительность_1!Y70</f>
        <v>0</v>
      </c>
      <c r="L19" s="600">
        <f>Производительность_1!E166</f>
        <v>0</v>
      </c>
    </row>
    <row r="20" spans="1:26" x14ac:dyDescent="0.25">
      <c r="A20" s="196"/>
      <c r="B20" s="640">
        <v>1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</row>
    <row r="21" spans="1:26" x14ac:dyDescent="0.25">
      <c r="A21" s="196"/>
      <c r="B21" s="640">
        <v>1</v>
      </c>
    </row>
    <row r="22" spans="1:26" x14ac:dyDescent="0.25">
      <c r="A22" s="196"/>
      <c r="B22" s="640">
        <v>1</v>
      </c>
    </row>
    <row r="23" spans="1:26" x14ac:dyDescent="0.25">
      <c r="A23" s="196"/>
      <c r="B23" s="640">
        <v>1</v>
      </c>
      <c r="C23" s="602" t="s">
        <v>50</v>
      </c>
    </row>
    <row r="24" spans="1:26" x14ac:dyDescent="0.25">
      <c r="A24" s="196"/>
      <c r="B24" s="640">
        <v>1</v>
      </c>
    </row>
    <row r="25" spans="1:26" x14ac:dyDescent="0.25">
      <c r="A25" s="196"/>
      <c r="B25" s="640">
        <v>1</v>
      </c>
      <c r="C25" s="603" t="s">
        <v>648</v>
      </c>
      <c r="D25" s="628" t="str">
        <f>Производительность_1!D4</f>
        <v>Ед. изм.</v>
      </c>
      <c r="E25" s="628">
        <f>Производительность_1!E4</f>
        <v>1</v>
      </c>
      <c r="F25" s="628">
        <f>Производительность_1!F4</f>
        <v>2</v>
      </c>
      <c r="G25" s="628">
        <f>Производительность_1!G4</f>
        <v>3</v>
      </c>
      <c r="H25" s="628">
        <f>Производительность_1!H4</f>
        <v>4</v>
      </c>
      <c r="I25" s="628">
        <f>Производительность_1!I4</f>
        <v>5</v>
      </c>
      <c r="J25" s="628">
        <f>Производительность_1!J4</f>
        <v>6</v>
      </c>
      <c r="K25" s="628">
        <f>Производительность_1!K4</f>
        <v>7</v>
      </c>
      <c r="L25" s="628">
        <f>Производительность_1!L4</f>
        <v>8</v>
      </c>
      <c r="M25" s="628">
        <f>Производительность_1!M4</f>
        <v>9</v>
      </c>
      <c r="N25" s="628">
        <f>Производительность_1!N4</f>
        <v>10</v>
      </c>
      <c r="O25" s="628">
        <f>Производительность_1!O4</f>
        <v>11</v>
      </c>
      <c r="P25" s="628">
        <f>Производительность_1!P4</f>
        <v>12</v>
      </c>
      <c r="Q25" s="628">
        <f>Производительность_1!Q4</f>
        <v>13</v>
      </c>
      <c r="R25" s="628">
        <f>Производительность_1!R4</f>
        <v>14</v>
      </c>
      <c r="S25" s="628">
        <f>Производительность_1!S4</f>
        <v>15</v>
      </c>
      <c r="T25" s="628">
        <f>Производительность_1!T4</f>
        <v>16</v>
      </c>
      <c r="U25" s="628">
        <f>Производительность_1!U4</f>
        <v>17</v>
      </c>
      <c r="V25" s="628">
        <f>Производительность_1!V4</f>
        <v>18</v>
      </c>
      <c r="W25" s="628">
        <f>Производительность_1!W4</f>
        <v>19</v>
      </c>
      <c r="X25" s="628">
        <f>Производительность_1!X4</f>
        <v>20</v>
      </c>
      <c r="Y25" s="603" t="s">
        <v>649</v>
      </c>
    </row>
    <row r="26" spans="1:26" x14ac:dyDescent="0.25">
      <c r="A26" s="196"/>
      <c r="B26" s="641">
        <f>B5</f>
        <v>1</v>
      </c>
      <c r="C26" s="604" t="str">
        <f>C5</f>
        <v>NHL NTE 240</v>
      </c>
      <c r="D26" s="605" t="str">
        <f>Производительность_1!D56</f>
        <v>коэфф.</v>
      </c>
      <c r="E26" s="606">
        <f>Производительность_1!E56</f>
        <v>0.93755029173008619</v>
      </c>
      <c r="F26" s="606">
        <f>Производительность_1!F56</f>
        <v>0.93038070776255699</v>
      </c>
      <c r="G26" s="606">
        <f>Производительность_1!G56</f>
        <v>0.92090265093860979</v>
      </c>
      <c r="H26" s="606">
        <f>Производительность_1!H56</f>
        <v>0.90840582191780817</v>
      </c>
      <c r="I26" s="606">
        <f>Производительность_1!I56</f>
        <v>0.93333288939624548</v>
      </c>
      <c r="J26" s="606">
        <f>Производительность_1!J56</f>
        <v>0.92172393455098933</v>
      </c>
      <c r="K26" s="606">
        <f>Производительность_1!K56</f>
        <v>0.93126858193810236</v>
      </c>
      <c r="L26" s="606">
        <f>Производительность_1!L56</f>
        <v>0.91113603500761031</v>
      </c>
      <c r="M26" s="606">
        <f>Производительность_1!M56</f>
        <v>0.91706259512937582</v>
      </c>
      <c r="N26" s="606">
        <f>Производительность_1!N56</f>
        <v>0.93222304667681377</v>
      </c>
      <c r="O26" s="606">
        <f>Производительность_1!O56</f>
        <v>0.91462094114662595</v>
      </c>
      <c r="P26" s="606">
        <f>Производительность_1!P56</f>
        <v>0.91328912988330779</v>
      </c>
      <c r="Q26" s="606">
        <f>Производительность_1!Q56</f>
        <v>0.93377682648401816</v>
      </c>
      <c r="R26" s="606">
        <f>Производительность_1!R56</f>
        <v>0.93266698376458645</v>
      </c>
      <c r="S26" s="606">
        <f>Производительность_1!S56</f>
        <v>0.89848382800608828</v>
      </c>
      <c r="T26" s="606">
        <f>Производительность_1!T56</f>
        <v>0.92556399036022319</v>
      </c>
      <c r="U26" s="606">
        <f>Производительность_1!U56</f>
        <v>0.93422076357179096</v>
      </c>
      <c r="V26" s="606">
        <f>Производительность_1!V56</f>
        <v>0.90469894723490607</v>
      </c>
      <c r="W26" s="606">
        <f>Производительность_1!W56</f>
        <v>0.9344427321156773</v>
      </c>
      <c r="X26" s="606">
        <f>Производительность_1!X56</f>
        <v>0.9220124936580415</v>
      </c>
      <c r="Y26" s="607">
        <f>Производительность_1!Z56</f>
        <v>0.92288815956367343</v>
      </c>
      <c r="Z26" s="179">
        <f>Производительность_1!AA56</f>
        <v>0</v>
      </c>
    </row>
    <row r="27" spans="1:26" x14ac:dyDescent="0.25">
      <c r="A27" s="196"/>
      <c r="B27" s="641">
        <f t="shared" ref="B27:C41" si="1">B6</f>
        <v>1</v>
      </c>
      <c r="C27" s="598" t="str">
        <f t="shared" si="1"/>
        <v>Estar ESDE240 (ГПБ К)</v>
      </c>
      <c r="D27" s="9" t="str">
        <f>Производительность_1!D57</f>
        <v>коэфф.</v>
      </c>
      <c r="E27" s="599">
        <f>Производительность_1!E57</f>
        <v>0.91162480974124804</v>
      </c>
      <c r="F27" s="599">
        <f>Производительность_1!F57</f>
        <v>0.89608701166920346</v>
      </c>
      <c r="G27" s="599">
        <f>Производительность_1!G57</f>
        <v>0.84869672754946723</v>
      </c>
      <c r="H27" s="599">
        <f>Производительность_1!H57</f>
        <v>0.80563483003551495</v>
      </c>
      <c r="I27" s="599">
        <f>Производительность_1!I57</f>
        <v>0.89852866565195333</v>
      </c>
      <c r="J27" s="599">
        <f>Производительность_1!J57</f>
        <v>0.82206050228310501</v>
      </c>
      <c r="K27" s="599">
        <f>Производительность_1!K57</f>
        <v>0.88942795535261288</v>
      </c>
      <c r="L27" s="599">
        <f>Производительность_1!L57</f>
        <v>0.81118404363267382</v>
      </c>
      <c r="M27" s="599">
        <f>Производительность_1!M57</f>
        <v>0.85613267376966007</v>
      </c>
      <c r="N27" s="599">
        <f>Производительность_1!N57</f>
        <v>0.83393581938102479</v>
      </c>
      <c r="O27" s="599">
        <f>Производительность_1!O57</f>
        <v>0</v>
      </c>
      <c r="P27" s="599">
        <f>Производительность_1!P57</f>
        <v>0</v>
      </c>
      <c r="Q27" s="599">
        <f>Производительность_1!Q57</f>
        <v>0</v>
      </c>
      <c r="R27" s="599">
        <f>Производительность_1!R57</f>
        <v>0</v>
      </c>
      <c r="S27" s="599">
        <f>Производительность_1!S57</f>
        <v>0</v>
      </c>
      <c r="T27" s="599">
        <f>Производительность_1!T57</f>
        <v>0</v>
      </c>
      <c r="U27" s="599">
        <f>Производительность_1!U57</f>
        <v>0</v>
      </c>
      <c r="V27" s="599">
        <f>Производительность_1!V57</f>
        <v>0</v>
      </c>
      <c r="W27" s="599">
        <f>Производительность_1!W57</f>
        <v>0</v>
      </c>
      <c r="X27" s="599">
        <f>Производительность_1!X57</f>
        <v>0</v>
      </c>
      <c r="Y27" s="608">
        <f>Производительность_1!Z57</f>
        <v>0.85733130390664647</v>
      </c>
      <c r="Z27" s="179">
        <f>Производительность_1!AA57</f>
        <v>0</v>
      </c>
    </row>
    <row r="28" spans="1:26" x14ac:dyDescent="0.25">
      <c r="A28" s="196"/>
      <c r="B28" s="641">
        <f t="shared" si="1"/>
        <v>1</v>
      </c>
      <c r="C28" s="598" t="str">
        <f t="shared" si="1"/>
        <v>SANY SET240S</v>
      </c>
      <c r="D28" s="9" t="str">
        <f>Производительность_1!D58</f>
        <v>коэфф.</v>
      </c>
      <c r="E28" s="599">
        <f>Производительность_1!E58</f>
        <v>0.93570839675291717</v>
      </c>
      <c r="F28" s="599">
        <f>Производительность_1!F58</f>
        <v>0.90263508371385082</v>
      </c>
      <c r="G28" s="599">
        <f>Производительность_1!G58</f>
        <v>0.86578830542871643</v>
      </c>
      <c r="H28" s="599">
        <f>Производительность_1!H58</f>
        <v>0.90352295788939629</v>
      </c>
      <c r="I28" s="599">
        <f>Производительность_1!I58</f>
        <v>0.85025050735667174</v>
      </c>
      <c r="J28" s="599">
        <f>Производительность_1!J58</f>
        <v>0.90352295788939629</v>
      </c>
      <c r="K28" s="599">
        <f>Производительность_1!K58</f>
        <v>0.86578830542871643</v>
      </c>
      <c r="L28" s="599">
        <f>Производительность_1!L58</f>
        <v>0.90352295788939629</v>
      </c>
      <c r="M28" s="599">
        <f>Производительность_1!M58</f>
        <v>0.85025050735667174</v>
      </c>
      <c r="N28" s="599">
        <f>Производительность_1!N58</f>
        <v>0.88465563165905625</v>
      </c>
      <c r="O28" s="599">
        <f>Производительность_1!O58</f>
        <v>0.8635686199898529</v>
      </c>
      <c r="P28" s="599">
        <f>Производительность_1!P58</f>
        <v>0.8713375190258752</v>
      </c>
      <c r="Q28" s="599">
        <f>Производительность_1!Q58</f>
        <v>0</v>
      </c>
      <c r="R28" s="599">
        <f>Производительность_1!R58</f>
        <v>0</v>
      </c>
      <c r="S28" s="599">
        <f>Производительность_1!S58</f>
        <v>0</v>
      </c>
      <c r="T28" s="599">
        <f>Производительность_1!T58</f>
        <v>0</v>
      </c>
      <c r="U28" s="599">
        <f>Производительность_1!U58</f>
        <v>0</v>
      </c>
      <c r="V28" s="599">
        <f>Производительность_1!V58</f>
        <v>0</v>
      </c>
      <c r="W28" s="599">
        <f>Производительность_1!W58</f>
        <v>0</v>
      </c>
      <c r="X28" s="599">
        <f>Производительность_1!X58</f>
        <v>0</v>
      </c>
      <c r="Y28" s="608">
        <f>Производительность_1!Z58</f>
        <v>0.88337931253170965</v>
      </c>
      <c r="Z28" s="179">
        <f>Производительность_1!AA58</f>
        <v>0</v>
      </c>
    </row>
    <row r="29" spans="1:26" x14ac:dyDescent="0.25">
      <c r="A29" s="196"/>
      <c r="B29" s="641">
        <f t="shared" si="1"/>
        <v>1</v>
      </c>
      <c r="C29" s="598" t="str">
        <f t="shared" si="1"/>
        <v>TZCO TZE240</v>
      </c>
      <c r="D29" s="9" t="str">
        <f>Производительность_1!D59</f>
        <v>коэфф.</v>
      </c>
      <c r="E29" s="599">
        <f>Производительность_1!E59</f>
        <v>0.90962709284627086</v>
      </c>
      <c r="F29" s="599">
        <f>Производительность_1!F59</f>
        <v>0.88376775748351089</v>
      </c>
      <c r="G29" s="599">
        <f>Производительность_1!G59</f>
        <v>0.77400431253170976</v>
      </c>
      <c r="H29" s="599">
        <f>Производительность_1!H59</f>
        <v>0.88376775748351089</v>
      </c>
      <c r="I29" s="599">
        <f>Производительность_1!I59</f>
        <v>0.90962709284627086</v>
      </c>
      <c r="J29" s="599">
        <f>Производительность_1!J59</f>
        <v>0.74814497716894979</v>
      </c>
      <c r="K29" s="599">
        <f>Производительность_1!K59</f>
        <v>0.90962709284627086</v>
      </c>
      <c r="L29" s="599">
        <f>Производительность_1!L59</f>
        <v>0.88376775748351089</v>
      </c>
      <c r="M29" s="599">
        <f>Производительность_1!M59</f>
        <v>0</v>
      </c>
      <c r="N29" s="599">
        <f>Производительность_1!N59</f>
        <v>0</v>
      </c>
      <c r="O29" s="599">
        <f>Производительность_1!O59</f>
        <v>0</v>
      </c>
      <c r="P29" s="599">
        <f>Производительность_1!P59</f>
        <v>0</v>
      </c>
      <c r="Q29" s="599">
        <f>Производительность_1!Q59</f>
        <v>0</v>
      </c>
      <c r="R29" s="599">
        <f>Производительность_1!R59</f>
        <v>0</v>
      </c>
      <c r="S29" s="599">
        <f>Производительность_1!S59</f>
        <v>0</v>
      </c>
      <c r="T29" s="599">
        <f>Производительность_1!T59</f>
        <v>0</v>
      </c>
      <c r="U29" s="599">
        <f>Производительность_1!U59</f>
        <v>0</v>
      </c>
      <c r="V29" s="599">
        <f>Производительность_1!V59</f>
        <v>0</v>
      </c>
      <c r="W29" s="599">
        <f>Производительность_1!W59</f>
        <v>0</v>
      </c>
      <c r="X29" s="599">
        <f>Производительность_1!X59</f>
        <v>0</v>
      </c>
      <c r="Y29" s="608">
        <f>Производительность_1!Z59</f>
        <v>0.86279173008625065</v>
      </c>
      <c r="Z29" s="179">
        <f>Производительность_1!AA59</f>
        <v>0</v>
      </c>
    </row>
    <row r="30" spans="1:26" x14ac:dyDescent="0.25">
      <c r="A30" s="196"/>
      <c r="B30" s="641">
        <f t="shared" si="1"/>
        <v>1</v>
      </c>
      <c r="C30" s="598" t="str">
        <f t="shared" si="1"/>
        <v>БелАЗ 7531 (ГПФК)</v>
      </c>
      <c r="D30" s="9" t="str">
        <f>Производительность_1!D60</f>
        <v>коэфф.</v>
      </c>
      <c r="E30" s="599">
        <f>Производительность_1!E60</f>
        <v>0.90830416032470829</v>
      </c>
      <c r="F30" s="599">
        <f>Производительность_1!F60</f>
        <v>0.88577435312024355</v>
      </c>
      <c r="G30" s="599">
        <f>Производительность_1!G60</f>
        <v>0.86468734145103998</v>
      </c>
      <c r="H30" s="599">
        <f>Производительность_1!H60</f>
        <v>0.87460193641129713</v>
      </c>
      <c r="I30" s="599">
        <f>Производительность_1!I60</f>
        <v>0.88129798748520216</v>
      </c>
      <c r="J30" s="599">
        <f>Производительность_1!J60</f>
        <v>0.8456720361914426</v>
      </c>
      <c r="K30" s="599">
        <f>Производительность_1!K60</f>
        <v>0.89713174361576187</v>
      </c>
      <c r="L30" s="599">
        <f>Производительность_1!L60</f>
        <v>0.85462476746152538</v>
      </c>
      <c r="M30" s="599">
        <f>Производительность_1!M60</f>
        <v>0.84219452900388969</v>
      </c>
      <c r="N30" s="599">
        <f>Производительность_1!N60</f>
        <v>0.86135781329274486</v>
      </c>
      <c r="O30" s="599">
        <f>Производительность_1!O60</f>
        <v>0</v>
      </c>
      <c r="P30" s="599">
        <f>Производительность_1!P60</f>
        <v>0</v>
      </c>
      <c r="Q30" s="599">
        <f>Производительность_1!Q60</f>
        <v>0</v>
      </c>
      <c r="R30" s="599">
        <f>Производительность_1!R60</f>
        <v>0</v>
      </c>
      <c r="S30" s="599">
        <f>Производительность_1!S60</f>
        <v>0</v>
      </c>
      <c r="T30" s="599">
        <f>Производительность_1!T60</f>
        <v>0</v>
      </c>
      <c r="U30" s="599">
        <f>Производительность_1!U60</f>
        <v>0</v>
      </c>
      <c r="V30" s="599">
        <f>Производительность_1!V60</f>
        <v>0</v>
      </c>
      <c r="W30" s="599">
        <f>Производительность_1!W60</f>
        <v>0</v>
      </c>
      <c r="X30" s="599">
        <f>Производительность_1!X60</f>
        <v>0</v>
      </c>
      <c r="Y30" s="608">
        <f>Производительность_1!Z60</f>
        <v>0.8715646668357856</v>
      </c>
      <c r="Z30" s="179">
        <f>Производительность_1!AA60</f>
        <v>0</v>
      </c>
    </row>
    <row r="31" spans="1:26" x14ac:dyDescent="0.25">
      <c r="A31" s="196"/>
      <c r="B31" s="641">
        <f t="shared" si="1"/>
        <v>1</v>
      </c>
      <c r="C31" s="598" t="str">
        <f t="shared" si="1"/>
        <v>XCMG 240</v>
      </c>
      <c r="D31" s="9" t="str">
        <f>Производительность_1!D61</f>
        <v>коэфф.</v>
      </c>
      <c r="E31" s="599">
        <f>Производительность_1!E61</f>
        <v>0</v>
      </c>
      <c r="F31" s="599">
        <f>Производительность_1!F61</f>
        <v>0</v>
      </c>
      <c r="G31" s="599">
        <f>Производительность_1!G61</f>
        <v>0</v>
      </c>
      <c r="H31" s="599">
        <f>Производительность_1!H61</f>
        <v>0</v>
      </c>
      <c r="I31" s="599">
        <f>Производительность_1!I61</f>
        <v>0</v>
      </c>
      <c r="J31" s="599">
        <f>Производительность_1!J61</f>
        <v>0</v>
      </c>
      <c r="K31" s="599">
        <f>Производительность_1!K61</f>
        <v>0</v>
      </c>
      <c r="L31" s="599">
        <f>Производительность_1!L61</f>
        <v>0</v>
      </c>
      <c r="M31" s="599">
        <f>Производительность_1!M61</f>
        <v>0</v>
      </c>
      <c r="N31" s="599">
        <f>Производительность_1!N61</f>
        <v>0</v>
      </c>
      <c r="O31" s="599">
        <f>Производительность_1!O61</f>
        <v>0</v>
      </c>
      <c r="P31" s="599">
        <f>Производительность_1!P61</f>
        <v>0</v>
      </c>
      <c r="Q31" s="599">
        <f>Производительность_1!Q61</f>
        <v>0</v>
      </c>
      <c r="R31" s="599">
        <f>Производительность_1!R61</f>
        <v>0</v>
      </c>
      <c r="S31" s="599">
        <f>Производительность_1!S61</f>
        <v>0</v>
      </c>
      <c r="T31" s="599">
        <f>Производительность_1!T61</f>
        <v>0</v>
      </c>
      <c r="U31" s="599">
        <f>Производительность_1!U61</f>
        <v>0</v>
      </c>
      <c r="V31" s="599">
        <f>Производительность_1!V61</f>
        <v>0</v>
      </c>
      <c r="W31" s="599">
        <f>Производительность_1!W61</f>
        <v>0</v>
      </c>
      <c r="X31" s="599">
        <f>Производительность_1!X61</f>
        <v>0</v>
      </c>
      <c r="Y31" s="608" t="e">
        <f>Производительность_1!Z61</f>
        <v>#DIV/0!</v>
      </c>
      <c r="Z31" s="179">
        <f>Производительность_1!AA61</f>
        <v>0</v>
      </c>
    </row>
    <row r="32" spans="1:26" x14ac:dyDescent="0.25">
      <c r="A32" s="196"/>
      <c r="B32" s="641">
        <f t="shared" si="1"/>
        <v>1</v>
      </c>
      <c r="C32" s="598" t="str">
        <f t="shared" si="1"/>
        <v>БелАЗ 7531 (БТЛ)</v>
      </c>
      <c r="D32" s="9" t="str">
        <f>Производительность_1!D62</f>
        <v>коэфф.</v>
      </c>
      <c r="E32" s="599">
        <f>Производительность_1!E62</f>
        <v>0.92956036751648907</v>
      </c>
      <c r="F32" s="599">
        <f>Производительность_1!F62</f>
        <v>0.90792065417300871</v>
      </c>
      <c r="G32" s="599">
        <f>Производительность_1!G62</f>
        <v>0.8994118599906985</v>
      </c>
      <c r="H32" s="599">
        <f>Производительность_1!H62</f>
        <v>0.88050753900304413</v>
      </c>
      <c r="I32" s="599">
        <f>Производительность_1!I62</f>
        <v>0.9011506135844749</v>
      </c>
      <c r="J32" s="599">
        <f>Производительность_1!J62</f>
        <v>0.87025999122695752</v>
      </c>
      <c r="K32" s="599">
        <f>Производительность_1!K62</f>
        <v>0.85058935026636229</v>
      </c>
      <c r="L32" s="599">
        <f>Производительность_1!L62</f>
        <v>0.89171695046930488</v>
      </c>
      <c r="M32" s="599">
        <f>Производительность_1!M62</f>
        <v>0.85775576325469305</v>
      </c>
      <c r="N32" s="599">
        <f>Производительность_1!N62</f>
        <v>0.85228053917216307</v>
      </c>
      <c r="O32" s="599">
        <f>Производительность_1!O62</f>
        <v>0</v>
      </c>
      <c r="P32" s="599">
        <f>Производительность_1!P62</f>
        <v>0</v>
      </c>
      <c r="Q32" s="599">
        <f>Производительность_1!Q62</f>
        <v>0</v>
      </c>
      <c r="R32" s="599">
        <f>Производительность_1!R62</f>
        <v>0</v>
      </c>
      <c r="S32" s="599">
        <f>Производительность_1!S62</f>
        <v>0</v>
      </c>
      <c r="T32" s="599">
        <f>Производительность_1!T62</f>
        <v>0</v>
      </c>
      <c r="U32" s="599">
        <f>Производительность_1!U62</f>
        <v>0</v>
      </c>
      <c r="V32" s="599">
        <f>Производительность_1!V62</f>
        <v>0</v>
      </c>
      <c r="W32" s="599">
        <f>Производительность_1!W62</f>
        <v>0</v>
      </c>
      <c r="X32" s="599">
        <f>Производительность_1!X62</f>
        <v>0</v>
      </c>
      <c r="Y32" s="608">
        <f>Производительность_1!Z62</f>
        <v>0.88411536286571957</v>
      </c>
      <c r="Z32" s="179">
        <f>Производительность_1!AA62</f>
        <v>0</v>
      </c>
    </row>
    <row r="33" spans="1:26" x14ac:dyDescent="0.25">
      <c r="A33" s="196"/>
      <c r="B33" s="641">
        <f t="shared" si="1"/>
        <v>0</v>
      </c>
      <c r="C33" s="598">
        <f t="shared" si="1"/>
        <v>0</v>
      </c>
      <c r="D33" s="9" t="str">
        <f>Производительность_1!D63</f>
        <v>коэфф.</v>
      </c>
      <c r="E33" s="599">
        <f>Производительность_1!E63</f>
        <v>0</v>
      </c>
      <c r="F33" s="599">
        <f>Производительность_1!F63</f>
        <v>0</v>
      </c>
      <c r="G33" s="599">
        <f>Производительность_1!G63</f>
        <v>0</v>
      </c>
      <c r="H33" s="599">
        <f>Производительность_1!H63</f>
        <v>0</v>
      </c>
      <c r="I33" s="599">
        <f>Производительность_1!I63</f>
        <v>0</v>
      </c>
      <c r="J33" s="599">
        <f>Производительность_1!J63</f>
        <v>0</v>
      </c>
      <c r="K33" s="599">
        <f>Производительность_1!K63</f>
        <v>0</v>
      </c>
      <c r="L33" s="599">
        <f>Производительность_1!L63</f>
        <v>0</v>
      </c>
      <c r="M33" s="599">
        <f>Производительность_1!M63</f>
        <v>0</v>
      </c>
      <c r="N33" s="599">
        <f>Производительность_1!N63</f>
        <v>0</v>
      </c>
      <c r="O33" s="599">
        <f>Производительность_1!O63</f>
        <v>0</v>
      </c>
      <c r="P33" s="599">
        <f>Производительность_1!P63</f>
        <v>0</v>
      </c>
      <c r="Q33" s="599">
        <f>Производительность_1!Q63</f>
        <v>0</v>
      </c>
      <c r="R33" s="599">
        <f>Производительность_1!R63</f>
        <v>0</v>
      </c>
      <c r="S33" s="599">
        <f>Производительность_1!S63</f>
        <v>0</v>
      </c>
      <c r="T33" s="599">
        <f>Производительность_1!T63</f>
        <v>0</v>
      </c>
      <c r="U33" s="599">
        <f>Производительность_1!U63</f>
        <v>0</v>
      </c>
      <c r="V33" s="599">
        <f>Производительность_1!V63</f>
        <v>0</v>
      </c>
      <c r="W33" s="599">
        <f>Производительность_1!W63</f>
        <v>0</v>
      </c>
      <c r="X33" s="599">
        <f>Производительность_1!X63</f>
        <v>0</v>
      </c>
      <c r="Y33" s="608" t="e">
        <f>Производительность_1!Z63</f>
        <v>#DIV/0!</v>
      </c>
      <c r="Z33" s="179">
        <f>Производительность_1!AA63</f>
        <v>0</v>
      </c>
    </row>
    <row r="34" spans="1:26" x14ac:dyDescent="0.25">
      <c r="A34" s="196"/>
      <c r="B34" s="641">
        <f t="shared" si="1"/>
        <v>0</v>
      </c>
      <c r="C34" s="598">
        <f t="shared" si="1"/>
        <v>0</v>
      </c>
      <c r="D34" s="9" t="str">
        <f>Производительность_1!D64</f>
        <v>коэфф.</v>
      </c>
      <c r="E34" s="599">
        <f>Производительность_1!E64</f>
        <v>0</v>
      </c>
      <c r="F34" s="599">
        <f>Производительность_1!F64</f>
        <v>0</v>
      </c>
      <c r="G34" s="599">
        <f>Производительность_1!G64</f>
        <v>0</v>
      </c>
      <c r="H34" s="599">
        <f>Производительность_1!H64</f>
        <v>0</v>
      </c>
      <c r="I34" s="599">
        <f>Производительность_1!I64</f>
        <v>0</v>
      </c>
      <c r="J34" s="599">
        <f>Производительность_1!J64</f>
        <v>0</v>
      </c>
      <c r="K34" s="599">
        <f>Производительность_1!K64</f>
        <v>0</v>
      </c>
      <c r="L34" s="599">
        <f>Производительность_1!L64</f>
        <v>0</v>
      </c>
      <c r="M34" s="599">
        <f>Производительность_1!M64</f>
        <v>0</v>
      </c>
      <c r="N34" s="599">
        <f>Производительность_1!N64</f>
        <v>0</v>
      </c>
      <c r="O34" s="599">
        <f>Производительность_1!O64</f>
        <v>0</v>
      </c>
      <c r="P34" s="599">
        <f>Производительность_1!P64</f>
        <v>0</v>
      </c>
      <c r="Q34" s="599">
        <f>Производительность_1!Q64</f>
        <v>0</v>
      </c>
      <c r="R34" s="599">
        <f>Производительность_1!R64</f>
        <v>0</v>
      </c>
      <c r="S34" s="599">
        <f>Производительность_1!S64</f>
        <v>0</v>
      </c>
      <c r="T34" s="599">
        <f>Производительность_1!T64</f>
        <v>0</v>
      </c>
      <c r="U34" s="599">
        <f>Производительность_1!U64</f>
        <v>0</v>
      </c>
      <c r="V34" s="599">
        <f>Производительность_1!V64</f>
        <v>0</v>
      </c>
      <c r="W34" s="599">
        <f>Производительность_1!W64</f>
        <v>0</v>
      </c>
      <c r="X34" s="599">
        <f>Производительность_1!X64</f>
        <v>0</v>
      </c>
      <c r="Y34" s="608" t="e">
        <f>Производительность_1!Z64</f>
        <v>#DIV/0!</v>
      </c>
      <c r="Z34" s="179">
        <f>Производительность_1!AA64</f>
        <v>0</v>
      </c>
    </row>
    <row r="35" spans="1:26" x14ac:dyDescent="0.25">
      <c r="A35" s="196"/>
      <c r="B35" s="641">
        <f t="shared" si="1"/>
        <v>0</v>
      </c>
      <c r="C35" s="598">
        <f t="shared" si="1"/>
        <v>0</v>
      </c>
      <c r="D35" s="9" t="str">
        <f>Производительность_1!D65</f>
        <v>коэфф.</v>
      </c>
      <c r="E35" s="599">
        <f>Производительность_1!E65</f>
        <v>0</v>
      </c>
      <c r="F35" s="599">
        <f>Производительность_1!F65</f>
        <v>0</v>
      </c>
      <c r="G35" s="599">
        <f>Производительность_1!G65</f>
        <v>0</v>
      </c>
      <c r="H35" s="599">
        <f>Производительность_1!H65</f>
        <v>0</v>
      </c>
      <c r="I35" s="599">
        <f>Производительность_1!I65</f>
        <v>0</v>
      </c>
      <c r="J35" s="599">
        <f>Производительность_1!J65</f>
        <v>0</v>
      </c>
      <c r="K35" s="599">
        <f>Производительность_1!K65</f>
        <v>0</v>
      </c>
      <c r="L35" s="599">
        <f>Производительность_1!L65</f>
        <v>0</v>
      </c>
      <c r="M35" s="599">
        <f>Производительность_1!M65</f>
        <v>0</v>
      </c>
      <c r="N35" s="599">
        <f>Производительность_1!N65</f>
        <v>0</v>
      </c>
      <c r="O35" s="599">
        <f>Производительность_1!O65</f>
        <v>0</v>
      </c>
      <c r="P35" s="599">
        <f>Производительность_1!P65</f>
        <v>0</v>
      </c>
      <c r="Q35" s="599">
        <f>Производительность_1!Q65</f>
        <v>0</v>
      </c>
      <c r="R35" s="599">
        <f>Производительность_1!R65</f>
        <v>0</v>
      </c>
      <c r="S35" s="599">
        <f>Производительность_1!S65</f>
        <v>0</v>
      </c>
      <c r="T35" s="599">
        <f>Производительность_1!T65</f>
        <v>0</v>
      </c>
      <c r="U35" s="599">
        <f>Производительность_1!U65</f>
        <v>0</v>
      </c>
      <c r="V35" s="599">
        <f>Производительность_1!V65</f>
        <v>0</v>
      </c>
      <c r="W35" s="599">
        <f>Производительность_1!W65</f>
        <v>0</v>
      </c>
      <c r="X35" s="599">
        <f>Производительность_1!X65</f>
        <v>0</v>
      </c>
      <c r="Y35" s="608" t="e">
        <f>Производительность_1!Z65</f>
        <v>#DIV/0!</v>
      </c>
      <c r="Z35" s="179">
        <f>Производительность_1!AA65</f>
        <v>0</v>
      </c>
    </row>
    <row r="36" spans="1:26" x14ac:dyDescent="0.25">
      <c r="A36" s="196"/>
      <c r="B36" s="641">
        <f t="shared" si="1"/>
        <v>0</v>
      </c>
      <c r="C36" s="598">
        <f t="shared" si="1"/>
        <v>0</v>
      </c>
      <c r="D36" s="9" t="str">
        <f>Производительность_1!D66</f>
        <v>коэфф.</v>
      </c>
      <c r="E36" s="599">
        <f>Производительность_1!E66</f>
        <v>0</v>
      </c>
      <c r="F36" s="599">
        <f>Производительность_1!F66</f>
        <v>0</v>
      </c>
      <c r="G36" s="599">
        <f>Производительность_1!G66</f>
        <v>0</v>
      </c>
      <c r="H36" s="599">
        <f>Производительность_1!H66</f>
        <v>0</v>
      </c>
      <c r="I36" s="599">
        <f>Производительность_1!I66</f>
        <v>0</v>
      </c>
      <c r="J36" s="599">
        <f>Производительность_1!J66</f>
        <v>0</v>
      </c>
      <c r="K36" s="599">
        <f>Производительность_1!K66</f>
        <v>0</v>
      </c>
      <c r="L36" s="599">
        <f>Производительность_1!L66</f>
        <v>0</v>
      </c>
      <c r="M36" s="599">
        <f>Производительность_1!M66</f>
        <v>0</v>
      </c>
      <c r="N36" s="599">
        <f>Производительность_1!N66</f>
        <v>0</v>
      </c>
      <c r="O36" s="599">
        <f>Производительность_1!O66</f>
        <v>0</v>
      </c>
      <c r="P36" s="599">
        <f>Производительность_1!P66</f>
        <v>0</v>
      </c>
      <c r="Q36" s="599">
        <f>Производительность_1!Q66</f>
        <v>0</v>
      </c>
      <c r="R36" s="599">
        <f>Производительность_1!R66</f>
        <v>0</v>
      </c>
      <c r="S36" s="599">
        <f>Производительность_1!S66</f>
        <v>0</v>
      </c>
      <c r="T36" s="599">
        <f>Производительность_1!T66</f>
        <v>0</v>
      </c>
      <c r="U36" s="599">
        <f>Производительность_1!U66</f>
        <v>0</v>
      </c>
      <c r="V36" s="599">
        <f>Производительность_1!V66</f>
        <v>0</v>
      </c>
      <c r="W36" s="599">
        <f>Производительность_1!W66</f>
        <v>0</v>
      </c>
      <c r="X36" s="599">
        <f>Производительность_1!X66</f>
        <v>0</v>
      </c>
      <c r="Y36" s="608" t="e">
        <f>Производительность_1!Z66</f>
        <v>#DIV/0!</v>
      </c>
      <c r="Z36" s="179">
        <f>Производительность_1!AA66</f>
        <v>0</v>
      </c>
    </row>
    <row r="37" spans="1:26" x14ac:dyDescent="0.25">
      <c r="A37" s="196"/>
      <c r="B37" s="641">
        <f t="shared" si="1"/>
        <v>0</v>
      </c>
      <c r="C37" s="598">
        <f t="shared" si="1"/>
        <v>0</v>
      </c>
      <c r="D37" s="9" t="str">
        <f>Производительность_1!D67</f>
        <v>коэфф.</v>
      </c>
      <c r="E37" s="599">
        <f>Производительность_1!E67</f>
        <v>0</v>
      </c>
      <c r="F37" s="599">
        <f>Производительность_1!F67</f>
        <v>0</v>
      </c>
      <c r="G37" s="599">
        <f>Производительность_1!G67</f>
        <v>0</v>
      </c>
      <c r="H37" s="599">
        <f>Производительность_1!H67</f>
        <v>0</v>
      </c>
      <c r="I37" s="599">
        <f>Производительность_1!I67</f>
        <v>0</v>
      </c>
      <c r="J37" s="599">
        <f>Производительность_1!J67</f>
        <v>0</v>
      </c>
      <c r="K37" s="599">
        <f>Производительность_1!K67</f>
        <v>0</v>
      </c>
      <c r="L37" s="599">
        <f>Производительность_1!L67</f>
        <v>0</v>
      </c>
      <c r="M37" s="599">
        <f>Производительность_1!M67</f>
        <v>0</v>
      </c>
      <c r="N37" s="599">
        <f>Производительность_1!N67</f>
        <v>0</v>
      </c>
      <c r="O37" s="599">
        <f>Производительность_1!O67</f>
        <v>0</v>
      </c>
      <c r="P37" s="599">
        <f>Производительность_1!P67</f>
        <v>0</v>
      </c>
      <c r="Q37" s="599">
        <f>Производительность_1!Q67</f>
        <v>0</v>
      </c>
      <c r="R37" s="599">
        <f>Производительность_1!R67</f>
        <v>0</v>
      </c>
      <c r="S37" s="599">
        <f>Производительность_1!S67</f>
        <v>0</v>
      </c>
      <c r="T37" s="599">
        <f>Производительность_1!T67</f>
        <v>0</v>
      </c>
      <c r="U37" s="599">
        <f>Производительность_1!U67</f>
        <v>0</v>
      </c>
      <c r="V37" s="599">
        <f>Производительность_1!V67</f>
        <v>0</v>
      </c>
      <c r="W37" s="599">
        <f>Производительность_1!W67</f>
        <v>0</v>
      </c>
      <c r="X37" s="599">
        <f>Производительность_1!X67</f>
        <v>0</v>
      </c>
      <c r="Y37" s="608" t="e">
        <f>Производительность_1!Z67</f>
        <v>#DIV/0!</v>
      </c>
      <c r="Z37" s="179">
        <f>Производительность_1!AA67</f>
        <v>0</v>
      </c>
    </row>
    <row r="38" spans="1:26" x14ac:dyDescent="0.25">
      <c r="A38" s="196"/>
      <c r="B38" s="641">
        <f t="shared" si="1"/>
        <v>0</v>
      </c>
      <c r="C38" s="598">
        <f t="shared" si="1"/>
        <v>0</v>
      </c>
      <c r="D38" s="9" t="str">
        <f>Производительность_1!D68</f>
        <v>коэфф.</v>
      </c>
      <c r="E38" s="599">
        <f>Производительность_1!E68</f>
        <v>0</v>
      </c>
      <c r="F38" s="599">
        <f>Производительность_1!F68</f>
        <v>0</v>
      </c>
      <c r="G38" s="599">
        <f>Производительность_1!G68</f>
        <v>0</v>
      </c>
      <c r="H38" s="599">
        <f>Производительность_1!H68</f>
        <v>0</v>
      </c>
      <c r="I38" s="599">
        <f>Производительность_1!I68</f>
        <v>0</v>
      </c>
      <c r="J38" s="599">
        <f>Производительность_1!J68</f>
        <v>0</v>
      </c>
      <c r="K38" s="599">
        <f>Производительность_1!K68</f>
        <v>0</v>
      </c>
      <c r="L38" s="599">
        <f>Производительность_1!L68</f>
        <v>0</v>
      </c>
      <c r="M38" s="599">
        <f>Производительность_1!M68</f>
        <v>0</v>
      </c>
      <c r="N38" s="599">
        <f>Производительность_1!N68</f>
        <v>0</v>
      </c>
      <c r="O38" s="599">
        <f>Производительность_1!O68</f>
        <v>0</v>
      </c>
      <c r="P38" s="599">
        <f>Производительность_1!P68</f>
        <v>0</v>
      </c>
      <c r="Q38" s="599">
        <f>Производительность_1!Q68</f>
        <v>0</v>
      </c>
      <c r="R38" s="599">
        <f>Производительность_1!R68</f>
        <v>0</v>
      </c>
      <c r="S38" s="599">
        <f>Производительность_1!S68</f>
        <v>0</v>
      </c>
      <c r="T38" s="599">
        <f>Производительность_1!T68</f>
        <v>0</v>
      </c>
      <c r="U38" s="599">
        <f>Производительность_1!U68</f>
        <v>0</v>
      </c>
      <c r="V38" s="599">
        <f>Производительность_1!V68</f>
        <v>0</v>
      </c>
      <c r="W38" s="599">
        <f>Производительность_1!W68</f>
        <v>0</v>
      </c>
      <c r="X38" s="599">
        <f>Производительность_1!X68</f>
        <v>0</v>
      </c>
      <c r="Y38" s="608" t="e">
        <f>Производительность_1!Z68</f>
        <v>#DIV/0!</v>
      </c>
      <c r="Z38" s="179">
        <f>Производительность_1!AA68</f>
        <v>0</v>
      </c>
    </row>
    <row r="39" spans="1:26" x14ac:dyDescent="0.25">
      <c r="A39" s="196"/>
      <c r="B39" s="641">
        <f t="shared" si="1"/>
        <v>0</v>
      </c>
      <c r="C39" s="598">
        <f t="shared" si="1"/>
        <v>0</v>
      </c>
      <c r="D39" s="9" t="str">
        <f>Производительность_1!D69</f>
        <v>коэфф.</v>
      </c>
      <c r="E39" s="599">
        <f>Производительность_1!E69</f>
        <v>0</v>
      </c>
      <c r="F39" s="599">
        <f>Производительность_1!F69</f>
        <v>0</v>
      </c>
      <c r="G39" s="599">
        <f>Производительность_1!G69</f>
        <v>0</v>
      </c>
      <c r="H39" s="599">
        <f>Производительность_1!H69</f>
        <v>0</v>
      </c>
      <c r="I39" s="599">
        <f>Производительность_1!I69</f>
        <v>0</v>
      </c>
      <c r="J39" s="599">
        <f>Производительность_1!J69</f>
        <v>0</v>
      </c>
      <c r="K39" s="599">
        <f>Производительность_1!K69</f>
        <v>0</v>
      </c>
      <c r="L39" s="599">
        <f>Производительность_1!L69</f>
        <v>0</v>
      </c>
      <c r="M39" s="599">
        <f>Производительность_1!M69</f>
        <v>0</v>
      </c>
      <c r="N39" s="599">
        <f>Производительность_1!N69</f>
        <v>0</v>
      </c>
      <c r="O39" s="599">
        <f>Производительность_1!O69</f>
        <v>0</v>
      </c>
      <c r="P39" s="599">
        <f>Производительность_1!P69</f>
        <v>0</v>
      </c>
      <c r="Q39" s="599">
        <f>Производительность_1!Q69</f>
        <v>0</v>
      </c>
      <c r="R39" s="599">
        <f>Производительность_1!R69</f>
        <v>0</v>
      </c>
      <c r="S39" s="599">
        <f>Производительность_1!S69</f>
        <v>0</v>
      </c>
      <c r="T39" s="599">
        <f>Производительность_1!T69</f>
        <v>0</v>
      </c>
      <c r="U39" s="599">
        <f>Производительность_1!U69</f>
        <v>0</v>
      </c>
      <c r="V39" s="599">
        <f>Производительность_1!V69</f>
        <v>0</v>
      </c>
      <c r="W39" s="599">
        <f>Производительность_1!W69</f>
        <v>0</v>
      </c>
      <c r="X39" s="599">
        <f>Производительность_1!X69</f>
        <v>0</v>
      </c>
      <c r="Y39" s="608" t="e">
        <f>Производительность_1!Z69</f>
        <v>#DIV/0!</v>
      </c>
      <c r="Z39" s="179">
        <f>Производительность_1!AA69</f>
        <v>0</v>
      </c>
    </row>
    <row r="40" spans="1:26" x14ac:dyDescent="0.25">
      <c r="A40" s="196"/>
      <c r="B40" s="641">
        <f t="shared" si="1"/>
        <v>0</v>
      </c>
      <c r="C40" s="598">
        <f t="shared" si="1"/>
        <v>0</v>
      </c>
      <c r="D40" s="9" t="str">
        <f>Производительность_1!D70</f>
        <v>коэфф.</v>
      </c>
      <c r="E40" s="599">
        <f>Производительность_1!E70</f>
        <v>0</v>
      </c>
      <c r="F40" s="599">
        <f>Производительность_1!F70</f>
        <v>0</v>
      </c>
      <c r="G40" s="599">
        <f>Производительность_1!G70</f>
        <v>0</v>
      </c>
      <c r="H40" s="599">
        <f>Производительность_1!H70</f>
        <v>0</v>
      </c>
      <c r="I40" s="599">
        <f>Производительность_1!I70</f>
        <v>0</v>
      </c>
      <c r="J40" s="599">
        <f>Производительность_1!J70</f>
        <v>0</v>
      </c>
      <c r="K40" s="599">
        <f>Производительность_1!K70</f>
        <v>0</v>
      </c>
      <c r="L40" s="599">
        <f>Производительность_1!L70</f>
        <v>0</v>
      </c>
      <c r="M40" s="599">
        <f>Производительность_1!M70</f>
        <v>0</v>
      </c>
      <c r="N40" s="599">
        <f>Производительность_1!N70</f>
        <v>0</v>
      </c>
      <c r="O40" s="599">
        <f>Производительность_1!O70</f>
        <v>0</v>
      </c>
      <c r="P40" s="599">
        <f>Производительность_1!P70</f>
        <v>0</v>
      </c>
      <c r="Q40" s="599">
        <f>Производительность_1!Q70</f>
        <v>0</v>
      </c>
      <c r="R40" s="599">
        <f>Производительность_1!R70</f>
        <v>0</v>
      </c>
      <c r="S40" s="599">
        <f>Производительность_1!S70</f>
        <v>0</v>
      </c>
      <c r="T40" s="599">
        <f>Производительность_1!T70</f>
        <v>0</v>
      </c>
      <c r="U40" s="599">
        <f>Производительность_1!U70</f>
        <v>0</v>
      </c>
      <c r="V40" s="599">
        <f>Производительность_1!V70</f>
        <v>0</v>
      </c>
      <c r="W40" s="599">
        <f>Производительность_1!W70</f>
        <v>0</v>
      </c>
      <c r="X40" s="599">
        <f>Производительность_1!X70</f>
        <v>0</v>
      </c>
      <c r="Y40" s="608" t="e">
        <f>Производительность_1!Z70</f>
        <v>#DIV/0!</v>
      </c>
      <c r="Z40" s="179">
        <f>Производительность_1!AA70</f>
        <v>0</v>
      </c>
    </row>
    <row r="41" spans="1:26" x14ac:dyDescent="0.25">
      <c r="A41" s="196"/>
      <c r="B41" s="641">
        <f t="shared" si="1"/>
        <v>1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2"/>
    </row>
    <row r="42" spans="1:26" x14ac:dyDescent="0.25">
      <c r="A42" s="196"/>
      <c r="B42" s="640">
        <v>1</v>
      </c>
    </row>
    <row r="43" spans="1:26" x14ac:dyDescent="0.25">
      <c r="A43" s="196"/>
      <c r="B43" s="640">
        <v>1</v>
      </c>
      <c r="C43" s="603" t="s">
        <v>650</v>
      </c>
      <c r="D43" s="628" t="str">
        <f>D25</f>
        <v>Ед. изм.</v>
      </c>
      <c r="E43" s="628">
        <f t="shared" ref="E43:Y43" si="2">E25</f>
        <v>1</v>
      </c>
      <c r="F43" s="628">
        <f t="shared" si="2"/>
        <v>2</v>
      </c>
      <c r="G43" s="628">
        <f t="shared" si="2"/>
        <v>3</v>
      </c>
      <c r="H43" s="628">
        <f t="shared" si="2"/>
        <v>4</v>
      </c>
      <c r="I43" s="628">
        <f t="shared" si="2"/>
        <v>5</v>
      </c>
      <c r="J43" s="628">
        <f t="shared" si="2"/>
        <v>6</v>
      </c>
      <c r="K43" s="628">
        <f t="shared" si="2"/>
        <v>7</v>
      </c>
      <c r="L43" s="628">
        <f t="shared" si="2"/>
        <v>8</v>
      </c>
      <c r="M43" s="628">
        <f t="shared" si="2"/>
        <v>9</v>
      </c>
      <c r="N43" s="628">
        <f t="shared" si="2"/>
        <v>10</v>
      </c>
      <c r="O43" s="628">
        <f t="shared" si="2"/>
        <v>11</v>
      </c>
      <c r="P43" s="628">
        <f t="shared" si="2"/>
        <v>12</v>
      </c>
      <c r="Q43" s="628">
        <f t="shared" si="2"/>
        <v>13</v>
      </c>
      <c r="R43" s="628">
        <f t="shared" si="2"/>
        <v>14</v>
      </c>
      <c r="S43" s="628">
        <f t="shared" si="2"/>
        <v>15</v>
      </c>
      <c r="T43" s="628">
        <f t="shared" si="2"/>
        <v>16</v>
      </c>
      <c r="U43" s="628">
        <f t="shared" si="2"/>
        <v>17</v>
      </c>
      <c r="V43" s="628">
        <f t="shared" si="2"/>
        <v>18</v>
      </c>
      <c r="W43" s="628">
        <f t="shared" si="2"/>
        <v>19</v>
      </c>
      <c r="X43" s="628">
        <f t="shared" si="2"/>
        <v>20</v>
      </c>
      <c r="Y43" s="628" t="str">
        <f t="shared" si="2"/>
        <v>Средний</v>
      </c>
    </row>
    <row r="44" spans="1:26" x14ac:dyDescent="0.25">
      <c r="A44" s="196"/>
      <c r="B44" s="641">
        <f>B26</f>
        <v>1</v>
      </c>
      <c r="C44" s="604" t="str">
        <f>C26</f>
        <v>NHL NTE 240</v>
      </c>
      <c r="D44" s="605" t="str">
        <f>D26</f>
        <v>коэфф.</v>
      </c>
      <c r="E44" s="606">
        <f>Производительность!E56</f>
        <v>0.93755029173008619</v>
      </c>
      <c r="F44" s="606">
        <f>Производительность!F56</f>
        <v>0.93038070776255699</v>
      </c>
      <c r="G44" s="606">
        <f>Производительность!G56</f>
        <v>0.92090265093860979</v>
      </c>
      <c r="H44" s="606">
        <f>Производительность!H56</f>
        <v>0.90840582191780817</v>
      </c>
      <c r="I44" s="606">
        <f>Производительность!I56</f>
        <v>0.93333288939624548</v>
      </c>
      <c r="J44" s="606">
        <f>Производительность!J56</f>
        <v>0.92172393455098933</v>
      </c>
      <c r="K44" s="606">
        <f>Производительность!K56</f>
        <v>0.93126858193810236</v>
      </c>
      <c r="L44" s="606">
        <f>Производительность!L56</f>
        <v>0.91113603500761031</v>
      </c>
      <c r="M44" s="606">
        <f>Производительность!M56</f>
        <v>0.91706259512937582</v>
      </c>
      <c r="N44" s="606">
        <f>Производительность!N56</f>
        <v>0.93222304667681377</v>
      </c>
      <c r="O44" s="606">
        <f>Производительность!O56</f>
        <v>0.91462094114662595</v>
      </c>
      <c r="P44" s="606">
        <f>Производительность!P56</f>
        <v>0.91328912988330779</v>
      </c>
      <c r="Q44" s="606">
        <f>Производительность!Q56</f>
        <v>0.93377682648401816</v>
      </c>
      <c r="R44" s="606">
        <f>Производительность!R56</f>
        <v>0.93266698376458645</v>
      </c>
      <c r="S44" s="606">
        <f>Производительность!S56</f>
        <v>0.89848382800608828</v>
      </c>
      <c r="T44" s="606">
        <f>Производительность!T56</f>
        <v>0.92556399036022319</v>
      </c>
      <c r="U44" s="606">
        <f>Производительность!U56</f>
        <v>0.93422076357179096</v>
      </c>
      <c r="V44" s="606">
        <f>Производительность!V56</f>
        <v>0.90469894723490607</v>
      </c>
      <c r="W44" s="606">
        <f>Производительность!W56</f>
        <v>0.9344427321156773</v>
      </c>
      <c r="X44" s="606">
        <f>Производительность!X56</f>
        <v>0.9220124936580415</v>
      </c>
      <c r="Y44" s="607">
        <f>Производительность!Z56</f>
        <v>0.92288815956367343</v>
      </c>
      <c r="Z44" s="179" t="str">
        <f>Производительность!AA56</f>
        <v>данные поставщика от 27.07.2026</v>
      </c>
    </row>
    <row r="45" spans="1:26" x14ac:dyDescent="0.25">
      <c r="A45" s="196"/>
      <c r="B45" s="641">
        <f t="shared" ref="B45:D59" si="3">B27</f>
        <v>1</v>
      </c>
      <c r="C45" s="598" t="str">
        <f t="shared" si="3"/>
        <v>Estar ESDE240 (ГПБ К)</v>
      </c>
      <c r="D45" s="9" t="str">
        <f t="shared" si="3"/>
        <v>коэфф.</v>
      </c>
      <c r="E45" s="599">
        <f>Производительность!E57</f>
        <v>0.91162480974124804</v>
      </c>
      <c r="F45" s="599">
        <f>Производительность!F57</f>
        <v>0.89608701166920346</v>
      </c>
      <c r="G45" s="599">
        <f>Производительность!G57</f>
        <v>0.84869672754946723</v>
      </c>
      <c r="H45" s="599">
        <f>Производительность!H57</f>
        <v>0.80563483003551495</v>
      </c>
      <c r="I45" s="599">
        <f>Производительность!I57</f>
        <v>0.89852866565195333</v>
      </c>
      <c r="J45" s="599">
        <f>Производительность!J57</f>
        <v>0.82206050228310501</v>
      </c>
      <c r="K45" s="599">
        <f>Производительность!K57</f>
        <v>0.88942795535261288</v>
      </c>
      <c r="L45" s="599">
        <f>Производительность!L57</f>
        <v>0.81118404363267382</v>
      </c>
      <c r="M45" s="599">
        <f>Производительность!M57</f>
        <v>0.85613267376966007</v>
      </c>
      <c r="N45" s="599">
        <f>Производительность!N57</f>
        <v>0.83393581938102479</v>
      </c>
      <c r="O45" s="599">
        <f>Производительность!O57</f>
        <v>0</v>
      </c>
      <c r="P45" s="599">
        <f>Производительность!P57</f>
        <v>0</v>
      </c>
      <c r="Q45" s="599">
        <f>Производительность!Q57</f>
        <v>0</v>
      </c>
      <c r="R45" s="599">
        <f>Производительность!R57</f>
        <v>0</v>
      </c>
      <c r="S45" s="599">
        <f>Производительность!S57</f>
        <v>0</v>
      </c>
      <c r="T45" s="599">
        <f>Производительность!T57</f>
        <v>0</v>
      </c>
      <c r="U45" s="599">
        <f>Производительность!U57</f>
        <v>0</v>
      </c>
      <c r="V45" s="599">
        <f>Производительность!V57</f>
        <v>0</v>
      </c>
      <c r="W45" s="599">
        <f>Производительность!W57</f>
        <v>0</v>
      </c>
      <c r="X45" s="599">
        <f>Производительность!X57</f>
        <v>0</v>
      </c>
      <c r="Y45" s="608">
        <f>Производительность!Z57</f>
        <v>0.85733130390664647</v>
      </c>
      <c r="Z45" s="179" t="str">
        <f>Производительность!AA57</f>
        <v>данные поставщика от 24.07.2026</v>
      </c>
    </row>
    <row r="46" spans="1:26" x14ac:dyDescent="0.25">
      <c r="A46" s="196"/>
      <c r="B46" s="641">
        <f t="shared" si="3"/>
        <v>1</v>
      </c>
      <c r="C46" s="598" t="str">
        <f t="shared" si="3"/>
        <v>SANY SET240S</v>
      </c>
      <c r="D46" s="9" t="str">
        <f t="shared" si="3"/>
        <v>коэфф.</v>
      </c>
      <c r="E46" s="599">
        <f>Производительность!E58</f>
        <v>0.93570839675291717</v>
      </c>
      <c r="F46" s="599">
        <f>Производительность!F58</f>
        <v>0.90263508371385082</v>
      </c>
      <c r="G46" s="599">
        <f>Производительность!G58</f>
        <v>0.86578830542871643</v>
      </c>
      <c r="H46" s="599">
        <f>Производительность!H58</f>
        <v>0.90352295788939629</v>
      </c>
      <c r="I46" s="599">
        <f>Производительность!I58</f>
        <v>0.85025050735667174</v>
      </c>
      <c r="J46" s="599">
        <f>Производительность!J58</f>
        <v>0.90352295788939629</v>
      </c>
      <c r="K46" s="599">
        <f>Производительность!K58</f>
        <v>0.86578830542871643</v>
      </c>
      <c r="L46" s="599">
        <f>Производительность!L58</f>
        <v>0.90352295788939629</v>
      </c>
      <c r="M46" s="599">
        <f>Производительность!M58</f>
        <v>0.85025050735667174</v>
      </c>
      <c r="N46" s="599">
        <f>Производительность!N58</f>
        <v>0.88465563165905625</v>
      </c>
      <c r="O46" s="599">
        <f>Производительность!O58</f>
        <v>0.8635686199898529</v>
      </c>
      <c r="P46" s="599">
        <f>Производительность!P58</f>
        <v>0.8713375190258752</v>
      </c>
      <c r="Q46" s="599">
        <f>Производительность!Q58</f>
        <v>0</v>
      </c>
      <c r="R46" s="599">
        <f>Производительность!R58</f>
        <v>0</v>
      </c>
      <c r="S46" s="599">
        <f>Производительность!S58</f>
        <v>0</v>
      </c>
      <c r="T46" s="599">
        <f>Производительность!T58</f>
        <v>0</v>
      </c>
      <c r="U46" s="599">
        <f>Производительность!U58</f>
        <v>0</v>
      </c>
      <c r="V46" s="599">
        <f>Производительность!V58</f>
        <v>0</v>
      </c>
      <c r="W46" s="599">
        <f>Производительность!W58</f>
        <v>0</v>
      </c>
      <c r="X46" s="599">
        <f>Производительность!X58</f>
        <v>0</v>
      </c>
      <c r="Y46" s="608">
        <f>Производительность!Z58</f>
        <v>0.88337931253170965</v>
      </c>
      <c r="Z46" s="179" t="str">
        <f>Производительность!AA58</f>
        <v>данные поставщика от 16.07.2026</v>
      </c>
    </row>
    <row r="47" spans="1:26" x14ac:dyDescent="0.25">
      <c r="A47" s="196"/>
      <c r="B47" s="641">
        <f t="shared" si="3"/>
        <v>1</v>
      </c>
      <c r="C47" s="598" t="str">
        <f t="shared" si="3"/>
        <v>TZCO TZE240</v>
      </c>
      <c r="D47" s="9" t="str">
        <f t="shared" si="3"/>
        <v>коэфф.</v>
      </c>
      <c r="E47" s="599">
        <f>Производительность!E59</f>
        <v>0.90962709284627086</v>
      </c>
      <c r="F47" s="599">
        <f>Производительность!F59</f>
        <v>0.88376775748351089</v>
      </c>
      <c r="G47" s="599">
        <f>Производительность!G59</f>
        <v>0.77400431253170976</v>
      </c>
      <c r="H47" s="599">
        <f>Производительность!H59</f>
        <v>0.88376775748351089</v>
      </c>
      <c r="I47" s="599">
        <f>Производительность!I59</f>
        <v>0.90962709284627086</v>
      </c>
      <c r="J47" s="599">
        <f>Производительность!J59</f>
        <v>0.74814497716894979</v>
      </c>
      <c r="K47" s="599">
        <f>Производительность!K59</f>
        <v>0.90962709284627086</v>
      </c>
      <c r="L47" s="599">
        <f>Производительность!L59</f>
        <v>0.88376775748351089</v>
      </c>
      <c r="M47" s="599">
        <f>Производительность!M59</f>
        <v>0</v>
      </c>
      <c r="N47" s="599">
        <f>Производительность!N59</f>
        <v>0</v>
      </c>
      <c r="O47" s="599">
        <f>Производительность!O59</f>
        <v>0</v>
      </c>
      <c r="P47" s="599">
        <f>Производительность!P59</f>
        <v>0</v>
      </c>
      <c r="Q47" s="599">
        <f>Производительность!Q59</f>
        <v>0</v>
      </c>
      <c r="R47" s="599">
        <f>Производительность!R59</f>
        <v>0</v>
      </c>
      <c r="S47" s="599">
        <f>Производительность!S59</f>
        <v>0</v>
      </c>
      <c r="T47" s="599">
        <f>Производительность!T59</f>
        <v>0</v>
      </c>
      <c r="U47" s="599">
        <f>Производительность!U59</f>
        <v>0</v>
      </c>
      <c r="V47" s="599">
        <f>Производительность!V59</f>
        <v>0</v>
      </c>
      <c r="W47" s="599">
        <f>Производительность!W59</f>
        <v>0</v>
      </c>
      <c r="X47" s="599">
        <f>Производительность!X59</f>
        <v>0</v>
      </c>
      <c r="Y47" s="608">
        <f>Производительность!Z59</f>
        <v>0.86279173008625065</v>
      </c>
      <c r="Z47" s="179" t="str">
        <f>Производительность!AA59</f>
        <v>данные поставщика от 15.07.2026</v>
      </c>
    </row>
    <row r="48" spans="1:26" x14ac:dyDescent="0.25">
      <c r="A48" s="196"/>
      <c r="B48" s="641">
        <f t="shared" si="3"/>
        <v>1</v>
      </c>
      <c r="C48" s="598" t="str">
        <f t="shared" si="3"/>
        <v>БелАЗ 7531 (ГПФК)</v>
      </c>
      <c r="D48" s="9" t="str">
        <f t="shared" si="3"/>
        <v>коэфф.</v>
      </c>
      <c r="E48" s="599">
        <f>Производительность!E60</f>
        <v>0.90830416032470829</v>
      </c>
      <c r="F48" s="599">
        <f>Производительность!F60</f>
        <v>0.88577435312024355</v>
      </c>
      <c r="G48" s="599">
        <f>Производительность!G60</f>
        <v>0.86468734145103998</v>
      </c>
      <c r="H48" s="599">
        <f>Производительность!H60</f>
        <v>0.87460193641129713</v>
      </c>
      <c r="I48" s="599">
        <f>Производительность!I60</f>
        <v>0.88129798748520216</v>
      </c>
      <c r="J48" s="599">
        <f>Производительность!J60</f>
        <v>0.8456720361914426</v>
      </c>
      <c r="K48" s="599">
        <f>Производительность!K60</f>
        <v>0.89713174361576187</v>
      </c>
      <c r="L48" s="599">
        <f>Производительность!L60</f>
        <v>0.85462476746152538</v>
      </c>
      <c r="M48" s="599">
        <f>Производительность!M60</f>
        <v>0.84219452900388969</v>
      </c>
      <c r="N48" s="599">
        <f>Производительность!N60</f>
        <v>0.86135781329274486</v>
      </c>
      <c r="O48" s="599">
        <f>Производительность!O60</f>
        <v>0</v>
      </c>
      <c r="P48" s="599">
        <f>Производительность!P60</f>
        <v>0</v>
      </c>
      <c r="Q48" s="599">
        <f>Производительность!Q60</f>
        <v>0</v>
      </c>
      <c r="R48" s="599">
        <f>Производительность!R60</f>
        <v>0</v>
      </c>
      <c r="S48" s="599">
        <f>Производительность!S60</f>
        <v>0</v>
      </c>
      <c r="T48" s="599">
        <f>Производительность!T60</f>
        <v>0</v>
      </c>
      <c r="U48" s="599">
        <f>Производительность!U60</f>
        <v>0</v>
      </c>
      <c r="V48" s="599">
        <f>Производительность!V60</f>
        <v>0</v>
      </c>
      <c r="W48" s="599">
        <f>Производительность!W60</f>
        <v>0</v>
      </c>
      <c r="X48" s="599">
        <f>Производительность!X60</f>
        <v>0</v>
      </c>
      <c r="Y48" s="608">
        <f>Производительность!Z60</f>
        <v>0.8715646668357856</v>
      </c>
      <c r="Z48" s="179" t="str">
        <f>Производительность!AA60</f>
        <v>данные поставщика от 09.07.2026</v>
      </c>
    </row>
    <row r="49" spans="1:26" x14ac:dyDescent="0.25">
      <c r="A49" s="196"/>
      <c r="B49" s="641">
        <f t="shared" si="3"/>
        <v>1</v>
      </c>
      <c r="C49" s="598" t="str">
        <f t="shared" si="3"/>
        <v>XCMG 240</v>
      </c>
      <c r="D49" s="9" t="str">
        <f t="shared" si="3"/>
        <v>коэфф.</v>
      </c>
      <c r="E49" s="599">
        <f>Производительность!E61</f>
        <v>0</v>
      </c>
      <c r="F49" s="599">
        <f>Производительность!F61</f>
        <v>0</v>
      </c>
      <c r="G49" s="599">
        <f>Производительность!G61</f>
        <v>0</v>
      </c>
      <c r="H49" s="599">
        <f>Производительность!H61</f>
        <v>0</v>
      </c>
      <c r="I49" s="599">
        <f>Производительность!I61</f>
        <v>0</v>
      </c>
      <c r="J49" s="599">
        <f>Производительность!J61</f>
        <v>0</v>
      </c>
      <c r="K49" s="599">
        <f>Производительность!K61</f>
        <v>0</v>
      </c>
      <c r="L49" s="599">
        <f>Производительность!L61</f>
        <v>0</v>
      </c>
      <c r="M49" s="599">
        <f>Производительность!M61</f>
        <v>0</v>
      </c>
      <c r="N49" s="599">
        <f>Производительность!N61</f>
        <v>0</v>
      </c>
      <c r="O49" s="599">
        <f>Производительность!O61</f>
        <v>0</v>
      </c>
      <c r="P49" s="599">
        <f>Производительность!P61</f>
        <v>0</v>
      </c>
      <c r="Q49" s="599">
        <f>Производительность!Q61</f>
        <v>0</v>
      </c>
      <c r="R49" s="599">
        <f>Производительность!R61</f>
        <v>0</v>
      </c>
      <c r="S49" s="599">
        <f>Производительность!S61</f>
        <v>0</v>
      </c>
      <c r="T49" s="599">
        <f>Производительность!T61</f>
        <v>0</v>
      </c>
      <c r="U49" s="599">
        <f>Производительность!U61</f>
        <v>0</v>
      </c>
      <c r="V49" s="599">
        <f>Производительность!V61</f>
        <v>0</v>
      </c>
      <c r="W49" s="599">
        <f>Производительность!W61</f>
        <v>0</v>
      </c>
      <c r="X49" s="599">
        <f>Производительность!X61</f>
        <v>0</v>
      </c>
      <c r="Y49" s="608" t="e">
        <f>Производительность!Z61</f>
        <v>#DIV/0!</v>
      </c>
      <c r="Z49" s="179" t="str">
        <f>Производительность!AA61</f>
        <v>нет данных</v>
      </c>
    </row>
    <row r="50" spans="1:26" x14ac:dyDescent="0.25">
      <c r="A50" s="196"/>
      <c r="B50" s="641">
        <f t="shared" si="3"/>
        <v>1</v>
      </c>
      <c r="C50" s="598" t="str">
        <f t="shared" si="3"/>
        <v>БелАЗ 7531 (БТЛ)</v>
      </c>
      <c r="D50" s="9" t="str">
        <f t="shared" si="3"/>
        <v>коэфф.</v>
      </c>
      <c r="E50" s="599">
        <f>Производительность!E62</f>
        <v>0.92956036751648907</v>
      </c>
      <c r="F50" s="599">
        <f>Производительность!F62</f>
        <v>0.90792065417300871</v>
      </c>
      <c r="G50" s="599">
        <f>Производительность!G62</f>
        <v>0.8994118599906985</v>
      </c>
      <c r="H50" s="599">
        <f>Производительность!H62</f>
        <v>0.88050753900304413</v>
      </c>
      <c r="I50" s="599">
        <f>Производительность!I62</f>
        <v>0.9011506135844749</v>
      </c>
      <c r="J50" s="599">
        <f>Производительность!J62</f>
        <v>0.87025999122695752</v>
      </c>
      <c r="K50" s="599">
        <f>Производительность!K62</f>
        <v>0.85058935026636229</v>
      </c>
      <c r="L50" s="599">
        <f>Производительность!L62</f>
        <v>0.89171695046930488</v>
      </c>
      <c r="M50" s="599">
        <f>Производительность!M62</f>
        <v>0.85775576325469305</v>
      </c>
      <c r="N50" s="599">
        <f>Производительность!N62</f>
        <v>0.85228053917216307</v>
      </c>
      <c r="O50" s="599">
        <f>Производительность!O62</f>
        <v>0</v>
      </c>
      <c r="P50" s="599">
        <f>Производительность!P62</f>
        <v>0</v>
      </c>
      <c r="Q50" s="599">
        <f>Производительность!Q62</f>
        <v>0</v>
      </c>
      <c r="R50" s="599">
        <f>Производительность!R62</f>
        <v>0</v>
      </c>
      <c r="S50" s="599">
        <f>Производительность!S62</f>
        <v>0</v>
      </c>
      <c r="T50" s="599">
        <f>Производительность!T62</f>
        <v>0</v>
      </c>
      <c r="U50" s="599">
        <f>Производительность!U62</f>
        <v>0</v>
      </c>
      <c r="V50" s="599">
        <f>Производительность!V62</f>
        <v>0</v>
      </c>
      <c r="W50" s="599">
        <f>Производительность!W62</f>
        <v>0</v>
      </c>
      <c r="X50" s="599">
        <f>Производительность!X62</f>
        <v>0</v>
      </c>
      <c r="Y50" s="608">
        <f>Производительность!Z62</f>
        <v>0.88411536286571957</v>
      </c>
      <c r="Z50" s="179" t="str">
        <f>Производительность!AA62</f>
        <v>данные поставщика от 22.07.2026</v>
      </c>
    </row>
    <row r="51" spans="1:26" x14ac:dyDescent="0.25">
      <c r="A51" s="196"/>
      <c r="B51" s="641">
        <f t="shared" si="3"/>
        <v>0</v>
      </c>
      <c r="C51" s="598">
        <f t="shared" si="3"/>
        <v>0</v>
      </c>
      <c r="D51" s="9" t="str">
        <f t="shared" si="3"/>
        <v>коэфф.</v>
      </c>
      <c r="E51" s="599">
        <f>Производительность!E63</f>
        <v>0</v>
      </c>
      <c r="F51" s="599">
        <f>Производительность!F63</f>
        <v>0</v>
      </c>
      <c r="G51" s="599">
        <f>Производительность!G63</f>
        <v>0</v>
      </c>
      <c r="H51" s="599">
        <f>Производительность!H63</f>
        <v>0</v>
      </c>
      <c r="I51" s="599">
        <f>Производительность!I63</f>
        <v>0</v>
      </c>
      <c r="J51" s="599">
        <f>Производительность!J63</f>
        <v>0</v>
      </c>
      <c r="K51" s="599">
        <f>Производительность!K63</f>
        <v>0</v>
      </c>
      <c r="L51" s="599">
        <f>Производительность!L63</f>
        <v>0</v>
      </c>
      <c r="M51" s="599">
        <f>Производительность!M63</f>
        <v>0</v>
      </c>
      <c r="N51" s="599">
        <f>Производительность!N63</f>
        <v>0</v>
      </c>
      <c r="O51" s="599">
        <f>Производительность!O63</f>
        <v>0</v>
      </c>
      <c r="P51" s="599">
        <f>Производительность!P63</f>
        <v>0</v>
      </c>
      <c r="Q51" s="599">
        <f>Производительность!Q63</f>
        <v>0</v>
      </c>
      <c r="R51" s="599">
        <f>Производительность!R63</f>
        <v>0</v>
      </c>
      <c r="S51" s="599">
        <f>Производительность!S63</f>
        <v>0</v>
      </c>
      <c r="T51" s="599">
        <f>Производительность!T63</f>
        <v>0</v>
      </c>
      <c r="U51" s="599">
        <f>Производительность!U63</f>
        <v>0</v>
      </c>
      <c r="V51" s="599">
        <f>Производительность!V63</f>
        <v>0</v>
      </c>
      <c r="W51" s="599">
        <f>Производительность!W63</f>
        <v>0</v>
      </c>
      <c r="X51" s="599">
        <f>Производительность!X63</f>
        <v>0</v>
      </c>
      <c r="Y51" s="608" t="e">
        <f>Производительность!Z63</f>
        <v>#DIV/0!</v>
      </c>
      <c r="Z51" s="179">
        <f>Производительность!AA63</f>
        <v>0</v>
      </c>
    </row>
    <row r="52" spans="1:26" x14ac:dyDescent="0.25">
      <c r="A52" s="196"/>
      <c r="B52" s="641">
        <f t="shared" si="3"/>
        <v>0</v>
      </c>
      <c r="C52" s="598">
        <f t="shared" si="3"/>
        <v>0</v>
      </c>
      <c r="D52" s="9" t="str">
        <f t="shared" si="3"/>
        <v>коэфф.</v>
      </c>
      <c r="E52" s="599">
        <f>Производительность!E64</f>
        <v>0</v>
      </c>
      <c r="F52" s="599">
        <f>Производительность!F64</f>
        <v>0</v>
      </c>
      <c r="G52" s="599">
        <f>Производительность!G64</f>
        <v>0</v>
      </c>
      <c r="H52" s="599">
        <f>Производительность!H64</f>
        <v>0</v>
      </c>
      <c r="I52" s="599">
        <f>Производительность!I64</f>
        <v>0</v>
      </c>
      <c r="J52" s="599">
        <f>Производительность!J64</f>
        <v>0</v>
      </c>
      <c r="K52" s="599">
        <f>Производительность!K64</f>
        <v>0</v>
      </c>
      <c r="L52" s="599">
        <f>Производительность!L64</f>
        <v>0</v>
      </c>
      <c r="M52" s="599">
        <f>Производительность!M64</f>
        <v>0</v>
      </c>
      <c r="N52" s="599">
        <f>Производительность!N64</f>
        <v>0</v>
      </c>
      <c r="O52" s="599">
        <f>Производительность!O64</f>
        <v>0</v>
      </c>
      <c r="P52" s="599">
        <f>Производительность!P64</f>
        <v>0</v>
      </c>
      <c r="Q52" s="599">
        <f>Производительность!Q64</f>
        <v>0</v>
      </c>
      <c r="R52" s="599">
        <f>Производительность!R64</f>
        <v>0</v>
      </c>
      <c r="S52" s="599">
        <f>Производительность!S64</f>
        <v>0</v>
      </c>
      <c r="T52" s="599">
        <f>Производительность!T64</f>
        <v>0</v>
      </c>
      <c r="U52" s="599">
        <f>Производительность!U64</f>
        <v>0</v>
      </c>
      <c r="V52" s="599">
        <f>Производительность!V64</f>
        <v>0</v>
      </c>
      <c r="W52" s="599">
        <f>Производительность!W64</f>
        <v>0</v>
      </c>
      <c r="X52" s="599">
        <f>Производительность!X64</f>
        <v>0</v>
      </c>
      <c r="Y52" s="608" t="e">
        <f>Производительность!Z64</f>
        <v>#DIV/0!</v>
      </c>
      <c r="Z52" s="179">
        <f>Производительность!AA64</f>
        <v>0</v>
      </c>
    </row>
    <row r="53" spans="1:26" x14ac:dyDescent="0.25">
      <c r="A53" s="196"/>
      <c r="B53" s="641">
        <f t="shared" si="3"/>
        <v>0</v>
      </c>
      <c r="C53" s="598">
        <f t="shared" si="3"/>
        <v>0</v>
      </c>
      <c r="D53" s="9" t="str">
        <f t="shared" si="3"/>
        <v>коэфф.</v>
      </c>
      <c r="E53" s="599">
        <f>Производительность!E65</f>
        <v>0</v>
      </c>
      <c r="F53" s="599">
        <f>Производительность!F65</f>
        <v>0</v>
      </c>
      <c r="G53" s="599">
        <f>Производительность!G65</f>
        <v>0</v>
      </c>
      <c r="H53" s="599">
        <f>Производительность!H65</f>
        <v>0</v>
      </c>
      <c r="I53" s="599">
        <f>Производительность!I65</f>
        <v>0</v>
      </c>
      <c r="J53" s="599">
        <f>Производительность!J65</f>
        <v>0</v>
      </c>
      <c r="K53" s="599">
        <f>Производительность!K65</f>
        <v>0</v>
      </c>
      <c r="L53" s="599">
        <f>Производительность!L65</f>
        <v>0</v>
      </c>
      <c r="M53" s="599">
        <f>Производительность!M65</f>
        <v>0</v>
      </c>
      <c r="N53" s="599">
        <f>Производительность!N65</f>
        <v>0</v>
      </c>
      <c r="O53" s="599">
        <f>Производительность!O65</f>
        <v>0</v>
      </c>
      <c r="P53" s="599">
        <f>Производительность!P65</f>
        <v>0</v>
      </c>
      <c r="Q53" s="599">
        <f>Производительность!Q65</f>
        <v>0</v>
      </c>
      <c r="R53" s="599">
        <f>Производительность!R65</f>
        <v>0</v>
      </c>
      <c r="S53" s="599">
        <f>Производительность!S65</f>
        <v>0</v>
      </c>
      <c r="T53" s="599">
        <f>Производительность!T65</f>
        <v>0</v>
      </c>
      <c r="U53" s="599">
        <f>Производительность!U65</f>
        <v>0</v>
      </c>
      <c r="V53" s="599">
        <f>Производительность!V65</f>
        <v>0</v>
      </c>
      <c r="W53" s="599">
        <f>Производительность!W65</f>
        <v>0</v>
      </c>
      <c r="X53" s="599">
        <f>Производительность!X65</f>
        <v>0</v>
      </c>
      <c r="Y53" s="608" t="e">
        <f>Производительность!Z65</f>
        <v>#DIV/0!</v>
      </c>
      <c r="Z53" s="179">
        <f>Производительность!AA65</f>
        <v>0</v>
      </c>
    </row>
    <row r="54" spans="1:26" x14ac:dyDescent="0.25">
      <c r="A54" s="196"/>
      <c r="B54" s="641">
        <f t="shared" si="3"/>
        <v>0</v>
      </c>
      <c r="C54" s="598">
        <f t="shared" si="3"/>
        <v>0</v>
      </c>
      <c r="D54" s="9" t="str">
        <f t="shared" si="3"/>
        <v>коэфф.</v>
      </c>
      <c r="E54" s="599">
        <f>Производительность!E66</f>
        <v>0</v>
      </c>
      <c r="F54" s="599">
        <f>Производительность!F66</f>
        <v>0</v>
      </c>
      <c r="G54" s="599">
        <f>Производительность!G66</f>
        <v>0</v>
      </c>
      <c r="H54" s="599">
        <f>Производительность!H66</f>
        <v>0</v>
      </c>
      <c r="I54" s="599">
        <f>Производительность!I66</f>
        <v>0</v>
      </c>
      <c r="J54" s="599">
        <f>Производительность!J66</f>
        <v>0</v>
      </c>
      <c r="K54" s="599">
        <f>Производительность!K66</f>
        <v>0</v>
      </c>
      <c r="L54" s="599">
        <f>Производительность!L66</f>
        <v>0</v>
      </c>
      <c r="M54" s="599">
        <f>Производительность!M66</f>
        <v>0</v>
      </c>
      <c r="N54" s="599">
        <f>Производительность!N66</f>
        <v>0</v>
      </c>
      <c r="O54" s="599">
        <f>Производительность!O66</f>
        <v>0</v>
      </c>
      <c r="P54" s="599">
        <f>Производительность!P66</f>
        <v>0</v>
      </c>
      <c r="Q54" s="599">
        <f>Производительность!Q66</f>
        <v>0</v>
      </c>
      <c r="R54" s="599">
        <f>Производительность!R66</f>
        <v>0</v>
      </c>
      <c r="S54" s="599">
        <f>Производительность!S66</f>
        <v>0</v>
      </c>
      <c r="T54" s="599">
        <f>Производительность!T66</f>
        <v>0</v>
      </c>
      <c r="U54" s="599">
        <f>Производительность!U66</f>
        <v>0</v>
      </c>
      <c r="V54" s="599">
        <f>Производительность!V66</f>
        <v>0</v>
      </c>
      <c r="W54" s="599">
        <f>Производительность!W66</f>
        <v>0</v>
      </c>
      <c r="X54" s="599">
        <f>Производительность!X66</f>
        <v>0</v>
      </c>
      <c r="Y54" s="608" t="e">
        <f>Производительность!Z66</f>
        <v>#DIV/0!</v>
      </c>
      <c r="Z54" s="179">
        <f>Производительность!AA66</f>
        <v>0</v>
      </c>
    </row>
    <row r="55" spans="1:26" x14ac:dyDescent="0.25">
      <c r="A55" s="196"/>
      <c r="B55" s="641">
        <f t="shared" si="3"/>
        <v>0</v>
      </c>
      <c r="C55" s="598">
        <f t="shared" si="3"/>
        <v>0</v>
      </c>
      <c r="D55" s="9" t="str">
        <f t="shared" si="3"/>
        <v>коэфф.</v>
      </c>
      <c r="E55" s="599">
        <f>Производительность!E67</f>
        <v>0</v>
      </c>
      <c r="F55" s="599">
        <f>Производительность!F67</f>
        <v>0</v>
      </c>
      <c r="G55" s="599">
        <f>Производительность!G67</f>
        <v>0</v>
      </c>
      <c r="H55" s="599">
        <f>Производительность!H67</f>
        <v>0</v>
      </c>
      <c r="I55" s="599">
        <f>Производительность!I67</f>
        <v>0</v>
      </c>
      <c r="J55" s="599">
        <f>Производительность!J67</f>
        <v>0</v>
      </c>
      <c r="K55" s="599">
        <f>Производительность!K67</f>
        <v>0</v>
      </c>
      <c r="L55" s="599">
        <f>Производительность!L67</f>
        <v>0</v>
      </c>
      <c r="M55" s="599">
        <f>Производительность!M67</f>
        <v>0</v>
      </c>
      <c r="N55" s="599">
        <f>Производительность!N67</f>
        <v>0</v>
      </c>
      <c r="O55" s="599">
        <f>Производительность!O67</f>
        <v>0</v>
      </c>
      <c r="P55" s="599">
        <f>Производительность!P67</f>
        <v>0</v>
      </c>
      <c r="Q55" s="599">
        <f>Производительность!Q67</f>
        <v>0</v>
      </c>
      <c r="R55" s="599">
        <f>Производительность!R67</f>
        <v>0</v>
      </c>
      <c r="S55" s="599">
        <f>Производительность!S67</f>
        <v>0</v>
      </c>
      <c r="T55" s="599">
        <f>Производительность!T67</f>
        <v>0</v>
      </c>
      <c r="U55" s="599">
        <f>Производительность!U67</f>
        <v>0</v>
      </c>
      <c r="V55" s="599">
        <f>Производительность!V67</f>
        <v>0</v>
      </c>
      <c r="W55" s="599">
        <f>Производительность!W67</f>
        <v>0</v>
      </c>
      <c r="X55" s="599">
        <f>Производительность!X67</f>
        <v>0</v>
      </c>
      <c r="Y55" s="608" t="e">
        <f>Производительность!Z67</f>
        <v>#DIV/0!</v>
      </c>
      <c r="Z55" s="179">
        <f>Производительность!AA67</f>
        <v>0</v>
      </c>
    </row>
    <row r="56" spans="1:26" x14ac:dyDescent="0.25">
      <c r="A56" s="196"/>
      <c r="B56" s="641">
        <f t="shared" si="3"/>
        <v>0</v>
      </c>
      <c r="C56" s="598">
        <f t="shared" si="3"/>
        <v>0</v>
      </c>
      <c r="D56" s="9" t="str">
        <f t="shared" si="3"/>
        <v>коэфф.</v>
      </c>
      <c r="E56" s="599">
        <f>Производительность!E68</f>
        <v>0</v>
      </c>
      <c r="F56" s="599">
        <f>Производительность!F68</f>
        <v>0</v>
      </c>
      <c r="G56" s="599">
        <f>Производительность!G68</f>
        <v>0</v>
      </c>
      <c r="H56" s="599">
        <f>Производительность!H68</f>
        <v>0</v>
      </c>
      <c r="I56" s="599">
        <f>Производительность!I68</f>
        <v>0</v>
      </c>
      <c r="J56" s="599">
        <f>Производительность!J68</f>
        <v>0</v>
      </c>
      <c r="K56" s="599">
        <f>Производительность!K68</f>
        <v>0</v>
      </c>
      <c r="L56" s="599">
        <f>Производительность!L68</f>
        <v>0</v>
      </c>
      <c r="M56" s="599">
        <f>Производительность!M68</f>
        <v>0</v>
      </c>
      <c r="N56" s="599">
        <f>Производительность!N68</f>
        <v>0</v>
      </c>
      <c r="O56" s="599">
        <f>Производительность!O68</f>
        <v>0</v>
      </c>
      <c r="P56" s="599">
        <f>Производительность!P68</f>
        <v>0</v>
      </c>
      <c r="Q56" s="599">
        <f>Производительность!Q68</f>
        <v>0</v>
      </c>
      <c r="R56" s="599">
        <f>Производительность!R68</f>
        <v>0</v>
      </c>
      <c r="S56" s="599">
        <f>Производительность!S68</f>
        <v>0</v>
      </c>
      <c r="T56" s="599">
        <f>Производительность!T68</f>
        <v>0</v>
      </c>
      <c r="U56" s="599">
        <f>Производительность!U68</f>
        <v>0</v>
      </c>
      <c r="V56" s="599">
        <f>Производительность!V68</f>
        <v>0</v>
      </c>
      <c r="W56" s="599">
        <f>Производительность!W68</f>
        <v>0</v>
      </c>
      <c r="X56" s="599">
        <f>Производительность!X68</f>
        <v>0</v>
      </c>
      <c r="Y56" s="608" t="e">
        <f>Производительность!Z68</f>
        <v>#DIV/0!</v>
      </c>
      <c r="Z56" s="179">
        <f>Производительность!AA68</f>
        <v>0</v>
      </c>
    </row>
    <row r="57" spans="1:26" x14ac:dyDescent="0.25">
      <c r="A57" s="196"/>
      <c r="B57" s="641">
        <f t="shared" si="3"/>
        <v>0</v>
      </c>
      <c r="C57" s="598">
        <f t="shared" si="3"/>
        <v>0</v>
      </c>
      <c r="D57" s="9" t="str">
        <f t="shared" si="3"/>
        <v>коэфф.</v>
      </c>
      <c r="E57" s="599">
        <f>Производительность!E69</f>
        <v>0</v>
      </c>
      <c r="F57" s="599">
        <f>Производительность!F69</f>
        <v>0</v>
      </c>
      <c r="G57" s="599">
        <f>Производительность!G69</f>
        <v>0</v>
      </c>
      <c r="H57" s="599">
        <f>Производительность!H69</f>
        <v>0</v>
      </c>
      <c r="I57" s="599">
        <f>Производительность!I69</f>
        <v>0</v>
      </c>
      <c r="J57" s="599">
        <f>Производительность!J69</f>
        <v>0</v>
      </c>
      <c r="K57" s="599">
        <f>Производительность!K69</f>
        <v>0</v>
      </c>
      <c r="L57" s="599">
        <f>Производительность!L69</f>
        <v>0</v>
      </c>
      <c r="M57" s="599">
        <f>Производительность!M69</f>
        <v>0</v>
      </c>
      <c r="N57" s="599">
        <f>Производительность!N69</f>
        <v>0</v>
      </c>
      <c r="O57" s="599">
        <f>Производительность!O69</f>
        <v>0</v>
      </c>
      <c r="P57" s="599">
        <f>Производительность!P69</f>
        <v>0</v>
      </c>
      <c r="Q57" s="599">
        <f>Производительность!Q69</f>
        <v>0</v>
      </c>
      <c r="R57" s="599">
        <f>Производительность!R69</f>
        <v>0</v>
      </c>
      <c r="S57" s="599">
        <f>Производительность!S69</f>
        <v>0</v>
      </c>
      <c r="T57" s="599">
        <f>Производительность!T69</f>
        <v>0</v>
      </c>
      <c r="U57" s="599">
        <f>Производительность!U69</f>
        <v>0</v>
      </c>
      <c r="V57" s="599">
        <f>Производительность!V69</f>
        <v>0</v>
      </c>
      <c r="W57" s="599">
        <f>Производительность!W69</f>
        <v>0</v>
      </c>
      <c r="X57" s="599">
        <f>Производительность!X69</f>
        <v>0</v>
      </c>
      <c r="Y57" s="608" t="e">
        <f>Производительность!Z69</f>
        <v>#DIV/0!</v>
      </c>
      <c r="Z57" s="179">
        <f>Производительность!AA69</f>
        <v>0</v>
      </c>
    </row>
    <row r="58" spans="1:26" x14ac:dyDescent="0.25">
      <c r="A58" s="196"/>
      <c r="B58" s="641">
        <f t="shared" si="3"/>
        <v>0</v>
      </c>
      <c r="C58" s="598">
        <f t="shared" si="3"/>
        <v>0</v>
      </c>
      <c r="D58" s="9" t="str">
        <f t="shared" si="3"/>
        <v>коэфф.</v>
      </c>
      <c r="E58" s="599">
        <f>Производительность!E70</f>
        <v>0</v>
      </c>
      <c r="F58" s="599">
        <f>Производительность!F70</f>
        <v>0</v>
      </c>
      <c r="G58" s="599">
        <f>Производительность!G70</f>
        <v>0</v>
      </c>
      <c r="H58" s="599">
        <f>Производительность!H70</f>
        <v>0</v>
      </c>
      <c r="I58" s="599">
        <f>Производительность!I70</f>
        <v>0</v>
      </c>
      <c r="J58" s="599">
        <f>Производительность!J70</f>
        <v>0</v>
      </c>
      <c r="K58" s="599">
        <f>Производительность!K70</f>
        <v>0</v>
      </c>
      <c r="L58" s="599">
        <f>Производительность!L70</f>
        <v>0</v>
      </c>
      <c r="M58" s="599">
        <f>Производительность!M70</f>
        <v>0</v>
      </c>
      <c r="N58" s="599">
        <f>Производительность!N70</f>
        <v>0</v>
      </c>
      <c r="O58" s="599">
        <f>Производительность!O70</f>
        <v>0</v>
      </c>
      <c r="P58" s="599">
        <f>Производительность!P70</f>
        <v>0</v>
      </c>
      <c r="Q58" s="599">
        <f>Производительность!Q70</f>
        <v>0</v>
      </c>
      <c r="R58" s="599">
        <f>Производительность!R70</f>
        <v>0</v>
      </c>
      <c r="S58" s="599">
        <f>Производительность!S70</f>
        <v>0</v>
      </c>
      <c r="T58" s="599">
        <f>Производительность!T70</f>
        <v>0</v>
      </c>
      <c r="U58" s="599">
        <f>Производительность!U70</f>
        <v>0</v>
      </c>
      <c r="V58" s="599">
        <f>Производительность!V70</f>
        <v>0</v>
      </c>
      <c r="W58" s="599">
        <f>Производительность!W70</f>
        <v>0</v>
      </c>
      <c r="X58" s="599">
        <f>Производительность!X70</f>
        <v>0</v>
      </c>
      <c r="Y58" s="608" t="e">
        <f>Производительность!Z70</f>
        <v>#DIV/0!</v>
      </c>
      <c r="Z58" s="179">
        <f>Производительность!AA70</f>
        <v>0</v>
      </c>
    </row>
    <row r="59" spans="1:26" x14ac:dyDescent="0.25">
      <c r="A59" s="196"/>
      <c r="B59" s="641">
        <f t="shared" si="3"/>
        <v>1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2"/>
    </row>
    <row r="60" spans="1:26" x14ac:dyDescent="0.25">
      <c r="A60" s="196"/>
      <c r="B60" s="640">
        <v>1</v>
      </c>
    </row>
    <row r="61" spans="1:26" x14ac:dyDescent="0.25">
      <c r="A61" s="196"/>
      <c r="B61" s="640">
        <v>1</v>
      </c>
      <c r="C61" s="603" t="s">
        <v>651</v>
      </c>
      <c r="D61" s="628" t="str">
        <f>D43</f>
        <v>Ед. изм.</v>
      </c>
      <c r="E61" s="628">
        <f t="shared" ref="E61:Y61" si="4">E43</f>
        <v>1</v>
      </c>
      <c r="F61" s="628">
        <f t="shared" si="4"/>
        <v>2</v>
      </c>
      <c r="G61" s="628">
        <f t="shared" si="4"/>
        <v>3</v>
      </c>
      <c r="H61" s="628">
        <f t="shared" si="4"/>
        <v>4</v>
      </c>
      <c r="I61" s="628">
        <f t="shared" si="4"/>
        <v>5</v>
      </c>
      <c r="J61" s="628">
        <f t="shared" si="4"/>
        <v>6</v>
      </c>
      <c r="K61" s="628">
        <f t="shared" si="4"/>
        <v>7</v>
      </c>
      <c r="L61" s="628">
        <f t="shared" si="4"/>
        <v>8</v>
      </c>
      <c r="M61" s="628">
        <f t="shared" si="4"/>
        <v>9</v>
      </c>
      <c r="N61" s="628">
        <f t="shared" si="4"/>
        <v>10</v>
      </c>
      <c r="O61" s="628">
        <f t="shared" si="4"/>
        <v>11</v>
      </c>
      <c r="P61" s="628">
        <f t="shared" si="4"/>
        <v>12</v>
      </c>
      <c r="Q61" s="628">
        <f t="shared" si="4"/>
        <v>13</v>
      </c>
      <c r="R61" s="628">
        <f t="shared" si="4"/>
        <v>14</v>
      </c>
      <c r="S61" s="628">
        <f t="shared" si="4"/>
        <v>15</v>
      </c>
      <c r="T61" s="628">
        <f t="shared" si="4"/>
        <v>16</v>
      </c>
      <c r="U61" s="628">
        <f t="shared" si="4"/>
        <v>17</v>
      </c>
      <c r="V61" s="628">
        <f t="shared" si="4"/>
        <v>18</v>
      </c>
      <c r="W61" s="628">
        <f t="shared" si="4"/>
        <v>19</v>
      </c>
      <c r="X61" s="628">
        <f t="shared" si="4"/>
        <v>20</v>
      </c>
      <c r="Y61" s="628" t="str">
        <f t="shared" si="4"/>
        <v>Средний</v>
      </c>
    </row>
    <row r="62" spans="1:26" x14ac:dyDescent="0.25">
      <c r="A62" s="196"/>
      <c r="B62" s="640">
        <v>1</v>
      </c>
      <c r="C62" s="604" t="s">
        <v>163</v>
      </c>
      <c r="D62" s="605" t="str">
        <f>D44</f>
        <v>коэфф.</v>
      </c>
      <c r="E62" s="606">
        <v>0.92104769793308039</v>
      </c>
      <c r="F62" s="606">
        <v>0.90366925809748899</v>
      </c>
      <c r="G62" s="606">
        <v>0.8377955520110909</v>
      </c>
      <c r="H62" s="606">
        <v>0.86443487382785311</v>
      </c>
      <c r="I62" s="606">
        <v>0.89167487382785315</v>
      </c>
      <c r="J62" s="606">
        <v>0.88808058811356738</v>
      </c>
      <c r="K62" s="606">
        <v>0.8635605881135674</v>
      </c>
      <c r="L62" s="606">
        <v>0.88910344525642448</v>
      </c>
      <c r="M62" s="606">
        <v>0.8889548738278531</v>
      </c>
      <c r="N62" s="606">
        <v>0.86370344525642451</v>
      </c>
      <c r="O62" s="606"/>
      <c r="P62" s="606"/>
      <c r="Q62" s="606"/>
      <c r="R62" s="606"/>
      <c r="S62" s="606"/>
      <c r="T62" s="606"/>
      <c r="U62" s="606"/>
      <c r="V62" s="606"/>
      <c r="W62" s="606"/>
      <c r="X62" s="606"/>
      <c r="Y62" s="607">
        <v>0.88120251962652019</v>
      </c>
      <c r="Z62" s="2" t="s">
        <v>654</v>
      </c>
    </row>
    <row r="63" spans="1:26" x14ac:dyDescent="0.25">
      <c r="A63" s="196"/>
      <c r="B63" s="640">
        <v>1</v>
      </c>
      <c r="C63" s="598" t="s">
        <v>652</v>
      </c>
      <c r="D63" s="9" t="str">
        <f>D62</f>
        <v>коэфф.</v>
      </c>
      <c r="E63" s="599">
        <v>0.92104769793308039</v>
      </c>
      <c r="F63" s="599">
        <v>0.90366925809748899</v>
      </c>
      <c r="G63" s="599">
        <v>0.8377955520110909</v>
      </c>
      <c r="H63" s="599">
        <v>0.86443487382785311</v>
      </c>
      <c r="I63" s="599">
        <v>0.89167487382785315</v>
      </c>
      <c r="J63" s="599">
        <v>0.88808058811356738</v>
      </c>
      <c r="K63" s="599">
        <v>0.8635605881135674</v>
      </c>
      <c r="L63" s="599">
        <v>0.88910344525642448</v>
      </c>
      <c r="M63" s="599">
        <v>0.8889548738278531</v>
      </c>
      <c r="N63" s="599">
        <v>0.86370344525642451</v>
      </c>
      <c r="O63" s="599"/>
      <c r="P63" s="599"/>
      <c r="Q63" s="639"/>
      <c r="R63" s="639"/>
      <c r="S63" s="639"/>
      <c r="T63" s="639"/>
      <c r="U63" s="639"/>
      <c r="V63" s="639"/>
      <c r="W63" s="639"/>
      <c r="X63" s="639"/>
      <c r="Y63" s="608">
        <v>0.88120251962652019</v>
      </c>
      <c r="Z63" s="2" t="s">
        <v>655</v>
      </c>
    </row>
    <row r="64" spans="1:26" x14ac:dyDescent="0.25">
      <c r="A64" s="196"/>
      <c r="B64" s="640">
        <v>1</v>
      </c>
      <c r="C64" s="654" t="s">
        <v>653</v>
      </c>
      <c r="D64" s="452" t="str">
        <f>D63</f>
        <v>коэфф.</v>
      </c>
      <c r="E64" s="655">
        <v>0.77</v>
      </c>
      <c r="F64" s="655">
        <v>0.74735920852359194</v>
      </c>
      <c r="G64" s="655">
        <v>0.70762683916793501</v>
      </c>
      <c r="H64" s="655">
        <v>0.75483214950109923</v>
      </c>
      <c r="I64" s="655">
        <v>0.74288284288855055</v>
      </c>
      <c r="J64" s="655">
        <v>0.68861153390833751</v>
      </c>
      <c r="K64" s="655">
        <v>0.75871659901911048</v>
      </c>
      <c r="L64" s="655">
        <v>0.73485498055132747</v>
      </c>
      <c r="M64" s="655">
        <v>0.68513402672078461</v>
      </c>
      <c r="N64" s="655">
        <v>0.72294266869609325</v>
      </c>
      <c r="O64" s="655"/>
      <c r="P64" s="655"/>
      <c r="Q64" s="193"/>
      <c r="R64" s="193"/>
      <c r="S64" s="193"/>
      <c r="T64" s="193"/>
      <c r="U64" s="193"/>
      <c r="V64" s="193"/>
      <c r="W64" s="193"/>
      <c r="X64" s="193"/>
      <c r="Y64" s="656">
        <v>0.73129608489768305</v>
      </c>
      <c r="Z64" s="217" t="s">
        <v>656</v>
      </c>
    </row>
    <row r="65" spans="1:28" x14ac:dyDescent="0.25">
      <c r="A65" s="196"/>
      <c r="B65" s="640">
        <v>1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2"/>
    </row>
    <row r="66" spans="1:28" x14ac:dyDescent="0.25">
      <c r="A66" s="196"/>
      <c r="B66" s="640">
        <v>1</v>
      </c>
    </row>
    <row r="67" spans="1:28" x14ac:dyDescent="0.25">
      <c r="A67" s="196"/>
      <c r="B67" s="640">
        <v>1</v>
      </c>
    </row>
    <row r="68" spans="1:28" x14ac:dyDescent="0.25">
      <c r="A68" s="196"/>
      <c r="B68" s="640">
        <v>1</v>
      </c>
      <c r="C68" s="602" t="s">
        <v>657</v>
      </c>
      <c r="E68" s="183">
        <f>'ФОТ, МТР, макро'!AK7</f>
        <v>94.048500000000004</v>
      </c>
      <c r="F68" s="183">
        <f>'ФОТ, МТР, макро'!AL7</f>
        <v>94.048500000000004</v>
      </c>
      <c r="G68" s="183">
        <f>'ФОТ, МТР, макро'!AM7</f>
        <v>94.048500000000004</v>
      </c>
      <c r="H68" s="183">
        <f>'ФОТ, МТР, макро'!AN7</f>
        <v>94.048500000000004</v>
      </c>
      <c r="I68" s="183">
        <f>'ФОТ, МТР, макро'!AO7</f>
        <v>94.048500000000004</v>
      </c>
      <c r="J68" s="183">
        <f>'ФОТ, МТР, макро'!AP7</f>
        <v>94.048500000000004</v>
      </c>
      <c r="K68" s="183">
        <f>'ФОТ, МТР, макро'!AQ7</f>
        <v>94.048500000000004</v>
      </c>
      <c r="L68" s="183">
        <f>'ФОТ, МТР, макро'!AR7</f>
        <v>94.048500000000004</v>
      </c>
      <c r="M68" s="183">
        <f>'ФОТ, МТР, макро'!AS7</f>
        <v>94.048500000000004</v>
      </c>
      <c r="N68" s="183">
        <f>'ФОТ, МТР, макро'!AT7</f>
        <v>94.048500000000004</v>
      </c>
      <c r="O68" s="183">
        <f>'ФОТ, МТР, макро'!AU7</f>
        <v>94.048500000000004</v>
      </c>
      <c r="P68" s="183">
        <f>'ФОТ, МТР, макро'!AV7</f>
        <v>94.048500000000004</v>
      </c>
      <c r="Q68" s="183">
        <f>'ФОТ, МТР, макро'!AW7</f>
        <v>94.048500000000004</v>
      </c>
      <c r="R68" s="183">
        <f>'ФОТ, МТР, макро'!AX7</f>
        <v>94.048500000000004</v>
      </c>
      <c r="S68" s="183">
        <f>'ФОТ, МТР, макро'!AY7</f>
        <v>94.048500000000004</v>
      </c>
      <c r="T68" s="183">
        <f>'ФОТ, МТР, макро'!AZ7</f>
        <v>94.048500000000004</v>
      </c>
      <c r="U68" s="183">
        <f>'ФОТ, МТР, макро'!BA7</f>
        <v>94.048500000000004</v>
      </c>
      <c r="V68" s="183">
        <f>'ФОТ, МТР, макро'!BB7</f>
        <v>94.048500000000004</v>
      </c>
      <c r="W68" s="183">
        <f>'ФОТ, МТР, макро'!BC7</f>
        <v>94.048500000000004</v>
      </c>
      <c r="X68" s="183">
        <f>'ФОТ, МТР, макро'!BD7</f>
        <v>94.048500000000004</v>
      </c>
      <c r="Y68" s="621" t="s">
        <v>658</v>
      </c>
    </row>
    <row r="69" spans="1:28" x14ac:dyDescent="0.25">
      <c r="A69" s="196"/>
      <c r="B69" s="640">
        <v>1</v>
      </c>
      <c r="C69" s="621" t="s">
        <v>664</v>
      </c>
    </row>
    <row r="70" spans="1:28" x14ac:dyDescent="0.25">
      <c r="A70" s="196"/>
      <c r="B70" s="640">
        <v>1</v>
      </c>
      <c r="C70" s="603" t="s">
        <v>659</v>
      </c>
      <c r="D70" s="628" t="str">
        <f>D25</f>
        <v>Ед. изм.</v>
      </c>
      <c r="E70" s="628">
        <f t="shared" ref="E70:X70" si="5">E25</f>
        <v>1</v>
      </c>
      <c r="F70" s="628">
        <f t="shared" si="5"/>
        <v>2</v>
      </c>
      <c r="G70" s="628">
        <f t="shared" si="5"/>
        <v>3</v>
      </c>
      <c r="H70" s="628">
        <f t="shared" si="5"/>
        <v>4</v>
      </c>
      <c r="I70" s="628">
        <f t="shared" si="5"/>
        <v>5</v>
      </c>
      <c r="J70" s="628">
        <f t="shared" si="5"/>
        <v>6</v>
      </c>
      <c r="K70" s="628">
        <f t="shared" si="5"/>
        <v>7</v>
      </c>
      <c r="L70" s="628">
        <f t="shared" si="5"/>
        <v>8</v>
      </c>
      <c r="M70" s="628">
        <f t="shared" si="5"/>
        <v>9</v>
      </c>
      <c r="N70" s="628">
        <f t="shared" si="5"/>
        <v>10</v>
      </c>
      <c r="O70" s="628">
        <f t="shared" si="5"/>
        <v>11</v>
      </c>
      <c r="P70" s="628">
        <f t="shared" si="5"/>
        <v>12</v>
      </c>
      <c r="Q70" s="628">
        <f t="shared" si="5"/>
        <v>13</v>
      </c>
      <c r="R70" s="628">
        <f t="shared" si="5"/>
        <v>14</v>
      </c>
      <c r="S70" s="628">
        <f t="shared" si="5"/>
        <v>15</v>
      </c>
      <c r="T70" s="628">
        <f t="shared" si="5"/>
        <v>16</v>
      </c>
      <c r="U70" s="628">
        <f t="shared" si="5"/>
        <v>17</v>
      </c>
      <c r="V70" s="628">
        <f t="shared" si="5"/>
        <v>18</v>
      </c>
      <c r="W70" s="628">
        <f t="shared" si="5"/>
        <v>19</v>
      </c>
      <c r="X70" s="628">
        <f t="shared" si="5"/>
        <v>20</v>
      </c>
      <c r="Y70" s="628" t="s">
        <v>660</v>
      </c>
      <c r="Z70" s="628" t="s">
        <v>661</v>
      </c>
      <c r="AA70" s="621" t="s">
        <v>662</v>
      </c>
    </row>
    <row r="71" spans="1:28" x14ac:dyDescent="0.25">
      <c r="A71" s="618" t="s">
        <v>59</v>
      </c>
      <c r="B71" s="641">
        <f>B5</f>
        <v>1</v>
      </c>
      <c r="C71" s="604" t="str">
        <f t="shared" ref="C71:C85" si="6">C5</f>
        <v>NHL NTE 240</v>
      </c>
      <c r="D71" s="605" t="s">
        <v>35</v>
      </c>
      <c r="E71" s="610">
        <f>SUMIFS(ТСО_1!G:G,ТСО_1!$A:$A,$C71,ТСО_1!$C:$C,$A$71)/E$68</f>
        <v>63.913839890898842</v>
      </c>
      <c r="F71" s="610">
        <f>SUMIFS(ТСО_1!H:H,ТСО_1!$A:$A,$C71,ТСО_1!$C:$C,$A$71)/F$68</f>
        <v>88.81548887583746</v>
      </c>
      <c r="G71" s="610">
        <f>SUMIFS(ТСО_1!I:I,ТСО_1!$A:$A,$C71,ТСО_1!$C:$C,$A$71)/G$68</f>
        <v>526.21504951629436</v>
      </c>
      <c r="H71" s="610">
        <f>SUMIFS(ТСО_1!J:J,ТСО_1!$A:$A,$C71,ТСО_1!$C:$C,$A$71)/H$68</f>
        <v>279.84310319866029</v>
      </c>
      <c r="I71" s="610">
        <f>SUMIFS(ТСО_1!K:K,ТСО_1!$A:$A,$C71,ТСО_1!$C:$C,$A$71)/I$68</f>
        <v>93.326114942898599</v>
      </c>
      <c r="J71" s="610">
        <f>SUMIFS(ТСО_1!L:L,ТСО_1!$A:$A,$C71,ТСО_1!$C:$C,$A$71)/J$68</f>
        <v>513.88140858341399</v>
      </c>
      <c r="K71" s="610">
        <f>SUMIFS(ТСО_1!M:M,ТСО_1!$A:$A,$C71,ТСО_1!$C:$C,$A$71)/K$68</f>
        <v>86.516047681857771</v>
      </c>
      <c r="L71" s="610">
        <f>SUMIFS(ТСО_1!N:N,ТСО_1!$A:$A,$C71,ТСО_1!$C:$C,$A$71)/L$68</f>
        <v>296.58054689207376</v>
      </c>
      <c r="M71" s="610">
        <f>SUMIFS(ТСО_1!O:O,ТСО_1!$A:$A,$C71,ТСО_1!$C:$C,$A$71)/M$68</f>
        <v>958.65981980928143</v>
      </c>
      <c r="N71" s="610">
        <f>SUMIFS(ТСО_1!P:P,ТСО_1!$A:$A,$C71,ТСО_1!$C:$C,$A$71)/N$68</f>
        <v>73.52226174345364</v>
      </c>
      <c r="O71" s="610">
        <f>SUMIFS(ТСО_1!Q:Q,ТСО_1!$A:$A,$C71,ТСО_1!$C:$C,$A$71)/O$68</f>
        <v>2113.8488693080612</v>
      </c>
      <c r="P71" s="610">
        <f>SUMIFS(ТСО_1!R:R,ТСО_1!$A:$A,$C71,ТСО_1!$C:$C,$A$71)/P$68</f>
        <v>515.23000666206485</v>
      </c>
      <c r="Q71" s="610">
        <f>SUMIFS(ТСО_1!S:S,ТСО_1!$A:$A,$C71,ТСО_1!$C:$C,$A$71)/Q$68</f>
        <v>80.169897073607757</v>
      </c>
      <c r="R71" s="610">
        <f>SUMIFS(ТСО_1!T:T,ТСО_1!$A:$A,$C71,ТСО_1!$C:$C,$A$71)/R$68</f>
        <v>81.530805251111929</v>
      </c>
      <c r="S71" s="610">
        <f>SUMIFS(ТСО_1!U:U,ТСО_1!$A:$A,$C71,ТСО_1!$C:$C,$A$71)/S$68</f>
        <v>733.18369329021948</v>
      </c>
      <c r="T71" s="610">
        <f>SUMIFS(ТСО_1!V:V,ТСО_1!$A:$A,$C71,ТСО_1!$C:$C,$A$71)/T$68</f>
        <v>81.693954116941782</v>
      </c>
      <c r="U71" s="610">
        <f>SUMIFS(ТСО_1!W:W,ТСО_1!$A:$A,$C71,ТСО_1!$C:$C,$A$71)/U$68</f>
        <v>80.597160427430524</v>
      </c>
      <c r="V71" s="610">
        <f>SUMIFS(ТСО_1!X:X,ТСО_1!$A:$A,$C71,ТСО_1!$C:$C,$A$71)/V$68</f>
        <v>1170.2927907256915</v>
      </c>
      <c r="W71" s="610">
        <f>SUMIFS(ТСО_1!Y:Y,ТСО_1!$A:$A,$C71,ТСО_1!$C:$C,$A$71)/W$68</f>
        <v>83.01431745088118</v>
      </c>
      <c r="X71" s="610">
        <f>SUMIFS(ТСО_1!Z:Z,ТСО_1!$A:$A,$C71,ТСО_1!$C:$C,$A$71)/X$68</f>
        <v>101.4329287775265</v>
      </c>
      <c r="Y71" s="611">
        <f>SUM(E71:X71)</f>
        <v>8022.2681042182076</v>
      </c>
      <c r="Z71" s="611">
        <f>Y71/K5</f>
        <v>401.1134052109104</v>
      </c>
      <c r="AA71" s="612">
        <f>IF(Y71=0,"-",Y71/Y89-1)</f>
        <v>0</v>
      </c>
      <c r="AB71" s="620"/>
    </row>
    <row r="72" spans="1:28" x14ac:dyDescent="0.25">
      <c r="A72" s="196"/>
      <c r="B72" s="641">
        <f t="shared" ref="B72:B86" si="7">B6</f>
        <v>1</v>
      </c>
      <c r="C72" s="598" t="str">
        <f t="shared" si="6"/>
        <v>Estar ESDE240 (ГПБ К)</v>
      </c>
      <c r="D72" s="9" t="str">
        <f>D71</f>
        <v>тыс. долл.</v>
      </c>
      <c r="E72" s="613">
        <f>SUMIFS(ТСО_1!G:G,ТСО_1!$A:$A,$C72,ТСО_1!$C:$C,$A$71)/E$68</f>
        <v>180.53002627191864</v>
      </c>
      <c r="F72" s="613">
        <f>SUMIFS(ТСО_1!H:H,ТСО_1!$A:$A,$C72,ТСО_1!$C:$C,$A$71)/F$68</f>
        <v>276.72926017787324</v>
      </c>
      <c r="G72" s="613">
        <f>SUMIFS(ТСО_1!I:I,ТСО_1!$A:$A,$C72,ТСО_1!$C:$C,$A$71)/G$68</f>
        <v>928.14011027511867</v>
      </c>
      <c r="H72" s="613">
        <f>SUMIFS(ТСО_1!J:J,ТСО_1!$A:$A,$C72,ТСО_1!$C:$C,$A$71)/H$68</f>
        <v>2751.338917772202</v>
      </c>
      <c r="I72" s="613">
        <f>SUMIFS(ТСО_1!K:K,ТСО_1!$A:$A,$C72,ТСО_1!$C:$C,$A$71)/I$68</f>
        <v>184.23302627191865</v>
      </c>
      <c r="J72" s="613">
        <f>SUMIFS(ТСО_1!L:L,ТСО_1!$A:$A,$C72,ТСО_1!$C:$C,$A$71)/J$68</f>
        <v>1024.3393441810731</v>
      </c>
      <c r="K72" s="613">
        <f>SUMIFS(ТСО_1!M:M,ТСО_1!$A:$A,$C72,ТСО_1!$C:$C,$A$71)/K$68</f>
        <v>180.53002627191864</v>
      </c>
      <c r="L72" s="613">
        <f>SUMIFS(ТСО_1!N:N,ТСО_1!$A:$A,$C72,ТСО_1!$C:$C,$A$71)/L$68</f>
        <v>2751.338917772202</v>
      </c>
      <c r="M72" s="613">
        <f>SUMIFS(ТСО_1!O:O,ТСО_1!$A:$A,$C72,ТСО_1!$C:$C,$A$71)/M$68</f>
        <v>180.53002627191864</v>
      </c>
      <c r="N72" s="613">
        <f>SUMIFS(ТСО_1!P:P,ТСО_1!$A:$A,$C72,ТСО_1!$C:$C,$A$71)/N$68</f>
        <v>180.53002627191864</v>
      </c>
      <c r="O72" s="613">
        <f>SUMIFS(ТСО_1!Q:Q,ТСО_1!$A:$A,$C72,ТСО_1!$C:$C,$A$71)/O$68</f>
        <v>0</v>
      </c>
      <c r="P72" s="613">
        <f>SUMIFS(ТСО_1!R:R,ТСО_1!$A:$A,$C72,ТСО_1!$C:$C,$A$71)/P$68</f>
        <v>0</v>
      </c>
      <c r="Q72" s="613">
        <f>SUMIFS(ТСО_1!S:S,ТСО_1!$A:$A,$C72,ТСО_1!$C:$C,$A$71)/Q$68</f>
        <v>0</v>
      </c>
      <c r="R72" s="613">
        <f>SUMIFS(ТСО_1!T:T,ТСО_1!$A:$A,$C72,ТСО_1!$C:$C,$A$71)/R$68</f>
        <v>0</v>
      </c>
      <c r="S72" s="613">
        <f>SUMIFS(ТСО_1!U:U,ТСО_1!$A:$A,$C72,ТСО_1!$C:$C,$A$71)/S$68</f>
        <v>0</v>
      </c>
      <c r="T72" s="613">
        <f>SUMIFS(ТСО_1!V:V,ТСО_1!$A:$A,$C72,ТСО_1!$C:$C,$A$71)/T$68</f>
        <v>0</v>
      </c>
      <c r="U72" s="613">
        <f>SUMIFS(ТСО_1!W:W,ТСО_1!$A:$A,$C72,ТСО_1!$C:$C,$A$71)/U$68</f>
        <v>0</v>
      </c>
      <c r="V72" s="613">
        <f>SUMIFS(ТСО_1!X:X,ТСО_1!$A:$A,$C72,ТСО_1!$C:$C,$A$71)/V$68</f>
        <v>0</v>
      </c>
      <c r="W72" s="613">
        <f>SUMIFS(ТСО_1!Y:Y,ТСО_1!$A:$A,$C72,ТСО_1!$C:$C,$A$71)/W$68</f>
        <v>0</v>
      </c>
      <c r="X72" s="613">
        <f>SUMIFS(ТСО_1!Z:Z,ТСО_1!$A:$A,$C72,ТСО_1!$C:$C,$A$71)/X$68</f>
        <v>0</v>
      </c>
      <c r="Y72" s="614">
        <f t="shared" ref="Y72:Y85" si="8">SUM(E72:X72)</f>
        <v>8638.2396815380635</v>
      </c>
      <c r="Z72" s="614">
        <f t="shared" ref="Z72:Z85" si="9">Y72/K6</f>
        <v>863.82396815380639</v>
      </c>
      <c r="AA72" s="612">
        <f t="shared" ref="AA72:AA85" si="10">IF(Y72=0,"-",Y72/Y90-1)</f>
        <v>0</v>
      </c>
      <c r="AB72" s="620"/>
    </row>
    <row r="73" spans="1:28" x14ac:dyDescent="0.25">
      <c r="A73" s="196"/>
      <c r="B73" s="641">
        <f t="shared" si="7"/>
        <v>1</v>
      </c>
      <c r="C73" s="598" t="str">
        <f t="shared" si="6"/>
        <v>SANY SET240S</v>
      </c>
      <c r="D73" s="9" t="str">
        <f t="shared" ref="D73:D85" si="11">D72</f>
        <v>тыс. долл.</v>
      </c>
      <c r="E73" s="613">
        <f>SUMIFS(ТСО_1!G:G,ТСО_1!$A:$A,$C73,ТСО_1!$C:$C,$A$71)/E$68</f>
        <v>135.34770774674283</v>
      </c>
      <c r="F73" s="613">
        <f>SUMIFS(ТСО_1!H:H,ТСО_1!$A:$A,$C73,ТСО_1!$C:$C,$A$71)/F$68</f>
        <v>211.26697940950629</v>
      </c>
      <c r="G73" s="613">
        <f>SUMIFS(ТСО_1!I:I,ТСО_1!$A:$A,$C73,ТСО_1!$C:$C,$A$71)/G$68</f>
        <v>597.96064217297237</v>
      </c>
      <c r="H73" s="613">
        <f>SUMIFS(ТСО_1!J:J,ТСО_1!$A:$A,$C73,ТСО_1!$C:$C,$A$71)/H$68</f>
        <v>305.14197940950635</v>
      </c>
      <c r="I73" s="613">
        <f>SUMIFS(ТСО_1!K:K,ТСО_1!$A:$A,$C73,ТСО_1!$C:$C,$A$71)/I$68</f>
        <v>973.93700774674301</v>
      </c>
      <c r="J73" s="613">
        <f>SUMIFS(ТСО_1!L:L,ТСО_1!$A:$A,$C73,ТСО_1!$C:$C,$A$71)/J$68</f>
        <v>741.25919955002178</v>
      </c>
      <c r="K73" s="613">
        <f>SUMIFS(ТСО_1!M:M,ТСО_1!$A:$A,$C73,ТСО_1!$C:$C,$A$71)/K$68</f>
        <v>267.37570774674282</v>
      </c>
      <c r="L73" s="613">
        <f>SUMIFS(ТСО_1!N:N,ТСО_1!$A:$A,$C73,ТСО_1!$C:$C,$A$71)/L$68</f>
        <v>268.93297940950634</v>
      </c>
      <c r="M73" s="613">
        <f>SUMIFS(ТСО_1!O:O,ТСО_1!$A:$A,$C73,ТСО_1!$C:$C,$A$71)/M$68</f>
        <v>1349.3409421729723</v>
      </c>
      <c r="N73" s="613">
        <f>SUMIFS(ТСО_1!P:P,ТСО_1!$A:$A,$C73,ТСО_1!$C:$C,$A$71)/N$68</f>
        <v>196.00097940950633</v>
      </c>
      <c r="O73" s="613">
        <f>SUMIFS(ТСО_1!Q:Q,ТСО_1!$A:$A,$C73,ТСО_1!$C:$C,$A$71)/O$68</f>
        <v>258.79770774674284</v>
      </c>
      <c r="P73" s="613">
        <f>SUMIFS(ТСО_1!R:R,ТСО_1!$A:$A,$C73,ТСО_1!$C:$C,$A$71)/P$68</f>
        <v>282.98870774674282</v>
      </c>
      <c r="Q73" s="613">
        <f>SUMIFS(ТСО_1!S:S,ТСО_1!$A:$A,$C73,ТСО_1!$C:$C,$A$71)/Q$68</f>
        <v>0</v>
      </c>
      <c r="R73" s="613">
        <f>SUMIFS(ТСО_1!T:T,ТСО_1!$A:$A,$C73,ТСО_1!$C:$C,$A$71)/R$68</f>
        <v>0</v>
      </c>
      <c r="S73" s="613">
        <f>SUMIFS(ТСО_1!U:U,ТСО_1!$A:$A,$C73,ТСО_1!$C:$C,$A$71)/S$68</f>
        <v>0</v>
      </c>
      <c r="T73" s="613">
        <f>SUMIFS(ТСО_1!V:V,ТСО_1!$A:$A,$C73,ТСО_1!$C:$C,$A$71)/T$68</f>
        <v>0</v>
      </c>
      <c r="U73" s="613">
        <f>SUMIFS(ТСО_1!W:W,ТСО_1!$A:$A,$C73,ТСО_1!$C:$C,$A$71)/U$68</f>
        <v>0</v>
      </c>
      <c r="V73" s="613">
        <f>SUMIFS(ТСО_1!X:X,ТСО_1!$A:$A,$C73,ТСО_1!$C:$C,$A$71)/V$68</f>
        <v>0</v>
      </c>
      <c r="W73" s="613">
        <f>SUMIFS(ТСО_1!Y:Y,ТСО_1!$A:$A,$C73,ТСО_1!$C:$C,$A$71)/W$68</f>
        <v>0</v>
      </c>
      <c r="X73" s="613">
        <f>SUMIFS(ТСО_1!Z:Z,ТСО_1!$A:$A,$C73,ТСО_1!$C:$C,$A$71)/X$68</f>
        <v>0</v>
      </c>
      <c r="Y73" s="614">
        <f t="shared" si="8"/>
        <v>5588.3505402677065</v>
      </c>
      <c r="Z73" s="614">
        <f t="shared" si="9"/>
        <v>465.69587835564221</v>
      </c>
      <c r="AA73" s="612">
        <f t="shared" si="10"/>
        <v>0</v>
      </c>
      <c r="AB73" s="620"/>
    </row>
    <row r="74" spans="1:28" x14ac:dyDescent="0.25">
      <c r="A74" s="196"/>
      <c r="B74" s="641">
        <f t="shared" si="7"/>
        <v>1</v>
      </c>
      <c r="C74" s="598" t="str">
        <f t="shared" si="6"/>
        <v>TZCO TZE240</v>
      </c>
      <c r="D74" s="9" t="str">
        <f t="shared" si="11"/>
        <v>тыс. долл.</v>
      </c>
      <c r="E74" s="613">
        <f>SUMIFS(ТСО_1!G:G,ТСО_1!$A:$A,$C74,ТСО_1!$C:$C,$A$71)/E$68</f>
        <v>299.33592441558437</v>
      </c>
      <c r="F74" s="613">
        <f>SUMIFS(ТСО_1!H:H,ТСО_1!$A:$A,$C74,ТСО_1!$C:$C,$A$71)/F$68</f>
        <v>629.57257441558431</v>
      </c>
      <c r="G74" s="613">
        <f>SUMIFS(ТСО_1!I:I,ТСО_1!$A:$A,$C74,ТСО_1!$C:$C,$A$71)/G$68</f>
        <v>1881.2034744155847</v>
      </c>
      <c r="H74" s="613">
        <f>SUMIFS(ТСО_1!J:J,ТСО_1!$A:$A,$C74,ТСО_1!$C:$C,$A$71)/H$68</f>
        <v>629.57257441558431</v>
      </c>
      <c r="I74" s="613">
        <f>SUMIFS(ТСО_1!K:K,ТСО_1!$A:$A,$C74,ТСО_1!$C:$C,$A$71)/I$68</f>
        <v>299.33592441558437</v>
      </c>
      <c r="J74" s="613">
        <f>SUMIFS(ТСО_1!L:L,ТСО_1!$A:$A,$C74,ТСО_1!$C:$C,$A$71)/J$68</f>
        <v>2211.4401244155847</v>
      </c>
      <c r="K74" s="613">
        <f>SUMIFS(ТСО_1!M:M,ТСО_1!$A:$A,$C74,ТСО_1!$C:$C,$A$71)/K$68</f>
        <v>299.33592441558437</v>
      </c>
      <c r="L74" s="613">
        <f>SUMIFS(ТСО_1!N:N,ТСО_1!$A:$A,$C74,ТСО_1!$C:$C,$A$71)/L$68</f>
        <v>629.57257441558431</v>
      </c>
      <c r="M74" s="613">
        <f>SUMIFS(ТСО_1!O:O,ТСО_1!$A:$A,$C74,ТСО_1!$C:$C,$A$71)/M$68</f>
        <v>0</v>
      </c>
      <c r="N74" s="613">
        <f>SUMIFS(ТСО_1!P:P,ТСО_1!$A:$A,$C74,ТСО_1!$C:$C,$A$71)/N$68</f>
        <v>0</v>
      </c>
      <c r="O74" s="613">
        <f>SUMIFS(ТСО_1!Q:Q,ТСО_1!$A:$A,$C74,ТСО_1!$C:$C,$A$71)/O$68</f>
        <v>0</v>
      </c>
      <c r="P74" s="613">
        <f>SUMIFS(ТСО_1!R:R,ТСО_1!$A:$A,$C74,ТСО_1!$C:$C,$A$71)/P$68</f>
        <v>0</v>
      </c>
      <c r="Q74" s="613">
        <f>SUMIFS(ТСО_1!S:S,ТСО_1!$A:$A,$C74,ТСО_1!$C:$C,$A$71)/Q$68</f>
        <v>0</v>
      </c>
      <c r="R74" s="613">
        <f>SUMIFS(ТСО_1!T:T,ТСО_1!$A:$A,$C74,ТСО_1!$C:$C,$A$71)/R$68</f>
        <v>0</v>
      </c>
      <c r="S74" s="613">
        <f>SUMIFS(ТСО_1!U:U,ТСО_1!$A:$A,$C74,ТСО_1!$C:$C,$A$71)/S$68</f>
        <v>0</v>
      </c>
      <c r="T74" s="613">
        <f>SUMIFS(ТСО_1!V:V,ТСО_1!$A:$A,$C74,ТСО_1!$C:$C,$A$71)/T$68</f>
        <v>0</v>
      </c>
      <c r="U74" s="613">
        <f>SUMIFS(ТСО_1!W:W,ТСО_1!$A:$A,$C74,ТСО_1!$C:$C,$A$71)/U$68</f>
        <v>0</v>
      </c>
      <c r="V74" s="613">
        <f>SUMIFS(ТСО_1!X:X,ТСО_1!$A:$A,$C74,ТСО_1!$C:$C,$A$71)/V$68</f>
        <v>0</v>
      </c>
      <c r="W74" s="613">
        <f>SUMIFS(ТСО_1!Y:Y,ТСО_1!$A:$A,$C74,ТСО_1!$C:$C,$A$71)/W$68</f>
        <v>0</v>
      </c>
      <c r="X74" s="613">
        <f>SUMIFS(ТСО_1!Z:Z,ТСО_1!$A:$A,$C74,ТСО_1!$C:$C,$A$71)/X$68</f>
        <v>0</v>
      </c>
      <c r="Y74" s="614">
        <f t="shared" si="8"/>
        <v>6879.369095324676</v>
      </c>
      <c r="Z74" s="614">
        <f t="shared" si="9"/>
        <v>859.9211369155845</v>
      </c>
      <c r="AA74" s="612">
        <f t="shared" si="10"/>
        <v>0</v>
      </c>
      <c r="AB74" s="620"/>
    </row>
    <row r="75" spans="1:28" x14ac:dyDescent="0.25">
      <c r="A75" s="196"/>
      <c r="B75" s="641">
        <f t="shared" si="7"/>
        <v>1</v>
      </c>
      <c r="C75" s="598" t="str">
        <f t="shared" si="6"/>
        <v>БелАЗ 7531 (ГПФК)</v>
      </c>
      <c r="D75" s="9" t="str">
        <f t="shared" si="11"/>
        <v>тыс. долл.</v>
      </c>
      <c r="E75" s="613">
        <f>SUMIFS(ТСО_1!G:G,ТСО_1!$A:$A,$C75,ТСО_1!$C:$C,$A$71)/E$68</f>
        <v>148.04729000000003</v>
      </c>
      <c r="F75" s="613">
        <f>SUMIFS(ТСО_1!H:H,ТСО_1!$A:$A,$C75,ТСО_1!$C:$C,$A$71)/F$68</f>
        <v>317.60136</v>
      </c>
      <c r="G75" s="613">
        <f>SUMIFS(ТСО_1!I:I,ТСО_1!$A:$A,$C75,ТСО_1!$C:$C,$A$71)/G$68</f>
        <v>572.06806000000006</v>
      </c>
      <c r="H75" s="613">
        <f>SUMIFS(ТСО_1!J:J,ТСО_1!$A:$A,$C75,ТСО_1!$C:$C,$A$71)/H$68</f>
        <v>727.00655500000005</v>
      </c>
      <c r="I75" s="613">
        <f>SUMIFS(ТСО_1!K:K,ТСО_1!$A:$A,$C75,ТСО_1!$C:$C,$A$71)/I$68</f>
        <v>631.622885</v>
      </c>
      <c r="J75" s="613">
        <f>SUMIFS(ТСО_1!L:L,ТСО_1!$A:$A,$C75,ТСО_1!$C:$C,$A$71)/J$68</f>
        <v>688.61906999999997</v>
      </c>
      <c r="K75" s="613">
        <f>SUMIFS(ТСО_1!M:M,ТСО_1!$A:$A,$C75,ТСО_1!$C:$C,$A$71)/K$68</f>
        <v>180.495115</v>
      </c>
      <c r="L75" s="613">
        <f>SUMIFS(ТСО_1!N:N,ТСО_1!$A:$A,$C75,ТСО_1!$C:$C,$A$71)/L$68</f>
        <v>847.19411500000012</v>
      </c>
      <c r="M75" s="613">
        <f>SUMIFS(ТСО_1!O:O,ТСО_1!$A:$A,$C75,ТСО_1!$C:$C,$A$71)/M$68</f>
        <v>961.75027000000011</v>
      </c>
      <c r="N75" s="613">
        <f>SUMIFS(ТСО_1!P:P,ТСО_1!$A:$A,$C75,ТСО_1!$C:$C,$A$71)/N$68</f>
        <v>231.50896000000003</v>
      </c>
      <c r="O75" s="613">
        <f>SUMIFS(ТСО_1!Q:Q,ТСО_1!$A:$A,$C75,ТСО_1!$C:$C,$A$71)/O$68</f>
        <v>0</v>
      </c>
      <c r="P75" s="613">
        <f>SUMIFS(ТСО_1!R:R,ТСО_1!$A:$A,$C75,ТСО_1!$C:$C,$A$71)/P$68</f>
        <v>0</v>
      </c>
      <c r="Q75" s="613">
        <f>SUMIFS(ТСО_1!S:S,ТСО_1!$A:$A,$C75,ТСО_1!$C:$C,$A$71)/Q$68</f>
        <v>0</v>
      </c>
      <c r="R75" s="613">
        <f>SUMIFS(ТСО_1!T:T,ТСО_1!$A:$A,$C75,ТСО_1!$C:$C,$A$71)/R$68</f>
        <v>0</v>
      </c>
      <c r="S75" s="613">
        <f>SUMIFS(ТСО_1!U:U,ТСО_1!$A:$A,$C75,ТСО_1!$C:$C,$A$71)/S$68</f>
        <v>0</v>
      </c>
      <c r="T75" s="613">
        <f>SUMIFS(ТСО_1!V:V,ТСО_1!$A:$A,$C75,ТСО_1!$C:$C,$A$71)/T$68</f>
        <v>0</v>
      </c>
      <c r="U75" s="613">
        <f>SUMIFS(ТСО_1!W:W,ТСО_1!$A:$A,$C75,ТСО_1!$C:$C,$A$71)/U$68</f>
        <v>0</v>
      </c>
      <c r="V75" s="613">
        <f>SUMIFS(ТСО_1!X:X,ТСО_1!$A:$A,$C75,ТСО_1!$C:$C,$A$71)/V$68</f>
        <v>0</v>
      </c>
      <c r="W75" s="613">
        <f>SUMIFS(ТСО_1!Y:Y,ТСО_1!$A:$A,$C75,ТСО_1!$C:$C,$A$71)/W$68</f>
        <v>0</v>
      </c>
      <c r="X75" s="613">
        <f>SUMIFS(ТСО_1!Z:Z,ТСО_1!$A:$A,$C75,ТСО_1!$C:$C,$A$71)/X$68</f>
        <v>0</v>
      </c>
      <c r="Y75" s="614">
        <f t="shared" si="8"/>
        <v>5305.9136800000006</v>
      </c>
      <c r="Z75" s="614">
        <f t="shared" si="9"/>
        <v>530.5913680000001</v>
      </c>
      <c r="AA75" s="612">
        <f t="shared" si="10"/>
        <v>0</v>
      </c>
      <c r="AB75" s="620"/>
    </row>
    <row r="76" spans="1:28" x14ac:dyDescent="0.25">
      <c r="A76" s="196"/>
      <c r="B76" s="641">
        <f t="shared" si="7"/>
        <v>1</v>
      </c>
      <c r="C76" s="598" t="str">
        <f t="shared" si="6"/>
        <v>XCMG 240</v>
      </c>
      <c r="D76" s="9" t="str">
        <f t="shared" si="11"/>
        <v>тыс. долл.</v>
      </c>
      <c r="E76" s="613">
        <f>SUMIFS(ТСО_1!G:G,ТСО_1!$A:$A,$C76,ТСО_1!$C:$C,$A$71)/E$68</f>
        <v>0</v>
      </c>
      <c r="F76" s="613">
        <f>SUMIFS(ТСО_1!H:H,ТСО_1!$A:$A,$C76,ТСО_1!$C:$C,$A$71)/F$68</f>
        <v>0</v>
      </c>
      <c r="G76" s="613">
        <f>SUMIFS(ТСО_1!I:I,ТСО_1!$A:$A,$C76,ТСО_1!$C:$C,$A$71)/G$68</f>
        <v>0</v>
      </c>
      <c r="H76" s="613">
        <f>SUMIFS(ТСО_1!J:J,ТСО_1!$A:$A,$C76,ТСО_1!$C:$C,$A$71)/H$68</f>
        <v>0</v>
      </c>
      <c r="I76" s="613">
        <f>SUMIFS(ТСО_1!K:K,ТСО_1!$A:$A,$C76,ТСО_1!$C:$C,$A$71)/I$68</f>
        <v>0</v>
      </c>
      <c r="J76" s="613">
        <f>SUMIFS(ТСО_1!L:L,ТСО_1!$A:$A,$C76,ТСО_1!$C:$C,$A$71)/J$68</f>
        <v>0</v>
      </c>
      <c r="K76" s="613">
        <f>SUMIFS(ТСО_1!M:M,ТСО_1!$A:$A,$C76,ТСО_1!$C:$C,$A$71)/K$68</f>
        <v>0</v>
      </c>
      <c r="L76" s="613">
        <f>SUMIFS(ТСО_1!N:N,ТСО_1!$A:$A,$C76,ТСО_1!$C:$C,$A$71)/L$68</f>
        <v>0</v>
      </c>
      <c r="M76" s="613">
        <f>SUMIFS(ТСО_1!O:O,ТСО_1!$A:$A,$C76,ТСО_1!$C:$C,$A$71)/M$68</f>
        <v>0</v>
      </c>
      <c r="N76" s="613">
        <f>SUMIFS(ТСО_1!P:P,ТСО_1!$A:$A,$C76,ТСО_1!$C:$C,$A$71)/N$68</f>
        <v>0</v>
      </c>
      <c r="O76" s="613">
        <f>SUMIFS(ТСО_1!Q:Q,ТСО_1!$A:$A,$C76,ТСО_1!$C:$C,$A$71)/O$68</f>
        <v>0</v>
      </c>
      <c r="P76" s="613">
        <f>SUMIFS(ТСО_1!R:R,ТСО_1!$A:$A,$C76,ТСО_1!$C:$C,$A$71)/P$68</f>
        <v>0</v>
      </c>
      <c r="Q76" s="613">
        <f>SUMIFS(ТСО_1!S:S,ТСО_1!$A:$A,$C76,ТСО_1!$C:$C,$A$71)/Q$68</f>
        <v>0</v>
      </c>
      <c r="R76" s="613">
        <f>SUMIFS(ТСО_1!T:T,ТСО_1!$A:$A,$C76,ТСО_1!$C:$C,$A$71)/R$68</f>
        <v>0</v>
      </c>
      <c r="S76" s="613">
        <f>SUMIFS(ТСО_1!U:U,ТСО_1!$A:$A,$C76,ТСО_1!$C:$C,$A$71)/S$68</f>
        <v>0</v>
      </c>
      <c r="T76" s="613">
        <f>SUMIFS(ТСО_1!V:V,ТСО_1!$A:$A,$C76,ТСО_1!$C:$C,$A$71)/T$68</f>
        <v>0</v>
      </c>
      <c r="U76" s="613">
        <f>SUMIFS(ТСО_1!W:W,ТСО_1!$A:$A,$C76,ТСО_1!$C:$C,$A$71)/U$68</f>
        <v>0</v>
      </c>
      <c r="V76" s="613">
        <f>SUMIFS(ТСО_1!X:X,ТСО_1!$A:$A,$C76,ТСО_1!$C:$C,$A$71)/V$68</f>
        <v>0</v>
      </c>
      <c r="W76" s="613">
        <f>SUMIFS(ТСО_1!Y:Y,ТСО_1!$A:$A,$C76,ТСО_1!$C:$C,$A$71)/W$68</f>
        <v>0</v>
      </c>
      <c r="X76" s="613">
        <f>SUMIFS(ТСО_1!Z:Z,ТСО_1!$A:$A,$C76,ТСО_1!$C:$C,$A$71)/X$68</f>
        <v>0</v>
      </c>
      <c r="Y76" s="614">
        <f t="shared" si="8"/>
        <v>0</v>
      </c>
      <c r="Z76" s="614" t="e">
        <f t="shared" si="9"/>
        <v>#DIV/0!</v>
      </c>
      <c r="AA76" s="612" t="str">
        <f t="shared" si="10"/>
        <v>-</v>
      </c>
      <c r="AB76" s="620"/>
    </row>
    <row r="77" spans="1:28" x14ac:dyDescent="0.25">
      <c r="A77" s="196"/>
      <c r="B77" s="641">
        <f t="shared" si="7"/>
        <v>1</v>
      </c>
      <c r="C77" s="598" t="str">
        <f t="shared" si="6"/>
        <v>БелАЗ 7531 (БТЛ)</v>
      </c>
      <c r="D77" s="9" t="str">
        <f t="shared" si="11"/>
        <v>тыс. долл.</v>
      </c>
      <c r="E77" s="613">
        <f>SUMIFS(ТСО_1!G:G,ТСО_1!$A:$A,$C77,ТСО_1!$C:$C,$A$71)/E$68</f>
        <v>130.79329823756859</v>
      </c>
      <c r="F77" s="613">
        <f>SUMIFS(ТСО_1!H:H,ТСО_1!$A:$A,$C77,ТСО_1!$C:$C,$A$71)/F$68</f>
        <v>209.0123796395294</v>
      </c>
      <c r="G77" s="613">
        <f>SUMIFS(ТСО_1!I:I,ТСО_1!$A:$A,$C77,ТСО_1!$C:$C,$A$71)/G$68</f>
        <v>615.4366508195294</v>
      </c>
      <c r="H77" s="613">
        <f>SUMIFS(ТСО_1!J:J,ТСО_1!$A:$A,$C77,ТСО_1!$C:$C,$A$71)/H$68</f>
        <v>911.52058893952938</v>
      </c>
      <c r="I77" s="613">
        <f>SUMIFS(ТСО_1!K:K,ТСО_1!$A:$A,$C77,ТСО_1!$C:$C,$A$71)/I$68</f>
        <v>364.66373933952951</v>
      </c>
      <c r="J77" s="613">
        <f>SUMIFS(ТСО_1!L:L,ТСО_1!$A:$A,$C77,ТСО_1!$C:$C,$A$71)/J$68</f>
        <v>636.96468201952939</v>
      </c>
      <c r="K77" s="613">
        <f>SUMIFS(ТСО_1!M:M,ТСО_1!$A:$A,$C77,ТСО_1!$C:$C,$A$71)/K$68</f>
        <v>323.46017843952939</v>
      </c>
      <c r="L77" s="613">
        <f>SUMIFS(ТСО_1!N:N,ТСО_1!$A:$A,$C77,ТСО_1!$C:$C,$A$71)/L$68</f>
        <v>971.72701011600009</v>
      </c>
      <c r="M77" s="613">
        <f>SUMIFS(ТСО_1!O:O,ТСО_1!$A:$A,$C77,ТСО_1!$C:$C,$A$71)/M$68</f>
        <v>805.29884171952949</v>
      </c>
      <c r="N77" s="613">
        <f>SUMIFS(ТСО_1!P:P,ТСО_1!$A:$A,$C77,ТСО_1!$C:$C,$A$71)/N$68</f>
        <v>335.15355463952937</v>
      </c>
      <c r="O77" s="613">
        <f>SUMIFS(ТСО_1!Q:Q,ТСО_1!$A:$A,$C77,ТСО_1!$C:$C,$A$71)/O$68</f>
        <v>0</v>
      </c>
      <c r="P77" s="613">
        <f>SUMIFS(ТСО_1!R:R,ТСО_1!$A:$A,$C77,ТСО_1!$C:$C,$A$71)/P$68</f>
        <v>0</v>
      </c>
      <c r="Q77" s="613">
        <f>SUMIFS(ТСО_1!S:S,ТСО_1!$A:$A,$C77,ТСО_1!$C:$C,$A$71)/Q$68</f>
        <v>0</v>
      </c>
      <c r="R77" s="613">
        <f>SUMIFS(ТСО_1!T:T,ТСО_1!$A:$A,$C77,ТСО_1!$C:$C,$A$71)/R$68</f>
        <v>0</v>
      </c>
      <c r="S77" s="613">
        <f>SUMIFS(ТСО_1!U:U,ТСО_1!$A:$A,$C77,ТСО_1!$C:$C,$A$71)/S$68</f>
        <v>0</v>
      </c>
      <c r="T77" s="613">
        <f>SUMIFS(ТСО_1!V:V,ТСО_1!$A:$A,$C77,ТСО_1!$C:$C,$A$71)/T$68</f>
        <v>0</v>
      </c>
      <c r="U77" s="613">
        <f>SUMIFS(ТСО_1!W:W,ТСО_1!$A:$A,$C77,ТСО_1!$C:$C,$A$71)/U$68</f>
        <v>0</v>
      </c>
      <c r="V77" s="613">
        <f>SUMIFS(ТСО_1!X:X,ТСО_1!$A:$A,$C77,ТСО_1!$C:$C,$A$71)/V$68</f>
        <v>0</v>
      </c>
      <c r="W77" s="613">
        <f>SUMIFS(ТСО_1!Y:Y,ТСО_1!$A:$A,$C77,ТСО_1!$C:$C,$A$71)/W$68</f>
        <v>0</v>
      </c>
      <c r="X77" s="613">
        <f>SUMIFS(ТСО_1!Z:Z,ТСО_1!$A:$A,$C77,ТСО_1!$C:$C,$A$71)/X$68</f>
        <v>0</v>
      </c>
      <c r="Y77" s="614">
        <f t="shared" si="8"/>
        <v>5304.0309239098042</v>
      </c>
      <c r="Z77" s="614">
        <f t="shared" si="9"/>
        <v>530.40309239098042</v>
      </c>
      <c r="AA77" s="612">
        <f t="shared" si="10"/>
        <v>0</v>
      </c>
      <c r="AB77" s="620"/>
    </row>
    <row r="78" spans="1:28" x14ac:dyDescent="0.25">
      <c r="A78" s="196"/>
      <c r="B78" s="641">
        <f t="shared" si="7"/>
        <v>0</v>
      </c>
      <c r="C78" s="598">
        <f t="shared" si="6"/>
        <v>0</v>
      </c>
      <c r="D78" s="9" t="str">
        <f t="shared" si="11"/>
        <v>тыс. долл.</v>
      </c>
      <c r="E78" s="613">
        <f>SUMIFS(ТСО_1!G:G,ТСО_1!$A:$A,$C78,ТСО_1!$C:$C,$A$71)/E$68</f>
        <v>0</v>
      </c>
      <c r="F78" s="613">
        <f>SUMIFS(ТСО_1!H:H,ТСО_1!$A:$A,$C78,ТСО_1!$C:$C,$A$71)/F$68</f>
        <v>0</v>
      </c>
      <c r="G78" s="613">
        <f>SUMIFS(ТСО_1!I:I,ТСО_1!$A:$A,$C78,ТСО_1!$C:$C,$A$71)/G$68</f>
        <v>0</v>
      </c>
      <c r="H78" s="613">
        <f>SUMIFS(ТСО_1!J:J,ТСО_1!$A:$A,$C78,ТСО_1!$C:$C,$A$71)/H$68</f>
        <v>0</v>
      </c>
      <c r="I78" s="613">
        <f>SUMIFS(ТСО_1!K:K,ТСО_1!$A:$A,$C78,ТСО_1!$C:$C,$A$71)/I$68</f>
        <v>0</v>
      </c>
      <c r="J78" s="613">
        <f>SUMIFS(ТСО_1!L:L,ТСО_1!$A:$A,$C78,ТСО_1!$C:$C,$A$71)/J$68</f>
        <v>0</v>
      </c>
      <c r="K78" s="613">
        <f>SUMIFS(ТСО_1!M:M,ТСО_1!$A:$A,$C78,ТСО_1!$C:$C,$A$71)/K$68</f>
        <v>0</v>
      </c>
      <c r="L78" s="613">
        <f>SUMIFS(ТСО_1!N:N,ТСО_1!$A:$A,$C78,ТСО_1!$C:$C,$A$71)/L$68</f>
        <v>0</v>
      </c>
      <c r="M78" s="613">
        <f>SUMIFS(ТСО_1!O:O,ТСО_1!$A:$A,$C78,ТСО_1!$C:$C,$A$71)/M$68</f>
        <v>0</v>
      </c>
      <c r="N78" s="613">
        <f>SUMIFS(ТСО_1!P:P,ТСО_1!$A:$A,$C78,ТСО_1!$C:$C,$A$71)/N$68</f>
        <v>0</v>
      </c>
      <c r="O78" s="613">
        <f>SUMIFS(ТСО_1!Q:Q,ТСО_1!$A:$A,$C78,ТСО_1!$C:$C,$A$71)/O$68</f>
        <v>0</v>
      </c>
      <c r="P78" s="613">
        <f>SUMIFS(ТСО_1!R:R,ТСО_1!$A:$A,$C78,ТСО_1!$C:$C,$A$71)/P$68</f>
        <v>0</v>
      </c>
      <c r="Q78" s="613">
        <f>SUMIFS(ТСО_1!S:S,ТСО_1!$A:$A,$C78,ТСО_1!$C:$C,$A$71)/Q$68</f>
        <v>0</v>
      </c>
      <c r="R78" s="613">
        <f>SUMIFS(ТСО_1!T:T,ТСО_1!$A:$A,$C78,ТСО_1!$C:$C,$A$71)/R$68</f>
        <v>0</v>
      </c>
      <c r="S78" s="613">
        <f>SUMIFS(ТСО_1!U:U,ТСО_1!$A:$A,$C78,ТСО_1!$C:$C,$A$71)/S$68</f>
        <v>0</v>
      </c>
      <c r="T78" s="613">
        <f>SUMIFS(ТСО_1!V:V,ТСО_1!$A:$A,$C78,ТСО_1!$C:$C,$A$71)/T$68</f>
        <v>0</v>
      </c>
      <c r="U78" s="613">
        <f>SUMIFS(ТСО_1!W:W,ТСО_1!$A:$A,$C78,ТСО_1!$C:$C,$A$71)/U$68</f>
        <v>0</v>
      </c>
      <c r="V78" s="613">
        <f>SUMIFS(ТСО_1!X:X,ТСО_1!$A:$A,$C78,ТСО_1!$C:$C,$A$71)/V$68</f>
        <v>0</v>
      </c>
      <c r="W78" s="613">
        <f>SUMIFS(ТСО_1!Y:Y,ТСО_1!$A:$A,$C78,ТСО_1!$C:$C,$A$71)/W$68</f>
        <v>0</v>
      </c>
      <c r="X78" s="613">
        <f>SUMIFS(ТСО_1!Z:Z,ТСО_1!$A:$A,$C78,ТСО_1!$C:$C,$A$71)/X$68</f>
        <v>0</v>
      </c>
      <c r="Y78" s="614">
        <f t="shared" si="8"/>
        <v>0</v>
      </c>
      <c r="Z78" s="614" t="e">
        <f t="shared" si="9"/>
        <v>#DIV/0!</v>
      </c>
      <c r="AA78" s="612" t="str">
        <f t="shared" si="10"/>
        <v>-</v>
      </c>
      <c r="AB78" s="609"/>
    </row>
    <row r="79" spans="1:28" x14ac:dyDescent="0.25">
      <c r="A79" s="196"/>
      <c r="B79" s="641">
        <f t="shared" si="7"/>
        <v>0</v>
      </c>
      <c r="C79" s="598">
        <f t="shared" si="6"/>
        <v>0</v>
      </c>
      <c r="D79" s="9" t="str">
        <f t="shared" si="11"/>
        <v>тыс. долл.</v>
      </c>
      <c r="E79" s="613">
        <f>SUMIFS(ТСО_1!G:G,ТСО_1!$A:$A,$C79,ТСО_1!$C:$C,$A$71)/E$68</f>
        <v>0</v>
      </c>
      <c r="F79" s="613">
        <f>SUMIFS(ТСО_1!H:H,ТСО_1!$A:$A,$C79,ТСО_1!$C:$C,$A$71)/F$68</f>
        <v>0</v>
      </c>
      <c r="G79" s="613">
        <f>SUMIFS(ТСО_1!I:I,ТСО_1!$A:$A,$C79,ТСО_1!$C:$C,$A$71)/G$68</f>
        <v>0</v>
      </c>
      <c r="H79" s="613">
        <f>SUMIFS(ТСО_1!J:J,ТСО_1!$A:$A,$C79,ТСО_1!$C:$C,$A$71)/H$68</f>
        <v>0</v>
      </c>
      <c r="I79" s="613">
        <f>SUMIFS(ТСО_1!K:K,ТСО_1!$A:$A,$C79,ТСО_1!$C:$C,$A$71)/I$68</f>
        <v>0</v>
      </c>
      <c r="J79" s="613">
        <f>SUMIFS(ТСО_1!L:L,ТСО_1!$A:$A,$C79,ТСО_1!$C:$C,$A$71)/J$68</f>
        <v>0</v>
      </c>
      <c r="K79" s="613">
        <f>SUMIFS(ТСО_1!M:M,ТСО_1!$A:$A,$C79,ТСО_1!$C:$C,$A$71)/K$68</f>
        <v>0</v>
      </c>
      <c r="L79" s="613">
        <f>SUMIFS(ТСО_1!N:N,ТСО_1!$A:$A,$C79,ТСО_1!$C:$C,$A$71)/L$68</f>
        <v>0</v>
      </c>
      <c r="M79" s="613">
        <f>SUMIFS(ТСО_1!O:O,ТСО_1!$A:$A,$C79,ТСО_1!$C:$C,$A$71)/M$68</f>
        <v>0</v>
      </c>
      <c r="N79" s="613">
        <f>SUMIFS(ТСО_1!P:P,ТСО_1!$A:$A,$C79,ТСО_1!$C:$C,$A$71)/N$68</f>
        <v>0</v>
      </c>
      <c r="O79" s="613">
        <f>SUMIFS(ТСО_1!Q:Q,ТСО_1!$A:$A,$C79,ТСО_1!$C:$C,$A$71)/O$68</f>
        <v>0</v>
      </c>
      <c r="P79" s="613">
        <f>SUMIFS(ТСО_1!R:R,ТСО_1!$A:$A,$C79,ТСО_1!$C:$C,$A$71)/P$68</f>
        <v>0</v>
      </c>
      <c r="Q79" s="613">
        <f>SUMIFS(ТСО_1!S:S,ТСО_1!$A:$A,$C79,ТСО_1!$C:$C,$A$71)/Q$68</f>
        <v>0</v>
      </c>
      <c r="R79" s="613">
        <f>SUMIFS(ТСО_1!T:T,ТСО_1!$A:$A,$C79,ТСО_1!$C:$C,$A$71)/R$68</f>
        <v>0</v>
      </c>
      <c r="S79" s="613">
        <f>SUMIFS(ТСО_1!U:U,ТСО_1!$A:$A,$C79,ТСО_1!$C:$C,$A$71)/S$68</f>
        <v>0</v>
      </c>
      <c r="T79" s="613">
        <f>SUMIFS(ТСО_1!V:V,ТСО_1!$A:$A,$C79,ТСО_1!$C:$C,$A$71)/T$68</f>
        <v>0</v>
      </c>
      <c r="U79" s="613">
        <f>SUMIFS(ТСО_1!W:W,ТСО_1!$A:$A,$C79,ТСО_1!$C:$C,$A$71)/U$68</f>
        <v>0</v>
      </c>
      <c r="V79" s="613">
        <f>SUMIFS(ТСО_1!X:X,ТСО_1!$A:$A,$C79,ТСО_1!$C:$C,$A$71)/V$68</f>
        <v>0</v>
      </c>
      <c r="W79" s="613">
        <f>SUMIFS(ТСО_1!Y:Y,ТСО_1!$A:$A,$C79,ТСО_1!$C:$C,$A$71)/W$68</f>
        <v>0</v>
      </c>
      <c r="X79" s="613">
        <f>SUMIFS(ТСО_1!Z:Z,ТСО_1!$A:$A,$C79,ТСО_1!$C:$C,$A$71)/X$68</f>
        <v>0</v>
      </c>
      <c r="Y79" s="614">
        <f t="shared" si="8"/>
        <v>0</v>
      </c>
      <c r="Z79" s="614" t="e">
        <f t="shared" si="9"/>
        <v>#DIV/0!</v>
      </c>
      <c r="AA79" s="612" t="str">
        <f t="shared" si="10"/>
        <v>-</v>
      </c>
      <c r="AB79" s="609"/>
    </row>
    <row r="80" spans="1:28" x14ac:dyDescent="0.25">
      <c r="A80" s="196"/>
      <c r="B80" s="641">
        <f t="shared" si="7"/>
        <v>0</v>
      </c>
      <c r="C80" s="598">
        <f t="shared" si="6"/>
        <v>0</v>
      </c>
      <c r="D80" s="9" t="str">
        <f t="shared" si="11"/>
        <v>тыс. долл.</v>
      </c>
      <c r="E80" s="613">
        <f>SUMIFS(ТСО_1!G:G,ТСО_1!$A:$A,$C80,ТСО_1!$C:$C,$A$71)/E$68</f>
        <v>0</v>
      </c>
      <c r="F80" s="613">
        <f>SUMIFS(ТСО_1!H:H,ТСО_1!$A:$A,$C80,ТСО_1!$C:$C,$A$71)/F$68</f>
        <v>0</v>
      </c>
      <c r="G80" s="613">
        <f>SUMIFS(ТСО_1!I:I,ТСО_1!$A:$A,$C80,ТСО_1!$C:$C,$A$71)/G$68</f>
        <v>0</v>
      </c>
      <c r="H80" s="613">
        <f>SUMIFS(ТСО_1!J:J,ТСО_1!$A:$A,$C80,ТСО_1!$C:$C,$A$71)/H$68</f>
        <v>0</v>
      </c>
      <c r="I80" s="613">
        <f>SUMIFS(ТСО_1!K:K,ТСО_1!$A:$A,$C80,ТСО_1!$C:$C,$A$71)/I$68</f>
        <v>0</v>
      </c>
      <c r="J80" s="613">
        <f>SUMIFS(ТСО_1!L:L,ТСО_1!$A:$A,$C80,ТСО_1!$C:$C,$A$71)/J$68</f>
        <v>0</v>
      </c>
      <c r="K80" s="613">
        <f>SUMIFS(ТСО_1!M:M,ТСО_1!$A:$A,$C80,ТСО_1!$C:$C,$A$71)/K$68</f>
        <v>0</v>
      </c>
      <c r="L80" s="613">
        <f>SUMIFS(ТСО_1!N:N,ТСО_1!$A:$A,$C80,ТСО_1!$C:$C,$A$71)/L$68</f>
        <v>0</v>
      </c>
      <c r="M80" s="613">
        <f>SUMIFS(ТСО_1!O:O,ТСО_1!$A:$A,$C80,ТСО_1!$C:$C,$A$71)/M$68</f>
        <v>0</v>
      </c>
      <c r="N80" s="613">
        <f>SUMIFS(ТСО_1!P:P,ТСО_1!$A:$A,$C80,ТСО_1!$C:$C,$A$71)/N$68</f>
        <v>0</v>
      </c>
      <c r="O80" s="613">
        <f>SUMIFS(ТСО_1!Q:Q,ТСО_1!$A:$A,$C80,ТСО_1!$C:$C,$A$71)/O$68</f>
        <v>0</v>
      </c>
      <c r="P80" s="613">
        <f>SUMIFS(ТСО_1!R:R,ТСО_1!$A:$A,$C80,ТСО_1!$C:$C,$A$71)/P$68</f>
        <v>0</v>
      </c>
      <c r="Q80" s="613">
        <f>SUMIFS(ТСО_1!S:S,ТСО_1!$A:$A,$C80,ТСО_1!$C:$C,$A$71)/Q$68</f>
        <v>0</v>
      </c>
      <c r="R80" s="613">
        <f>SUMIFS(ТСО_1!T:T,ТСО_1!$A:$A,$C80,ТСО_1!$C:$C,$A$71)/R$68</f>
        <v>0</v>
      </c>
      <c r="S80" s="613">
        <f>SUMIFS(ТСО_1!U:U,ТСО_1!$A:$A,$C80,ТСО_1!$C:$C,$A$71)/S$68</f>
        <v>0</v>
      </c>
      <c r="T80" s="613">
        <f>SUMIFS(ТСО_1!V:V,ТСО_1!$A:$A,$C80,ТСО_1!$C:$C,$A$71)/T$68</f>
        <v>0</v>
      </c>
      <c r="U80" s="613">
        <f>SUMIFS(ТСО_1!W:W,ТСО_1!$A:$A,$C80,ТСО_1!$C:$C,$A$71)/U$68</f>
        <v>0</v>
      </c>
      <c r="V80" s="613">
        <f>SUMIFS(ТСО_1!X:X,ТСО_1!$A:$A,$C80,ТСО_1!$C:$C,$A$71)/V$68</f>
        <v>0</v>
      </c>
      <c r="W80" s="613">
        <f>SUMIFS(ТСО_1!Y:Y,ТСО_1!$A:$A,$C80,ТСО_1!$C:$C,$A$71)/W$68</f>
        <v>0</v>
      </c>
      <c r="X80" s="613">
        <f>SUMIFS(ТСО_1!Z:Z,ТСО_1!$A:$A,$C80,ТСО_1!$C:$C,$A$71)/X$68</f>
        <v>0</v>
      </c>
      <c r="Y80" s="614">
        <f t="shared" si="8"/>
        <v>0</v>
      </c>
      <c r="Z80" s="614" t="e">
        <f t="shared" si="9"/>
        <v>#DIV/0!</v>
      </c>
      <c r="AA80" s="612" t="str">
        <f t="shared" si="10"/>
        <v>-</v>
      </c>
      <c r="AB80" s="609"/>
    </row>
    <row r="81" spans="1:28" x14ac:dyDescent="0.25">
      <c r="A81" s="196"/>
      <c r="B81" s="641">
        <f t="shared" si="7"/>
        <v>0</v>
      </c>
      <c r="C81" s="598">
        <f t="shared" si="6"/>
        <v>0</v>
      </c>
      <c r="D81" s="9" t="str">
        <f t="shared" si="11"/>
        <v>тыс. долл.</v>
      </c>
      <c r="E81" s="613">
        <f>SUMIFS(ТСО_1!G:G,ТСО_1!$A:$A,$C81,ТСО_1!$C:$C,$A$71)/E$68</f>
        <v>0</v>
      </c>
      <c r="F81" s="613">
        <f>SUMIFS(ТСО_1!H:H,ТСО_1!$A:$A,$C81,ТСО_1!$C:$C,$A$71)/F$68</f>
        <v>0</v>
      </c>
      <c r="G81" s="613">
        <f>SUMIFS(ТСО_1!I:I,ТСО_1!$A:$A,$C81,ТСО_1!$C:$C,$A$71)/G$68</f>
        <v>0</v>
      </c>
      <c r="H81" s="613">
        <f>SUMIFS(ТСО_1!J:J,ТСО_1!$A:$A,$C81,ТСО_1!$C:$C,$A$71)/H$68</f>
        <v>0</v>
      </c>
      <c r="I81" s="613">
        <f>SUMIFS(ТСО_1!K:K,ТСО_1!$A:$A,$C81,ТСО_1!$C:$C,$A$71)/I$68</f>
        <v>0</v>
      </c>
      <c r="J81" s="613">
        <f>SUMIFS(ТСО_1!L:L,ТСО_1!$A:$A,$C81,ТСО_1!$C:$C,$A$71)/J$68</f>
        <v>0</v>
      </c>
      <c r="K81" s="613">
        <f>SUMIFS(ТСО_1!M:M,ТСО_1!$A:$A,$C81,ТСО_1!$C:$C,$A$71)/K$68</f>
        <v>0</v>
      </c>
      <c r="L81" s="613">
        <f>SUMIFS(ТСО_1!N:N,ТСО_1!$A:$A,$C81,ТСО_1!$C:$C,$A$71)/L$68</f>
        <v>0</v>
      </c>
      <c r="M81" s="613">
        <f>SUMIFS(ТСО_1!O:O,ТСО_1!$A:$A,$C81,ТСО_1!$C:$C,$A$71)/M$68</f>
        <v>0</v>
      </c>
      <c r="N81" s="613">
        <f>SUMIFS(ТСО_1!P:P,ТСО_1!$A:$A,$C81,ТСО_1!$C:$C,$A$71)/N$68</f>
        <v>0</v>
      </c>
      <c r="O81" s="613">
        <f>SUMIFS(ТСО_1!Q:Q,ТСО_1!$A:$A,$C81,ТСО_1!$C:$C,$A$71)/O$68</f>
        <v>0</v>
      </c>
      <c r="P81" s="613">
        <f>SUMIFS(ТСО_1!R:R,ТСО_1!$A:$A,$C81,ТСО_1!$C:$C,$A$71)/P$68</f>
        <v>0</v>
      </c>
      <c r="Q81" s="613">
        <f>SUMIFS(ТСО_1!S:S,ТСО_1!$A:$A,$C81,ТСО_1!$C:$C,$A$71)/Q$68</f>
        <v>0</v>
      </c>
      <c r="R81" s="613">
        <f>SUMIFS(ТСО_1!T:T,ТСО_1!$A:$A,$C81,ТСО_1!$C:$C,$A$71)/R$68</f>
        <v>0</v>
      </c>
      <c r="S81" s="613">
        <f>SUMIFS(ТСО_1!U:U,ТСО_1!$A:$A,$C81,ТСО_1!$C:$C,$A$71)/S$68</f>
        <v>0</v>
      </c>
      <c r="T81" s="613">
        <f>SUMIFS(ТСО_1!V:V,ТСО_1!$A:$A,$C81,ТСО_1!$C:$C,$A$71)/T$68</f>
        <v>0</v>
      </c>
      <c r="U81" s="613">
        <f>SUMIFS(ТСО_1!W:W,ТСО_1!$A:$A,$C81,ТСО_1!$C:$C,$A$71)/U$68</f>
        <v>0</v>
      </c>
      <c r="V81" s="613">
        <f>SUMIFS(ТСО_1!X:X,ТСО_1!$A:$A,$C81,ТСО_1!$C:$C,$A$71)/V$68</f>
        <v>0</v>
      </c>
      <c r="W81" s="613">
        <f>SUMIFS(ТСО_1!Y:Y,ТСО_1!$A:$A,$C81,ТСО_1!$C:$C,$A$71)/W$68</f>
        <v>0</v>
      </c>
      <c r="X81" s="613">
        <f>SUMIFS(ТСО_1!Z:Z,ТСО_1!$A:$A,$C81,ТСО_1!$C:$C,$A$71)/X$68</f>
        <v>0</v>
      </c>
      <c r="Y81" s="614">
        <f t="shared" si="8"/>
        <v>0</v>
      </c>
      <c r="Z81" s="614" t="e">
        <f t="shared" si="9"/>
        <v>#DIV/0!</v>
      </c>
      <c r="AA81" s="612" t="str">
        <f t="shared" si="10"/>
        <v>-</v>
      </c>
      <c r="AB81" s="609"/>
    </row>
    <row r="82" spans="1:28" x14ac:dyDescent="0.25">
      <c r="A82" s="196"/>
      <c r="B82" s="641">
        <f t="shared" si="7"/>
        <v>0</v>
      </c>
      <c r="C82" s="598">
        <f t="shared" si="6"/>
        <v>0</v>
      </c>
      <c r="D82" s="9" t="str">
        <f t="shared" si="11"/>
        <v>тыс. долл.</v>
      </c>
      <c r="E82" s="613">
        <f>SUMIFS(ТСО_1!G:G,ТСО_1!$A:$A,$C82,ТСО_1!$C:$C,$A$71)/E$68</f>
        <v>0</v>
      </c>
      <c r="F82" s="613">
        <f>SUMIFS(ТСО_1!H:H,ТСО_1!$A:$A,$C82,ТСО_1!$C:$C,$A$71)/F$68</f>
        <v>0</v>
      </c>
      <c r="G82" s="613">
        <f>SUMIFS(ТСО_1!I:I,ТСО_1!$A:$A,$C82,ТСО_1!$C:$C,$A$71)/G$68</f>
        <v>0</v>
      </c>
      <c r="H82" s="613">
        <f>SUMIFS(ТСО_1!J:J,ТСО_1!$A:$A,$C82,ТСО_1!$C:$C,$A$71)/H$68</f>
        <v>0</v>
      </c>
      <c r="I82" s="613">
        <f>SUMIFS(ТСО_1!K:K,ТСО_1!$A:$A,$C82,ТСО_1!$C:$C,$A$71)/I$68</f>
        <v>0</v>
      </c>
      <c r="J82" s="613">
        <f>SUMIFS(ТСО_1!L:L,ТСО_1!$A:$A,$C82,ТСО_1!$C:$C,$A$71)/J$68</f>
        <v>0</v>
      </c>
      <c r="K82" s="613">
        <f>SUMIFS(ТСО_1!M:M,ТСО_1!$A:$A,$C82,ТСО_1!$C:$C,$A$71)/K$68</f>
        <v>0</v>
      </c>
      <c r="L82" s="613">
        <f>SUMIFS(ТСО_1!N:N,ТСО_1!$A:$A,$C82,ТСО_1!$C:$C,$A$71)/L$68</f>
        <v>0</v>
      </c>
      <c r="M82" s="613">
        <f>SUMIFS(ТСО_1!O:O,ТСО_1!$A:$A,$C82,ТСО_1!$C:$C,$A$71)/M$68</f>
        <v>0</v>
      </c>
      <c r="N82" s="613">
        <f>SUMIFS(ТСО_1!P:P,ТСО_1!$A:$A,$C82,ТСО_1!$C:$C,$A$71)/N$68</f>
        <v>0</v>
      </c>
      <c r="O82" s="613">
        <f>SUMIFS(ТСО_1!Q:Q,ТСО_1!$A:$A,$C82,ТСО_1!$C:$C,$A$71)/O$68</f>
        <v>0</v>
      </c>
      <c r="P82" s="613">
        <f>SUMIFS(ТСО_1!R:R,ТСО_1!$A:$A,$C82,ТСО_1!$C:$C,$A$71)/P$68</f>
        <v>0</v>
      </c>
      <c r="Q82" s="613">
        <f>SUMIFS(ТСО_1!S:S,ТСО_1!$A:$A,$C82,ТСО_1!$C:$C,$A$71)/Q$68</f>
        <v>0</v>
      </c>
      <c r="R82" s="613">
        <f>SUMIFS(ТСО_1!T:T,ТСО_1!$A:$A,$C82,ТСО_1!$C:$C,$A$71)/R$68</f>
        <v>0</v>
      </c>
      <c r="S82" s="613">
        <f>SUMIFS(ТСО_1!U:U,ТСО_1!$A:$A,$C82,ТСО_1!$C:$C,$A$71)/S$68</f>
        <v>0</v>
      </c>
      <c r="T82" s="613">
        <f>SUMIFS(ТСО_1!V:V,ТСО_1!$A:$A,$C82,ТСО_1!$C:$C,$A$71)/T$68</f>
        <v>0</v>
      </c>
      <c r="U82" s="613">
        <f>SUMIFS(ТСО_1!W:W,ТСО_1!$A:$A,$C82,ТСО_1!$C:$C,$A$71)/U$68</f>
        <v>0</v>
      </c>
      <c r="V82" s="613">
        <f>SUMIFS(ТСО_1!X:X,ТСО_1!$A:$A,$C82,ТСО_1!$C:$C,$A$71)/V$68</f>
        <v>0</v>
      </c>
      <c r="W82" s="613">
        <f>SUMIFS(ТСО_1!Y:Y,ТСО_1!$A:$A,$C82,ТСО_1!$C:$C,$A$71)/W$68</f>
        <v>0</v>
      </c>
      <c r="X82" s="613">
        <f>SUMIFS(ТСО_1!Z:Z,ТСО_1!$A:$A,$C82,ТСО_1!$C:$C,$A$71)/X$68</f>
        <v>0</v>
      </c>
      <c r="Y82" s="614">
        <f t="shared" si="8"/>
        <v>0</v>
      </c>
      <c r="Z82" s="614" t="e">
        <f t="shared" si="9"/>
        <v>#DIV/0!</v>
      </c>
      <c r="AA82" s="612" t="str">
        <f t="shared" si="10"/>
        <v>-</v>
      </c>
      <c r="AB82" s="609"/>
    </row>
    <row r="83" spans="1:28" x14ac:dyDescent="0.25">
      <c r="A83" s="196"/>
      <c r="B83" s="641">
        <f t="shared" si="7"/>
        <v>0</v>
      </c>
      <c r="C83" s="598">
        <f t="shared" si="6"/>
        <v>0</v>
      </c>
      <c r="D83" s="9" t="str">
        <f t="shared" si="11"/>
        <v>тыс. долл.</v>
      </c>
      <c r="E83" s="613">
        <f>SUMIFS(ТСО_1!G:G,ТСО_1!$A:$A,$C83,ТСО_1!$C:$C,$A$71)/E$68</f>
        <v>0</v>
      </c>
      <c r="F83" s="613">
        <f>SUMIFS(ТСО_1!H:H,ТСО_1!$A:$A,$C83,ТСО_1!$C:$C,$A$71)/F$68</f>
        <v>0</v>
      </c>
      <c r="G83" s="613">
        <f>SUMIFS(ТСО_1!I:I,ТСО_1!$A:$A,$C83,ТСО_1!$C:$C,$A$71)/G$68</f>
        <v>0</v>
      </c>
      <c r="H83" s="613">
        <f>SUMIFS(ТСО_1!J:J,ТСО_1!$A:$A,$C83,ТСО_1!$C:$C,$A$71)/H$68</f>
        <v>0</v>
      </c>
      <c r="I83" s="613">
        <f>SUMIFS(ТСО_1!K:K,ТСО_1!$A:$A,$C83,ТСО_1!$C:$C,$A$71)/I$68</f>
        <v>0</v>
      </c>
      <c r="J83" s="613">
        <f>SUMIFS(ТСО_1!L:L,ТСО_1!$A:$A,$C83,ТСО_1!$C:$C,$A$71)/J$68</f>
        <v>0</v>
      </c>
      <c r="K83" s="613">
        <f>SUMIFS(ТСО_1!M:M,ТСО_1!$A:$A,$C83,ТСО_1!$C:$C,$A$71)/K$68</f>
        <v>0</v>
      </c>
      <c r="L83" s="613">
        <f>SUMIFS(ТСО_1!N:N,ТСО_1!$A:$A,$C83,ТСО_1!$C:$C,$A$71)/L$68</f>
        <v>0</v>
      </c>
      <c r="M83" s="613">
        <f>SUMIFS(ТСО_1!O:O,ТСО_1!$A:$A,$C83,ТСО_1!$C:$C,$A$71)/M$68</f>
        <v>0</v>
      </c>
      <c r="N83" s="613">
        <f>SUMIFS(ТСО_1!P:P,ТСО_1!$A:$A,$C83,ТСО_1!$C:$C,$A$71)/N$68</f>
        <v>0</v>
      </c>
      <c r="O83" s="613">
        <f>SUMIFS(ТСО_1!Q:Q,ТСО_1!$A:$A,$C83,ТСО_1!$C:$C,$A$71)/O$68</f>
        <v>0</v>
      </c>
      <c r="P83" s="613">
        <f>SUMIFS(ТСО_1!R:R,ТСО_1!$A:$A,$C83,ТСО_1!$C:$C,$A$71)/P$68</f>
        <v>0</v>
      </c>
      <c r="Q83" s="613">
        <f>SUMIFS(ТСО_1!S:S,ТСО_1!$A:$A,$C83,ТСО_1!$C:$C,$A$71)/Q$68</f>
        <v>0</v>
      </c>
      <c r="R83" s="613">
        <f>SUMIFS(ТСО_1!T:T,ТСО_1!$A:$A,$C83,ТСО_1!$C:$C,$A$71)/R$68</f>
        <v>0</v>
      </c>
      <c r="S83" s="613">
        <f>SUMIFS(ТСО_1!U:U,ТСО_1!$A:$A,$C83,ТСО_1!$C:$C,$A$71)/S$68</f>
        <v>0</v>
      </c>
      <c r="T83" s="613">
        <f>SUMIFS(ТСО_1!V:V,ТСО_1!$A:$A,$C83,ТСО_1!$C:$C,$A$71)/T$68</f>
        <v>0</v>
      </c>
      <c r="U83" s="613">
        <f>SUMIFS(ТСО_1!W:W,ТСО_1!$A:$A,$C83,ТСО_1!$C:$C,$A$71)/U$68</f>
        <v>0</v>
      </c>
      <c r="V83" s="613">
        <f>SUMIFS(ТСО_1!X:X,ТСО_1!$A:$A,$C83,ТСО_1!$C:$C,$A$71)/V$68</f>
        <v>0</v>
      </c>
      <c r="W83" s="613">
        <f>SUMIFS(ТСО_1!Y:Y,ТСО_1!$A:$A,$C83,ТСО_1!$C:$C,$A$71)/W$68</f>
        <v>0</v>
      </c>
      <c r="X83" s="613">
        <f>SUMIFS(ТСО_1!Z:Z,ТСО_1!$A:$A,$C83,ТСО_1!$C:$C,$A$71)/X$68</f>
        <v>0</v>
      </c>
      <c r="Y83" s="614">
        <f t="shared" si="8"/>
        <v>0</v>
      </c>
      <c r="Z83" s="614" t="e">
        <f t="shared" si="9"/>
        <v>#DIV/0!</v>
      </c>
      <c r="AA83" s="612" t="str">
        <f t="shared" si="10"/>
        <v>-</v>
      </c>
      <c r="AB83" s="609"/>
    </row>
    <row r="84" spans="1:28" x14ac:dyDescent="0.25">
      <c r="A84" s="196"/>
      <c r="B84" s="641">
        <f t="shared" si="7"/>
        <v>0</v>
      </c>
      <c r="C84" s="598">
        <f t="shared" si="6"/>
        <v>0</v>
      </c>
      <c r="D84" s="9" t="str">
        <f t="shared" si="11"/>
        <v>тыс. долл.</v>
      </c>
      <c r="E84" s="613">
        <f>SUMIFS(ТСО_1!G:G,ТСО_1!$A:$A,$C84,ТСО_1!$C:$C,$A$71)/E$68</f>
        <v>0</v>
      </c>
      <c r="F84" s="613">
        <f>SUMIFS(ТСО_1!H:H,ТСО_1!$A:$A,$C84,ТСО_1!$C:$C,$A$71)/F$68</f>
        <v>0</v>
      </c>
      <c r="G84" s="613">
        <f>SUMIFS(ТСО_1!I:I,ТСО_1!$A:$A,$C84,ТСО_1!$C:$C,$A$71)/G$68</f>
        <v>0</v>
      </c>
      <c r="H84" s="613">
        <f>SUMIFS(ТСО_1!J:J,ТСО_1!$A:$A,$C84,ТСО_1!$C:$C,$A$71)/H$68</f>
        <v>0</v>
      </c>
      <c r="I84" s="613">
        <f>SUMIFS(ТСО_1!K:K,ТСО_1!$A:$A,$C84,ТСО_1!$C:$C,$A$71)/I$68</f>
        <v>0</v>
      </c>
      <c r="J84" s="613">
        <f>SUMIFS(ТСО_1!L:L,ТСО_1!$A:$A,$C84,ТСО_1!$C:$C,$A$71)/J$68</f>
        <v>0</v>
      </c>
      <c r="K84" s="613">
        <f>SUMIFS(ТСО_1!M:M,ТСО_1!$A:$A,$C84,ТСО_1!$C:$C,$A$71)/K$68</f>
        <v>0</v>
      </c>
      <c r="L84" s="613">
        <f>SUMIFS(ТСО_1!N:N,ТСО_1!$A:$A,$C84,ТСО_1!$C:$C,$A$71)/L$68</f>
        <v>0</v>
      </c>
      <c r="M84" s="613">
        <f>SUMIFS(ТСО_1!O:O,ТСО_1!$A:$A,$C84,ТСО_1!$C:$C,$A$71)/M$68</f>
        <v>0</v>
      </c>
      <c r="N84" s="613">
        <f>SUMIFS(ТСО_1!P:P,ТСО_1!$A:$A,$C84,ТСО_1!$C:$C,$A$71)/N$68</f>
        <v>0</v>
      </c>
      <c r="O84" s="613">
        <f>SUMIFS(ТСО_1!Q:Q,ТСО_1!$A:$A,$C84,ТСО_1!$C:$C,$A$71)/O$68</f>
        <v>0</v>
      </c>
      <c r="P84" s="613">
        <f>SUMIFS(ТСО_1!R:R,ТСО_1!$A:$A,$C84,ТСО_1!$C:$C,$A$71)/P$68</f>
        <v>0</v>
      </c>
      <c r="Q84" s="613">
        <f>SUMIFS(ТСО_1!S:S,ТСО_1!$A:$A,$C84,ТСО_1!$C:$C,$A$71)/Q$68</f>
        <v>0</v>
      </c>
      <c r="R84" s="613">
        <f>SUMIFS(ТСО_1!T:T,ТСО_1!$A:$A,$C84,ТСО_1!$C:$C,$A$71)/R$68</f>
        <v>0</v>
      </c>
      <c r="S84" s="613">
        <f>SUMIFS(ТСО_1!U:U,ТСО_1!$A:$A,$C84,ТСО_1!$C:$C,$A$71)/S$68</f>
        <v>0</v>
      </c>
      <c r="T84" s="613">
        <f>SUMIFS(ТСО_1!V:V,ТСО_1!$A:$A,$C84,ТСО_1!$C:$C,$A$71)/T$68</f>
        <v>0</v>
      </c>
      <c r="U84" s="613">
        <f>SUMIFS(ТСО_1!W:W,ТСО_1!$A:$A,$C84,ТСО_1!$C:$C,$A$71)/U$68</f>
        <v>0</v>
      </c>
      <c r="V84" s="613">
        <f>SUMIFS(ТСО_1!X:X,ТСО_1!$A:$A,$C84,ТСО_1!$C:$C,$A$71)/V$68</f>
        <v>0</v>
      </c>
      <c r="W84" s="613">
        <f>SUMIFS(ТСО_1!Y:Y,ТСО_1!$A:$A,$C84,ТСО_1!$C:$C,$A$71)/W$68</f>
        <v>0</v>
      </c>
      <c r="X84" s="613">
        <f>SUMIFS(ТСО_1!Z:Z,ТСО_1!$A:$A,$C84,ТСО_1!$C:$C,$A$71)/X$68</f>
        <v>0</v>
      </c>
      <c r="Y84" s="614">
        <f t="shared" si="8"/>
        <v>0</v>
      </c>
      <c r="Z84" s="614" t="e">
        <f t="shared" si="9"/>
        <v>#DIV/0!</v>
      </c>
      <c r="AA84" s="612" t="str">
        <f t="shared" si="10"/>
        <v>-</v>
      </c>
      <c r="AB84" s="609"/>
    </row>
    <row r="85" spans="1:28" x14ac:dyDescent="0.25">
      <c r="A85" s="196"/>
      <c r="B85" s="641">
        <f t="shared" si="7"/>
        <v>0</v>
      </c>
      <c r="C85" s="598">
        <f t="shared" si="6"/>
        <v>0</v>
      </c>
      <c r="D85" s="9" t="str">
        <f t="shared" si="11"/>
        <v>тыс. долл.</v>
      </c>
      <c r="E85" s="613">
        <f>SUMIFS(ТСО_1!G:G,ТСО_1!$A:$A,$C85,ТСО_1!$C:$C,$A$71)/E$68</f>
        <v>0</v>
      </c>
      <c r="F85" s="613">
        <f>SUMIFS(ТСО_1!H:H,ТСО_1!$A:$A,$C85,ТСО_1!$C:$C,$A$71)/F$68</f>
        <v>0</v>
      </c>
      <c r="G85" s="613">
        <f>SUMIFS(ТСО_1!I:I,ТСО_1!$A:$A,$C85,ТСО_1!$C:$C,$A$71)/G$68</f>
        <v>0</v>
      </c>
      <c r="H85" s="613">
        <f>SUMIFS(ТСО_1!J:J,ТСО_1!$A:$A,$C85,ТСО_1!$C:$C,$A$71)/H$68</f>
        <v>0</v>
      </c>
      <c r="I85" s="613">
        <f>SUMIFS(ТСО_1!K:K,ТСО_1!$A:$A,$C85,ТСО_1!$C:$C,$A$71)/I$68</f>
        <v>0</v>
      </c>
      <c r="J85" s="613">
        <f>SUMIFS(ТСО_1!L:L,ТСО_1!$A:$A,$C85,ТСО_1!$C:$C,$A$71)/J$68</f>
        <v>0</v>
      </c>
      <c r="K85" s="613">
        <f>SUMIFS(ТСО_1!M:M,ТСО_1!$A:$A,$C85,ТСО_1!$C:$C,$A$71)/K$68</f>
        <v>0</v>
      </c>
      <c r="L85" s="613">
        <f>SUMIFS(ТСО_1!N:N,ТСО_1!$A:$A,$C85,ТСО_1!$C:$C,$A$71)/L$68</f>
        <v>0</v>
      </c>
      <c r="M85" s="613">
        <f>SUMIFS(ТСО_1!O:O,ТСО_1!$A:$A,$C85,ТСО_1!$C:$C,$A$71)/M$68</f>
        <v>0</v>
      </c>
      <c r="N85" s="613">
        <f>SUMIFS(ТСО_1!P:P,ТСО_1!$A:$A,$C85,ТСО_1!$C:$C,$A$71)/N$68</f>
        <v>0</v>
      </c>
      <c r="O85" s="613">
        <f>SUMIFS(ТСО_1!Q:Q,ТСО_1!$A:$A,$C85,ТСО_1!$C:$C,$A$71)/O$68</f>
        <v>0</v>
      </c>
      <c r="P85" s="613">
        <f>SUMIFS(ТСО_1!R:R,ТСО_1!$A:$A,$C85,ТСО_1!$C:$C,$A$71)/P$68</f>
        <v>0</v>
      </c>
      <c r="Q85" s="613">
        <f>SUMIFS(ТСО_1!S:S,ТСО_1!$A:$A,$C85,ТСО_1!$C:$C,$A$71)/Q$68</f>
        <v>0</v>
      </c>
      <c r="R85" s="613">
        <f>SUMIFS(ТСО_1!T:T,ТСО_1!$A:$A,$C85,ТСО_1!$C:$C,$A$71)/R$68</f>
        <v>0</v>
      </c>
      <c r="S85" s="613">
        <f>SUMIFS(ТСО_1!U:U,ТСО_1!$A:$A,$C85,ТСО_1!$C:$C,$A$71)/S$68</f>
        <v>0</v>
      </c>
      <c r="T85" s="613">
        <f>SUMIFS(ТСО_1!V:V,ТСО_1!$A:$A,$C85,ТСО_1!$C:$C,$A$71)/T$68</f>
        <v>0</v>
      </c>
      <c r="U85" s="613">
        <f>SUMIFS(ТСО_1!W:W,ТСО_1!$A:$A,$C85,ТСО_1!$C:$C,$A$71)/U$68</f>
        <v>0</v>
      </c>
      <c r="V85" s="613">
        <f>SUMIFS(ТСО_1!X:X,ТСО_1!$A:$A,$C85,ТСО_1!$C:$C,$A$71)/V$68</f>
        <v>0</v>
      </c>
      <c r="W85" s="613">
        <f>SUMIFS(ТСО_1!Y:Y,ТСО_1!$A:$A,$C85,ТСО_1!$C:$C,$A$71)/W$68</f>
        <v>0</v>
      </c>
      <c r="X85" s="613">
        <f>SUMIFS(ТСО_1!Z:Z,ТСО_1!$A:$A,$C85,ТСО_1!$C:$C,$A$71)/X$68</f>
        <v>0</v>
      </c>
      <c r="Y85" s="614">
        <f t="shared" si="8"/>
        <v>0</v>
      </c>
      <c r="Z85" s="614" t="e">
        <f t="shared" si="9"/>
        <v>#DIV/0!</v>
      </c>
      <c r="AA85" s="612" t="str">
        <f t="shared" si="10"/>
        <v>-</v>
      </c>
      <c r="AB85" s="609"/>
    </row>
    <row r="86" spans="1:28" x14ac:dyDescent="0.25">
      <c r="A86" s="196"/>
      <c r="B86" s="641">
        <f t="shared" si="7"/>
        <v>1</v>
      </c>
      <c r="C86" s="174"/>
      <c r="D86" s="12"/>
      <c r="E86" s="615"/>
      <c r="F86" s="615"/>
      <c r="G86" s="615"/>
      <c r="H86" s="615"/>
      <c r="I86" s="615"/>
      <c r="J86" s="615"/>
      <c r="K86" s="615"/>
      <c r="L86" s="615"/>
      <c r="M86" s="615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615"/>
      <c r="Y86" s="616"/>
      <c r="Z86" s="616"/>
      <c r="AA86" s="617"/>
      <c r="AB86" s="609"/>
    </row>
    <row r="87" spans="1:28" x14ac:dyDescent="0.25">
      <c r="A87" s="196"/>
      <c r="B87" s="640">
        <v>1</v>
      </c>
    </row>
    <row r="88" spans="1:28" x14ac:dyDescent="0.25">
      <c r="A88" s="196"/>
      <c r="B88" s="640">
        <v>1</v>
      </c>
      <c r="C88" s="603" t="s">
        <v>663</v>
      </c>
      <c r="D88" s="628" t="str">
        <f>D70</f>
        <v>Ед. изм.</v>
      </c>
      <c r="E88" s="628">
        <f t="shared" ref="E88:Z88" si="12">E70</f>
        <v>1</v>
      </c>
      <c r="F88" s="628">
        <f t="shared" si="12"/>
        <v>2</v>
      </c>
      <c r="G88" s="628">
        <f t="shared" si="12"/>
        <v>3</v>
      </c>
      <c r="H88" s="628">
        <f t="shared" si="12"/>
        <v>4</v>
      </c>
      <c r="I88" s="628">
        <f t="shared" si="12"/>
        <v>5</v>
      </c>
      <c r="J88" s="628">
        <f t="shared" si="12"/>
        <v>6</v>
      </c>
      <c r="K88" s="628">
        <f t="shared" si="12"/>
        <v>7</v>
      </c>
      <c r="L88" s="628">
        <f t="shared" si="12"/>
        <v>8</v>
      </c>
      <c r="M88" s="628">
        <f t="shared" si="12"/>
        <v>9</v>
      </c>
      <c r="N88" s="628">
        <f t="shared" si="12"/>
        <v>10</v>
      </c>
      <c r="O88" s="628">
        <f t="shared" si="12"/>
        <v>11</v>
      </c>
      <c r="P88" s="628">
        <f t="shared" si="12"/>
        <v>12</v>
      </c>
      <c r="Q88" s="628">
        <f t="shared" si="12"/>
        <v>13</v>
      </c>
      <c r="R88" s="628">
        <f t="shared" si="12"/>
        <v>14</v>
      </c>
      <c r="S88" s="628">
        <f t="shared" si="12"/>
        <v>15</v>
      </c>
      <c r="T88" s="628">
        <f t="shared" si="12"/>
        <v>16</v>
      </c>
      <c r="U88" s="628">
        <f t="shared" si="12"/>
        <v>17</v>
      </c>
      <c r="V88" s="628">
        <f t="shared" si="12"/>
        <v>18</v>
      </c>
      <c r="W88" s="628">
        <f t="shared" si="12"/>
        <v>19</v>
      </c>
      <c r="X88" s="628">
        <f t="shared" si="12"/>
        <v>20</v>
      </c>
      <c r="Y88" s="628" t="str">
        <f t="shared" si="12"/>
        <v>Всего</v>
      </c>
      <c r="Z88" s="628" t="str">
        <f t="shared" si="12"/>
        <v>Среднее</v>
      </c>
      <c r="AA88" s="628"/>
    </row>
    <row r="89" spans="1:28" x14ac:dyDescent="0.25">
      <c r="A89" s="196"/>
      <c r="B89" s="641">
        <f>B71</f>
        <v>1</v>
      </c>
      <c r="C89" s="604" t="str">
        <f>C71</f>
        <v>NHL NTE 240</v>
      </c>
      <c r="D89" s="605" t="str">
        <f>D71</f>
        <v>тыс. долл.</v>
      </c>
      <c r="E89" s="610">
        <f>SUMIFS(ТСО!G:G,ТСО!$A:$A,$C89,ТСО!$C:$C,$A$71)/E$68</f>
        <v>63.913839890898842</v>
      </c>
      <c r="F89" s="610">
        <f>SUMIFS(ТСО!H:H,ТСО!$A:$A,$C89,ТСО!$C:$C,$A$71)/F$68</f>
        <v>88.81548887583746</v>
      </c>
      <c r="G89" s="610">
        <f>SUMIFS(ТСО!I:I,ТСО!$A:$A,$C89,ТСО!$C:$C,$A$71)/G$68</f>
        <v>526.21504951629436</v>
      </c>
      <c r="H89" s="610">
        <f>SUMIFS(ТСО!J:J,ТСО!$A:$A,$C89,ТСО!$C:$C,$A$71)/H$68</f>
        <v>279.84310319866029</v>
      </c>
      <c r="I89" s="610">
        <f>SUMIFS(ТСО!K:K,ТСО!$A:$A,$C89,ТСО!$C:$C,$A$71)/I$68</f>
        <v>93.326114942898599</v>
      </c>
      <c r="J89" s="610">
        <f>SUMIFS(ТСО!L:L,ТСО!$A:$A,$C89,ТСО!$C:$C,$A$71)/J$68</f>
        <v>513.88140858341399</v>
      </c>
      <c r="K89" s="610">
        <f>SUMIFS(ТСО!M:M,ТСО!$A:$A,$C89,ТСО!$C:$C,$A$71)/K$68</f>
        <v>86.516047681857771</v>
      </c>
      <c r="L89" s="610">
        <f>SUMIFS(ТСО!N:N,ТСО!$A:$A,$C89,ТСО!$C:$C,$A$71)/L$68</f>
        <v>296.58054689207376</v>
      </c>
      <c r="M89" s="610">
        <f>SUMIFS(ТСО!O:O,ТСО!$A:$A,$C89,ТСО!$C:$C,$A$71)/M$68</f>
        <v>958.65981980928143</v>
      </c>
      <c r="N89" s="610">
        <f>SUMIFS(ТСО!P:P,ТСО!$A:$A,$C89,ТСО!$C:$C,$A$71)/N$68</f>
        <v>73.52226174345364</v>
      </c>
      <c r="O89" s="610">
        <f>SUMIFS(ТСО!Q:Q,ТСО!$A:$A,$C89,ТСО!$C:$C,$A$71)/O$68</f>
        <v>2113.8488693080612</v>
      </c>
      <c r="P89" s="610">
        <f>SUMIFS(ТСО!R:R,ТСО!$A:$A,$C89,ТСО!$C:$C,$A$71)/P$68</f>
        <v>515.23000666206485</v>
      </c>
      <c r="Q89" s="610">
        <f>SUMIFS(ТСО!S:S,ТСО!$A:$A,$C89,ТСО!$C:$C,$A$71)/Q$68</f>
        <v>80.169897073607757</v>
      </c>
      <c r="R89" s="610">
        <f>SUMIFS(ТСО!T:T,ТСО!$A:$A,$C89,ТСО!$C:$C,$A$71)/R$68</f>
        <v>81.530805251111929</v>
      </c>
      <c r="S89" s="610">
        <f>SUMIFS(ТСО!U:U,ТСО!$A:$A,$C89,ТСО!$C:$C,$A$71)/S$68</f>
        <v>733.18369329021948</v>
      </c>
      <c r="T89" s="610">
        <f>SUMIFS(ТСО!V:V,ТСО!$A:$A,$C89,ТСО!$C:$C,$A$71)/T$68</f>
        <v>81.693954116941782</v>
      </c>
      <c r="U89" s="610">
        <f>SUMIFS(ТСО!W:W,ТСО!$A:$A,$C89,ТСО!$C:$C,$A$71)/U$68</f>
        <v>80.597160427430524</v>
      </c>
      <c r="V89" s="610">
        <f>SUMIFS(ТСО!X:X,ТСО!$A:$A,$C89,ТСО!$C:$C,$A$71)/V$68</f>
        <v>1170.2927907256915</v>
      </c>
      <c r="W89" s="610">
        <f>SUMIFS(ТСО!Y:Y,ТСО!$A:$A,$C89,ТСО!$C:$C,$A$71)/W$68</f>
        <v>83.01431745088118</v>
      </c>
      <c r="X89" s="610">
        <f>SUMIFS(ТСО!Z:Z,ТСО!$A:$A,$C89,ТСО!$C:$C,$A$71)/X$68</f>
        <v>101.4329287775265</v>
      </c>
      <c r="Y89" s="611">
        <f>SUM(E89:X89)</f>
        <v>8022.2681042182076</v>
      </c>
      <c r="Z89" s="611">
        <f>Y89/K5</f>
        <v>401.1134052109104</v>
      </c>
      <c r="AA89" s="617"/>
      <c r="AB89" s="620"/>
    </row>
    <row r="90" spans="1:28" x14ac:dyDescent="0.25">
      <c r="A90" s="196"/>
      <c r="B90" s="641">
        <f t="shared" ref="B90:B104" si="13">B72</f>
        <v>1</v>
      </c>
      <c r="C90" s="598" t="str">
        <f t="shared" ref="C90:D90" si="14">C72</f>
        <v>Estar ESDE240 (ГПБ К)</v>
      </c>
      <c r="D90" s="9" t="str">
        <f t="shared" si="14"/>
        <v>тыс. долл.</v>
      </c>
      <c r="E90" s="613">
        <f>SUMIFS(ТСО!G:G,ТСО!$A:$A,$C90,ТСО!$C:$C,$A$71)/E$68</f>
        <v>180.53002627191864</v>
      </c>
      <c r="F90" s="613">
        <f>SUMIFS(ТСО!H:H,ТСО!$A:$A,$C90,ТСО!$C:$C,$A$71)/F$68</f>
        <v>276.72926017787324</v>
      </c>
      <c r="G90" s="613">
        <f>SUMIFS(ТСО!I:I,ТСО!$A:$A,$C90,ТСО!$C:$C,$A$71)/G$68</f>
        <v>928.14011027511867</v>
      </c>
      <c r="H90" s="613">
        <f>SUMIFS(ТСО!J:J,ТСО!$A:$A,$C90,ТСО!$C:$C,$A$71)/H$68</f>
        <v>2751.338917772202</v>
      </c>
      <c r="I90" s="613">
        <f>SUMIFS(ТСО!K:K,ТСО!$A:$A,$C90,ТСО!$C:$C,$A$71)/I$68</f>
        <v>184.23302627191865</v>
      </c>
      <c r="J90" s="613">
        <f>SUMIFS(ТСО!L:L,ТСО!$A:$A,$C90,ТСО!$C:$C,$A$71)/J$68</f>
        <v>1024.3393441810731</v>
      </c>
      <c r="K90" s="613">
        <f>SUMIFS(ТСО!M:M,ТСО!$A:$A,$C90,ТСО!$C:$C,$A$71)/K$68</f>
        <v>180.53002627191864</v>
      </c>
      <c r="L90" s="613">
        <f>SUMIFS(ТСО!N:N,ТСО!$A:$A,$C90,ТСО!$C:$C,$A$71)/L$68</f>
        <v>2751.338917772202</v>
      </c>
      <c r="M90" s="613">
        <f>SUMIFS(ТСО!O:O,ТСО!$A:$A,$C90,ТСО!$C:$C,$A$71)/M$68</f>
        <v>180.53002627191864</v>
      </c>
      <c r="N90" s="613">
        <f>SUMIFS(ТСО!P:P,ТСО!$A:$A,$C90,ТСО!$C:$C,$A$71)/N$68</f>
        <v>180.53002627191864</v>
      </c>
      <c r="O90" s="613">
        <f>SUMIFS(ТСО!Q:Q,ТСО!$A:$A,$C90,ТСО!$C:$C,$A$71)/O$68</f>
        <v>0</v>
      </c>
      <c r="P90" s="613">
        <f>SUMIFS(ТСО!R:R,ТСО!$A:$A,$C90,ТСО!$C:$C,$A$71)/P$68</f>
        <v>0</v>
      </c>
      <c r="Q90" s="613">
        <f>SUMIFS(ТСО!S:S,ТСО!$A:$A,$C90,ТСО!$C:$C,$A$71)/Q$68</f>
        <v>0</v>
      </c>
      <c r="R90" s="613">
        <f>SUMIFS(ТСО!T:T,ТСО!$A:$A,$C90,ТСО!$C:$C,$A$71)/R$68</f>
        <v>0</v>
      </c>
      <c r="S90" s="613">
        <f>SUMIFS(ТСО!U:U,ТСО!$A:$A,$C90,ТСО!$C:$C,$A$71)/S$68</f>
        <v>0</v>
      </c>
      <c r="T90" s="613">
        <f>SUMIFS(ТСО!V:V,ТСО!$A:$A,$C90,ТСО!$C:$C,$A$71)/T$68</f>
        <v>0</v>
      </c>
      <c r="U90" s="613">
        <f>SUMIFS(ТСО!W:W,ТСО!$A:$A,$C90,ТСО!$C:$C,$A$71)/U$68</f>
        <v>0</v>
      </c>
      <c r="V90" s="613">
        <f>SUMIFS(ТСО!X:X,ТСО!$A:$A,$C90,ТСО!$C:$C,$A$71)/V$68</f>
        <v>0</v>
      </c>
      <c r="W90" s="613">
        <f>SUMIFS(ТСО!Y:Y,ТСО!$A:$A,$C90,ТСО!$C:$C,$A$71)/W$68</f>
        <v>0</v>
      </c>
      <c r="X90" s="613">
        <f>SUMIFS(ТСО!Z:Z,ТСО!$A:$A,$C90,ТСО!$C:$C,$A$71)/X$68</f>
        <v>0</v>
      </c>
      <c r="Y90" s="614">
        <f t="shared" ref="Y90:Y103" si="15">SUM(E90:X90)</f>
        <v>8638.2396815380635</v>
      </c>
      <c r="Z90" s="614">
        <f t="shared" ref="Z90:Z103" si="16">Y90/K6</f>
        <v>863.82396815380639</v>
      </c>
      <c r="AA90" s="617"/>
      <c r="AB90" s="620"/>
    </row>
    <row r="91" spans="1:28" x14ac:dyDescent="0.25">
      <c r="A91" s="196"/>
      <c r="B91" s="641">
        <f t="shared" si="13"/>
        <v>1</v>
      </c>
      <c r="C91" s="598" t="str">
        <f t="shared" ref="C91:D91" si="17">C73</f>
        <v>SANY SET240S</v>
      </c>
      <c r="D91" s="9" t="str">
        <f t="shared" si="17"/>
        <v>тыс. долл.</v>
      </c>
      <c r="E91" s="613">
        <f>SUMIFS(ТСО!G:G,ТСО!$A:$A,$C91,ТСО!$C:$C,$A$71)/E$68</f>
        <v>135.34770774674283</v>
      </c>
      <c r="F91" s="613">
        <f>SUMIFS(ТСО!H:H,ТСО!$A:$A,$C91,ТСО!$C:$C,$A$71)/F$68</f>
        <v>211.26697940950629</v>
      </c>
      <c r="G91" s="613">
        <f>SUMIFS(ТСО!I:I,ТСО!$A:$A,$C91,ТСО!$C:$C,$A$71)/G$68</f>
        <v>597.96064217297237</v>
      </c>
      <c r="H91" s="613">
        <f>SUMIFS(ТСО!J:J,ТСО!$A:$A,$C91,ТСО!$C:$C,$A$71)/H$68</f>
        <v>305.14197940950635</v>
      </c>
      <c r="I91" s="613">
        <f>SUMIFS(ТСО!K:K,ТСО!$A:$A,$C91,ТСО!$C:$C,$A$71)/I$68</f>
        <v>973.93700774674301</v>
      </c>
      <c r="J91" s="613">
        <f>SUMIFS(ТСО!L:L,ТСО!$A:$A,$C91,ТСО!$C:$C,$A$71)/J$68</f>
        <v>741.25919955002178</v>
      </c>
      <c r="K91" s="613">
        <f>SUMIFS(ТСО!M:M,ТСО!$A:$A,$C91,ТСО!$C:$C,$A$71)/K$68</f>
        <v>267.37570774674282</v>
      </c>
      <c r="L91" s="613">
        <f>SUMIFS(ТСО!N:N,ТСО!$A:$A,$C91,ТСО!$C:$C,$A$71)/L$68</f>
        <v>268.93297940950634</v>
      </c>
      <c r="M91" s="613">
        <f>SUMIFS(ТСО!O:O,ТСО!$A:$A,$C91,ТСО!$C:$C,$A$71)/M$68</f>
        <v>1349.3409421729723</v>
      </c>
      <c r="N91" s="613">
        <f>SUMIFS(ТСО!P:P,ТСО!$A:$A,$C91,ТСО!$C:$C,$A$71)/N$68</f>
        <v>196.00097940950633</v>
      </c>
      <c r="O91" s="613">
        <f>SUMIFS(ТСО!Q:Q,ТСО!$A:$A,$C91,ТСО!$C:$C,$A$71)/O$68</f>
        <v>258.79770774674284</v>
      </c>
      <c r="P91" s="613">
        <f>SUMIFS(ТСО!R:R,ТСО!$A:$A,$C91,ТСО!$C:$C,$A$71)/P$68</f>
        <v>282.98870774674282</v>
      </c>
      <c r="Q91" s="613">
        <f>SUMIFS(ТСО!S:S,ТСО!$A:$A,$C91,ТСО!$C:$C,$A$71)/Q$68</f>
        <v>0</v>
      </c>
      <c r="R91" s="613">
        <f>SUMIFS(ТСО!T:T,ТСО!$A:$A,$C91,ТСО!$C:$C,$A$71)/R$68</f>
        <v>0</v>
      </c>
      <c r="S91" s="613">
        <f>SUMIFS(ТСО!U:U,ТСО!$A:$A,$C91,ТСО!$C:$C,$A$71)/S$68</f>
        <v>0</v>
      </c>
      <c r="T91" s="613">
        <f>SUMIFS(ТСО!V:V,ТСО!$A:$A,$C91,ТСО!$C:$C,$A$71)/T$68</f>
        <v>0</v>
      </c>
      <c r="U91" s="613">
        <f>SUMIFS(ТСО!W:W,ТСО!$A:$A,$C91,ТСО!$C:$C,$A$71)/U$68</f>
        <v>0</v>
      </c>
      <c r="V91" s="613">
        <f>SUMIFS(ТСО!X:X,ТСО!$A:$A,$C91,ТСО!$C:$C,$A$71)/V$68</f>
        <v>0</v>
      </c>
      <c r="W91" s="613">
        <f>SUMIFS(ТСО!Y:Y,ТСО!$A:$A,$C91,ТСО!$C:$C,$A$71)/W$68</f>
        <v>0</v>
      </c>
      <c r="X91" s="613">
        <f>SUMIFS(ТСО!Z:Z,ТСО!$A:$A,$C91,ТСО!$C:$C,$A$71)/X$68</f>
        <v>0</v>
      </c>
      <c r="Y91" s="614">
        <f t="shared" si="15"/>
        <v>5588.3505402677065</v>
      </c>
      <c r="Z91" s="614">
        <f t="shared" si="16"/>
        <v>465.69587835564221</v>
      </c>
      <c r="AA91" s="617"/>
      <c r="AB91" s="620"/>
    </row>
    <row r="92" spans="1:28" x14ac:dyDescent="0.25">
      <c r="A92" s="196"/>
      <c r="B92" s="641">
        <f t="shared" si="13"/>
        <v>1</v>
      </c>
      <c r="C92" s="598" t="str">
        <f t="shared" ref="C92:D92" si="18">C74</f>
        <v>TZCO TZE240</v>
      </c>
      <c r="D92" s="9" t="str">
        <f t="shared" si="18"/>
        <v>тыс. долл.</v>
      </c>
      <c r="E92" s="613">
        <f>SUMIFS(ТСО!G:G,ТСО!$A:$A,$C92,ТСО!$C:$C,$A$71)/E$68</f>
        <v>299.33592441558437</v>
      </c>
      <c r="F92" s="613">
        <f>SUMIFS(ТСО!H:H,ТСО!$A:$A,$C92,ТСО!$C:$C,$A$71)/F$68</f>
        <v>629.57257441558431</v>
      </c>
      <c r="G92" s="613">
        <f>SUMIFS(ТСО!I:I,ТСО!$A:$A,$C92,ТСО!$C:$C,$A$71)/G$68</f>
        <v>1881.2034744155847</v>
      </c>
      <c r="H92" s="613">
        <f>SUMIFS(ТСО!J:J,ТСО!$A:$A,$C92,ТСО!$C:$C,$A$71)/H$68</f>
        <v>629.57257441558431</v>
      </c>
      <c r="I92" s="613">
        <f>SUMIFS(ТСО!K:K,ТСО!$A:$A,$C92,ТСО!$C:$C,$A$71)/I$68</f>
        <v>299.33592441558437</v>
      </c>
      <c r="J92" s="613">
        <f>SUMIFS(ТСО!L:L,ТСО!$A:$A,$C92,ТСО!$C:$C,$A$71)/J$68</f>
        <v>2211.4401244155847</v>
      </c>
      <c r="K92" s="613">
        <f>SUMIFS(ТСО!M:M,ТСО!$A:$A,$C92,ТСО!$C:$C,$A$71)/K$68</f>
        <v>299.33592441558437</v>
      </c>
      <c r="L92" s="613">
        <f>SUMIFS(ТСО!N:N,ТСО!$A:$A,$C92,ТСО!$C:$C,$A$71)/L$68</f>
        <v>629.57257441558431</v>
      </c>
      <c r="M92" s="613">
        <f>SUMIFS(ТСО!O:O,ТСО!$A:$A,$C92,ТСО!$C:$C,$A$71)/M$68</f>
        <v>0</v>
      </c>
      <c r="N92" s="613">
        <f>SUMIFS(ТСО!P:P,ТСО!$A:$A,$C92,ТСО!$C:$C,$A$71)/N$68</f>
        <v>0</v>
      </c>
      <c r="O92" s="613">
        <f>SUMIFS(ТСО!Q:Q,ТСО!$A:$A,$C92,ТСО!$C:$C,$A$71)/O$68</f>
        <v>0</v>
      </c>
      <c r="P92" s="613">
        <f>SUMIFS(ТСО!R:R,ТСО!$A:$A,$C92,ТСО!$C:$C,$A$71)/P$68</f>
        <v>0</v>
      </c>
      <c r="Q92" s="613">
        <f>SUMIFS(ТСО!S:S,ТСО!$A:$A,$C92,ТСО!$C:$C,$A$71)/Q$68</f>
        <v>0</v>
      </c>
      <c r="R92" s="613">
        <f>SUMIFS(ТСО!T:T,ТСО!$A:$A,$C92,ТСО!$C:$C,$A$71)/R$68</f>
        <v>0</v>
      </c>
      <c r="S92" s="613">
        <f>SUMIFS(ТСО!U:U,ТСО!$A:$A,$C92,ТСО!$C:$C,$A$71)/S$68</f>
        <v>0</v>
      </c>
      <c r="T92" s="613">
        <f>SUMIFS(ТСО!V:V,ТСО!$A:$A,$C92,ТСО!$C:$C,$A$71)/T$68</f>
        <v>0</v>
      </c>
      <c r="U92" s="613">
        <f>SUMIFS(ТСО!W:W,ТСО!$A:$A,$C92,ТСО!$C:$C,$A$71)/U$68</f>
        <v>0</v>
      </c>
      <c r="V92" s="613">
        <f>SUMIFS(ТСО!X:X,ТСО!$A:$A,$C92,ТСО!$C:$C,$A$71)/V$68</f>
        <v>0</v>
      </c>
      <c r="W92" s="613">
        <f>SUMIFS(ТСО!Y:Y,ТСО!$A:$A,$C92,ТСО!$C:$C,$A$71)/W$68</f>
        <v>0</v>
      </c>
      <c r="X92" s="613">
        <f>SUMIFS(ТСО!Z:Z,ТСО!$A:$A,$C92,ТСО!$C:$C,$A$71)/X$68</f>
        <v>0</v>
      </c>
      <c r="Y92" s="614">
        <f t="shared" si="15"/>
        <v>6879.369095324676</v>
      </c>
      <c r="Z92" s="614">
        <f t="shared" si="16"/>
        <v>859.9211369155845</v>
      </c>
      <c r="AA92" s="617"/>
      <c r="AB92" s="620"/>
    </row>
    <row r="93" spans="1:28" x14ac:dyDescent="0.25">
      <c r="A93" s="196"/>
      <c r="B93" s="641">
        <f t="shared" si="13"/>
        <v>1</v>
      </c>
      <c r="C93" s="598" t="str">
        <f t="shared" ref="C93:D93" si="19">C75</f>
        <v>БелАЗ 7531 (ГПФК)</v>
      </c>
      <c r="D93" s="9" t="str">
        <f t="shared" si="19"/>
        <v>тыс. долл.</v>
      </c>
      <c r="E93" s="613">
        <f>SUMIFS(ТСО!G:G,ТСО!$A:$A,$C93,ТСО!$C:$C,$A$71)/E$68</f>
        <v>148.04729000000003</v>
      </c>
      <c r="F93" s="613">
        <f>SUMIFS(ТСО!H:H,ТСО!$A:$A,$C93,ТСО!$C:$C,$A$71)/F$68</f>
        <v>317.60136</v>
      </c>
      <c r="G93" s="613">
        <f>SUMIFS(ТСО!I:I,ТСО!$A:$A,$C93,ТСО!$C:$C,$A$71)/G$68</f>
        <v>572.06806000000006</v>
      </c>
      <c r="H93" s="613">
        <f>SUMIFS(ТСО!J:J,ТСО!$A:$A,$C93,ТСО!$C:$C,$A$71)/H$68</f>
        <v>727.00655500000005</v>
      </c>
      <c r="I93" s="613">
        <f>SUMIFS(ТСО!K:K,ТСО!$A:$A,$C93,ТСО!$C:$C,$A$71)/I$68</f>
        <v>631.622885</v>
      </c>
      <c r="J93" s="613">
        <f>SUMIFS(ТСО!L:L,ТСО!$A:$A,$C93,ТСО!$C:$C,$A$71)/J$68</f>
        <v>688.61906999999997</v>
      </c>
      <c r="K93" s="613">
        <f>SUMIFS(ТСО!M:M,ТСО!$A:$A,$C93,ТСО!$C:$C,$A$71)/K$68</f>
        <v>180.495115</v>
      </c>
      <c r="L93" s="613">
        <f>SUMIFS(ТСО!N:N,ТСО!$A:$A,$C93,ТСО!$C:$C,$A$71)/L$68</f>
        <v>847.19411500000012</v>
      </c>
      <c r="M93" s="613">
        <f>SUMIFS(ТСО!O:O,ТСО!$A:$A,$C93,ТСО!$C:$C,$A$71)/M$68</f>
        <v>961.75027000000011</v>
      </c>
      <c r="N93" s="613">
        <f>SUMIFS(ТСО!P:P,ТСО!$A:$A,$C93,ТСО!$C:$C,$A$71)/N$68</f>
        <v>231.50896000000003</v>
      </c>
      <c r="O93" s="613">
        <f>SUMIFS(ТСО!Q:Q,ТСО!$A:$A,$C93,ТСО!$C:$C,$A$71)/O$68</f>
        <v>0</v>
      </c>
      <c r="P93" s="613">
        <f>SUMIFS(ТСО!R:R,ТСО!$A:$A,$C93,ТСО!$C:$C,$A$71)/P$68</f>
        <v>0</v>
      </c>
      <c r="Q93" s="613">
        <f>SUMIFS(ТСО!S:S,ТСО!$A:$A,$C93,ТСО!$C:$C,$A$71)/Q$68</f>
        <v>0</v>
      </c>
      <c r="R93" s="613">
        <f>SUMIFS(ТСО!T:T,ТСО!$A:$A,$C93,ТСО!$C:$C,$A$71)/R$68</f>
        <v>0</v>
      </c>
      <c r="S93" s="613">
        <f>SUMIFS(ТСО!U:U,ТСО!$A:$A,$C93,ТСО!$C:$C,$A$71)/S$68</f>
        <v>0</v>
      </c>
      <c r="T93" s="613">
        <f>SUMIFS(ТСО!V:V,ТСО!$A:$A,$C93,ТСО!$C:$C,$A$71)/T$68</f>
        <v>0</v>
      </c>
      <c r="U93" s="613">
        <f>SUMIFS(ТСО!W:W,ТСО!$A:$A,$C93,ТСО!$C:$C,$A$71)/U$68</f>
        <v>0</v>
      </c>
      <c r="V93" s="613">
        <f>SUMIFS(ТСО!X:X,ТСО!$A:$A,$C93,ТСО!$C:$C,$A$71)/V$68</f>
        <v>0</v>
      </c>
      <c r="W93" s="613">
        <f>SUMIFS(ТСО!Y:Y,ТСО!$A:$A,$C93,ТСО!$C:$C,$A$71)/W$68</f>
        <v>0</v>
      </c>
      <c r="X93" s="613">
        <f>SUMIFS(ТСО!Z:Z,ТСО!$A:$A,$C93,ТСО!$C:$C,$A$71)/X$68</f>
        <v>0</v>
      </c>
      <c r="Y93" s="614">
        <f t="shared" si="15"/>
        <v>5305.9136800000006</v>
      </c>
      <c r="Z93" s="614">
        <f t="shared" si="16"/>
        <v>530.5913680000001</v>
      </c>
      <c r="AA93" s="617"/>
      <c r="AB93" s="620"/>
    </row>
    <row r="94" spans="1:28" x14ac:dyDescent="0.25">
      <c r="A94" s="196"/>
      <c r="B94" s="641">
        <f t="shared" si="13"/>
        <v>1</v>
      </c>
      <c r="C94" s="598" t="str">
        <f t="shared" ref="C94:D94" si="20">C76</f>
        <v>XCMG 240</v>
      </c>
      <c r="D94" s="9" t="str">
        <f t="shared" si="20"/>
        <v>тыс. долл.</v>
      </c>
      <c r="E94" s="613">
        <f>SUMIFS(ТСО!G:G,ТСО!$A:$A,$C94,ТСО!$C:$C,$A$71)/E$68</f>
        <v>0</v>
      </c>
      <c r="F94" s="613">
        <f>SUMIFS(ТСО!H:H,ТСО!$A:$A,$C94,ТСО!$C:$C,$A$71)/F$68</f>
        <v>0</v>
      </c>
      <c r="G94" s="613">
        <f>SUMIFS(ТСО!I:I,ТСО!$A:$A,$C94,ТСО!$C:$C,$A$71)/G$68</f>
        <v>0</v>
      </c>
      <c r="H94" s="613">
        <f>SUMIFS(ТСО!J:J,ТСО!$A:$A,$C94,ТСО!$C:$C,$A$71)/H$68</f>
        <v>0</v>
      </c>
      <c r="I94" s="613">
        <f>SUMIFS(ТСО!K:K,ТСО!$A:$A,$C94,ТСО!$C:$C,$A$71)/I$68</f>
        <v>0</v>
      </c>
      <c r="J94" s="613">
        <f>SUMIFS(ТСО!L:L,ТСО!$A:$A,$C94,ТСО!$C:$C,$A$71)/J$68</f>
        <v>0</v>
      </c>
      <c r="K94" s="613">
        <f>SUMIFS(ТСО!M:M,ТСО!$A:$A,$C94,ТСО!$C:$C,$A$71)/K$68</f>
        <v>0</v>
      </c>
      <c r="L94" s="613">
        <f>SUMIFS(ТСО!N:N,ТСО!$A:$A,$C94,ТСО!$C:$C,$A$71)/L$68</f>
        <v>0</v>
      </c>
      <c r="M94" s="613">
        <f>SUMIFS(ТСО!O:O,ТСО!$A:$A,$C94,ТСО!$C:$C,$A$71)/M$68</f>
        <v>0</v>
      </c>
      <c r="N94" s="613">
        <f>SUMIFS(ТСО!P:P,ТСО!$A:$A,$C94,ТСО!$C:$C,$A$71)/N$68</f>
        <v>0</v>
      </c>
      <c r="O94" s="613">
        <f>SUMIFS(ТСО!Q:Q,ТСО!$A:$A,$C94,ТСО!$C:$C,$A$71)/O$68</f>
        <v>0</v>
      </c>
      <c r="P94" s="613">
        <f>SUMIFS(ТСО!R:R,ТСО!$A:$A,$C94,ТСО!$C:$C,$A$71)/P$68</f>
        <v>0</v>
      </c>
      <c r="Q94" s="613">
        <f>SUMIFS(ТСО!S:S,ТСО!$A:$A,$C94,ТСО!$C:$C,$A$71)/Q$68</f>
        <v>0</v>
      </c>
      <c r="R94" s="613">
        <f>SUMIFS(ТСО!T:T,ТСО!$A:$A,$C94,ТСО!$C:$C,$A$71)/R$68</f>
        <v>0</v>
      </c>
      <c r="S94" s="613">
        <f>SUMIFS(ТСО!U:U,ТСО!$A:$A,$C94,ТСО!$C:$C,$A$71)/S$68</f>
        <v>0</v>
      </c>
      <c r="T94" s="613">
        <f>SUMIFS(ТСО!V:V,ТСО!$A:$A,$C94,ТСО!$C:$C,$A$71)/T$68</f>
        <v>0</v>
      </c>
      <c r="U94" s="613">
        <f>SUMIFS(ТСО!W:W,ТСО!$A:$A,$C94,ТСО!$C:$C,$A$71)/U$68</f>
        <v>0</v>
      </c>
      <c r="V94" s="613">
        <f>SUMIFS(ТСО!X:X,ТСО!$A:$A,$C94,ТСО!$C:$C,$A$71)/V$68</f>
        <v>0</v>
      </c>
      <c r="W94" s="613">
        <f>SUMIFS(ТСО!Y:Y,ТСО!$A:$A,$C94,ТСО!$C:$C,$A$71)/W$68</f>
        <v>0</v>
      </c>
      <c r="X94" s="613">
        <f>SUMIFS(ТСО!Z:Z,ТСО!$A:$A,$C94,ТСО!$C:$C,$A$71)/X$68</f>
        <v>0</v>
      </c>
      <c r="Y94" s="614">
        <f t="shared" si="15"/>
        <v>0</v>
      </c>
      <c r="Z94" s="614" t="e">
        <f t="shared" si="16"/>
        <v>#DIV/0!</v>
      </c>
      <c r="AA94" s="617"/>
      <c r="AB94" s="620"/>
    </row>
    <row r="95" spans="1:28" x14ac:dyDescent="0.25">
      <c r="A95" s="196"/>
      <c r="B95" s="641">
        <f t="shared" si="13"/>
        <v>1</v>
      </c>
      <c r="C95" s="598" t="str">
        <f t="shared" ref="C95:D95" si="21">C77</f>
        <v>БелАЗ 7531 (БТЛ)</v>
      </c>
      <c r="D95" s="9" t="str">
        <f t="shared" si="21"/>
        <v>тыс. долл.</v>
      </c>
      <c r="E95" s="613">
        <f>SUMIFS(ТСО!G:G,ТСО!$A:$A,$C95,ТСО!$C:$C,$A$71)/E$68</f>
        <v>130.79329823756859</v>
      </c>
      <c r="F95" s="613">
        <f>SUMIFS(ТСО!H:H,ТСО!$A:$A,$C95,ТСО!$C:$C,$A$71)/F$68</f>
        <v>209.0123796395294</v>
      </c>
      <c r="G95" s="613">
        <f>SUMIFS(ТСО!I:I,ТСО!$A:$A,$C95,ТСО!$C:$C,$A$71)/G$68</f>
        <v>615.4366508195294</v>
      </c>
      <c r="H95" s="613">
        <f>SUMIFS(ТСО!J:J,ТСО!$A:$A,$C95,ТСО!$C:$C,$A$71)/H$68</f>
        <v>911.52058893952938</v>
      </c>
      <c r="I95" s="613">
        <f>SUMIFS(ТСО!K:K,ТСО!$A:$A,$C95,ТСО!$C:$C,$A$71)/I$68</f>
        <v>364.66373933952951</v>
      </c>
      <c r="J95" s="613">
        <f>SUMIFS(ТСО!L:L,ТСО!$A:$A,$C95,ТСО!$C:$C,$A$71)/J$68</f>
        <v>636.96468201952939</v>
      </c>
      <c r="K95" s="613">
        <f>SUMIFS(ТСО!M:M,ТСО!$A:$A,$C95,ТСО!$C:$C,$A$71)/K$68</f>
        <v>323.46017843952939</v>
      </c>
      <c r="L95" s="613">
        <f>SUMIFS(ТСО!N:N,ТСО!$A:$A,$C95,ТСО!$C:$C,$A$71)/L$68</f>
        <v>971.72701011600009</v>
      </c>
      <c r="M95" s="613">
        <f>SUMIFS(ТСО!O:O,ТСО!$A:$A,$C95,ТСО!$C:$C,$A$71)/M$68</f>
        <v>805.29884171952949</v>
      </c>
      <c r="N95" s="613">
        <f>SUMIFS(ТСО!P:P,ТСО!$A:$A,$C95,ТСО!$C:$C,$A$71)/N$68</f>
        <v>335.15355463952937</v>
      </c>
      <c r="O95" s="613">
        <f>SUMIFS(ТСО!Q:Q,ТСО!$A:$A,$C95,ТСО!$C:$C,$A$71)/O$68</f>
        <v>0</v>
      </c>
      <c r="P95" s="613">
        <f>SUMIFS(ТСО!R:R,ТСО!$A:$A,$C95,ТСО!$C:$C,$A$71)/P$68</f>
        <v>0</v>
      </c>
      <c r="Q95" s="613">
        <f>SUMIFS(ТСО!S:S,ТСО!$A:$A,$C95,ТСО!$C:$C,$A$71)/Q$68</f>
        <v>0</v>
      </c>
      <c r="R95" s="613">
        <f>SUMIFS(ТСО!T:T,ТСО!$A:$A,$C95,ТСО!$C:$C,$A$71)/R$68</f>
        <v>0</v>
      </c>
      <c r="S95" s="613">
        <f>SUMIFS(ТСО!U:U,ТСО!$A:$A,$C95,ТСО!$C:$C,$A$71)/S$68</f>
        <v>0</v>
      </c>
      <c r="T95" s="613">
        <f>SUMIFS(ТСО!V:V,ТСО!$A:$A,$C95,ТСО!$C:$C,$A$71)/T$68</f>
        <v>0</v>
      </c>
      <c r="U95" s="613">
        <f>SUMIFS(ТСО!W:W,ТСО!$A:$A,$C95,ТСО!$C:$C,$A$71)/U$68</f>
        <v>0</v>
      </c>
      <c r="V95" s="613">
        <f>SUMIFS(ТСО!X:X,ТСО!$A:$A,$C95,ТСО!$C:$C,$A$71)/V$68</f>
        <v>0</v>
      </c>
      <c r="W95" s="613">
        <f>SUMIFS(ТСО!Y:Y,ТСО!$A:$A,$C95,ТСО!$C:$C,$A$71)/W$68</f>
        <v>0</v>
      </c>
      <c r="X95" s="613">
        <f>SUMIFS(ТСО!Z:Z,ТСО!$A:$A,$C95,ТСО!$C:$C,$A$71)/X$68</f>
        <v>0</v>
      </c>
      <c r="Y95" s="614">
        <f t="shared" si="15"/>
        <v>5304.0309239098042</v>
      </c>
      <c r="Z95" s="614">
        <f t="shared" si="16"/>
        <v>530.40309239098042</v>
      </c>
      <c r="AA95" s="617"/>
      <c r="AB95" s="620"/>
    </row>
    <row r="96" spans="1:28" x14ac:dyDescent="0.25">
      <c r="A96" s="196"/>
      <c r="B96" s="641">
        <f t="shared" si="13"/>
        <v>0</v>
      </c>
      <c r="C96" s="598">
        <f t="shared" ref="C96:D96" si="22">C78</f>
        <v>0</v>
      </c>
      <c r="D96" s="9" t="str">
        <f t="shared" si="22"/>
        <v>тыс. долл.</v>
      </c>
      <c r="E96" s="613">
        <f>SUMIFS(ТСО!G:G,ТСО!$A:$A,$C96,ТСО!$C:$C,$A$71)/E$68</f>
        <v>0</v>
      </c>
      <c r="F96" s="613">
        <f>SUMIFS(ТСО!H:H,ТСО!$A:$A,$C96,ТСО!$C:$C,$A$71)/F$68</f>
        <v>0</v>
      </c>
      <c r="G96" s="613">
        <f>SUMIFS(ТСО!I:I,ТСО!$A:$A,$C96,ТСО!$C:$C,$A$71)/G$68</f>
        <v>0</v>
      </c>
      <c r="H96" s="613">
        <f>SUMIFS(ТСО!J:J,ТСО!$A:$A,$C96,ТСО!$C:$C,$A$71)/H$68</f>
        <v>0</v>
      </c>
      <c r="I96" s="613">
        <f>SUMIFS(ТСО!K:K,ТСО!$A:$A,$C96,ТСО!$C:$C,$A$71)/I$68</f>
        <v>0</v>
      </c>
      <c r="J96" s="613">
        <f>SUMIFS(ТСО!L:L,ТСО!$A:$A,$C96,ТСО!$C:$C,$A$71)/J$68</f>
        <v>0</v>
      </c>
      <c r="K96" s="613">
        <f>SUMIFS(ТСО!M:M,ТСО!$A:$A,$C96,ТСО!$C:$C,$A$71)/K$68</f>
        <v>0</v>
      </c>
      <c r="L96" s="613">
        <f>SUMIFS(ТСО!N:N,ТСО!$A:$A,$C96,ТСО!$C:$C,$A$71)/L$68</f>
        <v>0</v>
      </c>
      <c r="M96" s="613">
        <f>SUMIFS(ТСО!O:O,ТСО!$A:$A,$C96,ТСО!$C:$C,$A$71)/M$68</f>
        <v>0</v>
      </c>
      <c r="N96" s="613">
        <f>SUMIFS(ТСО!P:P,ТСО!$A:$A,$C96,ТСО!$C:$C,$A$71)/N$68</f>
        <v>0</v>
      </c>
      <c r="O96" s="613">
        <f>SUMIFS(ТСО!Q:Q,ТСО!$A:$A,$C96,ТСО!$C:$C,$A$71)/O$68</f>
        <v>0</v>
      </c>
      <c r="P96" s="613">
        <f>SUMIFS(ТСО!R:R,ТСО!$A:$A,$C96,ТСО!$C:$C,$A$71)/P$68</f>
        <v>0</v>
      </c>
      <c r="Q96" s="613">
        <f>SUMIFS(ТСО!S:S,ТСО!$A:$A,$C96,ТСО!$C:$C,$A$71)/Q$68</f>
        <v>0</v>
      </c>
      <c r="R96" s="613">
        <f>SUMIFS(ТСО!T:T,ТСО!$A:$A,$C96,ТСО!$C:$C,$A$71)/R$68</f>
        <v>0</v>
      </c>
      <c r="S96" s="613">
        <f>SUMIFS(ТСО!U:U,ТСО!$A:$A,$C96,ТСО!$C:$C,$A$71)/S$68</f>
        <v>0</v>
      </c>
      <c r="T96" s="613">
        <f>SUMIFS(ТСО!V:V,ТСО!$A:$A,$C96,ТСО!$C:$C,$A$71)/T$68</f>
        <v>0</v>
      </c>
      <c r="U96" s="613">
        <f>SUMIFS(ТСО!W:W,ТСО!$A:$A,$C96,ТСО!$C:$C,$A$71)/U$68</f>
        <v>0</v>
      </c>
      <c r="V96" s="613">
        <f>SUMIFS(ТСО!X:X,ТСО!$A:$A,$C96,ТСО!$C:$C,$A$71)/V$68</f>
        <v>0</v>
      </c>
      <c r="W96" s="613">
        <f>SUMIFS(ТСО!Y:Y,ТСО!$A:$A,$C96,ТСО!$C:$C,$A$71)/W$68</f>
        <v>0</v>
      </c>
      <c r="X96" s="613">
        <f>SUMIFS(ТСО!Z:Z,ТСО!$A:$A,$C96,ТСО!$C:$C,$A$71)/X$68</f>
        <v>0</v>
      </c>
      <c r="Y96" s="614">
        <f t="shared" si="15"/>
        <v>0</v>
      </c>
      <c r="Z96" s="614" t="e">
        <f t="shared" si="16"/>
        <v>#DIV/0!</v>
      </c>
      <c r="AA96" s="617"/>
      <c r="AB96" s="609"/>
    </row>
    <row r="97" spans="1:28" x14ac:dyDescent="0.25">
      <c r="A97" s="196"/>
      <c r="B97" s="641">
        <f t="shared" si="13"/>
        <v>0</v>
      </c>
      <c r="C97" s="598">
        <f t="shared" ref="C97:D97" si="23">C79</f>
        <v>0</v>
      </c>
      <c r="D97" s="9" t="str">
        <f t="shared" si="23"/>
        <v>тыс. долл.</v>
      </c>
      <c r="E97" s="613">
        <f>SUMIFS(ТСО!G:G,ТСО!$A:$A,$C97,ТСО!$C:$C,$A$71)/E$68</f>
        <v>0</v>
      </c>
      <c r="F97" s="613">
        <f>SUMIFS(ТСО!H:H,ТСО!$A:$A,$C97,ТСО!$C:$C,$A$71)/F$68</f>
        <v>0</v>
      </c>
      <c r="G97" s="613">
        <f>SUMIFS(ТСО!I:I,ТСО!$A:$A,$C97,ТСО!$C:$C,$A$71)/G$68</f>
        <v>0</v>
      </c>
      <c r="H97" s="613">
        <f>SUMIFS(ТСО!J:J,ТСО!$A:$A,$C97,ТСО!$C:$C,$A$71)/H$68</f>
        <v>0</v>
      </c>
      <c r="I97" s="613">
        <f>SUMIFS(ТСО!K:K,ТСО!$A:$A,$C97,ТСО!$C:$C,$A$71)/I$68</f>
        <v>0</v>
      </c>
      <c r="J97" s="613">
        <f>SUMIFS(ТСО!L:L,ТСО!$A:$A,$C97,ТСО!$C:$C,$A$71)/J$68</f>
        <v>0</v>
      </c>
      <c r="K97" s="613">
        <f>SUMIFS(ТСО!M:M,ТСО!$A:$A,$C97,ТСО!$C:$C,$A$71)/K$68</f>
        <v>0</v>
      </c>
      <c r="L97" s="613">
        <f>SUMIFS(ТСО!N:N,ТСО!$A:$A,$C97,ТСО!$C:$C,$A$71)/L$68</f>
        <v>0</v>
      </c>
      <c r="M97" s="613">
        <f>SUMIFS(ТСО!O:O,ТСО!$A:$A,$C97,ТСО!$C:$C,$A$71)/M$68</f>
        <v>0</v>
      </c>
      <c r="N97" s="613">
        <f>SUMIFS(ТСО!P:P,ТСО!$A:$A,$C97,ТСО!$C:$C,$A$71)/N$68</f>
        <v>0</v>
      </c>
      <c r="O97" s="613">
        <f>SUMIFS(ТСО!Q:Q,ТСО!$A:$A,$C97,ТСО!$C:$C,$A$71)/O$68</f>
        <v>0</v>
      </c>
      <c r="P97" s="613">
        <f>SUMIFS(ТСО!R:R,ТСО!$A:$A,$C97,ТСО!$C:$C,$A$71)/P$68</f>
        <v>0</v>
      </c>
      <c r="Q97" s="613">
        <f>SUMIFS(ТСО!S:S,ТСО!$A:$A,$C97,ТСО!$C:$C,$A$71)/Q$68</f>
        <v>0</v>
      </c>
      <c r="R97" s="613">
        <f>SUMIFS(ТСО!T:T,ТСО!$A:$A,$C97,ТСО!$C:$C,$A$71)/R$68</f>
        <v>0</v>
      </c>
      <c r="S97" s="613">
        <f>SUMIFS(ТСО!U:U,ТСО!$A:$A,$C97,ТСО!$C:$C,$A$71)/S$68</f>
        <v>0</v>
      </c>
      <c r="T97" s="613">
        <f>SUMIFS(ТСО!V:V,ТСО!$A:$A,$C97,ТСО!$C:$C,$A$71)/T$68</f>
        <v>0</v>
      </c>
      <c r="U97" s="613">
        <f>SUMIFS(ТСО!W:W,ТСО!$A:$A,$C97,ТСО!$C:$C,$A$71)/U$68</f>
        <v>0</v>
      </c>
      <c r="V97" s="613">
        <f>SUMIFS(ТСО!X:X,ТСО!$A:$A,$C97,ТСО!$C:$C,$A$71)/V$68</f>
        <v>0</v>
      </c>
      <c r="W97" s="613">
        <f>SUMIFS(ТСО!Y:Y,ТСО!$A:$A,$C97,ТСО!$C:$C,$A$71)/W$68</f>
        <v>0</v>
      </c>
      <c r="X97" s="613">
        <f>SUMIFS(ТСО!Z:Z,ТСО!$A:$A,$C97,ТСО!$C:$C,$A$71)/X$68</f>
        <v>0</v>
      </c>
      <c r="Y97" s="614">
        <f t="shared" si="15"/>
        <v>0</v>
      </c>
      <c r="Z97" s="614" t="e">
        <f t="shared" si="16"/>
        <v>#DIV/0!</v>
      </c>
      <c r="AA97" s="617"/>
      <c r="AB97" s="609"/>
    </row>
    <row r="98" spans="1:28" x14ac:dyDescent="0.25">
      <c r="A98" s="196"/>
      <c r="B98" s="641">
        <f t="shared" si="13"/>
        <v>0</v>
      </c>
      <c r="C98" s="598">
        <f t="shared" ref="C98:D98" si="24">C80</f>
        <v>0</v>
      </c>
      <c r="D98" s="9" t="str">
        <f t="shared" si="24"/>
        <v>тыс. долл.</v>
      </c>
      <c r="E98" s="613">
        <f>SUMIFS(ТСО!G:G,ТСО!$A:$A,$C98,ТСО!$C:$C,$A$71)/E$68</f>
        <v>0</v>
      </c>
      <c r="F98" s="613">
        <f>SUMIFS(ТСО!H:H,ТСО!$A:$A,$C98,ТСО!$C:$C,$A$71)/F$68</f>
        <v>0</v>
      </c>
      <c r="G98" s="613">
        <f>SUMIFS(ТСО!I:I,ТСО!$A:$A,$C98,ТСО!$C:$C,$A$71)/G$68</f>
        <v>0</v>
      </c>
      <c r="H98" s="613">
        <f>SUMIFS(ТСО!J:J,ТСО!$A:$A,$C98,ТСО!$C:$C,$A$71)/H$68</f>
        <v>0</v>
      </c>
      <c r="I98" s="613">
        <f>SUMIFS(ТСО!K:K,ТСО!$A:$A,$C98,ТСО!$C:$C,$A$71)/I$68</f>
        <v>0</v>
      </c>
      <c r="J98" s="613">
        <f>SUMIFS(ТСО!L:L,ТСО!$A:$A,$C98,ТСО!$C:$C,$A$71)/J$68</f>
        <v>0</v>
      </c>
      <c r="K98" s="613">
        <f>SUMIFS(ТСО!M:M,ТСО!$A:$A,$C98,ТСО!$C:$C,$A$71)/K$68</f>
        <v>0</v>
      </c>
      <c r="L98" s="613">
        <f>SUMIFS(ТСО!N:N,ТСО!$A:$A,$C98,ТСО!$C:$C,$A$71)/L$68</f>
        <v>0</v>
      </c>
      <c r="M98" s="613">
        <f>SUMIFS(ТСО!O:O,ТСО!$A:$A,$C98,ТСО!$C:$C,$A$71)/M$68</f>
        <v>0</v>
      </c>
      <c r="N98" s="613">
        <f>SUMIFS(ТСО!P:P,ТСО!$A:$A,$C98,ТСО!$C:$C,$A$71)/N$68</f>
        <v>0</v>
      </c>
      <c r="O98" s="613">
        <f>SUMIFS(ТСО!Q:Q,ТСО!$A:$A,$C98,ТСО!$C:$C,$A$71)/O$68</f>
        <v>0</v>
      </c>
      <c r="P98" s="613">
        <f>SUMIFS(ТСО!R:R,ТСО!$A:$A,$C98,ТСО!$C:$C,$A$71)/P$68</f>
        <v>0</v>
      </c>
      <c r="Q98" s="613">
        <f>SUMIFS(ТСО!S:S,ТСО!$A:$A,$C98,ТСО!$C:$C,$A$71)/Q$68</f>
        <v>0</v>
      </c>
      <c r="R98" s="613">
        <f>SUMIFS(ТСО!T:T,ТСО!$A:$A,$C98,ТСО!$C:$C,$A$71)/R$68</f>
        <v>0</v>
      </c>
      <c r="S98" s="613">
        <f>SUMIFS(ТСО!U:U,ТСО!$A:$A,$C98,ТСО!$C:$C,$A$71)/S$68</f>
        <v>0</v>
      </c>
      <c r="T98" s="613">
        <f>SUMIFS(ТСО!V:V,ТСО!$A:$A,$C98,ТСО!$C:$C,$A$71)/T$68</f>
        <v>0</v>
      </c>
      <c r="U98" s="613">
        <f>SUMIFS(ТСО!W:W,ТСО!$A:$A,$C98,ТСО!$C:$C,$A$71)/U$68</f>
        <v>0</v>
      </c>
      <c r="V98" s="613">
        <f>SUMIFS(ТСО!X:X,ТСО!$A:$A,$C98,ТСО!$C:$C,$A$71)/V$68</f>
        <v>0</v>
      </c>
      <c r="W98" s="613">
        <f>SUMIFS(ТСО!Y:Y,ТСО!$A:$A,$C98,ТСО!$C:$C,$A$71)/W$68</f>
        <v>0</v>
      </c>
      <c r="X98" s="613">
        <f>SUMIFS(ТСО!Z:Z,ТСО!$A:$A,$C98,ТСО!$C:$C,$A$71)/X$68</f>
        <v>0</v>
      </c>
      <c r="Y98" s="614">
        <f t="shared" si="15"/>
        <v>0</v>
      </c>
      <c r="Z98" s="614" t="e">
        <f t="shared" si="16"/>
        <v>#DIV/0!</v>
      </c>
      <c r="AA98" s="617"/>
      <c r="AB98" s="609"/>
    </row>
    <row r="99" spans="1:28" x14ac:dyDescent="0.25">
      <c r="A99" s="196"/>
      <c r="B99" s="641">
        <f t="shared" si="13"/>
        <v>0</v>
      </c>
      <c r="C99" s="598">
        <f t="shared" ref="C99:D99" si="25">C81</f>
        <v>0</v>
      </c>
      <c r="D99" s="9" t="str">
        <f t="shared" si="25"/>
        <v>тыс. долл.</v>
      </c>
      <c r="E99" s="613">
        <f>SUMIFS(ТСО!G:G,ТСО!$A:$A,$C99,ТСО!$C:$C,$A$71)/E$68</f>
        <v>0</v>
      </c>
      <c r="F99" s="613">
        <f>SUMIFS(ТСО!H:H,ТСО!$A:$A,$C99,ТСО!$C:$C,$A$71)/F$68</f>
        <v>0</v>
      </c>
      <c r="G99" s="613">
        <f>SUMIFS(ТСО!I:I,ТСО!$A:$A,$C99,ТСО!$C:$C,$A$71)/G$68</f>
        <v>0</v>
      </c>
      <c r="H99" s="613">
        <f>SUMIFS(ТСО!J:J,ТСО!$A:$A,$C99,ТСО!$C:$C,$A$71)/H$68</f>
        <v>0</v>
      </c>
      <c r="I99" s="613">
        <f>SUMIFS(ТСО!K:K,ТСО!$A:$A,$C99,ТСО!$C:$C,$A$71)/I$68</f>
        <v>0</v>
      </c>
      <c r="J99" s="613">
        <f>SUMIFS(ТСО!L:L,ТСО!$A:$A,$C99,ТСО!$C:$C,$A$71)/J$68</f>
        <v>0</v>
      </c>
      <c r="K99" s="613">
        <f>SUMIFS(ТСО!M:M,ТСО!$A:$A,$C99,ТСО!$C:$C,$A$71)/K$68</f>
        <v>0</v>
      </c>
      <c r="L99" s="613">
        <f>SUMIFS(ТСО!N:N,ТСО!$A:$A,$C99,ТСО!$C:$C,$A$71)/L$68</f>
        <v>0</v>
      </c>
      <c r="M99" s="613">
        <f>SUMIFS(ТСО!O:O,ТСО!$A:$A,$C99,ТСО!$C:$C,$A$71)/M$68</f>
        <v>0</v>
      </c>
      <c r="N99" s="613">
        <f>SUMIFS(ТСО!P:P,ТСО!$A:$A,$C99,ТСО!$C:$C,$A$71)/N$68</f>
        <v>0</v>
      </c>
      <c r="O99" s="613">
        <f>SUMIFS(ТСО!Q:Q,ТСО!$A:$A,$C99,ТСО!$C:$C,$A$71)/O$68</f>
        <v>0</v>
      </c>
      <c r="P99" s="613">
        <f>SUMIFS(ТСО!R:R,ТСО!$A:$A,$C99,ТСО!$C:$C,$A$71)/P$68</f>
        <v>0</v>
      </c>
      <c r="Q99" s="613">
        <f>SUMIFS(ТСО!S:S,ТСО!$A:$A,$C99,ТСО!$C:$C,$A$71)/Q$68</f>
        <v>0</v>
      </c>
      <c r="R99" s="613">
        <f>SUMIFS(ТСО!T:T,ТСО!$A:$A,$C99,ТСО!$C:$C,$A$71)/R$68</f>
        <v>0</v>
      </c>
      <c r="S99" s="613">
        <f>SUMIFS(ТСО!U:U,ТСО!$A:$A,$C99,ТСО!$C:$C,$A$71)/S$68</f>
        <v>0</v>
      </c>
      <c r="T99" s="613">
        <f>SUMIFS(ТСО!V:V,ТСО!$A:$A,$C99,ТСО!$C:$C,$A$71)/T$68</f>
        <v>0</v>
      </c>
      <c r="U99" s="613">
        <f>SUMIFS(ТСО!W:W,ТСО!$A:$A,$C99,ТСО!$C:$C,$A$71)/U$68</f>
        <v>0</v>
      </c>
      <c r="V99" s="613">
        <f>SUMIFS(ТСО!X:X,ТСО!$A:$A,$C99,ТСО!$C:$C,$A$71)/V$68</f>
        <v>0</v>
      </c>
      <c r="W99" s="613">
        <f>SUMIFS(ТСО!Y:Y,ТСО!$A:$A,$C99,ТСО!$C:$C,$A$71)/W$68</f>
        <v>0</v>
      </c>
      <c r="X99" s="613">
        <f>SUMIFS(ТСО!Z:Z,ТСО!$A:$A,$C99,ТСО!$C:$C,$A$71)/X$68</f>
        <v>0</v>
      </c>
      <c r="Y99" s="614">
        <f t="shared" si="15"/>
        <v>0</v>
      </c>
      <c r="Z99" s="614" t="e">
        <f t="shared" si="16"/>
        <v>#DIV/0!</v>
      </c>
      <c r="AA99" s="617"/>
      <c r="AB99" s="609"/>
    </row>
    <row r="100" spans="1:28" x14ac:dyDescent="0.25">
      <c r="A100" s="196"/>
      <c r="B100" s="641">
        <f t="shared" si="13"/>
        <v>0</v>
      </c>
      <c r="C100" s="598">
        <f t="shared" ref="C100:D100" si="26">C82</f>
        <v>0</v>
      </c>
      <c r="D100" s="9" t="str">
        <f t="shared" si="26"/>
        <v>тыс. долл.</v>
      </c>
      <c r="E100" s="613">
        <f>SUMIFS(ТСО!G:G,ТСО!$A:$A,$C100,ТСО!$C:$C,$A$71)/E$68</f>
        <v>0</v>
      </c>
      <c r="F100" s="613">
        <f>SUMIFS(ТСО!H:H,ТСО!$A:$A,$C100,ТСО!$C:$C,$A$71)/F$68</f>
        <v>0</v>
      </c>
      <c r="G100" s="613">
        <f>SUMIFS(ТСО!I:I,ТСО!$A:$A,$C100,ТСО!$C:$C,$A$71)/G$68</f>
        <v>0</v>
      </c>
      <c r="H100" s="613">
        <f>SUMIFS(ТСО!J:J,ТСО!$A:$A,$C100,ТСО!$C:$C,$A$71)/H$68</f>
        <v>0</v>
      </c>
      <c r="I100" s="613">
        <f>SUMIFS(ТСО!K:K,ТСО!$A:$A,$C100,ТСО!$C:$C,$A$71)/I$68</f>
        <v>0</v>
      </c>
      <c r="J100" s="613">
        <f>SUMIFS(ТСО!L:L,ТСО!$A:$A,$C100,ТСО!$C:$C,$A$71)/J$68</f>
        <v>0</v>
      </c>
      <c r="K100" s="613">
        <f>SUMIFS(ТСО!M:M,ТСО!$A:$A,$C100,ТСО!$C:$C,$A$71)/K$68</f>
        <v>0</v>
      </c>
      <c r="L100" s="613">
        <f>SUMIFS(ТСО!N:N,ТСО!$A:$A,$C100,ТСО!$C:$C,$A$71)/L$68</f>
        <v>0</v>
      </c>
      <c r="M100" s="613">
        <f>SUMIFS(ТСО!O:O,ТСО!$A:$A,$C100,ТСО!$C:$C,$A$71)/M$68</f>
        <v>0</v>
      </c>
      <c r="N100" s="613">
        <f>SUMIFS(ТСО!P:P,ТСО!$A:$A,$C100,ТСО!$C:$C,$A$71)/N$68</f>
        <v>0</v>
      </c>
      <c r="O100" s="613">
        <f>SUMIFS(ТСО!Q:Q,ТСО!$A:$A,$C100,ТСО!$C:$C,$A$71)/O$68</f>
        <v>0</v>
      </c>
      <c r="P100" s="613">
        <f>SUMIFS(ТСО!R:R,ТСО!$A:$A,$C100,ТСО!$C:$C,$A$71)/P$68</f>
        <v>0</v>
      </c>
      <c r="Q100" s="613">
        <f>SUMIFS(ТСО!S:S,ТСО!$A:$A,$C100,ТСО!$C:$C,$A$71)/Q$68</f>
        <v>0</v>
      </c>
      <c r="R100" s="613">
        <f>SUMIFS(ТСО!T:T,ТСО!$A:$A,$C100,ТСО!$C:$C,$A$71)/R$68</f>
        <v>0</v>
      </c>
      <c r="S100" s="613">
        <f>SUMIFS(ТСО!U:U,ТСО!$A:$A,$C100,ТСО!$C:$C,$A$71)/S$68</f>
        <v>0</v>
      </c>
      <c r="T100" s="613">
        <f>SUMIFS(ТСО!V:V,ТСО!$A:$A,$C100,ТСО!$C:$C,$A$71)/T$68</f>
        <v>0</v>
      </c>
      <c r="U100" s="613">
        <f>SUMIFS(ТСО!W:W,ТСО!$A:$A,$C100,ТСО!$C:$C,$A$71)/U$68</f>
        <v>0</v>
      </c>
      <c r="V100" s="613">
        <f>SUMIFS(ТСО!X:X,ТСО!$A:$A,$C100,ТСО!$C:$C,$A$71)/V$68</f>
        <v>0</v>
      </c>
      <c r="W100" s="613">
        <f>SUMIFS(ТСО!Y:Y,ТСО!$A:$A,$C100,ТСО!$C:$C,$A$71)/W$68</f>
        <v>0</v>
      </c>
      <c r="X100" s="613">
        <f>SUMIFS(ТСО!Z:Z,ТСО!$A:$A,$C100,ТСО!$C:$C,$A$71)/X$68</f>
        <v>0</v>
      </c>
      <c r="Y100" s="614">
        <f t="shared" si="15"/>
        <v>0</v>
      </c>
      <c r="Z100" s="614" t="e">
        <f t="shared" si="16"/>
        <v>#DIV/0!</v>
      </c>
      <c r="AA100" s="617"/>
      <c r="AB100" s="609"/>
    </row>
    <row r="101" spans="1:28" x14ac:dyDescent="0.25">
      <c r="A101" s="196"/>
      <c r="B101" s="641">
        <f t="shared" si="13"/>
        <v>0</v>
      </c>
      <c r="C101" s="598">
        <f t="shared" ref="C101:D101" si="27">C83</f>
        <v>0</v>
      </c>
      <c r="D101" s="9" t="str">
        <f t="shared" si="27"/>
        <v>тыс. долл.</v>
      </c>
      <c r="E101" s="613">
        <f>SUMIFS(ТСО!G:G,ТСО!$A:$A,$C101,ТСО!$C:$C,$A$71)/E$68</f>
        <v>0</v>
      </c>
      <c r="F101" s="613">
        <f>SUMIFS(ТСО!H:H,ТСО!$A:$A,$C101,ТСО!$C:$C,$A$71)/F$68</f>
        <v>0</v>
      </c>
      <c r="G101" s="613">
        <f>SUMIFS(ТСО!I:I,ТСО!$A:$A,$C101,ТСО!$C:$C,$A$71)/G$68</f>
        <v>0</v>
      </c>
      <c r="H101" s="613">
        <f>SUMIFS(ТСО!J:J,ТСО!$A:$A,$C101,ТСО!$C:$C,$A$71)/H$68</f>
        <v>0</v>
      </c>
      <c r="I101" s="613">
        <f>SUMIFS(ТСО!K:K,ТСО!$A:$A,$C101,ТСО!$C:$C,$A$71)/I$68</f>
        <v>0</v>
      </c>
      <c r="J101" s="613">
        <f>SUMIFS(ТСО!L:L,ТСО!$A:$A,$C101,ТСО!$C:$C,$A$71)/J$68</f>
        <v>0</v>
      </c>
      <c r="K101" s="613">
        <f>SUMIFS(ТСО!M:M,ТСО!$A:$A,$C101,ТСО!$C:$C,$A$71)/K$68</f>
        <v>0</v>
      </c>
      <c r="L101" s="613">
        <f>SUMIFS(ТСО!N:N,ТСО!$A:$A,$C101,ТСО!$C:$C,$A$71)/L$68</f>
        <v>0</v>
      </c>
      <c r="M101" s="613">
        <f>SUMIFS(ТСО!O:O,ТСО!$A:$A,$C101,ТСО!$C:$C,$A$71)/M$68</f>
        <v>0</v>
      </c>
      <c r="N101" s="613">
        <f>SUMIFS(ТСО!P:P,ТСО!$A:$A,$C101,ТСО!$C:$C,$A$71)/N$68</f>
        <v>0</v>
      </c>
      <c r="O101" s="613">
        <f>SUMIFS(ТСО!Q:Q,ТСО!$A:$A,$C101,ТСО!$C:$C,$A$71)/O$68</f>
        <v>0</v>
      </c>
      <c r="P101" s="613">
        <f>SUMIFS(ТСО!R:R,ТСО!$A:$A,$C101,ТСО!$C:$C,$A$71)/P$68</f>
        <v>0</v>
      </c>
      <c r="Q101" s="613">
        <f>SUMIFS(ТСО!S:S,ТСО!$A:$A,$C101,ТСО!$C:$C,$A$71)/Q$68</f>
        <v>0</v>
      </c>
      <c r="R101" s="613">
        <f>SUMIFS(ТСО!T:T,ТСО!$A:$A,$C101,ТСО!$C:$C,$A$71)/R$68</f>
        <v>0</v>
      </c>
      <c r="S101" s="613">
        <f>SUMIFS(ТСО!U:U,ТСО!$A:$A,$C101,ТСО!$C:$C,$A$71)/S$68</f>
        <v>0</v>
      </c>
      <c r="T101" s="613">
        <f>SUMIFS(ТСО!V:V,ТСО!$A:$A,$C101,ТСО!$C:$C,$A$71)/T$68</f>
        <v>0</v>
      </c>
      <c r="U101" s="613">
        <f>SUMIFS(ТСО!W:W,ТСО!$A:$A,$C101,ТСО!$C:$C,$A$71)/U$68</f>
        <v>0</v>
      </c>
      <c r="V101" s="613">
        <f>SUMIFS(ТСО!X:X,ТСО!$A:$A,$C101,ТСО!$C:$C,$A$71)/V$68</f>
        <v>0</v>
      </c>
      <c r="W101" s="613">
        <f>SUMIFS(ТСО!Y:Y,ТСО!$A:$A,$C101,ТСО!$C:$C,$A$71)/W$68</f>
        <v>0</v>
      </c>
      <c r="X101" s="613">
        <f>SUMIFS(ТСО!Z:Z,ТСО!$A:$A,$C101,ТСО!$C:$C,$A$71)/X$68</f>
        <v>0</v>
      </c>
      <c r="Y101" s="614">
        <f t="shared" si="15"/>
        <v>0</v>
      </c>
      <c r="Z101" s="614" t="e">
        <f t="shared" si="16"/>
        <v>#DIV/0!</v>
      </c>
      <c r="AA101" s="617"/>
      <c r="AB101" s="609"/>
    </row>
    <row r="102" spans="1:28" x14ac:dyDescent="0.25">
      <c r="A102" s="196"/>
      <c r="B102" s="641">
        <f t="shared" si="13"/>
        <v>0</v>
      </c>
      <c r="C102" s="598">
        <f t="shared" ref="C102:D102" si="28">C84</f>
        <v>0</v>
      </c>
      <c r="D102" s="9" t="str">
        <f t="shared" si="28"/>
        <v>тыс. долл.</v>
      </c>
      <c r="E102" s="613">
        <f>SUMIFS(ТСО!G:G,ТСО!$A:$A,$C102,ТСО!$C:$C,$A$71)/E$68</f>
        <v>0</v>
      </c>
      <c r="F102" s="613">
        <f>SUMIFS(ТСО!H:H,ТСО!$A:$A,$C102,ТСО!$C:$C,$A$71)/F$68</f>
        <v>0</v>
      </c>
      <c r="G102" s="613">
        <f>SUMIFS(ТСО!I:I,ТСО!$A:$A,$C102,ТСО!$C:$C,$A$71)/G$68</f>
        <v>0</v>
      </c>
      <c r="H102" s="613">
        <f>SUMIFS(ТСО!J:J,ТСО!$A:$A,$C102,ТСО!$C:$C,$A$71)/H$68</f>
        <v>0</v>
      </c>
      <c r="I102" s="613">
        <f>SUMIFS(ТСО!K:K,ТСО!$A:$A,$C102,ТСО!$C:$C,$A$71)/I$68</f>
        <v>0</v>
      </c>
      <c r="J102" s="613">
        <f>SUMIFS(ТСО!L:L,ТСО!$A:$A,$C102,ТСО!$C:$C,$A$71)/J$68</f>
        <v>0</v>
      </c>
      <c r="K102" s="613">
        <f>SUMIFS(ТСО!M:M,ТСО!$A:$A,$C102,ТСО!$C:$C,$A$71)/K$68</f>
        <v>0</v>
      </c>
      <c r="L102" s="613">
        <f>SUMIFS(ТСО!N:N,ТСО!$A:$A,$C102,ТСО!$C:$C,$A$71)/L$68</f>
        <v>0</v>
      </c>
      <c r="M102" s="613">
        <f>SUMIFS(ТСО!O:O,ТСО!$A:$A,$C102,ТСО!$C:$C,$A$71)/M$68</f>
        <v>0</v>
      </c>
      <c r="N102" s="613">
        <f>SUMIFS(ТСО!P:P,ТСО!$A:$A,$C102,ТСО!$C:$C,$A$71)/N$68</f>
        <v>0</v>
      </c>
      <c r="O102" s="613">
        <f>SUMIFS(ТСО!Q:Q,ТСО!$A:$A,$C102,ТСО!$C:$C,$A$71)/O$68</f>
        <v>0</v>
      </c>
      <c r="P102" s="613">
        <f>SUMIFS(ТСО!R:R,ТСО!$A:$A,$C102,ТСО!$C:$C,$A$71)/P$68</f>
        <v>0</v>
      </c>
      <c r="Q102" s="613">
        <f>SUMIFS(ТСО!S:S,ТСО!$A:$A,$C102,ТСО!$C:$C,$A$71)/Q$68</f>
        <v>0</v>
      </c>
      <c r="R102" s="613">
        <f>SUMIFS(ТСО!T:T,ТСО!$A:$A,$C102,ТСО!$C:$C,$A$71)/R$68</f>
        <v>0</v>
      </c>
      <c r="S102" s="613">
        <f>SUMIFS(ТСО!U:U,ТСО!$A:$A,$C102,ТСО!$C:$C,$A$71)/S$68</f>
        <v>0</v>
      </c>
      <c r="T102" s="613">
        <f>SUMIFS(ТСО!V:V,ТСО!$A:$A,$C102,ТСО!$C:$C,$A$71)/T$68</f>
        <v>0</v>
      </c>
      <c r="U102" s="613">
        <f>SUMIFS(ТСО!W:W,ТСО!$A:$A,$C102,ТСО!$C:$C,$A$71)/U$68</f>
        <v>0</v>
      </c>
      <c r="V102" s="613">
        <f>SUMIFS(ТСО!X:X,ТСО!$A:$A,$C102,ТСО!$C:$C,$A$71)/V$68</f>
        <v>0</v>
      </c>
      <c r="W102" s="613">
        <f>SUMIFS(ТСО!Y:Y,ТСО!$A:$A,$C102,ТСО!$C:$C,$A$71)/W$68</f>
        <v>0</v>
      </c>
      <c r="X102" s="613">
        <f>SUMIFS(ТСО!Z:Z,ТСО!$A:$A,$C102,ТСО!$C:$C,$A$71)/X$68</f>
        <v>0</v>
      </c>
      <c r="Y102" s="614">
        <f t="shared" si="15"/>
        <v>0</v>
      </c>
      <c r="Z102" s="614" t="e">
        <f t="shared" si="16"/>
        <v>#DIV/0!</v>
      </c>
      <c r="AA102" s="617"/>
      <c r="AB102" s="609"/>
    </row>
    <row r="103" spans="1:28" x14ac:dyDescent="0.25">
      <c r="A103" s="196"/>
      <c r="B103" s="641">
        <f t="shared" si="13"/>
        <v>0</v>
      </c>
      <c r="C103" s="598">
        <f t="shared" ref="C103:D103" si="29">C85</f>
        <v>0</v>
      </c>
      <c r="D103" s="9" t="str">
        <f t="shared" si="29"/>
        <v>тыс. долл.</v>
      </c>
      <c r="E103" s="613">
        <f>SUMIFS(ТСО!G:G,ТСО!$A:$A,$C103,ТСО!$C:$C,$A$71)/E$68</f>
        <v>0</v>
      </c>
      <c r="F103" s="613">
        <f>SUMIFS(ТСО!H:H,ТСО!$A:$A,$C103,ТСО!$C:$C,$A$71)/F$68</f>
        <v>0</v>
      </c>
      <c r="G103" s="613">
        <f>SUMIFS(ТСО!I:I,ТСО!$A:$A,$C103,ТСО!$C:$C,$A$71)/G$68</f>
        <v>0</v>
      </c>
      <c r="H103" s="613">
        <f>SUMIFS(ТСО!J:J,ТСО!$A:$A,$C103,ТСО!$C:$C,$A$71)/H$68</f>
        <v>0</v>
      </c>
      <c r="I103" s="613">
        <f>SUMIFS(ТСО!K:K,ТСО!$A:$A,$C103,ТСО!$C:$C,$A$71)/I$68</f>
        <v>0</v>
      </c>
      <c r="J103" s="613">
        <f>SUMIFS(ТСО!L:L,ТСО!$A:$A,$C103,ТСО!$C:$C,$A$71)/J$68</f>
        <v>0</v>
      </c>
      <c r="K103" s="613">
        <f>SUMIFS(ТСО!M:M,ТСО!$A:$A,$C103,ТСО!$C:$C,$A$71)/K$68</f>
        <v>0</v>
      </c>
      <c r="L103" s="613">
        <f>SUMIFS(ТСО!N:N,ТСО!$A:$A,$C103,ТСО!$C:$C,$A$71)/L$68</f>
        <v>0</v>
      </c>
      <c r="M103" s="613">
        <f>SUMIFS(ТСО!O:O,ТСО!$A:$A,$C103,ТСО!$C:$C,$A$71)/M$68</f>
        <v>0</v>
      </c>
      <c r="N103" s="613">
        <f>SUMIFS(ТСО!P:P,ТСО!$A:$A,$C103,ТСО!$C:$C,$A$71)/N$68</f>
        <v>0</v>
      </c>
      <c r="O103" s="613">
        <f>SUMIFS(ТСО!Q:Q,ТСО!$A:$A,$C103,ТСО!$C:$C,$A$71)/O$68</f>
        <v>0</v>
      </c>
      <c r="P103" s="613">
        <f>SUMIFS(ТСО!R:R,ТСО!$A:$A,$C103,ТСО!$C:$C,$A$71)/P$68</f>
        <v>0</v>
      </c>
      <c r="Q103" s="613">
        <f>SUMIFS(ТСО!S:S,ТСО!$A:$A,$C103,ТСО!$C:$C,$A$71)/Q$68</f>
        <v>0</v>
      </c>
      <c r="R103" s="613">
        <f>SUMIFS(ТСО!T:T,ТСО!$A:$A,$C103,ТСО!$C:$C,$A$71)/R$68</f>
        <v>0</v>
      </c>
      <c r="S103" s="613">
        <f>SUMIFS(ТСО!U:U,ТСО!$A:$A,$C103,ТСО!$C:$C,$A$71)/S$68</f>
        <v>0</v>
      </c>
      <c r="T103" s="613">
        <f>SUMIFS(ТСО!V:V,ТСО!$A:$A,$C103,ТСО!$C:$C,$A$71)/T$68</f>
        <v>0</v>
      </c>
      <c r="U103" s="613">
        <f>SUMIFS(ТСО!W:W,ТСО!$A:$A,$C103,ТСО!$C:$C,$A$71)/U$68</f>
        <v>0</v>
      </c>
      <c r="V103" s="613">
        <f>SUMIFS(ТСО!X:X,ТСО!$A:$A,$C103,ТСО!$C:$C,$A$71)/V$68</f>
        <v>0</v>
      </c>
      <c r="W103" s="613">
        <f>SUMIFS(ТСО!Y:Y,ТСО!$A:$A,$C103,ТСО!$C:$C,$A$71)/W$68</f>
        <v>0</v>
      </c>
      <c r="X103" s="613">
        <f>SUMIFS(ТСО!Z:Z,ТСО!$A:$A,$C103,ТСО!$C:$C,$A$71)/X$68</f>
        <v>0</v>
      </c>
      <c r="Y103" s="614">
        <f t="shared" si="15"/>
        <v>0</v>
      </c>
      <c r="Z103" s="614" t="e">
        <f t="shared" si="16"/>
        <v>#DIV/0!</v>
      </c>
      <c r="AA103" s="617"/>
      <c r="AB103" s="609"/>
    </row>
    <row r="104" spans="1:28" x14ac:dyDescent="0.25">
      <c r="A104" s="196"/>
      <c r="B104" s="641">
        <f t="shared" si="13"/>
        <v>1</v>
      </c>
      <c r="C104" s="174"/>
      <c r="D104" s="12"/>
      <c r="E104" s="615"/>
      <c r="F104" s="615"/>
      <c r="G104" s="615"/>
      <c r="H104" s="615"/>
      <c r="I104" s="615"/>
      <c r="J104" s="615"/>
      <c r="K104" s="615"/>
      <c r="L104" s="615"/>
      <c r="M104" s="615"/>
      <c r="N104" s="615"/>
      <c r="O104" s="615"/>
      <c r="P104" s="615"/>
      <c r="Q104" s="615"/>
      <c r="R104" s="615"/>
      <c r="S104" s="615"/>
      <c r="T104" s="615"/>
      <c r="U104" s="615"/>
      <c r="V104" s="615"/>
      <c r="W104" s="615"/>
      <c r="X104" s="615"/>
      <c r="Y104" s="616"/>
      <c r="Z104" s="616"/>
      <c r="AA104" s="617"/>
      <c r="AB104" s="609"/>
    </row>
    <row r="105" spans="1:28" x14ac:dyDescent="0.25">
      <c r="A105" s="196"/>
      <c r="B105" s="640">
        <v>1</v>
      </c>
    </row>
    <row r="106" spans="1:28" x14ac:dyDescent="0.25">
      <c r="A106" s="196"/>
      <c r="B106" s="640">
        <v>1</v>
      </c>
      <c r="C106" s="603" t="s">
        <v>665</v>
      </c>
      <c r="D106" s="628" t="str">
        <f>D88</f>
        <v>Ед. изм.</v>
      </c>
      <c r="E106" s="628">
        <f t="shared" ref="E106:Z106" si="30">E88</f>
        <v>1</v>
      </c>
      <c r="F106" s="628">
        <f t="shared" si="30"/>
        <v>2</v>
      </c>
      <c r="G106" s="628">
        <f t="shared" si="30"/>
        <v>3</v>
      </c>
      <c r="H106" s="628">
        <f t="shared" si="30"/>
        <v>4</v>
      </c>
      <c r="I106" s="628">
        <f t="shared" si="30"/>
        <v>5</v>
      </c>
      <c r="J106" s="628">
        <f t="shared" si="30"/>
        <v>6</v>
      </c>
      <c r="K106" s="628">
        <f t="shared" si="30"/>
        <v>7</v>
      </c>
      <c r="L106" s="628">
        <f t="shared" si="30"/>
        <v>8</v>
      </c>
      <c r="M106" s="628">
        <f t="shared" si="30"/>
        <v>9</v>
      </c>
      <c r="N106" s="628">
        <f t="shared" si="30"/>
        <v>10</v>
      </c>
      <c r="O106" s="628">
        <f t="shared" si="30"/>
        <v>11</v>
      </c>
      <c r="P106" s="628">
        <f t="shared" si="30"/>
        <v>12</v>
      </c>
      <c r="Q106" s="628">
        <f t="shared" si="30"/>
        <v>13</v>
      </c>
      <c r="R106" s="628">
        <f t="shared" si="30"/>
        <v>14</v>
      </c>
      <c r="S106" s="628">
        <f t="shared" si="30"/>
        <v>15</v>
      </c>
      <c r="T106" s="628">
        <f t="shared" si="30"/>
        <v>16</v>
      </c>
      <c r="U106" s="628">
        <f t="shared" si="30"/>
        <v>17</v>
      </c>
      <c r="V106" s="628">
        <f t="shared" si="30"/>
        <v>18</v>
      </c>
      <c r="W106" s="628">
        <f t="shared" si="30"/>
        <v>19</v>
      </c>
      <c r="X106" s="628">
        <f t="shared" si="30"/>
        <v>20</v>
      </c>
      <c r="Y106" s="628" t="str">
        <f t="shared" si="30"/>
        <v>Всего</v>
      </c>
      <c r="Z106" s="628" t="str">
        <f t="shared" si="30"/>
        <v>Среднее</v>
      </c>
      <c r="AA106" s="628"/>
    </row>
    <row r="107" spans="1:28" x14ac:dyDescent="0.25">
      <c r="A107" s="196"/>
      <c r="B107" s="640">
        <v>1</v>
      </c>
      <c r="C107" s="629" t="str">
        <f>C62</f>
        <v>NHL NTE 240</v>
      </c>
      <c r="D107" s="630" t="str">
        <f>D89</f>
        <v>тыс. долл.</v>
      </c>
      <c r="E107" s="631">
        <v>115.4606373425421</v>
      </c>
      <c r="F107" s="631">
        <v>130.86592228088145</v>
      </c>
      <c r="G107" s="631">
        <v>144.64788904857824</v>
      </c>
      <c r="H107" s="631">
        <v>1832.2455207419482</v>
      </c>
      <c r="I107" s="631">
        <v>260.77845692577665</v>
      </c>
      <c r="J107" s="631">
        <v>156.03577676616379</v>
      </c>
      <c r="K107" s="631">
        <v>1837.21027686866</v>
      </c>
      <c r="L107" s="631">
        <v>344.07359425459327</v>
      </c>
      <c r="M107" s="631">
        <v>198.55634690182046</v>
      </c>
      <c r="N107" s="631">
        <v>276.01151058595298</v>
      </c>
      <c r="O107" s="631"/>
      <c r="P107" s="631"/>
      <c r="Q107" s="631"/>
      <c r="R107" s="631"/>
      <c r="S107" s="631"/>
      <c r="T107" s="631"/>
      <c r="U107" s="631"/>
      <c r="V107" s="631"/>
      <c r="W107" s="631"/>
      <c r="X107" s="631"/>
      <c r="Y107" s="632">
        <f>SUM(E107:X107)</f>
        <v>5295.8859317169172</v>
      </c>
      <c r="Z107" s="632">
        <f>AVERAGE(E107:X107)</f>
        <v>529.58859317169174</v>
      </c>
      <c r="AA107" s="638"/>
      <c r="AB107" s="183"/>
    </row>
    <row r="108" spans="1:28" x14ac:dyDescent="0.25">
      <c r="A108" s="196"/>
      <c r="B108" s="640">
        <v>1</v>
      </c>
      <c r="C108" s="626" t="str">
        <f t="shared" ref="C108:C109" si="31">C63</f>
        <v>ESTAR ESDE240</v>
      </c>
      <c r="D108" s="627" t="str">
        <f>D107</f>
        <v>тыс. долл.</v>
      </c>
      <c r="E108" s="633">
        <v>447.75406745879252</v>
      </c>
      <c r="F108" s="633">
        <v>463.84429639392863</v>
      </c>
      <c r="G108" s="633">
        <v>3542.936677884381</v>
      </c>
      <c r="H108" s="633">
        <v>468.20516519973955</v>
      </c>
      <c r="I108" s="633">
        <v>1773.3649906507551</v>
      </c>
      <c r="J108" s="633">
        <v>3546.3708703963002</v>
      </c>
      <c r="K108" s="633">
        <v>449.5876126978651</v>
      </c>
      <c r="L108" s="633">
        <v>498.04017154449173</v>
      </c>
      <c r="M108" s="633">
        <v>4857.7251098921997</v>
      </c>
      <c r="N108" s="633">
        <v>424.38068349237335</v>
      </c>
      <c r="O108" s="633"/>
      <c r="P108" s="633"/>
      <c r="Q108" s="633"/>
      <c r="R108" s="633"/>
      <c r="S108" s="633"/>
      <c r="T108" s="633"/>
      <c r="U108" s="633"/>
      <c r="V108" s="633"/>
      <c r="W108" s="633"/>
      <c r="X108" s="633"/>
      <c r="Y108" s="634">
        <f>SUM(E108:X108)</f>
        <v>16472.20964561083</v>
      </c>
      <c r="Z108" s="634">
        <f t="shared" ref="Z108:Z109" si="32">AVERAGE(E108:X108)</f>
        <v>1647.2209645610831</v>
      </c>
      <c r="AA108" s="638"/>
    </row>
    <row r="109" spans="1:28" x14ac:dyDescent="0.25">
      <c r="A109" s="196"/>
      <c r="B109" s="640">
        <v>1</v>
      </c>
      <c r="C109" s="657" t="str">
        <f t="shared" si="31"/>
        <v>БелАЗ-7531H привод Силовые Маш</v>
      </c>
      <c r="D109" s="658" t="str">
        <f t="shared" ref="D109" si="33">D108</f>
        <v>тыс. долл.</v>
      </c>
      <c r="E109" s="659">
        <v>174.50985000000003</v>
      </c>
      <c r="F109" s="659">
        <v>340.7414</v>
      </c>
      <c r="G109" s="659">
        <v>1174.6584700000001</v>
      </c>
      <c r="H109" s="659">
        <v>266.85107500000004</v>
      </c>
      <c r="I109" s="659">
        <v>523.77495500000009</v>
      </c>
      <c r="J109" s="659">
        <v>1296.0426</v>
      </c>
      <c r="K109" s="659">
        <v>198.80203500000002</v>
      </c>
      <c r="L109" s="659">
        <v>387.038635</v>
      </c>
      <c r="M109" s="659">
        <v>1438.1858300000001</v>
      </c>
      <c r="N109" s="659">
        <v>254.649</v>
      </c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60">
        <f>SUM(E109:X109)</f>
        <v>6055.253850000001</v>
      </c>
      <c r="Z109" s="660">
        <f t="shared" si="32"/>
        <v>605.52538500000014</v>
      </c>
      <c r="AA109" s="638"/>
    </row>
    <row r="110" spans="1:28" x14ac:dyDescent="0.25">
      <c r="A110" s="196"/>
      <c r="B110" s="642">
        <v>1</v>
      </c>
      <c r="C110" s="625"/>
      <c r="D110" s="635"/>
      <c r="E110" s="636"/>
      <c r="F110" s="636"/>
      <c r="G110" s="636"/>
      <c r="H110" s="636"/>
      <c r="I110" s="636"/>
      <c r="J110" s="636"/>
      <c r="K110" s="636"/>
      <c r="L110" s="636"/>
      <c r="M110" s="636"/>
      <c r="N110" s="636"/>
      <c r="O110" s="636"/>
      <c r="P110" s="636"/>
      <c r="Q110" s="636"/>
      <c r="R110" s="636"/>
      <c r="S110" s="636"/>
      <c r="T110" s="636"/>
      <c r="U110" s="636"/>
      <c r="V110" s="636"/>
      <c r="W110" s="636"/>
      <c r="X110" s="636"/>
      <c r="Y110" s="637"/>
      <c r="Z110" s="637"/>
      <c r="AA110" s="638"/>
    </row>
    <row r="111" spans="1:28" x14ac:dyDescent="0.25">
      <c r="A111" s="196"/>
      <c r="B111" s="642">
        <v>1</v>
      </c>
    </row>
    <row r="112" spans="1:28" x14ac:dyDescent="0.25">
      <c r="A112" s="196"/>
      <c r="B112" s="642">
        <v>1</v>
      </c>
    </row>
    <row r="113" spans="1:6" x14ac:dyDescent="0.25">
      <c r="A113" s="196"/>
      <c r="B113" s="642">
        <v>1</v>
      </c>
      <c r="C113" s="3" t="s">
        <v>625</v>
      </c>
    </row>
    <row r="114" spans="1:6" x14ac:dyDescent="0.25">
      <c r="A114" s="196"/>
      <c r="B114" s="642">
        <v>1</v>
      </c>
    </row>
    <row r="115" spans="1:6" x14ac:dyDescent="0.25">
      <c r="A115" s="196"/>
      <c r="B115" s="642">
        <v>1</v>
      </c>
      <c r="D115" s="622" t="s">
        <v>626</v>
      </c>
      <c r="E115" s="622" t="s">
        <v>627</v>
      </c>
      <c r="F115" s="622" t="s">
        <v>628</v>
      </c>
    </row>
    <row r="116" spans="1:6" x14ac:dyDescent="0.25">
      <c r="A116" s="196"/>
      <c r="B116" s="642">
        <v>1</v>
      </c>
      <c r="C116" s="3" t="s">
        <v>180</v>
      </c>
      <c r="D116" s="623">
        <f>SUM(D117:D121)</f>
        <v>10637.123</v>
      </c>
      <c r="E116" s="623">
        <f t="shared" ref="E116:F116" si="34">SUM(E117:E121)</f>
        <v>15559.454</v>
      </c>
      <c r="F116" s="623">
        <f t="shared" si="34"/>
        <v>16473.399999999998</v>
      </c>
    </row>
    <row r="117" spans="1:6" x14ac:dyDescent="0.25">
      <c r="A117" s="196"/>
      <c r="B117" s="642">
        <v>1</v>
      </c>
      <c r="C117" s="624" t="s">
        <v>620</v>
      </c>
      <c r="D117" s="590">
        <v>8457.8330000000005</v>
      </c>
      <c r="E117" s="590">
        <v>8183.2479999999996</v>
      </c>
      <c r="F117" s="590">
        <v>7152.4809999999998</v>
      </c>
    </row>
    <row r="118" spans="1:6" x14ac:dyDescent="0.25">
      <c r="A118" s="196"/>
      <c r="B118" s="642">
        <v>1</v>
      </c>
      <c r="C118" s="624" t="s">
        <v>621</v>
      </c>
      <c r="D118" s="590">
        <v>1074.876</v>
      </c>
      <c r="E118" s="590">
        <v>4496.1869999999999</v>
      </c>
      <c r="F118" s="590">
        <v>1703.232</v>
      </c>
    </row>
    <row r="119" spans="1:6" x14ac:dyDescent="0.25">
      <c r="A119" s="196"/>
      <c r="B119" s="642">
        <v>1</v>
      </c>
      <c r="C119" s="624" t="s">
        <v>622</v>
      </c>
      <c r="D119" s="590">
        <v>188.452</v>
      </c>
      <c r="E119" s="590">
        <v>1031.0830000000001</v>
      </c>
      <c r="F119" s="590">
        <v>4953.1019999999999</v>
      </c>
    </row>
    <row r="120" spans="1:6" x14ac:dyDescent="0.25">
      <c r="A120" s="196"/>
      <c r="B120" s="642">
        <v>1</v>
      </c>
      <c r="C120" s="624" t="s">
        <v>623</v>
      </c>
      <c r="D120" s="590">
        <v>35.015999999999998</v>
      </c>
      <c r="E120" s="590">
        <v>132.72300000000001</v>
      </c>
      <c r="F120" s="590">
        <v>79.114999999999995</v>
      </c>
    </row>
    <row r="121" spans="1:6" x14ac:dyDescent="0.25">
      <c r="A121" s="196"/>
      <c r="B121" s="642">
        <v>1</v>
      </c>
      <c r="C121" s="624" t="s">
        <v>624</v>
      </c>
      <c r="D121" s="590">
        <v>880.94600000000003</v>
      </c>
      <c r="E121" s="590">
        <v>1716.213</v>
      </c>
      <c r="F121" s="590">
        <v>2585.4699999999998</v>
      </c>
    </row>
    <row r="130" spans="3:7" x14ac:dyDescent="0.25">
      <c r="C130" s="180" t="s">
        <v>776</v>
      </c>
    </row>
    <row r="132" spans="3:7" x14ac:dyDescent="0.25">
      <c r="D132" s="742">
        <v>1</v>
      </c>
      <c r="E132" s="742">
        <f>D132+1</f>
        <v>2</v>
      </c>
      <c r="F132" s="742">
        <f t="shared" ref="F132" si="35">E132+1</f>
        <v>3</v>
      </c>
    </row>
    <row r="133" spans="3:7" x14ac:dyDescent="0.25">
      <c r="C133" s="621" t="s">
        <v>777</v>
      </c>
      <c r="D133" s="184">
        <v>0.92605445709699197</v>
      </c>
      <c r="E133" s="184">
        <v>0.87361428385316275</v>
      </c>
      <c r="F133" s="184"/>
      <c r="G133" s="621" t="s">
        <v>779</v>
      </c>
    </row>
  </sheetData>
  <autoFilter ref="A1:AA121" xr:uid="{4C4B5FF5-0DA4-4C13-B04F-5DDD392AB31A}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64EB-8DFD-414E-A28C-03571891C87E}">
  <dimension ref="B2:J18"/>
  <sheetViews>
    <sheetView showGridLines="0" zoomScale="85" zoomScaleNormal="85" workbookViewId="0">
      <pane ySplit="2" topLeftCell="A3" activePane="bottomLeft" state="frozen"/>
      <selection pane="bottomLeft" activeCell="H24" sqref="H24"/>
    </sheetView>
  </sheetViews>
  <sheetFormatPr defaultRowHeight="13.6" x14ac:dyDescent="0.25"/>
  <cols>
    <col min="1" max="1" width="2.375" style="2" customWidth="1"/>
    <col min="2" max="2" width="12" style="2" bestFit="1" customWidth="1"/>
    <col min="3" max="3" width="39.75" style="2" customWidth="1"/>
    <col min="4" max="10" width="43.125" style="2" customWidth="1"/>
    <col min="11" max="16384" width="9" style="2"/>
  </cols>
  <sheetData>
    <row r="2" spans="2:10" x14ac:dyDescent="0.25">
      <c r="C2" s="229" t="s">
        <v>215</v>
      </c>
      <c r="D2" s="229" t="str">
        <f>Свод!F23</f>
        <v>NHL NTE 240</v>
      </c>
      <c r="E2" s="229" t="str">
        <f>Свод!G23</f>
        <v>Estar ESDE240 (ГПБ К)</v>
      </c>
      <c r="F2" s="229" t="str">
        <f>Свод!H23</f>
        <v>SANY SET240S</v>
      </c>
      <c r="G2" s="229" t="str">
        <f>Свод!I23</f>
        <v>TZCO TZE240</v>
      </c>
      <c r="H2" s="229" t="str">
        <f>Свод!J23</f>
        <v>БелАЗ 7531 (ГПФК)</v>
      </c>
      <c r="I2" s="229" t="str">
        <f>Свод!K23</f>
        <v>XCMG 240</v>
      </c>
      <c r="J2" s="229" t="str">
        <f>Свод!L23</f>
        <v>БелАЗ 7531 (БТЛ)</v>
      </c>
    </row>
    <row r="3" spans="2:10" ht="81.55" x14ac:dyDescent="0.25">
      <c r="B3" s="1051" t="s">
        <v>168</v>
      </c>
      <c r="C3" s="227" t="s">
        <v>216</v>
      </c>
      <c r="D3" s="227" t="s">
        <v>235</v>
      </c>
      <c r="E3" s="227" t="s">
        <v>666</v>
      </c>
      <c r="F3" s="231" t="s">
        <v>220</v>
      </c>
      <c r="G3" s="227" t="s">
        <v>418</v>
      </c>
      <c r="H3" s="227" t="s">
        <v>232</v>
      </c>
      <c r="I3" s="227"/>
      <c r="J3" s="227" t="s">
        <v>673</v>
      </c>
    </row>
    <row r="4" spans="2:10" ht="27.2" x14ac:dyDescent="0.25">
      <c r="B4" s="1052"/>
      <c r="C4" s="228"/>
      <c r="D4" s="228"/>
      <c r="E4" s="228"/>
      <c r="F4" s="228" t="s">
        <v>670</v>
      </c>
      <c r="G4" s="228" t="s">
        <v>546</v>
      </c>
      <c r="H4" s="228"/>
      <c r="I4" s="228"/>
      <c r="J4" s="228"/>
    </row>
    <row r="5" spans="2:10" x14ac:dyDescent="0.25">
      <c r="B5" s="1052"/>
      <c r="C5" s="228"/>
      <c r="D5" s="228"/>
      <c r="E5" s="228"/>
      <c r="F5" s="228" t="s">
        <v>672</v>
      </c>
      <c r="G5" s="228"/>
      <c r="H5" s="228"/>
      <c r="I5" s="228"/>
      <c r="J5" s="228"/>
    </row>
    <row r="6" spans="2:10" ht="27.2" x14ac:dyDescent="0.25">
      <c r="B6" s="1052"/>
      <c r="C6" s="230" t="s">
        <v>219</v>
      </c>
      <c r="D6" s="445" t="s">
        <v>230</v>
      </c>
      <c r="E6" s="445"/>
      <c r="F6" s="445"/>
      <c r="G6" s="445"/>
      <c r="H6" s="233" t="s">
        <v>234</v>
      </c>
      <c r="I6" s="233"/>
      <c r="J6" s="233" t="s">
        <v>949</v>
      </c>
    </row>
    <row r="7" spans="2:10" ht="40.75" x14ac:dyDescent="0.25">
      <c r="B7" s="1053" t="s">
        <v>14</v>
      </c>
      <c r="C7" s="228" t="s">
        <v>228</v>
      </c>
      <c r="D7" s="228" t="s">
        <v>948</v>
      </c>
      <c r="E7" s="228"/>
      <c r="F7" s="228" t="s">
        <v>412</v>
      </c>
      <c r="G7" s="228" t="s">
        <v>414</v>
      </c>
      <c r="H7" s="228" t="s">
        <v>233</v>
      </c>
      <c r="I7" s="228"/>
      <c r="J7" s="228" t="s">
        <v>674</v>
      </c>
    </row>
    <row r="8" spans="2:10" x14ac:dyDescent="0.25">
      <c r="B8" s="1054"/>
      <c r="C8" s="228"/>
      <c r="D8" s="228"/>
      <c r="E8" s="228"/>
      <c r="F8" s="228" t="s">
        <v>947</v>
      </c>
      <c r="G8" s="228" t="s">
        <v>946</v>
      </c>
      <c r="H8" s="228"/>
      <c r="I8" s="228"/>
      <c r="J8" s="228"/>
    </row>
    <row r="9" spans="2:10" x14ac:dyDescent="0.25">
      <c r="B9" s="1055"/>
      <c r="C9" s="230" t="s">
        <v>219</v>
      </c>
      <c r="D9" s="445"/>
      <c r="E9" s="233" t="s">
        <v>238</v>
      </c>
      <c r="F9" s="445"/>
      <c r="G9" s="445"/>
      <c r="H9" s="233" t="s">
        <v>237</v>
      </c>
      <c r="I9" s="233"/>
      <c r="J9" s="233" t="s">
        <v>949</v>
      </c>
    </row>
    <row r="10" spans="2:10" ht="27.2" x14ac:dyDescent="0.25">
      <c r="B10" s="1053" t="s">
        <v>217</v>
      </c>
      <c r="C10" s="228" t="s">
        <v>218</v>
      </c>
      <c r="D10" s="228"/>
      <c r="E10" s="228"/>
      <c r="F10" s="228"/>
      <c r="G10" s="228"/>
      <c r="H10" s="228"/>
      <c r="I10" s="228"/>
      <c r="J10" s="228" t="s">
        <v>773</v>
      </c>
    </row>
    <row r="11" spans="2:10" ht="54.35" x14ac:dyDescent="0.25">
      <c r="B11" s="1054"/>
      <c r="C11" s="228" t="s">
        <v>236</v>
      </c>
      <c r="D11" s="228"/>
      <c r="E11" s="228"/>
      <c r="F11" s="228"/>
      <c r="G11" s="228"/>
      <c r="H11" s="228"/>
      <c r="I11" s="228"/>
      <c r="J11" s="228" t="s">
        <v>771</v>
      </c>
    </row>
    <row r="12" spans="2:10" ht="149.44999999999999" x14ac:dyDescent="0.25">
      <c r="B12" s="1054"/>
      <c r="C12" s="228" t="s">
        <v>221</v>
      </c>
      <c r="D12" s="232" t="s">
        <v>222</v>
      </c>
      <c r="E12" s="232" t="s">
        <v>225</v>
      </c>
      <c r="F12" s="232" t="s">
        <v>224</v>
      </c>
      <c r="G12" s="232" t="s">
        <v>223</v>
      </c>
      <c r="H12" s="232" t="s">
        <v>226</v>
      </c>
      <c r="I12" s="232"/>
      <c r="J12" s="232"/>
    </row>
    <row r="13" spans="2:10" ht="81.55" x14ac:dyDescent="0.25">
      <c r="B13" s="1054"/>
      <c r="C13" s="228"/>
      <c r="D13" s="228" t="s">
        <v>227</v>
      </c>
      <c r="E13" s="228" t="s">
        <v>888</v>
      </c>
      <c r="F13" s="228" t="s">
        <v>413</v>
      </c>
      <c r="G13" s="228" t="s">
        <v>415</v>
      </c>
      <c r="H13" s="228" t="s">
        <v>229</v>
      </c>
      <c r="I13" s="228"/>
      <c r="J13" s="228"/>
    </row>
    <row r="14" spans="2:10" ht="54.35" x14ac:dyDescent="0.25">
      <c r="B14" s="1054"/>
      <c r="C14" s="228"/>
      <c r="D14" s="228" t="s">
        <v>417</v>
      </c>
      <c r="E14" s="228"/>
      <c r="F14" s="228" t="s">
        <v>678</v>
      </c>
      <c r="G14" s="228" t="s">
        <v>619</v>
      </c>
      <c r="H14" s="228" t="s">
        <v>231</v>
      </c>
      <c r="I14" s="228"/>
      <c r="J14" s="228"/>
    </row>
    <row r="15" spans="2:10" ht="27.2" x14ac:dyDescent="0.25">
      <c r="B15" s="1054"/>
      <c r="C15" s="228"/>
      <c r="D15" s="228" t="s">
        <v>944</v>
      </c>
      <c r="E15" s="228"/>
      <c r="F15" s="228"/>
      <c r="G15" s="228"/>
      <c r="H15" s="228" t="s">
        <v>258</v>
      </c>
      <c r="I15" s="228"/>
      <c r="J15" s="228"/>
    </row>
    <row r="16" spans="2:10" ht="27.2" x14ac:dyDescent="0.25">
      <c r="B16" s="1054"/>
      <c r="C16" s="228"/>
      <c r="D16" s="228" t="s">
        <v>945</v>
      </c>
      <c r="E16" s="228"/>
      <c r="F16" s="228"/>
      <c r="G16" s="228"/>
      <c r="H16" s="228"/>
      <c r="I16" s="228"/>
      <c r="J16" s="228"/>
    </row>
    <row r="17" spans="2:10" x14ac:dyDescent="0.25">
      <c r="B17" s="1055"/>
      <c r="C17" s="230" t="s">
        <v>219</v>
      </c>
      <c r="D17" s="445"/>
      <c r="E17" s="445"/>
      <c r="F17" s="445"/>
      <c r="G17" s="445"/>
      <c r="H17" s="445"/>
      <c r="I17" s="233"/>
      <c r="J17" s="445"/>
    </row>
    <row r="18" spans="2:10" x14ac:dyDescent="0.25">
      <c r="B18" s="235"/>
      <c r="C18" s="174"/>
      <c r="D18" s="174"/>
      <c r="E18" s="174"/>
      <c r="F18" s="174"/>
      <c r="G18" s="174"/>
      <c r="H18" s="174"/>
      <c r="I18" s="174"/>
      <c r="J18" s="174"/>
    </row>
  </sheetData>
  <mergeCells count="3">
    <mergeCell ref="B3:B6"/>
    <mergeCell ref="B7:B9"/>
    <mergeCell ref="B10:B17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3C34-3DD8-48DD-A040-78E1773E97EF}">
  <sheetPr>
    <tabColor rgb="FFFF0000"/>
  </sheetPr>
  <dimension ref="A1:W92"/>
  <sheetViews>
    <sheetView showGridLines="0" tabSelected="1" topLeftCell="A22" zoomScaleNormal="100" workbookViewId="0">
      <selection activeCell="F54" activeCellId="1" sqref="F71 F54"/>
    </sheetView>
  </sheetViews>
  <sheetFormatPr defaultRowHeight="13.6" outlineLevelRow="1" outlineLevelCol="1" x14ac:dyDescent="0.25"/>
  <cols>
    <col min="1" max="1" width="10.5" style="2" customWidth="1" outlineLevel="1"/>
    <col min="2" max="2" width="2.875" style="2" customWidth="1"/>
    <col min="3" max="3" width="6" style="2" customWidth="1"/>
    <col min="4" max="4" width="45.125" style="2" customWidth="1"/>
    <col min="5" max="5" width="10.25" style="2" customWidth="1"/>
    <col min="6" max="12" width="14.5" style="2" customWidth="1"/>
    <col min="13" max="20" width="8.625" style="2" customWidth="1" outlineLevel="1"/>
    <col min="21" max="21" width="52.875" style="2" customWidth="1"/>
    <col min="22" max="22" width="2.75" style="2" customWidth="1"/>
    <col min="23" max="23" width="17.875" style="2" bestFit="1" customWidth="1"/>
    <col min="24" max="16384" width="9" style="2"/>
  </cols>
  <sheetData>
    <row r="1" spans="1:11" ht="14.3" x14ac:dyDescent="0.25">
      <c r="A1" s="1"/>
      <c r="B1" s="1"/>
    </row>
    <row r="2" spans="1:11" ht="14.3" x14ac:dyDescent="0.25">
      <c r="C2" s="3" t="s">
        <v>0</v>
      </c>
    </row>
    <row r="4" spans="1:11" x14ac:dyDescent="0.25">
      <c r="C4" s="4" t="s">
        <v>1</v>
      </c>
      <c r="G4" s="4" t="s">
        <v>2</v>
      </c>
    </row>
    <row r="5" spans="1:11" ht="27.2" x14ac:dyDescent="0.25">
      <c r="C5" s="5" t="s">
        <v>3</v>
      </c>
      <c r="D5" s="5" t="s">
        <v>4</v>
      </c>
      <c r="E5" s="5" t="s">
        <v>5</v>
      </c>
      <c r="G5" s="5" t="str">
        <f>C5</f>
        <v>№</v>
      </c>
      <c r="H5" s="1062" t="str">
        <f>D5</f>
        <v>Марка автосамосвала</v>
      </c>
      <c r="I5" s="1062"/>
      <c r="J5" s="1062"/>
      <c r="K5" s="5" t="s">
        <v>6</v>
      </c>
    </row>
    <row r="6" spans="1:11" x14ac:dyDescent="0.25">
      <c r="C6" s="6">
        <v>1</v>
      </c>
      <c r="D6" s="210" t="str">
        <f>IFERROR(HLOOKUP(E6,$F$64:$T$66,3,FALSE),"-")</f>
        <v>-</v>
      </c>
      <c r="E6" s="7" t="str">
        <f>IFERROR(SMALL($F$64:$T$64,C6),"-")</f>
        <v>-</v>
      </c>
      <c r="G6" s="6">
        <f>C6</f>
        <v>1</v>
      </c>
      <c r="H6" s="1063" t="str">
        <f>IFERROR(HLOOKUP(K6,$F$65:$T$66,2,FALSE),"-")</f>
        <v>-</v>
      </c>
      <c r="I6" s="1063"/>
      <c r="J6" s="1063"/>
      <c r="K6" s="8" t="str">
        <f>IFERROR(SMALL($F$65:$T$65,C6),"-")</f>
        <v>-</v>
      </c>
    </row>
    <row r="7" spans="1:11" x14ac:dyDescent="0.25">
      <c r="C7" s="9">
        <f t="shared" ref="C7:C20" si="0">C6+1</f>
        <v>2</v>
      </c>
      <c r="D7" s="211" t="str">
        <f t="shared" ref="D7:D20" si="1">IFERROR(HLOOKUP(E7,$F$64:$T$66,3,FALSE),"-")</f>
        <v>-</v>
      </c>
      <c r="E7" s="10" t="str">
        <f t="shared" ref="E7:E20" si="2">IFERROR(SMALL($F$64:$T$64,C7),"-")</f>
        <v>-</v>
      </c>
      <c r="G7" s="9">
        <f>C7</f>
        <v>2</v>
      </c>
      <c r="H7" s="1058" t="str">
        <f>IFERROR(HLOOKUP(K7,$F$65:$T$66,2,FALSE),"-")</f>
        <v>-</v>
      </c>
      <c r="I7" s="1058"/>
      <c r="J7" s="1058"/>
      <c r="K7" s="11" t="str">
        <f t="shared" ref="K7:K20" si="3">IFERROR(SMALL($F$65:$T$65,C7),"-")</f>
        <v>-</v>
      </c>
    </row>
    <row r="8" spans="1:11" x14ac:dyDescent="0.25">
      <c r="C8" s="9">
        <f t="shared" si="0"/>
        <v>3</v>
      </c>
      <c r="D8" s="211" t="str">
        <f t="shared" si="1"/>
        <v>-</v>
      </c>
      <c r="E8" s="10" t="str">
        <f t="shared" si="2"/>
        <v>-</v>
      </c>
      <c r="G8" s="9">
        <f t="shared" ref="G8:G20" si="4">C8</f>
        <v>3</v>
      </c>
      <c r="H8" s="1058" t="str">
        <f t="shared" ref="H8:H20" si="5">IFERROR(HLOOKUP(K8,$F$65:$T$66,2,FALSE),"-")</f>
        <v>-</v>
      </c>
      <c r="I8" s="1058"/>
      <c r="J8" s="1058"/>
      <c r="K8" s="11" t="str">
        <f t="shared" si="3"/>
        <v>-</v>
      </c>
    </row>
    <row r="9" spans="1:11" x14ac:dyDescent="0.25">
      <c r="C9" s="9">
        <f t="shared" si="0"/>
        <v>4</v>
      </c>
      <c r="D9" s="211" t="str">
        <f t="shared" si="1"/>
        <v>-</v>
      </c>
      <c r="E9" s="10" t="str">
        <f t="shared" si="2"/>
        <v>-</v>
      </c>
      <c r="G9" s="9">
        <f t="shared" si="4"/>
        <v>4</v>
      </c>
      <c r="H9" s="1058" t="str">
        <f t="shared" si="5"/>
        <v>-</v>
      </c>
      <c r="I9" s="1058"/>
      <c r="J9" s="1058"/>
      <c r="K9" s="11" t="str">
        <f t="shared" si="3"/>
        <v>-</v>
      </c>
    </row>
    <row r="10" spans="1:11" x14ac:dyDescent="0.25">
      <c r="C10" s="9">
        <f t="shared" si="0"/>
        <v>5</v>
      </c>
      <c r="D10" s="211" t="str">
        <f t="shared" si="1"/>
        <v>-</v>
      </c>
      <c r="E10" s="10" t="str">
        <f t="shared" si="2"/>
        <v>-</v>
      </c>
      <c r="G10" s="9">
        <f t="shared" si="4"/>
        <v>5</v>
      </c>
      <c r="H10" s="1058" t="str">
        <f t="shared" si="5"/>
        <v>-</v>
      </c>
      <c r="I10" s="1058"/>
      <c r="J10" s="1058"/>
      <c r="K10" s="11" t="str">
        <f t="shared" si="3"/>
        <v>-</v>
      </c>
    </row>
    <row r="11" spans="1:11" outlineLevel="1" x14ac:dyDescent="0.25">
      <c r="C11" s="9">
        <f t="shared" si="0"/>
        <v>6</v>
      </c>
      <c r="D11" s="211" t="str">
        <f t="shared" si="1"/>
        <v>-</v>
      </c>
      <c r="E11" s="10" t="str">
        <f t="shared" si="2"/>
        <v>-</v>
      </c>
      <c r="G11" s="9">
        <f t="shared" si="4"/>
        <v>6</v>
      </c>
      <c r="H11" s="1058" t="str">
        <f t="shared" si="5"/>
        <v>-</v>
      </c>
      <c r="I11" s="1058"/>
      <c r="J11" s="1058"/>
      <c r="K11" s="11" t="str">
        <f t="shared" si="3"/>
        <v>-</v>
      </c>
    </row>
    <row r="12" spans="1:11" outlineLevel="1" x14ac:dyDescent="0.25">
      <c r="C12" s="9">
        <f t="shared" si="0"/>
        <v>7</v>
      </c>
      <c r="D12" s="211" t="str">
        <f t="shared" si="1"/>
        <v>-</v>
      </c>
      <c r="E12" s="10" t="str">
        <f t="shared" si="2"/>
        <v>-</v>
      </c>
      <c r="G12" s="9">
        <f t="shared" si="4"/>
        <v>7</v>
      </c>
      <c r="H12" s="1058" t="str">
        <f t="shared" si="5"/>
        <v>-</v>
      </c>
      <c r="I12" s="1058"/>
      <c r="J12" s="1058"/>
      <c r="K12" s="11" t="str">
        <f t="shared" si="3"/>
        <v>-</v>
      </c>
    </row>
    <row r="13" spans="1:11" outlineLevel="1" x14ac:dyDescent="0.25">
      <c r="C13" s="9">
        <f t="shared" si="0"/>
        <v>8</v>
      </c>
      <c r="D13" s="211" t="str">
        <f t="shared" si="1"/>
        <v>-</v>
      </c>
      <c r="E13" s="10" t="str">
        <f t="shared" si="2"/>
        <v>-</v>
      </c>
      <c r="G13" s="9">
        <f t="shared" si="4"/>
        <v>8</v>
      </c>
      <c r="H13" s="1058" t="str">
        <f t="shared" si="5"/>
        <v>-</v>
      </c>
      <c r="I13" s="1058"/>
      <c r="J13" s="1058"/>
      <c r="K13" s="11" t="str">
        <f t="shared" si="3"/>
        <v>-</v>
      </c>
    </row>
    <row r="14" spans="1:11" outlineLevel="1" x14ac:dyDescent="0.25">
      <c r="C14" s="9">
        <f t="shared" si="0"/>
        <v>9</v>
      </c>
      <c r="D14" s="211" t="str">
        <f t="shared" si="1"/>
        <v>-</v>
      </c>
      <c r="E14" s="10" t="str">
        <f t="shared" si="2"/>
        <v>-</v>
      </c>
      <c r="G14" s="9">
        <f t="shared" si="4"/>
        <v>9</v>
      </c>
      <c r="H14" s="1058" t="str">
        <f t="shared" si="5"/>
        <v>-</v>
      </c>
      <c r="I14" s="1058"/>
      <c r="J14" s="1058"/>
      <c r="K14" s="11" t="str">
        <f t="shared" si="3"/>
        <v>-</v>
      </c>
    </row>
    <row r="15" spans="1:11" outlineLevel="1" x14ac:dyDescent="0.25">
      <c r="C15" s="9">
        <f t="shared" si="0"/>
        <v>10</v>
      </c>
      <c r="D15" s="211" t="str">
        <f t="shared" si="1"/>
        <v>-</v>
      </c>
      <c r="E15" s="10" t="str">
        <f t="shared" si="2"/>
        <v>-</v>
      </c>
      <c r="G15" s="9">
        <f t="shared" si="4"/>
        <v>10</v>
      </c>
      <c r="H15" s="1058" t="str">
        <f t="shared" si="5"/>
        <v>-</v>
      </c>
      <c r="I15" s="1058"/>
      <c r="J15" s="1058"/>
      <c r="K15" s="11" t="str">
        <f t="shared" si="3"/>
        <v>-</v>
      </c>
    </row>
    <row r="16" spans="1:11" outlineLevel="1" x14ac:dyDescent="0.25">
      <c r="C16" s="9">
        <f t="shared" si="0"/>
        <v>11</v>
      </c>
      <c r="D16" s="211" t="str">
        <f t="shared" si="1"/>
        <v>-</v>
      </c>
      <c r="E16" s="10" t="str">
        <f t="shared" si="2"/>
        <v>-</v>
      </c>
      <c r="G16" s="9">
        <f t="shared" si="4"/>
        <v>11</v>
      </c>
      <c r="H16" s="1058" t="str">
        <f t="shared" si="5"/>
        <v>-</v>
      </c>
      <c r="I16" s="1058"/>
      <c r="J16" s="1058"/>
      <c r="K16" s="11" t="str">
        <f t="shared" si="3"/>
        <v>-</v>
      </c>
    </row>
    <row r="17" spans="3:21" outlineLevel="1" x14ac:dyDescent="0.25">
      <c r="C17" s="9">
        <f t="shared" si="0"/>
        <v>12</v>
      </c>
      <c r="D17" s="211" t="str">
        <f t="shared" si="1"/>
        <v>-</v>
      </c>
      <c r="E17" s="10" t="str">
        <f t="shared" si="2"/>
        <v>-</v>
      </c>
      <c r="G17" s="9">
        <f t="shared" si="4"/>
        <v>12</v>
      </c>
      <c r="H17" s="1058" t="str">
        <f t="shared" si="5"/>
        <v>-</v>
      </c>
      <c r="I17" s="1058"/>
      <c r="J17" s="1058"/>
      <c r="K17" s="11" t="str">
        <f t="shared" si="3"/>
        <v>-</v>
      </c>
    </row>
    <row r="18" spans="3:21" outlineLevel="1" x14ac:dyDescent="0.25">
      <c r="C18" s="9">
        <f t="shared" si="0"/>
        <v>13</v>
      </c>
      <c r="D18" s="211" t="str">
        <f t="shared" si="1"/>
        <v>-</v>
      </c>
      <c r="E18" s="10" t="str">
        <f t="shared" si="2"/>
        <v>-</v>
      </c>
      <c r="G18" s="9">
        <f t="shared" si="4"/>
        <v>13</v>
      </c>
      <c r="H18" s="1058" t="str">
        <f t="shared" si="5"/>
        <v>-</v>
      </c>
      <c r="I18" s="1058"/>
      <c r="J18" s="1058"/>
      <c r="K18" s="11" t="str">
        <f t="shared" si="3"/>
        <v>-</v>
      </c>
    </row>
    <row r="19" spans="3:21" outlineLevel="1" x14ac:dyDescent="0.25">
      <c r="C19" s="9">
        <f t="shared" si="0"/>
        <v>14</v>
      </c>
      <c r="D19" s="211" t="str">
        <f t="shared" si="1"/>
        <v>-</v>
      </c>
      <c r="E19" s="10" t="str">
        <f t="shared" si="2"/>
        <v>-</v>
      </c>
      <c r="G19" s="9">
        <f t="shared" si="4"/>
        <v>14</v>
      </c>
      <c r="H19" s="1058" t="str">
        <f t="shared" si="5"/>
        <v>-</v>
      </c>
      <c r="I19" s="1058"/>
      <c r="J19" s="1058"/>
      <c r="K19" s="11" t="str">
        <f t="shared" si="3"/>
        <v>-</v>
      </c>
    </row>
    <row r="20" spans="3:21" outlineLevel="1" x14ac:dyDescent="0.25">
      <c r="C20" s="9">
        <f t="shared" si="0"/>
        <v>15</v>
      </c>
      <c r="D20" s="211" t="str">
        <f t="shared" si="1"/>
        <v>-</v>
      </c>
      <c r="E20" s="10" t="str">
        <f t="shared" si="2"/>
        <v>-</v>
      </c>
      <c r="G20" s="9">
        <f t="shared" si="4"/>
        <v>15</v>
      </c>
      <c r="H20" s="1058" t="str">
        <f t="shared" si="5"/>
        <v>-</v>
      </c>
      <c r="I20" s="1058"/>
      <c r="J20" s="1058"/>
      <c r="K20" s="11" t="str">
        <f t="shared" si="3"/>
        <v>-</v>
      </c>
    </row>
    <row r="21" spans="3:21" x14ac:dyDescent="0.25">
      <c r="C21" s="12"/>
      <c r="D21" s="13"/>
      <c r="E21" s="12"/>
      <c r="G21" s="12"/>
      <c r="H21" s="1059"/>
      <c r="I21" s="1059"/>
      <c r="J21" s="1059"/>
      <c r="K21" s="12"/>
    </row>
    <row r="23" spans="3:21" ht="27.2" x14ac:dyDescent="0.25">
      <c r="C23" s="5" t="s">
        <v>3</v>
      </c>
      <c r="D23" s="5" t="s">
        <v>7</v>
      </c>
      <c r="E23" s="5" t="s">
        <v>8</v>
      </c>
      <c r="F23" s="5" t="s">
        <v>163</v>
      </c>
      <c r="G23" s="5" t="s">
        <v>889</v>
      </c>
      <c r="H23" s="5" t="s">
        <v>161</v>
      </c>
      <c r="I23" s="5" t="s">
        <v>164</v>
      </c>
      <c r="J23" s="5" t="s">
        <v>774</v>
      </c>
      <c r="K23" s="741" t="s">
        <v>671</v>
      </c>
      <c r="L23" s="649" t="s">
        <v>775</v>
      </c>
      <c r="M23" s="5"/>
      <c r="N23" s="5"/>
      <c r="O23" s="5"/>
      <c r="P23" s="5"/>
      <c r="Q23" s="5"/>
      <c r="R23" s="5"/>
      <c r="S23" s="5"/>
      <c r="T23" s="5"/>
      <c r="U23" s="5" t="s">
        <v>9</v>
      </c>
    </row>
    <row r="24" spans="3:21" x14ac:dyDescent="0.25">
      <c r="C24" s="206">
        <v>1</v>
      </c>
      <c r="D24" s="14" t="s">
        <v>10</v>
      </c>
      <c r="E24" s="15" t="s">
        <v>11</v>
      </c>
      <c r="F24" s="16">
        <f>SUMIFS(Производительность!$E$23:$E$39,Производительность!$C$23:$C$39,F$23)</f>
        <v>227.8</v>
      </c>
      <c r="G24" s="16">
        <f>SUMIFS(Производительность!$E$23:$E$39,Производительность!$C$23:$C$39,G$23)</f>
        <v>211.392</v>
      </c>
      <c r="H24" s="16">
        <f>SUMIFS(Производительность!$E$23:$E$39,Производительность!$C$23:$C$39,H$23)</f>
        <v>216.36200000000002</v>
      </c>
      <c r="I24" s="16">
        <f>SUMIFS(Производительность!$E$23:$E$39,Производительность!$C$23:$C$39,I$23)</f>
        <v>222</v>
      </c>
      <c r="J24" s="16">
        <f>SUMIFS(Производительность!$E$23:$E$39,Производительность!$C$23:$C$39,J$23)</f>
        <v>231</v>
      </c>
      <c r="K24" s="16">
        <f>SUMIFS(Производительность!$E$23:$E$39,Производительность!$C$23:$C$39,K$23)</f>
        <v>211.392</v>
      </c>
      <c r="L24" s="16">
        <f>SUMIFS(Производительность!$E$23:$E$39,Производительность!$C$23:$C$39,L$23)</f>
        <v>231</v>
      </c>
      <c r="M24" s="16">
        <f>SUMIFS(Производительность!$E$23:$E$39,Производительность!$C$23:$C$39,M$23)</f>
        <v>0</v>
      </c>
      <c r="N24" s="16">
        <f>SUMIFS(Производительность!$E$23:$E$39,Производительность!$C$23:$C$39,N$23)</f>
        <v>0</v>
      </c>
      <c r="O24" s="16">
        <f>SUMIFS(Производительность!$E$23:$E$39,Производительность!$C$23:$C$39,O$23)</f>
        <v>0</v>
      </c>
      <c r="P24" s="16">
        <f>SUMIFS(Производительность!$E$23:$E$39,Производительность!$C$23:$C$39,P$23)</f>
        <v>0</v>
      </c>
      <c r="Q24" s="16">
        <f>SUMIFS(Производительность!$E$23:$E$39,Производительность!$C$23:$C$39,Q$23)</f>
        <v>0</v>
      </c>
      <c r="R24" s="16">
        <f>SUMIFS(Производительность!$E$23:$E$39,Производительность!$C$23:$C$39,R$23)</f>
        <v>0</v>
      </c>
      <c r="S24" s="16">
        <f>SUMIFS(Производительность!$E$23:$E$39,Производительность!$C$23:$C$39,S$23)</f>
        <v>0</v>
      </c>
      <c r="T24" s="16">
        <f>SUMIFS(Производительность!$E$23:$E$39,Производительность!$C$23:$C$39,T$23)</f>
        <v>0</v>
      </c>
      <c r="U24" s="17"/>
    </row>
    <row r="25" spans="3:21" x14ac:dyDescent="0.25">
      <c r="C25" s="207">
        <f>MAX(C$24:C24)+1</f>
        <v>2</v>
      </c>
      <c r="D25" s="18" t="s">
        <v>12</v>
      </c>
      <c r="E25" s="19" t="s">
        <v>13</v>
      </c>
      <c r="F25" s="32">
        <f>SUMIFS('ФОТ, МТР, макро'!$AC$4:$AC$20,'ФОТ, МТР, макро'!$W$4:$W$20,F$23)</f>
        <v>2500</v>
      </c>
      <c r="G25" s="32">
        <f>SUMIFS('ФОТ, МТР, макро'!$AC$4:$AC$20,'ФОТ, МТР, макро'!$W$4:$W$20,G$23)</f>
        <v>1864</v>
      </c>
      <c r="H25" s="32">
        <f>SUMIFS('ФОТ, МТР, макро'!$AC$4:$AC$20,'ФОТ, МТР, макро'!$W$4:$W$20,H$23)</f>
        <v>2843</v>
      </c>
      <c r="I25" s="32">
        <f>SUMIFS('ФОТ, МТР, макро'!$AC$4:$AC$20,'ФОТ, МТР, макро'!$W$4:$W$20,I$23)</f>
        <v>2500</v>
      </c>
      <c r="J25" s="32">
        <f>SUMIFS('ФОТ, МТР, макро'!$AC$4:$AC$20,'ФОТ, МТР, макро'!$W$4:$W$20,J$23)</f>
        <v>2535</v>
      </c>
      <c r="K25" s="32">
        <f>SUMIFS('ФОТ, МТР, макро'!$AC$4:$AC$20,'ФОТ, МТР, макро'!$W$4:$W$20,K$23)</f>
        <v>0</v>
      </c>
      <c r="L25" s="32">
        <f>SUMIFS('ФОТ, МТР, макро'!$AC$4:$AC$20,'ФОТ, МТР, макро'!$W$4:$W$20,L$23)</f>
        <v>2535</v>
      </c>
      <c r="M25" s="32">
        <f>SUMIFS('ФОТ, МТР, макро'!$AC$4:$AC$20,'ФОТ, МТР, макро'!$W$4:$W$20,M$23)</f>
        <v>0</v>
      </c>
      <c r="N25" s="32">
        <f>SUMIFS('ФОТ, МТР, макро'!$AC$4:$AC$20,'ФОТ, МТР, макро'!$W$4:$W$20,N$23)</f>
        <v>0</v>
      </c>
      <c r="O25" s="32">
        <f>SUMIFS('ФОТ, МТР, макро'!$AC$4:$AC$20,'ФОТ, МТР, макро'!$W$4:$W$20,O$23)</f>
        <v>0</v>
      </c>
      <c r="P25" s="32">
        <f>SUMIFS('ФОТ, МТР, макро'!$AC$4:$AC$20,'ФОТ, МТР, макро'!$W$4:$W$20,P$23)</f>
        <v>0</v>
      </c>
      <c r="Q25" s="32">
        <f>SUMIFS('ФОТ, МТР, макро'!$AC$4:$AC$20,'ФОТ, МТР, макро'!$W$4:$W$20,Q$23)</f>
        <v>0</v>
      </c>
      <c r="R25" s="32">
        <f>SUMIFS('ФОТ, МТР, макро'!$AC$4:$AC$20,'ФОТ, МТР, макро'!$W$4:$W$20,R$23)</f>
        <v>0</v>
      </c>
      <c r="S25" s="32">
        <f>SUMIFS('ФОТ, МТР, макро'!$AC$4:$AC$20,'ФОТ, МТР, макро'!$W$4:$W$20,S$23)</f>
        <v>0</v>
      </c>
      <c r="T25" s="32">
        <f>SUMIFS('ФОТ, МТР, макро'!$AC$4:$AC$20,'ФОТ, МТР, макро'!$W$4:$W$20,T$23)</f>
        <v>0</v>
      </c>
      <c r="U25" s="18"/>
    </row>
    <row r="26" spans="3:21" x14ac:dyDescent="0.25">
      <c r="C26" s="207">
        <f>MAX(C$24:C25)+1</f>
        <v>3</v>
      </c>
      <c r="D26" s="18" t="s">
        <v>14</v>
      </c>
      <c r="E26" s="19" t="s">
        <v>15</v>
      </c>
      <c r="F26" s="9">
        <f>SUMIFS(Производительность!$Y$55:$Y$71,Производительность!$C$55:$C$71,F$23)</f>
        <v>20</v>
      </c>
      <c r="G26" s="9">
        <f>SUMIFS(Производительность!$Y$55:$Y$71,Производительность!$C$55:$C$71,G$23)</f>
        <v>10</v>
      </c>
      <c r="H26" s="9">
        <f>SUMIFS(Производительность!$Y$55:$Y$71,Производительность!$C$55:$C$71,H$23)</f>
        <v>12</v>
      </c>
      <c r="I26" s="9">
        <f>SUMIFS(Производительность!$Y$55:$Y$71,Производительность!$C$55:$C$71,I$23)</f>
        <v>8</v>
      </c>
      <c r="J26" s="9">
        <f>SUMIFS(Производительность!$Y$55:$Y$71,Производительность!$C$55:$C$71,J$23)</f>
        <v>10</v>
      </c>
      <c r="K26" s="9">
        <f>SUMIFS(Производительность!$Y$55:$Y$71,Производительность!$C$55:$C$71,K$23)</f>
        <v>0</v>
      </c>
      <c r="L26" s="9">
        <f>SUMIFS(Производительность!$Y$55:$Y$71,Производительность!$C$55:$C$71,L$23)</f>
        <v>10</v>
      </c>
      <c r="M26" s="9">
        <f>SUMIFS(Производительность!$Y$55:$Y$71,Производительность!$C$55:$C$71,M$23)</f>
        <v>0</v>
      </c>
      <c r="N26" s="9">
        <f>SUMIFS(Производительность!$Y$55:$Y$71,Производительность!$C$55:$C$71,N$23)</f>
        <v>0</v>
      </c>
      <c r="O26" s="9">
        <f>SUMIFS(Производительность!$Y$55:$Y$71,Производительность!$C$55:$C$71,O$23)</f>
        <v>0</v>
      </c>
      <c r="P26" s="9">
        <f>SUMIFS(Производительность!$Y$55:$Y$71,Производительность!$C$55:$C$71,P$23)</f>
        <v>0</v>
      </c>
      <c r="Q26" s="9">
        <f>SUMIFS(Производительность!$Y$55:$Y$71,Производительность!$C$55:$C$71,Q$23)</f>
        <v>0</v>
      </c>
      <c r="R26" s="9">
        <f>SUMIFS(Производительность!$Y$55:$Y$71,Производительность!$C$55:$C$71,R$23)</f>
        <v>0</v>
      </c>
      <c r="S26" s="9">
        <f>SUMIFS(Производительность!$Y$55:$Y$71,Производительность!$C$55:$C$71,S$23)</f>
        <v>0</v>
      </c>
      <c r="T26" s="9">
        <f>SUMIFS(Производительность!$Y$55:$Y$71,Производительность!$C$55:$C$71,T$23)</f>
        <v>0</v>
      </c>
      <c r="U26" s="18"/>
    </row>
    <row r="27" spans="3:21" x14ac:dyDescent="0.25">
      <c r="C27" s="207">
        <f>MAX(C$24:C26)+1</f>
        <v>4</v>
      </c>
      <c r="D27" s="20" t="s">
        <v>16</v>
      </c>
      <c r="E27" s="21" t="s">
        <v>17</v>
      </c>
      <c r="F27" s="22">
        <f>SUMIFS(Производительность!$Z$55:$Z$71,Производительность!$C$55:$C$71,F$23)</f>
        <v>0.92288815956367343</v>
      </c>
      <c r="G27" s="22">
        <f>SUMIFS(Производительность!$Z$55:$Z$71,Производительность!$C$55:$C$71,G$23)</f>
        <v>0.85733130390664647</v>
      </c>
      <c r="H27" s="22">
        <f>SUMIFS(Производительность!$Z$55:$Z$71,Производительность!$C$55:$C$71,H$23)</f>
        <v>0.88337931253170965</v>
      </c>
      <c r="I27" s="22">
        <f>SUMIFS(Производительность!$Z$55:$Z$71,Производительность!$C$55:$C$71,I$23)</f>
        <v>0.86279173008625065</v>
      </c>
      <c r="J27" s="22">
        <f>SUMIFS(Производительность!$Z$55:$Z$71,Производительность!$C$55:$C$71,J$23)</f>
        <v>0.8715646668357856</v>
      </c>
      <c r="K27" s="22" t="e">
        <f>SUMIFS(Производительность!$Z$55:$Z$71,Производительность!$C$55:$C$71,K$23)</f>
        <v>#DIV/0!</v>
      </c>
      <c r="L27" s="22">
        <f>SUMIFS(Производительность!$Z$55:$Z$71,Производительность!$C$55:$C$71,L$23)</f>
        <v>0.88411536286571957</v>
      </c>
      <c r="M27" s="22" t="e">
        <f>SUMIFS(Производительность!$Z$55:$Z$71,Производительность!$C$55:$C$71,M$23)</f>
        <v>#DIV/0!</v>
      </c>
      <c r="N27" s="22" t="e">
        <f>SUMIFS(Производительность!$Z$55:$Z$71,Производительность!$C$55:$C$71,N$23)</f>
        <v>#DIV/0!</v>
      </c>
      <c r="O27" s="22" t="e">
        <f>SUMIFS(Производительность!$Z$55:$Z$71,Производительность!$C$55:$C$71,O$23)</f>
        <v>#DIV/0!</v>
      </c>
      <c r="P27" s="22" t="e">
        <f>SUMIFS(Производительность!$Z$55:$Z$71,Производительность!$C$55:$C$71,P$23)</f>
        <v>#DIV/0!</v>
      </c>
      <c r="Q27" s="22" t="e">
        <f>SUMIFS(Производительность!$Z$55:$Z$71,Производительность!$C$55:$C$71,Q$23)</f>
        <v>#DIV/0!</v>
      </c>
      <c r="R27" s="22" t="e">
        <f>SUMIFS(Производительность!$Z$55:$Z$71,Производительность!$C$55:$C$71,R$23)</f>
        <v>#DIV/0!</v>
      </c>
      <c r="S27" s="22" t="e">
        <f>SUMIFS(Производительность!$Z$55:$Z$71,Производительность!$C$55:$C$71,S$23)</f>
        <v>#DIV/0!</v>
      </c>
      <c r="T27" s="22" t="e">
        <f>SUMIFS(Производительность!$Z$55:$Z$71,Производительность!$C$55:$C$71,T$23)</f>
        <v>#DIV/0!</v>
      </c>
      <c r="U27" s="18"/>
    </row>
    <row r="28" spans="3:21" x14ac:dyDescent="0.25">
      <c r="C28" s="207">
        <f>MAX(C$24:C27)+1</f>
        <v>5</v>
      </c>
      <c r="D28" s="23" t="s">
        <v>18</v>
      </c>
      <c r="E28" s="24" t="str">
        <f>E27</f>
        <v>коэфф.</v>
      </c>
      <c r="F28" s="25">
        <f>SUMIFS(Производительность!$E$55:$E$71,Производительность!$C$55:$C$71,F$23)</f>
        <v>0.93755029173008619</v>
      </c>
      <c r="G28" s="25">
        <f>SUMIFS(Производительность!$E$55:$E$71,Производительность!$C$55:$C$71,G$23)</f>
        <v>0.91162480974124804</v>
      </c>
      <c r="H28" s="25">
        <f>SUMIFS(Производительность!$E$55:$E$71,Производительность!$C$55:$C$71,H$23)</f>
        <v>0.93570839675291717</v>
      </c>
      <c r="I28" s="25">
        <f>SUMIFS(Производительность!$E$55:$E$71,Производительность!$C$55:$C$71,I$23)</f>
        <v>0.90962709284627086</v>
      </c>
      <c r="J28" s="25">
        <f>SUMIFS(Производительность!$E$55:$E$71,Производительность!$C$55:$C$71,J$23)</f>
        <v>0.90830416032470829</v>
      </c>
      <c r="K28" s="25">
        <f>SUMIFS(Производительность!$E$55:$E$71,Производительность!$C$55:$C$71,K$23)</f>
        <v>0</v>
      </c>
      <c r="L28" s="25">
        <f>SUMIFS(Производительность!$E$55:$E$71,Производительность!$C$55:$C$71,L$23)</f>
        <v>0.92956036751648907</v>
      </c>
      <c r="M28" s="25">
        <f>SUMIFS(Производительность!$E$55:$E$71,Производительность!$C$55:$C$71,M$23)</f>
        <v>0</v>
      </c>
      <c r="N28" s="25">
        <f>SUMIFS(Производительность!$E$55:$E$71,Производительность!$C$55:$C$71,N$23)</f>
        <v>0</v>
      </c>
      <c r="O28" s="25">
        <f>SUMIFS(Производительность!$E$55:$E$71,Производительность!$C$55:$C$71,O$23)</f>
        <v>0</v>
      </c>
      <c r="P28" s="25">
        <f>SUMIFS(Производительность!$E$55:$E$71,Производительность!$C$55:$C$71,P$23)</f>
        <v>0</v>
      </c>
      <c r="Q28" s="25">
        <f>SUMIFS(Производительность!$E$55:$E$71,Производительность!$C$55:$C$71,Q$23)</f>
        <v>0</v>
      </c>
      <c r="R28" s="25">
        <f>SUMIFS(Производительность!$E$55:$E$71,Производительность!$C$55:$C$71,R$23)</f>
        <v>0</v>
      </c>
      <c r="S28" s="25">
        <f>SUMIFS(Производительность!$E$55:$E$71,Производительность!$C$55:$C$71,S$23)</f>
        <v>0</v>
      </c>
      <c r="T28" s="25">
        <f>SUMIFS(Производительность!$E$55:$E$71,Производительность!$C$55:$C$71,T$23)</f>
        <v>0</v>
      </c>
      <c r="U28" s="18"/>
    </row>
    <row r="29" spans="3:21" x14ac:dyDescent="0.25">
      <c r="C29" s="207">
        <f>MAX(C$24:C28)+1</f>
        <v>6</v>
      </c>
      <c r="D29" s="18" t="s">
        <v>19</v>
      </c>
      <c r="E29" s="19" t="str">
        <f>E27</f>
        <v>коэфф.</v>
      </c>
      <c r="F29" s="26">
        <f>SUMIFS(Производительность!$Z$119:$Z$135,Производительность!$C$119:$C$135,F$23)</f>
        <v>0.79732430659580567</v>
      </c>
      <c r="G29" s="26">
        <f>SUMIFS(Производительность!$Z$119:$Z$135,Производительность!$C$119:$C$135,G$23)</f>
        <v>0.74004467254701367</v>
      </c>
      <c r="H29" s="26">
        <f>SUMIFS(Производительность!$Z$119:$Z$135,Производительность!$C$119:$C$135,H$23)</f>
        <v>0.7627550766008796</v>
      </c>
      <c r="I29" s="26">
        <f>SUMIFS(Производительность!$Z$119:$Z$135,Производительность!$C$119:$C$135,I$23)</f>
        <v>0.74446948344055741</v>
      </c>
      <c r="J29" s="26">
        <f>SUMIFS(Производительность!$Z$119:$Z$135,Производительность!$C$119:$C$135,J$23)</f>
        <v>0.7523606618943286</v>
      </c>
      <c r="K29" s="26" t="e">
        <f>SUMIFS(Производительность!$Z$119:$Z$135,Производительность!$C$119:$C$135,K$23)</f>
        <v>#DIV/0!</v>
      </c>
      <c r="L29" s="26">
        <f>SUMIFS(Производительность!$Z$119:$Z$135,Производительность!$C$119:$C$135,L$23)</f>
        <v>0.76318279809326217</v>
      </c>
      <c r="M29" s="26" t="e">
        <f>SUMIFS(Производительность!$Z$119:$Z$135,Производительность!$C$119:$C$135,M$23)</f>
        <v>#DIV/0!</v>
      </c>
      <c r="N29" s="26" t="e">
        <f>SUMIFS(Производительность!$Z$119:$Z$135,Производительность!$C$119:$C$135,N$23)</f>
        <v>#DIV/0!</v>
      </c>
      <c r="O29" s="26" t="e">
        <f>SUMIFS(Производительность!$Z$119:$Z$135,Производительность!$C$119:$C$135,O$23)</f>
        <v>#DIV/0!</v>
      </c>
      <c r="P29" s="26" t="e">
        <f>SUMIFS(Производительность!$Z$119:$Z$135,Производительность!$C$119:$C$135,P$23)</f>
        <v>#DIV/0!</v>
      </c>
      <c r="Q29" s="26" t="e">
        <f>SUMIFS(Производительность!$Z$119:$Z$135,Производительность!$C$119:$C$135,Q$23)</f>
        <v>#DIV/0!</v>
      </c>
      <c r="R29" s="26" t="e">
        <f>SUMIFS(Производительность!$Z$119:$Z$135,Производительность!$C$119:$C$135,R$23)</f>
        <v>#DIV/0!</v>
      </c>
      <c r="S29" s="26" t="e">
        <f>SUMIFS(Производительность!$Z$119:$Z$135,Производительность!$C$119:$C$135,S$23)</f>
        <v>#DIV/0!</v>
      </c>
      <c r="T29" s="26" t="e">
        <f>SUMIFS(Производительность!$Z$119:$Z$135,Производительность!$C$119:$C$135,T$23)</f>
        <v>#DIV/0!</v>
      </c>
      <c r="U29" s="18"/>
    </row>
    <row r="30" spans="3:21" x14ac:dyDescent="0.25">
      <c r="C30" s="207">
        <f>MAX(C$24:C29)+1</f>
        <v>7</v>
      </c>
      <c r="D30" s="20" t="s">
        <v>20</v>
      </c>
      <c r="E30" s="21" t="s">
        <v>21</v>
      </c>
      <c r="F30" s="27">
        <f>SUMIFS(Производительность!$E$151:$E$167,Производительность!$C$151:$C$167,F$23)</f>
        <v>22.46</v>
      </c>
      <c r="G30" s="27">
        <f>SUMIFS(Производительность!$E$151:$E$167,Производительность!$C$151:$C$167,G$23)</f>
        <v>22.46</v>
      </c>
      <c r="H30" s="27">
        <f>SUMIFS(Производительность!$E$151:$E$167,Производительность!$C$151:$C$167,H$23)</f>
        <v>22.46</v>
      </c>
      <c r="I30" s="27">
        <f>SUMIFS(Производительность!$E$151:$E$167,Производительность!$C$151:$C$167,I$23)</f>
        <v>22.46</v>
      </c>
      <c r="J30" s="27">
        <f>SUMIFS(Производительность!$E$151:$E$167,Производительность!$C$151:$C$167,J$23)</f>
        <v>22.46</v>
      </c>
      <c r="K30" s="27">
        <f>SUMIFS(Производительность!$E$151:$E$167,Производительность!$C$151:$C$167,K$23)</f>
        <v>22.46</v>
      </c>
      <c r="L30" s="27">
        <f>SUMIFS(Производительность!$E$151:$E$167,Производительность!$C$151:$C$167,L$23)</f>
        <v>22.46</v>
      </c>
      <c r="M30" s="27">
        <f>SUMIFS(Производительность!$E$151:$E$167,Производительность!$C$151:$C$167,M$23)</f>
        <v>0</v>
      </c>
      <c r="N30" s="27">
        <f>SUMIFS(Производительность!$E$151:$E$167,Производительность!$C$151:$C$167,N$23)</f>
        <v>0</v>
      </c>
      <c r="O30" s="27">
        <f>SUMIFS(Производительность!$E$151:$E$167,Производительность!$C$151:$C$167,O$23)</f>
        <v>0</v>
      </c>
      <c r="P30" s="27">
        <f>SUMIFS(Производительность!$E$151:$E$167,Производительность!$C$151:$C$167,P$23)</f>
        <v>0</v>
      </c>
      <c r="Q30" s="27">
        <f>SUMIFS(Производительность!$E$151:$E$167,Производительность!$C$151:$C$167,Q$23)</f>
        <v>0</v>
      </c>
      <c r="R30" s="27">
        <f>SUMIFS(Производительность!$E$151:$E$167,Производительность!$C$151:$C$167,R$23)</f>
        <v>0</v>
      </c>
      <c r="S30" s="27">
        <f>SUMIFS(Производительность!$E$151:$E$167,Производительность!$C$151:$C$167,S$23)</f>
        <v>0</v>
      </c>
      <c r="T30" s="27">
        <f>SUMIFS(Производительность!$E$151:$E$167,Производительность!$C$151:$C$167,T$23)</f>
        <v>0</v>
      </c>
      <c r="U30" s="18"/>
    </row>
    <row r="31" spans="3:21" x14ac:dyDescent="0.25">
      <c r="C31" s="207">
        <f>MAX(C$24:C30)+1</f>
        <v>8</v>
      </c>
      <c r="D31" s="1060" t="s">
        <v>22</v>
      </c>
      <c r="E31" s="21" t="s">
        <v>23</v>
      </c>
      <c r="F31" s="28">
        <f>SUMIFS(Производительность!$Z$247:$Z$263,Производительность!$C$247:$C$263,F$23)</f>
        <v>2756.3656911254452</v>
      </c>
      <c r="G31" s="28">
        <f>SUMIFS(Производительность!$Z$247:$Z$263,Производительность!$C$247:$C$263,G$23)</f>
        <v>2598.1276311898637</v>
      </c>
      <c r="H31" s="28">
        <f>SUMIFS(Производительность!$Z$247:$Z$263,Производительность!$C$247:$C$263,H$23)</f>
        <v>2677.4962615732816</v>
      </c>
      <c r="I31" s="28">
        <f>SUMIFS(Производительность!$Z$247:$Z$263,Производительность!$C$247:$C$263,I$23)</f>
        <v>2832.1806678171924</v>
      </c>
      <c r="J31" s="28">
        <f>SUMIFS(Производительность!$Z$247:$Z$263,Производительность!$C$247:$C$263,J$23)</f>
        <v>2885.6026565348448</v>
      </c>
      <c r="K31" s="28" t="e">
        <f>SUMIFS(Производительность!$Z$247:$Z$263,Производительность!$C$247:$C$263,K$23)</f>
        <v>#DIV/0!</v>
      </c>
      <c r="L31" s="28">
        <f>SUMIFS(Производительность!$Z$247:$Z$263,Производительность!$C$247:$C$263,L$23)</f>
        <v>2928.2687096257719</v>
      </c>
      <c r="M31" s="28" t="e">
        <f>SUMIFS(Производительность!$Z$247:$Z$263,Производительность!$C$247:$C$263,M$23)</f>
        <v>#DIV/0!</v>
      </c>
      <c r="N31" s="28" t="e">
        <f>SUMIFS(Производительность!$Z$247:$Z$263,Производительность!$C$247:$C$263,N$23)</f>
        <v>#DIV/0!</v>
      </c>
      <c r="O31" s="28" t="e">
        <f>SUMIFS(Производительность!$Z$247:$Z$263,Производительность!$C$247:$C$263,O$23)</f>
        <v>#DIV/0!</v>
      </c>
      <c r="P31" s="28" t="e">
        <f>SUMIFS(Производительность!$Z$247:$Z$263,Производительность!$C$247:$C$263,P$23)</f>
        <v>#DIV/0!</v>
      </c>
      <c r="Q31" s="28" t="e">
        <f>SUMIFS(Производительность!$Z$247:$Z$263,Производительность!$C$247:$C$263,Q$23)</f>
        <v>#DIV/0!</v>
      </c>
      <c r="R31" s="28" t="e">
        <f>SUMIFS(Производительность!$Z$247:$Z$263,Производительность!$C$247:$C$263,R$23)</f>
        <v>#DIV/0!</v>
      </c>
      <c r="S31" s="28" t="e">
        <f>SUMIFS(Производительность!$Z$247:$Z$263,Производительность!$C$247:$C$263,S$23)</f>
        <v>#DIV/0!</v>
      </c>
      <c r="T31" s="28" t="e">
        <f>SUMIFS(Производительность!$Z$247:$Z$263,Производительность!$C$247:$C$263,T$23)</f>
        <v>#DIV/0!</v>
      </c>
      <c r="U31" s="18"/>
    </row>
    <row r="32" spans="3:21" x14ac:dyDescent="0.25">
      <c r="C32" s="207">
        <f>MAX(C$24:C31)+1</f>
        <v>9</v>
      </c>
      <c r="D32" s="1061"/>
      <c r="E32" s="21" t="s">
        <v>24</v>
      </c>
      <c r="F32" s="28">
        <f>SUMIFS(Производительность!$Z$263:$Z$279,Производительность!$C$263:$C$279,F$23)</f>
        <v>13243.303856156499</v>
      </c>
      <c r="G32" s="28">
        <f>SUMIFS(Производительность!$Z$263:$Z$279,Производительность!$C$263:$C$279,G$23)</f>
        <v>11054.290477428021</v>
      </c>
      <c r="H32" s="28">
        <f>SUMIFS(Производительность!$Z$263:$Z$279,Производительность!$C$263:$C$279,H$23)</f>
        <v>11760.947743130491</v>
      </c>
      <c r="I32" s="28">
        <f>SUMIFS(Производительность!$Z$263:$Z$279,Производительность!$C$263:$C$279,I$23)</f>
        <v>11541.076234609636</v>
      </c>
      <c r="J32" s="28">
        <f>SUMIFS(Производительность!$Z$263:$Z$279,Производительность!$C$263:$C$279,J$23)</f>
        <v>12281.887927032989</v>
      </c>
      <c r="K32" s="28" t="e">
        <f>SUMIFS(Производительность!$Z$263:$Z$279,Производительность!$C$263:$C$279,K$23)</f>
        <v>#DIV/0!</v>
      </c>
      <c r="L32" s="28">
        <f>SUMIFS(Производительность!$Z$263:$Z$279,Производительность!$C$263:$C$279,L$23)</f>
        <v>12456.731600748433</v>
      </c>
      <c r="M32" s="28" t="e">
        <f>SUMIFS(Производительность!$Z$263:$Z$279,Производительность!$C$263:$C$279,M$23)</f>
        <v>#DIV/0!</v>
      </c>
      <c r="N32" s="28" t="e">
        <f>SUMIFS(Производительность!$Z$263:$Z$279,Производительность!$C$263:$C$279,N$23)</f>
        <v>#DIV/0!</v>
      </c>
      <c r="O32" s="28" t="e">
        <f>SUMIFS(Производительность!$Z$263:$Z$279,Производительность!$C$263:$C$279,O$23)</f>
        <v>#DIV/0!</v>
      </c>
      <c r="P32" s="28" t="e">
        <f>SUMIFS(Производительность!$Z$263:$Z$279,Производительность!$C$263:$C$279,P$23)</f>
        <v>#DIV/0!</v>
      </c>
      <c r="Q32" s="28" t="e">
        <f>SUMIFS(Производительность!$Z$263:$Z$279,Производительность!$C$263:$C$279,Q$23)</f>
        <v>#DIV/0!</v>
      </c>
      <c r="R32" s="28" t="e">
        <f>SUMIFS(Производительность!$Z$263:$Z$279,Производительность!$C$263:$C$279,R$23)</f>
        <v>#DIV/0!</v>
      </c>
      <c r="S32" s="28" t="e">
        <f>SUMIFS(Производительность!$Z$263:$Z$279,Производительность!$C$263:$C$279,S$23)</f>
        <v>#DIV/0!</v>
      </c>
      <c r="T32" s="28" t="e">
        <f>SUMIFS(Производительность!$Z$263:$Z$279,Производительность!$C$263:$C$279,T$23)</f>
        <v>#DIV/0!</v>
      </c>
      <c r="U32" s="18"/>
    </row>
    <row r="33" spans="1:23" x14ac:dyDescent="0.25">
      <c r="C33" s="207">
        <f>MAX(C$24:C32)+1</f>
        <v>10</v>
      </c>
      <c r="D33" s="1056" t="s">
        <v>25</v>
      </c>
      <c r="E33" s="24" t="str">
        <f>E31</f>
        <v>тыс. т</v>
      </c>
      <c r="F33" s="29">
        <f>SUMIFS(Производительность!$E$247:$E$263,Производительность!$C$247:$C$263,F$23)</f>
        <v>3844.3301979005578</v>
      </c>
      <c r="G33" s="29">
        <f>SUMIFS(Производительность!$E$247:$E$263,Производительность!$C$247:$C$263,G$23)</f>
        <v>3468.7825332226494</v>
      </c>
      <c r="H33" s="29">
        <f>SUMIFS(Производительность!$E$247:$E$263,Производительность!$C$247:$C$263,H$23)</f>
        <v>3644.1303572092447</v>
      </c>
      <c r="I33" s="29">
        <f>SUMIFS(Производительность!$E$247:$E$263,Производительность!$C$247:$C$263,I$23)</f>
        <v>3634.86890018759</v>
      </c>
      <c r="J33" s="29">
        <f>SUMIFS(Производительность!$E$247:$E$263,Производительность!$C$247:$C$263,J$23)</f>
        <v>3776.7276982276098</v>
      </c>
      <c r="K33" s="29">
        <f>SUMIFS(Производительность!$E$247:$E$263,Производительность!$C$247:$C$263,K$23)</f>
        <v>0</v>
      </c>
      <c r="L33" s="29">
        <f>SUMIFS(Производительность!$E$247:$E$263,Производительность!$C$247:$C$263,L$23)</f>
        <v>3865.1109843195336</v>
      </c>
      <c r="M33" s="29">
        <f>SUMIFS(Производительность!$E$247:$E$263,Производительность!$C$247:$C$263,M$23)</f>
        <v>0</v>
      </c>
      <c r="N33" s="29">
        <f>SUMIFS(Производительность!$E$247:$E$263,Производительность!$C$247:$C$263,N$23)</f>
        <v>0</v>
      </c>
      <c r="O33" s="29">
        <f>SUMIFS(Производительность!$E$247:$E$263,Производительность!$C$247:$C$263,O$23)</f>
        <v>0</v>
      </c>
      <c r="P33" s="29">
        <f>SUMIFS(Производительность!$E$247:$E$263,Производительность!$C$247:$C$263,P$23)</f>
        <v>0</v>
      </c>
      <c r="Q33" s="29">
        <f>SUMIFS(Производительность!$E$247:$E$263,Производительность!$C$247:$C$263,Q$23)</f>
        <v>0</v>
      </c>
      <c r="R33" s="29">
        <f>SUMIFS(Производительность!$E$247:$E$263,Производительность!$C$247:$C$263,R$23)</f>
        <v>0</v>
      </c>
      <c r="S33" s="29">
        <f>SUMIFS(Производительность!$E$247:$E$263,Производительность!$C$247:$C$263,S$23)</f>
        <v>0</v>
      </c>
      <c r="T33" s="29">
        <f>SUMIFS(Производительность!$E$247:$E$263,Производительность!$C$247:$C$263,T$23)</f>
        <v>0</v>
      </c>
      <c r="U33" s="18"/>
    </row>
    <row r="34" spans="1:23" x14ac:dyDescent="0.25">
      <c r="C34" s="207">
        <f>MAX(C$24:C33)+1</f>
        <v>11</v>
      </c>
      <c r="D34" s="1057"/>
      <c r="E34" s="24" t="str">
        <f>E32</f>
        <v>тыс. ткм</v>
      </c>
      <c r="F34" s="29">
        <f>SUMIFS(Производительность!$E$263:$E$279,Производительность!$C$263:$C$279,F$23)</f>
        <v>11685.164981362384</v>
      </c>
      <c r="G34" s="29">
        <f>SUMIFS(Производительность!$E$263:$E$279,Производительность!$C$263:$C$279,G$23)</f>
        <v>10543.656267432647</v>
      </c>
      <c r="H34" s="29">
        <f>SUMIFS(Производительность!$E$263:$E$279,Производительность!$C$263:$C$279,H$23)</f>
        <v>11076.640726864678</v>
      </c>
      <c r="I34" s="29">
        <f>SUMIFS(Производительность!$E$263:$E$279,Производительность!$C$263:$C$279,I$23)</f>
        <v>11048.489749270471</v>
      </c>
      <c r="J34" s="29">
        <f>SUMIFS(Производительность!$E$263:$E$279,Производительность!$C$263:$C$279,J$23)</f>
        <v>11479.681497591326</v>
      </c>
      <c r="K34" s="29">
        <f>SUMIFS(Производительность!$E$263:$E$279,Производительность!$C$263:$C$279,K$23)</f>
        <v>0</v>
      </c>
      <c r="L34" s="29">
        <f>SUMIFS(Производительность!$E$263:$E$279,Производительность!$C$263:$C$279,L$23)</f>
        <v>11748.329929545243</v>
      </c>
      <c r="M34" s="29">
        <f>SUMIFS(Производительность!$E$263:$E$279,Производительность!$C$263:$C$279,M$23)</f>
        <v>0</v>
      </c>
      <c r="N34" s="29">
        <f>SUMIFS(Производительность!$E$263:$E$279,Производительность!$C$263:$C$279,N$23)</f>
        <v>0</v>
      </c>
      <c r="O34" s="29">
        <f>SUMIFS(Производительность!$E$263:$E$279,Производительность!$C$263:$C$279,O$23)</f>
        <v>0</v>
      </c>
      <c r="P34" s="29">
        <f>SUMIFS(Производительность!$E$263:$E$279,Производительность!$C$263:$C$279,P$23)</f>
        <v>0</v>
      </c>
      <c r="Q34" s="29">
        <f>SUMIFS(Производительность!$E$263:$E$279,Производительность!$C$263:$C$279,Q$23)</f>
        <v>0</v>
      </c>
      <c r="R34" s="29">
        <f>SUMIFS(Производительность!$E$263:$E$279,Производительность!$C$263:$C$279,R$23)</f>
        <v>0</v>
      </c>
      <c r="S34" s="29">
        <f>SUMIFS(Производительность!$E$263:$E$279,Производительность!$C$263:$C$279,S$23)</f>
        <v>0</v>
      </c>
      <c r="T34" s="29">
        <f>SUMIFS(Производительность!$E$263:$E$279,Производительность!$C$263:$C$279,T$23)</f>
        <v>0</v>
      </c>
      <c r="U34" s="18"/>
    </row>
    <row r="35" spans="1:23" x14ac:dyDescent="0.25">
      <c r="C35" s="207"/>
      <c r="D35" s="18"/>
      <c r="E35" s="1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18"/>
    </row>
    <row r="36" spans="1:23" x14ac:dyDescent="0.25">
      <c r="C36" s="207">
        <f>MAX(C$24:C35)+1</f>
        <v>12</v>
      </c>
      <c r="D36" s="18" t="s">
        <v>26</v>
      </c>
      <c r="E36" s="1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18"/>
    </row>
    <row r="37" spans="1:23" x14ac:dyDescent="0.25">
      <c r="A37" s="2" t="s">
        <v>27</v>
      </c>
      <c r="C37" s="207">
        <f>MAX(C$24:C36)+1</f>
        <v>13</v>
      </c>
      <c r="D37" s="31" t="s">
        <v>28</v>
      </c>
      <c r="E37" s="19" t="s">
        <v>29</v>
      </c>
      <c r="F37" s="425">
        <f>'NHL NTE240'!D6</f>
        <v>8500</v>
      </c>
      <c r="G37" s="425">
        <f>ESDE240!D6</f>
        <v>9104</v>
      </c>
      <c r="H37" s="425">
        <f>SANY!D6</f>
        <v>8970</v>
      </c>
      <c r="I37" s="425">
        <f>TZCO!D6</f>
        <v>7822</v>
      </c>
      <c r="J37" s="425">
        <f>БелАЗ!E6</f>
        <v>8800</v>
      </c>
      <c r="K37" s="219"/>
      <c r="L37" s="425">
        <f>БелАЗ_Б!E6</f>
        <v>8400</v>
      </c>
      <c r="M37" s="32"/>
      <c r="N37" s="32"/>
      <c r="O37" s="32"/>
      <c r="P37" s="32"/>
      <c r="Q37" s="32"/>
      <c r="R37" s="32"/>
      <c r="S37" s="32"/>
      <c r="T37" s="32"/>
      <c r="U37" s="33"/>
    </row>
    <row r="38" spans="1:23" x14ac:dyDescent="0.25">
      <c r="A38" s="2" t="s">
        <v>27</v>
      </c>
      <c r="C38" s="207">
        <f>MAX(C$24:C37)+1</f>
        <v>14</v>
      </c>
      <c r="D38" s="31" t="s">
        <v>30</v>
      </c>
      <c r="E38" s="19" t="str">
        <f>E37</f>
        <v>мм</v>
      </c>
      <c r="F38" s="425">
        <f>'NHL NTE240'!D7</f>
        <v>7300</v>
      </c>
      <c r="G38" s="425">
        <f>ESDE240!D7</f>
        <v>7205</v>
      </c>
      <c r="H38" s="425">
        <f>SANY!D7</f>
        <v>7050</v>
      </c>
      <c r="I38" s="425">
        <f>TZCO!D7</f>
        <v>7427</v>
      </c>
      <c r="J38" s="425">
        <f>БелАЗ!E7</f>
        <v>6720</v>
      </c>
      <c r="K38" s="219"/>
      <c r="L38" s="425">
        <f>БелАЗ_Б!E7</f>
        <v>6720</v>
      </c>
      <c r="M38" s="32"/>
      <c r="N38" s="32"/>
      <c r="O38" s="32"/>
      <c r="P38" s="32"/>
      <c r="Q38" s="32"/>
      <c r="R38" s="32"/>
      <c r="S38" s="32"/>
      <c r="T38" s="32"/>
      <c r="U38" s="33"/>
    </row>
    <row r="39" spans="1:23" x14ac:dyDescent="0.25">
      <c r="A39" s="2" t="s">
        <v>27</v>
      </c>
      <c r="C39" s="207">
        <f>MAX(C$24:C38)+1</f>
        <v>15</v>
      </c>
      <c r="D39" s="31" t="s">
        <v>31</v>
      </c>
      <c r="E39" s="19" t="str">
        <f>E38</f>
        <v>мм</v>
      </c>
      <c r="F39" s="425">
        <f>'NHL NTE240'!D8</f>
        <v>15600</v>
      </c>
      <c r="G39" s="425">
        <f>ESDE240!D8</f>
        <v>14595</v>
      </c>
      <c r="H39" s="425">
        <f>SANY!D8</f>
        <v>14900</v>
      </c>
      <c r="I39" s="425">
        <f>TZCO!D8</f>
        <v>14380</v>
      </c>
      <c r="J39" s="425">
        <f>БелАЗ!E8</f>
        <v>13390</v>
      </c>
      <c r="K39" s="219"/>
      <c r="L39" s="425">
        <f>БелАЗ_Б!E8</f>
        <v>13390</v>
      </c>
      <c r="M39" s="32"/>
      <c r="N39" s="32"/>
      <c r="O39" s="32"/>
      <c r="P39" s="32"/>
      <c r="Q39" s="32"/>
      <c r="R39" s="32"/>
      <c r="S39" s="32"/>
      <c r="T39" s="32"/>
      <c r="U39" s="33"/>
    </row>
    <row r="40" spans="1:23" x14ac:dyDescent="0.25">
      <c r="C40" s="207"/>
      <c r="D40" s="31"/>
      <c r="E40" s="19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18"/>
    </row>
    <row r="41" spans="1:23" x14ac:dyDescent="0.25">
      <c r="C41" s="207">
        <f>MAX(C$24:C40)+1</f>
        <v>16</v>
      </c>
      <c r="D41" s="20" t="s">
        <v>32</v>
      </c>
      <c r="E41" s="21" t="s">
        <v>33</v>
      </c>
      <c r="F41" s="28">
        <f>F44+F45+F46</f>
        <v>0</v>
      </c>
      <c r="G41" s="28">
        <f t="shared" ref="G41:T41" si="6">G44+G45+G46</f>
        <v>0</v>
      </c>
      <c r="H41" s="28">
        <f t="shared" si="6"/>
        <v>0</v>
      </c>
      <c r="I41" s="28">
        <f t="shared" si="6"/>
        <v>0</v>
      </c>
      <c r="J41" s="28">
        <f t="shared" si="6"/>
        <v>0</v>
      </c>
      <c r="K41" s="28">
        <f t="shared" ref="K41" si="7">K44+K45+K46</f>
        <v>0</v>
      </c>
      <c r="L41" s="28">
        <f t="shared" ref="L41" si="8">L44+L45+L46</f>
        <v>0</v>
      </c>
      <c r="M41" s="28">
        <f t="shared" si="6"/>
        <v>0</v>
      </c>
      <c r="N41" s="28">
        <f t="shared" si="6"/>
        <v>0</v>
      </c>
      <c r="O41" s="28">
        <f t="shared" si="6"/>
        <v>0</v>
      </c>
      <c r="P41" s="28">
        <f t="shared" si="6"/>
        <v>0</v>
      </c>
      <c r="Q41" s="28">
        <f t="shared" si="6"/>
        <v>0</v>
      </c>
      <c r="R41" s="28">
        <f t="shared" si="6"/>
        <v>0</v>
      </c>
      <c r="S41" s="28">
        <f t="shared" si="6"/>
        <v>0</v>
      </c>
      <c r="T41" s="28">
        <f t="shared" si="6"/>
        <v>0</v>
      </c>
      <c r="U41" s="18"/>
      <c r="W41" s="217" t="s">
        <v>778</v>
      </c>
    </row>
    <row r="42" spans="1:23" x14ac:dyDescent="0.25">
      <c r="A42" s="2" t="s">
        <v>27</v>
      </c>
      <c r="C42" s="207">
        <f>MAX(C$24:C41)+1</f>
        <v>17</v>
      </c>
      <c r="D42" s="34" t="s">
        <v>34</v>
      </c>
      <c r="E42" s="19" t="s">
        <v>35</v>
      </c>
      <c r="F42" s="220"/>
      <c r="G42" s="220"/>
      <c r="H42" s="220"/>
      <c r="I42" s="220"/>
      <c r="J42" s="220"/>
      <c r="K42" s="220"/>
      <c r="L42" s="220"/>
      <c r="M42" s="35"/>
      <c r="N42" s="35"/>
      <c r="O42" s="35"/>
      <c r="P42" s="35"/>
      <c r="Q42" s="35"/>
      <c r="R42" s="35"/>
      <c r="S42" s="35"/>
      <c r="T42" s="35"/>
      <c r="U42" s="18"/>
      <c r="W42" s="176">
        <v>94.048500000000004</v>
      </c>
    </row>
    <row r="43" spans="1:23" x14ac:dyDescent="0.25">
      <c r="A43" s="2" t="s">
        <v>27</v>
      </c>
      <c r="C43" s="207">
        <f>MAX(C$24:C42)+1</f>
        <v>18</v>
      </c>
      <c r="D43" s="34" t="s">
        <v>36</v>
      </c>
      <c r="E43" s="19" t="s">
        <v>37</v>
      </c>
      <c r="F43" s="221"/>
      <c r="G43" s="221"/>
      <c r="H43" s="221"/>
      <c r="I43" s="221"/>
      <c r="J43" s="221"/>
      <c r="K43" s="221"/>
      <c r="L43" s="221"/>
      <c r="M43" s="37"/>
      <c r="N43" s="37"/>
      <c r="O43" s="37"/>
      <c r="P43" s="37"/>
      <c r="Q43" s="37"/>
      <c r="R43" s="37"/>
      <c r="S43" s="37"/>
      <c r="T43" s="37"/>
      <c r="U43" s="18"/>
      <c r="W43" s="176">
        <v>12.770200000000001</v>
      </c>
    </row>
    <row r="44" spans="1:23" x14ac:dyDescent="0.25">
      <c r="A44" s="2" t="s">
        <v>27</v>
      </c>
      <c r="C44" s="207">
        <f>MAX(C$24:C43)+1</f>
        <v>19</v>
      </c>
      <c r="D44" s="34" t="s">
        <v>38</v>
      </c>
      <c r="E44" s="19" t="str">
        <f>E41</f>
        <v>тыс. руб.</v>
      </c>
      <c r="F44" s="222"/>
      <c r="G44" s="222"/>
      <c r="H44" s="222"/>
      <c r="I44" s="222"/>
      <c r="J44" s="222"/>
      <c r="K44" s="222"/>
      <c r="L44" s="222"/>
      <c r="M44" s="38"/>
      <c r="N44" s="38"/>
      <c r="O44" s="38"/>
      <c r="P44" s="38"/>
      <c r="Q44" s="38"/>
      <c r="R44" s="38"/>
      <c r="S44" s="38"/>
      <c r="T44" s="38"/>
      <c r="U44" s="18"/>
    </row>
    <row r="45" spans="1:23" x14ac:dyDescent="0.25">
      <c r="A45" s="2" t="s">
        <v>27</v>
      </c>
      <c r="C45" s="207">
        <f>MAX(C$24:C44)+1</f>
        <v>20</v>
      </c>
      <c r="D45" s="34" t="s">
        <v>39</v>
      </c>
      <c r="E45" s="19" t="str">
        <f>E41</f>
        <v>тыс. руб.</v>
      </c>
      <c r="F45" s="219"/>
      <c r="G45" s="219"/>
      <c r="H45" s="219"/>
      <c r="I45" s="219"/>
      <c r="J45" s="219"/>
      <c r="K45" s="219"/>
      <c r="L45" s="219"/>
      <c r="M45" s="32"/>
      <c r="N45" s="32"/>
      <c r="O45" s="32"/>
      <c r="P45" s="32"/>
      <c r="Q45" s="32"/>
      <c r="R45" s="32"/>
      <c r="S45" s="32"/>
      <c r="T45" s="32"/>
      <c r="U45" s="18"/>
    </row>
    <row r="46" spans="1:23" x14ac:dyDescent="0.25">
      <c r="A46" s="2" t="s">
        <v>27</v>
      </c>
      <c r="C46" s="207">
        <f>MAX(C$24:C45)+1</f>
        <v>21</v>
      </c>
      <c r="D46" s="34" t="s">
        <v>40</v>
      </c>
      <c r="E46" s="19" t="str">
        <f>E41</f>
        <v>тыс. руб.</v>
      </c>
      <c r="F46" s="219"/>
      <c r="G46" s="219"/>
      <c r="H46" s="219"/>
      <c r="I46" s="219"/>
      <c r="J46" s="219"/>
      <c r="K46" s="219"/>
      <c r="L46" s="219"/>
      <c r="M46" s="32"/>
      <c r="N46" s="32"/>
      <c r="O46" s="32"/>
      <c r="P46" s="32"/>
      <c r="Q46" s="32"/>
      <c r="R46" s="32"/>
      <c r="S46" s="32"/>
      <c r="T46" s="32"/>
      <c r="U46" s="18"/>
    </row>
    <row r="47" spans="1:23" x14ac:dyDescent="0.25">
      <c r="C47" s="207"/>
      <c r="D47" s="18"/>
      <c r="E47" s="1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18"/>
    </row>
    <row r="48" spans="1:23" x14ac:dyDescent="0.25">
      <c r="A48" s="2" t="s">
        <v>27</v>
      </c>
      <c r="C48" s="207">
        <f>MAX(C$24:C47)+1</f>
        <v>22</v>
      </c>
      <c r="D48" s="20" t="s">
        <v>196</v>
      </c>
      <c r="E48" s="21" t="s">
        <v>41</v>
      </c>
      <c r="F48" s="446"/>
      <c r="G48" s="446"/>
      <c r="H48" s="446"/>
      <c r="I48" s="446"/>
      <c r="J48" s="446"/>
      <c r="K48" s="446"/>
      <c r="L48" s="446"/>
      <c r="M48" s="223"/>
      <c r="N48" s="223"/>
      <c r="O48" s="223"/>
      <c r="P48" s="223"/>
      <c r="Q48" s="223"/>
      <c r="R48" s="223"/>
      <c r="S48" s="223"/>
      <c r="T48" s="223"/>
      <c r="U48" s="18"/>
    </row>
    <row r="49" spans="1:21" x14ac:dyDescent="0.25">
      <c r="C49" s="207">
        <f>MAX(C$24:C48)+1</f>
        <v>23</v>
      </c>
      <c r="D49" s="20" t="s">
        <v>197</v>
      </c>
      <c r="E49" s="21" t="str">
        <f>E41</f>
        <v>тыс. руб.</v>
      </c>
      <c r="F49" s="28">
        <f>F48*F41</f>
        <v>0</v>
      </c>
      <c r="G49" s="28">
        <f t="shared" ref="G49:T49" si="9">G48*G41</f>
        <v>0</v>
      </c>
      <c r="H49" s="28">
        <f t="shared" si="9"/>
        <v>0</v>
      </c>
      <c r="I49" s="28">
        <f t="shared" si="9"/>
        <v>0</v>
      </c>
      <c r="J49" s="28">
        <f t="shared" si="9"/>
        <v>0</v>
      </c>
      <c r="K49" s="28">
        <f t="shared" ref="K49:L49" si="10">K48*K41</f>
        <v>0</v>
      </c>
      <c r="L49" s="28">
        <f t="shared" si="10"/>
        <v>0</v>
      </c>
      <c r="M49" s="28">
        <f t="shared" si="9"/>
        <v>0</v>
      </c>
      <c r="N49" s="28">
        <f t="shared" si="9"/>
        <v>0</v>
      </c>
      <c r="O49" s="28">
        <f t="shared" si="9"/>
        <v>0</v>
      </c>
      <c r="P49" s="28">
        <f t="shared" si="9"/>
        <v>0</v>
      </c>
      <c r="Q49" s="28">
        <f t="shared" si="9"/>
        <v>0</v>
      </c>
      <c r="R49" s="28">
        <f t="shared" si="9"/>
        <v>0</v>
      </c>
      <c r="S49" s="28">
        <f t="shared" si="9"/>
        <v>0</v>
      </c>
      <c r="T49" s="28">
        <f t="shared" si="9"/>
        <v>0</v>
      </c>
      <c r="U49" s="18"/>
    </row>
    <row r="50" spans="1:21" x14ac:dyDescent="0.25">
      <c r="C50" s="207"/>
      <c r="D50" s="18"/>
      <c r="E50" s="1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18"/>
    </row>
    <row r="51" spans="1:21" ht="27.2" x14ac:dyDescent="0.25">
      <c r="C51" s="207">
        <f>MAX(C$24:C50)+1</f>
        <v>24</v>
      </c>
      <c r="D51" s="18" t="s">
        <v>42</v>
      </c>
      <c r="E51" s="19" t="s">
        <v>33</v>
      </c>
      <c r="F51" s="32">
        <f>SUMIFS(ТСО!$AB:$AB,ТСО!$A:$A,F$23)</f>
        <v>37724.114089978306</v>
      </c>
      <c r="G51" s="32">
        <f>SUMIFS(ТСО!$AB:$AB,ТСО!$A:$A,G$23)</f>
        <v>81241.348468913246</v>
      </c>
      <c r="H51" s="32">
        <f>SUMIFS(ТСО!$AB:$AB,ТСО!$A:$A,H$23)</f>
        <v>43797.998815530613</v>
      </c>
      <c r="I51" s="32">
        <f>SUMIFS(ТСО!$AB:$AB,ТСО!$A:$A,I$23)</f>
        <v>80874.293045205355</v>
      </c>
      <c r="J51" s="32">
        <f>SUMIFS(ТСО!$AB:$AB,ТСО!$A:$A,J$23)</f>
        <v>49901.322273348007</v>
      </c>
      <c r="K51" s="32" t="e">
        <f>SUMIFS(ТСО!$AB:$AB,ТСО!$A:$A,K$23)</f>
        <v>#DIV/0!</v>
      </c>
      <c r="L51" s="32">
        <f>SUMIFS(ТСО!$AB:$AB,ТСО!$A:$A,L$23)</f>
        <v>49883.615234733123</v>
      </c>
      <c r="M51" s="32">
        <f>SUMIFS(ТСО!$AB:$AB,ТСО!$A:$A,M$23)</f>
        <v>0</v>
      </c>
      <c r="N51" s="32">
        <f>SUMIFS(ТСО!$AB:$AB,ТСО!$A:$A,N$23)</f>
        <v>0</v>
      </c>
      <c r="O51" s="32">
        <f>SUMIFS(ТСО!$AB:$AB,ТСО!$A:$A,O$23)</f>
        <v>0</v>
      </c>
      <c r="P51" s="32">
        <f>SUMIFS(ТСО!$AB:$AB,ТСО!$A:$A,P$23)</f>
        <v>0</v>
      </c>
      <c r="Q51" s="32">
        <f>SUMIFS(ТСО!$AB:$AB,ТСО!$A:$A,Q$23)</f>
        <v>0</v>
      </c>
      <c r="R51" s="32">
        <f>SUMIFS(ТСО!$AB:$AB,ТСО!$A:$A,R$23)</f>
        <v>0</v>
      </c>
      <c r="S51" s="32">
        <f>SUMIFS(ТСО!$AB:$AB,ТСО!$A:$A,S$23)</f>
        <v>0</v>
      </c>
      <c r="T51" s="32">
        <f>SUMIFS(ТСО!$AB:$AB,ТСО!$A:$A,T$23)</f>
        <v>0</v>
      </c>
      <c r="U51" s="18"/>
    </row>
    <row r="52" spans="1:21" x14ac:dyDescent="0.25">
      <c r="C52" s="207"/>
      <c r="D52" s="18"/>
      <c r="E52" s="1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18"/>
    </row>
    <row r="53" spans="1:21" x14ac:dyDescent="0.25">
      <c r="A53" s="39" t="str">
        <f>ТСО!D74</f>
        <v>Аннуитет операционный</v>
      </c>
      <c r="C53" s="207">
        <f>MAX(C$24:C52)+1</f>
        <v>25</v>
      </c>
      <c r="D53" s="20" t="str">
        <f>ТСО!D74</f>
        <v>Аннуитет операционный</v>
      </c>
      <c r="E53" s="21" t="str">
        <f>ТСО!E74</f>
        <v>руб/ткм</v>
      </c>
      <c r="F53" s="40">
        <f>SUMIFS(ТСО!$AC:$AC,ТСО!$A:$A,F$23,ТСО!$B:$B,$A53)</f>
        <v>8.7358346139070342</v>
      </c>
      <c r="G53" s="40">
        <f>SUMIFS(ТСО!$AC:$AC,ТСО!$A:$A,G$23,ТСО!$B:$B,$A53)</f>
        <v>12.629210716610499</v>
      </c>
      <c r="H53" s="40">
        <f>SUMIFS(ТСО!$AC:$AC,ТСО!$A:$A,H$23,ТСО!$B:$B,$A53)</f>
        <v>9.8330453654636152</v>
      </c>
      <c r="I53" s="40">
        <f>SUMIFS(ТСО!$AC:$AC,ТСО!$A:$A,I$23,ТСО!$B:$B,$A53)</f>
        <v>12.058796115302989</v>
      </c>
      <c r="J53" s="40">
        <f>SUMIFS(ТСО!$AC:$AC,ТСО!$A:$A,J$23,ТСО!$B:$B,$A53)</f>
        <v>9.6354780522779304</v>
      </c>
      <c r="K53" s="40" t="e">
        <f>SUMIFS(ТСО!$AC:$AC,ТСО!$A:$A,K$23,ТСО!$B:$B,$A53)</f>
        <v>#DIV/0!</v>
      </c>
      <c r="L53" s="40">
        <f>SUMIFS(ТСО!$AC:$AC,ТСО!$A:$A,L$23,ТСО!$B:$B,$A53)</f>
        <v>9.5582597017259801</v>
      </c>
      <c r="M53" s="40">
        <f>SUMIFS(ТСО!$AC:$AC,ТСО!$A:$A,M$23,ТСО!$B:$B,$A53)</f>
        <v>0</v>
      </c>
      <c r="N53" s="40">
        <f>SUMIFS(ТСО!$AC:$AC,ТСО!$A:$A,N$23,ТСО!$B:$B,$A53)</f>
        <v>0</v>
      </c>
      <c r="O53" s="40">
        <f>SUMIFS(ТСО!$AC:$AC,ТСО!$A:$A,O$23,ТСО!$B:$B,$A53)</f>
        <v>0</v>
      </c>
      <c r="P53" s="40">
        <f>SUMIFS(ТСО!$AC:$AC,ТСО!$A:$A,P$23,ТСО!$B:$B,$A53)</f>
        <v>0</v>
      </c>
      <c r="Q53" s="40">
        <f>SUMIFS(ТСО!$AC:$AC,ТСО!$A:$A,Q$23,ТСО!$B:$B,$A53)</f>
        <v>0</v>
      </c>
      <c r="R53" s="40">
        <f>SUMIFS(ТСО!$AC:$AC,ТСО!$A:$A,R$23,ТСО!$B:$B,$A53)</f>
        <v>0</v>
      </c>
      <c r="S53" s="40">
        <f>SUMIFS(ТСО!$AC:$AC,ТСО!$A:$A,S$23,ТСО!$B:$B,$A53)</f>
        <v>0</v>
      </c>
      <c r="T53" s="40">
        <f>SUMIFS(ТСО!$AC:$AC,ТСО!$A:$A,T$23,ТСО!$B:$B,$A53)</f>
        <v>0</v>
      </c>
      <c r="U53" s="18"/>
    </row>
    <row r="54" spans="1:21" x14ac:dyDescent="0.25">
      <c r="A54" s="39" t="str">
        <f>ТСО!D75</f>
        <v>ТО, ТР, ППР</v>
      </c>
      <c r="C54" s="207">
        <f>MAX(C$24:C53)+1</f>
        <v>26</v>
      </c>
      <c r="D54" s="34" t="str">
        <f>ТСО!D75</f>
        <v>ТО, ТР, ППР</v>
      </c>
      <c r="E54" s="19" t="str">
        <f>ТСО!E75</f>
        <v>руб/ткм</v>
      </c>
      <c r="F54" s="41">
        <f>SUMIFS(ТСО!$AC:$AC,ТСО!$A:$A,F$23,ТСО!$B:$B,$A54)</f>
        <v>2.4987646390983738</v>
      </c>
      <c r="G54" s="41">
        <f>SUMIFS(ТСО!$AC:$AC,ТСО!$A:$A,G$23,ТСО!$B:$B,$A54)</f>
        <v>7.1230850672977457</v>
      </c>
      <c r="H54" s="41">
        <f>SUMIFS(ТСО!$AC:$AC,ТСО!$A:$A,H$23,ТСО!$B:$B,$A54)</f>
        <v>3.5672806009455367</v>
      </c>
      <c r="I54" s="41">
        <f>SUMIFS(ТСО!$AC:$AC,ТСО!$A:$A,I$23,ТСО!$B:$B,$A54)</f>
        <v>6.8703769196040945</v>
      </c>
      <c r="J54" s="41">
        <f>SUMIFS(ТСО!$AC:$AC,ТСО!$A:$A,J$23,ТСО!$B:$B,$A54)</f>
        <v>3.8042479424249094</v>
      </c>
      <c r="K54" s="41" t="e">
        <f>SUMIFS(ТСО!$AC:$AC,ТСО!$A:$A,K$23,ТСО!$B:$B,$A54)</f>
        <v>#DIV/0!</v>
      </c>
      <c r="L54" s="41">
        <f>SUMIFS(ТСО!$AC:$AC,ТСО!$A:$A,L$23,ТСО!$B:$B,$A54)</f>
        <v>3.6979755371677108</v>
      </c>
      <c r="M54" s="41">
        <f>SUMIFS(ТСО!$AC:$AC,ТСО!$A:$A,M$23,ТСО!$B:$B,$A54)</f>
        <v>0</v>
      </c>
      <c r="N54" s="41">
        <f>SUMIFS(ТСО!$AC:$AC,ТСО!$A:$A,N$23,ТСО!$B:$B,$A54)</f>
        <v>0</v>
      </c>
      <c r="O54" s="41">
        <f>SUMIFS(ТСО!$AC:$AC,ТСО!$A:$A,O$23,ТСО!$B:$B,$A54)</f>
        <v>0</v>
      </c>
      <c r="P54" s="41">
        <f>SUMIFS(ТСО!$AC:$AC,ТСО!$A:$A,P$23,ТСО!$B:$B,$A54)</f>
        <v>0</v>
      </c>
      <c r="Q54" s="41">
        <f>SUMIFS(ТСО!$AC:$AC,ТСО!$A:$A,Q$23,ТСО!$B:$B,$A54)</f>
        <v>0</v>
      </c>
      <c r="R54" s="41">
        <f>SUMIFS(ТСО!$AC:$AC,ТСО!$A:$A,R$23,ТСО!$B:$B,$A54)</f>
        <v>0</v>
      </c>
      <c r="S54" s="41">
        <f>SUMIFS(ТСО!$AC:$AC,ТСО!$A:$A,S$23,ТСО!$B:$B,$A54)</f>
        <v>0</v>
      </c>
      <c r="T54" s="41">
        <f>SUMIFS(ТСО!$AC:$AC,ТСО!$A:$A,T$23,ТСО!$B:$B,$A54)</f>
        <v>0</v>
      </c>
      <c r="U54" s="18"/>
    </row>
    <row r="55" spans="1:21" x14ac:dyDescent="0.25">
      <c r="A55" s="39" t="str">
        <f>ТСО!D76</f>
        <v>Шины</v>
      </c>
      <c r="C55" s="207">
        <f>MAX(C$24:C54)+1</f>
        <v>27</v>
      </c>
      <c r="D55" s="34" t="str">
        <f>ТСО!D76</f>
        <v>Шины</v>
      </c>
      <c r="E55" s="19" t="str">
        <f>ТСО!E76</f>
        <v>руб/ткм</v>
      </c>
      <c r="F55" s="41">
        <f>SUMIFS(ТСО!$AC:$AC,ТСО!$A:$A,F$23,ТСО!$B:$B,$A55)</f>
        <v>1.9474572272398096</v>
      </c>
      <c r="G55" s="41">
        <f>SUMIFS(ТСО!$AC:$AC,ТСО!$A:$A,G$23,ТСО!$B:$B,$A55)</f>
        <v>2.1361622546798662</v>
      </c>
      <c r="H55" s="41">
        <f>SUMIFS(ТСО!$AC:$AC,ТСО!$A:$A,H$23,ТСО!$B:$B,$A55)</f>
        <v>2.0794733099725184</v>
      </c>
      <c r="I55" s="41">
        <f>SUMIFS(ТСО!$AC:$AC,ТСО!$A:$A,I$23,ТСО!$B:$B,$A55)</f>
        <v>1.707496716610243</v>
      </c>
      <c r="J55" s="41">
        <f>SUMIFS(ТСО!$AC:$AC,ТСО!$A:$A,J$23,ТСО!$B:$B,$A55)</f>
        <v>1.6378791364672609</v>
      </c>
      <c r="K55" s="41" t="e">
        <f>SUMIFS(ТСО!$AC:$AC,ТСО!$A:$A,K$23,ТСО!$B:$B,$A55)</f>
        <v>#DIV/0!</v>
      </c>
      <c r="L55" s="41">
        <f>SUMIFS(ТСО!$AC:$AC,ТСО!$A:$A,L$23,ТСО!$B:$B,$A55)</f>
        <v>1.646133858609776</v>
      </c>
      <c r="M55" s="41">
        <f>SUMIFS(ТСО!$AC:$AC,ТСО!$A:$A,M$23,ТСО!$B:$B,$A55)</f>
        <v>0</v>
      </c>
      <c r="N55" s="41">
        <f>SUMIFS(ТСО!$AC:$AC,ТСО!$A:$A,N$23,ТСО!$B:$B,$A55)</f>
        <v>0</v>
      </c>
      <c r="O55" s="41">
        <f>SUMIFS(ТСО!$AC:$AC,ТСО!$A:$A,O$23,ТСО!$B:$B,$A55)</f>
        <v>0</v>
      </c>
      <c r="P55" s="41">
        <f>SUMIFS(ТСО!$AC:$AC,ТСО!$A:$A,P$23,ТСО!$B:$B,$A55)</f>
        <v>0</v>
      </c>
      <c r="Q55" s="41">
        <f>SUMIFS(ТСО!$AC:$AC,ТСО!$A:$A,Q$23,ТСО!$B:$B,$A55)</f>
        <v>0</v>
      </c>
      <c r="R55" s="41">
        <f>SUMIFS(ТСО!$AC:$AC,ТСО!$A:$A,R$23,ТСО!$B:$B,$A55)</f>
        <v>0</v>
      </c>
      <c r="S55" s="41">
        <f>SUMIFS(ТСО!$AC:$AC,ТСО!$A:$A,S$23,ТСО!$B:$B,$A55)</f>
        <v>0</v>
      </c>
      <c r="T55" s="41">
        <f>SUMIFS(ТСО!$AC:$AC,ТСО!$A:$A,T$23,ТСО!$B:$B,$A55)</f>
        <v>0</v>
      </c>
      <c r="U55" s="18"/>
    </row>
    <row r="56" spans="1:21" x14ac:dyDescent="0.25">
      <c r="A56" s="39" t="str">
        <f>ТСО!D77</f>
        <v>Топливо</v>
      </c>
      <c r="C56" s="207">
        <f>MAX(C$24:C55)+1</f>
        <v>28</v>
      </c>
      <c r="D56" s="34" t="str">
        <f>ТСО!D77</f>
        <v>Топливо</v>
      </c>
      <c r="E56" s="19" t="str">
        <f>ТСО!E77</f>
        <v>руб/ткм</v>
      </c>
      <c r="F56" s="41">
        <f>SUMIFS(ТСО!$AC:$AC,ТСО!$A:$A,F$23,ТСО!$B:$B,$A56)</f>
        <v>5.7904221164584468</v>
      </c>
      <c r="G56" s="41">
        <f>SUMIFS(ТСО!$AC:$AC,ТСО!$A:$A,G$23,ТСО!$B:$B,$A56)</f>
        <v>5.8940166935455505</v>
      </c>
      <c r="H56" s="41">
        <f>SUMIFS(ТСО!$AC:$AC,ТСО!$A:$A,H$23,ТСО!$B:$B,$A56)</f>
        <v>5.8724985039678881</v>
      </c>
      <c r="I56" s="41">
        <f>SUMIFS(ТСО!$AC:$AC,ТСО!$A:$A,I$23,ТСО!$B:$B,$A56)</f>
        <v>5.8812531141443403</v>
      </c>
      <c r="J56" s="41">
        <f>SUMIFS(ТСО!$AC:$AC,ТСО!$A:$A,J$23,ТСО!$B:$B,$A56)</f>
        <v>5.8833367532435172</v>
      </c>
      <c r="K56" s="41" t="e">
        <f>SUMIFS(ТСО!$AC:$AC,ТСО!$A:$A,K$23,ТСО!$B:$B,$A56)</f>
        <v>#DIV/0!</v>
      </c>
      <c r="L56" s="41">
        <f>SUMIFS(ТСО!$AC:$AC,ТСО!$A:$A,L$23,ТСО!$B:$B,$A56)</f>
        <v>5.8997573060190227</v>
      </c>
      <c r="M56" s="41">
        <f>SUMIFS(ТСО!$AC:$AC,ТСО!$A:$A,M$23,ТСО!$B:$B,$A56)</f>
        <v>0</v>
      </c>
      <c r="N56" s="41">
        <f>SUMIFS(ТСО!$AC:$AC,ТСО!$A:$A,N$23,ТСО!$B:$B,$A56)</f>
        <v>0</v>
      </c>
      <c r="O56" s="41">
        <f>SUMIFS(ТСО!$AC:$AC,ТСО!$A:$A,O$23,ТСО!$B:$B,$A56)</f>
        <v>0</v>
      </c>
      <c r="P56" s="41">
        <f>SUMIFS(ТСО!$AC:$AC,ТСО!$A:$A,P$23,ТСО!$B:$B,$A56)</f>
        <v>0</v>
      </c>
      <c r="Q56" s="41">
        <f>SUMIFS(ТСО!$AC:$AC,ТСО!$A:$A,Q$23,ТСО!$B:$B,$A56)</f>
        <v>0</v>
      </c>
      <c r="R56" s="41">
        <f>SUMIFS(ТСО!$AC:$AC,ТСО!$A:$A,R$23,ТСО!$B:$B,$A56)</f>
        <v>0</v>
      </c>
      <c r="S56" s="41">
        <f>SUMIFS(ТСО!$AC:$AC,ТСО!$A:$A,S$23,ТСО!$B:$B,$A56)</f>
        <v>0</v>
      </c>
      <c r="T56" s="41">
        <f>SUMIFS(ТСО!$AC:$AC,ТСО!$A:$A,T$23,ТСО!$B:$B,$A56)</f>
        <v>0</v>
      </c>
      <c r="U56" s="18"/>
    </row>
    <row r="57" spans="1:21" x14ac:dyDescent="0.25">
      <c r="A57" s="39" t="str">
        <f>ТСО!D78</f>
        <v>Смазочные</v>
      </c>
      <c r="C57" s="207">
        <f>MAX(C$24:C56)+1</f>
        <v>29</v>
      </c>
      <c r="D57" s="34" t="str">
        <f>ТСО!D78</f>
        <v>Смазочные</v>
      </c>
      <c r="E57" s="19" t="str">
        <f>ТСО!E78</f>
        <v>руб/ткм</v>
      </c>
      <c r="F57" s="41">
        <f>SUMIFS(ТСО!$AC:$AC,ТСО!$A:$A,F$23,ТСО!$B:$B,$A57)</f>
        <v>0</v>
      </c>
      <c r="G57" s="41">
        <f>SUMIFS(ТСО!$AC:$AC,ТСО!$A:$A,G$23,ТСО!$B:$B,$A57)</f>
        <v>0</v>
      </c>
      <c r="H57" s="41">
        <f>SUMIFS(ТСО!$AC:$AC,ТСО!$A:$A,H$23,ТСО!$B:$B,$A57)</f>
        <v>0</v>
      </c>
      <c r="I57" s="41">
        <f>SUMIFS(ТСО!$AC:$AC,ТСО!$A:$A,I$23,ТСО!$B:$B,$A57)</f>
        <v>0</v>
      </c>
      <c r="J57" s="41">
        <f>SUMIFS(ТСО!$AC:$AC,ТСО!$A:$A,J$23,ТСО!$B:$B,$A57)</f>
        <v>0</v>
      </c>
      <c r="K57" s="41" t="e">
        <f>SUMIFS(ТСО!$AC:$AC,ТСО!$A:$A,K$23,ТСО!$B:$B,$A57)</f>
        <v>#DIV/0!</v>
      </c>
      <c r="L57" s="41">
        <f>SUMIFS(ТСО!$AC:$AC,ТСО!$A:$A,L$23,ТСО!$B:$B,$A57)</f>
        <v>0</v>
      </c>
      <c r="M57" s="41">
        <f>SUMIFS(ТСО!$AC:$AC,ТСО!$A:$A,M$23,ТСО!$B:$B,$A57)</f>
        <v>0</v>
      </c>
      <c r="N57" s="41">
        <f>SUMIFS(ТСО!$AC:$AC,ТСО!$A:$A,N$23,ТСО!$B:$B,$A57)</f>
        <v>0</v>
      </c>
      <c r="O57" s="41">
        <f>SUMIFS(ТСО!$AC:$AC,ТСО!$A:$A,O$23,ТСО!$B:$B,$A57)</f>
        <v>0</v>
      </c>
      <c r="P57" s="41">
        <f>SUMIFS(ТСО!$AC:$AC,ТСО!$A:$A,P$23,ТСО!$B:$B,$A57)</f>
        <v>0</v>
      </c>
      <c r="Q57" s="41">
        <f>SUMIFS(ТСО!$AC:$AC,ТСО!$A:$A,Q$23,ТСО!$B:$B,$A57)</f>
        <v>0</v>
      </c>
      <c r="R57" s="41">
        <f>SUMIFS(ТСО!$AC:$AC,ТСО!$A:$A,R$23,ТСО!$B:$B,$A57)</f>
        <v>0</v>
      </c>
      <c r="S57" s="41">
        <f>SUMIFS(ТСО!$AC:$AC,ТСО!$A:$A,S$23,ТСО!$B:$B,$A57)</f>
        <v>0</v>
      </c>
      <c r="T57" s="41">
        <f>SUMIFS(ТСО!$AC:$AC,ТСО!$A:$A,T$23,ТСО!$B:$B,$A57)</f>
        <v>0</v>
      </c>
      <c r="U57" s="18"/>
    </row>
    <row r="58" spans="1:21" x14ac:dyDescent="0.25">
      <c r="A58" s="39" t="str">
        <f>ТСО!D79</f>
        <v>Затраты на персонал</v>
      </c>
      <c r="C58" s="207">
        <f>MAX(C$24:C57)+1</f>
        <v>30</v>
      </c>
      <c r="D58" s="34" t="str">
        <f>ТСО!D79</f>
        <v>Затраты на персонал</v>
      </c>
      <c r="E58" s="19" t="str">
        <f>ТСО!E79</f>
        <v>руб/ткм</v>
      </c>
      <c r="F58" s="41">
        <f>SUMIFS(ТСО!$AC:$AC,ТСО!$A:$A,F$23,ТСО!$B:$B,$A58)</f>
        <v>1.3950896574855243</v>
      </c>
      <c r="G58" s="41">
        <f>SUMIFS(ТСО!$AC:$AC,ТСО!$A:$A,G$23,ТСО!$B:$B,$A58)</f>
        <v>1.6713507102412217</v>
      </c>
      <c r="H58" s="41">
        <f>SUMIFS(ТСО!$AC:$AC,ТСО!$A:$A,H$23,ТСО!$B:$B,$A58)</f>
        <v>1.5709275004179486</v>
      </c>
      <c r="I58" s="41">
        <f>SUMIFS(ТСО!$AC:$AC,ТСО!$A:$A,I$23,ТСО!$B:$B,$A58)</f>
        <v>1.6008555757787188</v>
      </c>
      <c r="J58" s="41">
        <f>SUMIFS(ТСО!$AC:$AC,ТСО!$A:$A,J$23,ТСО!$B:$B,$A58)</f>
        <v>1.5042961106978086</v>
      </c>
      <c r="K58" s="41" t="e">
        <f>SUMIFS(ТСО!$AC:$AC,ТСО!$A:$A,K$23,ТСО!$B:$B,$A58)</f>
        <v>#DIV/0!</v>
      </c>
      <c r="L58" s="41">
        <f>SUMIFS(ТСО!$AC:$AC,ТСО!$A:$A,L$23,ТСО!$B:$B,$A58)</f>
        <v>1.483181691058675</v>
      </c>
      <c r="M58" s="41">
        <f>SUMIFS(ТСО!$AC:$AC,ТСО!$A:$A,M$23,ТСО!$B:$B,$A58)</f>
        <v>0</v>
      </c>
      <c r="N58" s="41">
        <f>SUMIFS(ТСО!$AC:$AC,ТСО!$A:$A,N$23,ТСО!$B:$B,$A58)</f>
        <v>0</v>
      </c>
      <c r="O58" s="41">
        <f>SUMIFS(ТСО!$AC:$AC,ТСО!$A:$A,O$23,ТСО!$B:$B,$A58)</f>
        <v>0</v>
      </c>
      <c r="P58" s="41">
        <f>SUMIFS(ТСО!$AC:$AC,ТСО!$A:$A,P$23,ТСО!$B:$B,$A58)</f>
        <v>0</v>
      </c>
      <c r="Q58" s="41">
        <f>SUMIFS(ТСО!$AC:$AC,ТСО!$A:$A,Q$23,ТСО!$B:$B,$A58)</f>
        <v>0</v>
      </c>
      <c r="R58" s="41">
        <f>SUMIFS(ТСО!$AC:$AC,ТСО!$A:$A,R$23,ТСО!$B:$B,$A58)</f>
        <v>0</v>
      </c>
      <c r="S58" s="41">
        <f>SUMIFS(ТСО!$AC:$AC,ТСО!$A:$A,S$23,ТСО!$B:$B,$A58)</f>
        <v>0</v>
      </c>
      <c r="T58" s="41">
        <f>SUMIFS(ТСО!$AC:$AC,ТСО!$A:$A,T$23,ТСО!$B:$B,$A58)</f>
        <v>0</v>
      </c>
      <c r="U58" s="18"/>
    </row>
    <row r="59" spans="1:21" x14ac:dyDescent="0.25">
      <c r="A59" s="39" t="str">
        <f>ТСО!D80</f>
        <v>Транспортный налог</v>
      </c>
      <c r="C59" s="207">
        <f>MAX(C$24:C58)+1</f>
        <v>31</v>
      </c>
      <c r="D59" s="34" t="str">
        <f>ТСО!D80</f>
        <v>Транспортный налог</v>
      </c>
      <c r="E59" s="19" t="str">
        <f>ТСО!E80</f>
        <v>руб/ткм</v>
      </c>
      <c r="F59" s="41">
        <f>SUMIFS(ТСО!$AC:$AC,ТСО!$A:$A,F$23,ТСО!$B:$B,$A59)</f>
        <v>1.6045844927224391E-2</v>
      </c>
      <c r="G59" s="41">
        <f>SUMIFS(ТСО!$AC:$AC,ТСО!$A:$A,G$23,ТСО!$B:$B,$A59)</f>
        <v>1.433289638294939E-2</v>
      </c>
      <c r="H59" s="41">
        <f>SUMIFS(ТСО!$AC:$AC,ТСО!$A:$A,H$23,ТСО!$B:$B,$A59)</f>
        <v>2.0547238647595334E-2</v>
      </c>
      <c r="I59" s="41">
        <f>SUMIFS(ТСО!$AC:$AC,ТСО!$A:$A,I$23,ТСО!$B:$B,$A59)</f>
        <v>1.8412494266587569E-2</v>
      </c>
      <c r="J59" s="41">
        <f>SUMIFS(ТСО!$AC:$AC,ТСО!$A:$A,J$23,ТСО!$B:$B,$A59)</f>
        <v>1.7544126870408072E-2</v>
      </c>
      <c r="K59" s="41" t="e">
        <f>SUMIFS(ТСО!$AC:$AC,ТСО!$A:$A,K$23,ТСО!$B:$B,$A59)</f>
        <v>#DIV/0!</v>
      </c>
      <c r="L59" s="41">
        <f>SUMIFS(ТСО!$AC:$AC,ТСО!$A:$A,L$23,ТСО!$B:$B,$A59)</f>
        <v>1.7297876112788178E-2</v>
      </c>
      <c r="M59" s="41">
        <f>SUMIFS(ТСО!$AC:$AC,ТСО!$A:$A,M$23,ТСО!$B:$B,$A59)</f>
        <v>0</v>
      </c>
      <c r="N59" s="41">
        <f>SUMIFS(ТСО!$AC:$AC,ТСО!$A:$A,N$23,ТСО!$B:$B,$A59)</f>
        <v>0</v>
      </c>
      <c r="O59" s="41">
        <f>SUMIFS(ТСО!$AC:$AC,ТСО!$A:$A,O$23,ТСО!$B:$B,$A59)</f>
        <v>0</v>
      </c>
      <c r="P59" s="41">
        <f>SUMIFS(ТСО!$AC:$AC,ТСО!$A:$A,P$23,ТСО!$B:$B,$A59)</f>
        <v>0</v>
      </c>
      <c r="Q59" s="41">
        <f>SUMIFS(ТСО!$AC:$AC,ТСО!$A:$A,Q$23,ТСО!$B:$B,$A59)</f>
        <v>0</v>
      </c>
      <c r="R59" s="41">
        <f>SUMIFS(ТСО!$AC:$AC,ТСО!$A:$A,R$23,ТСО!$B:$B,$A59)</f>
        <v>0</v>
      </c>
      <c r="S59" s="41">
        <f>SUMIFS(ТСО!$AC:$AC,ТСО!$A:$A,S$23,ТСО!$B:$B,$A59)</f>
        <v>0</v>
      </c>
      <c r="T59" s="41">
        <f>SUMIFS(ТСО!$AC:$AC,ТСО!$A:$A,T$23,ТСО!$B:$B,$A59)</f>
        <v>0</v>
      </c>
      <c r="U59" s="18"/>
    </row>
    <row r="60" spans="1:21" x14ac:dyDescent="0.25">
      <c r="A60" s="39" t="str">
        <f>ТСО!D81</f>
        <v>Налог на прибыль</v>
      </c>
      <c r="C60" s="207">
        <f>MAX(C$24:C59)+1</f>
        <v>32</v>
      </c>
      <c r="D60" s="34" t="str">
        <f>ТСО!D81</f>
        <v>Налог на прибыль</v>
      </c>
      <c r="E60" s="19" t="str">
        <f>ТСО!E81</f>
        <v>руб/ткм</v>
      </c>
      <c r="F60" s="41">
        <f>SUMIFS(ТСО!$AC:$AC,ТСО!$A:$A,F$23,ТСО!$B:$B,$A60)</f>
        <v>-2.911944871302345</v>
      </c>
      <c r="G60" s="41">
        <f>SUMIFS(ТСО!$AC:$AC,ТСО!$A:$A,G$23,ТСО!$B:$B,$A60)</f>
        <v>-4.2097369055368334</v>
      </c>
      <c r="H60" s="41">
        <f>SUMIFS(ТСО!$AC:$AC,ТСО!$A:$A,H$23,ТСО!$B:$B,$A60)</f>
        <v>-3.2776817884878713</v>
      </c>
      <c r="I60" s="41">
        <f>SUMIFS(ТСО!$AC:$AC,ТСО!$A:$A,I$23,ТСО!$B:$B,$A60)</f>
        <v>-4.0195987051009956</v>
      </c>
      <c r="J60" s="41">
        <f>SUMIFS(ТСО!$AC:$AC,ТСО!$A:$A,J$23,ТСО!$B:$B,$A60)</f>
        <v>-3.211826017425977</v>
      </c>
      <c r="K60" s="41" t="e">
        <f>SUMIFS(ТСО!$AC:$AC,ТСО!$A:$A,K$23,ТСО!$B:$B,$A60)</f>
        <v>#DIV/0!</v>
      </c>
      <c r="L60" s="41">
        <f>SUMIFS(ТСО!$AC:$AC,ТСО!$A:$A,L$23,ТСО!$B:$B,$A60)</f>
        <v>-3.1860865672419934</v>
      </c>
      <c r="M60" s="41">
        <f>SUMIFS(ТСО!$AC:$AC,ТСО!$A:$A,M$23,ТСО!$B:$B,$A60)</f>
        <v>0</v>
      </c>
      <c r="N60" s="41">
        <f>SUMIFS(ТСО!$AC:$AC,ТСО!$A:$A,N$23,ТСО!$B:$B,$A60)</f>
        <v>0</v>
      </c>
      <c r="O60" s="41">
        <f>SUMIFS(ТСО!$AC:$AC,ТСО!$A:$A,O$23,ТСО!$B:$B,$A60)</f>
        <v>0</v>
      </c>
      <c r="P60" s="41">
        <f>SUMIFS(ТСО!$AC:$AC,ТСО!$A:$A,P$23,ТСО!$B:$B,$A60)</f>
        <v>0</v>
      </c>
      <c r="Q60" s="41">
        <f>SUMIFS(ТСО!$AC:$AC,ТСО!$A:$A,Q$23,ТСО!$B:$B,$A60)</f>
        <v>0</v>
      </c>
      <c r="R60" s="41">
        <f>SUMIFS(ТСО!$AC:$AC,ТСО!$A:$A,R$23,ТСО!$B:$B,$A60)</f>
        <v>0</v>
      </c>
      <c r="S60" s="41">
        <f>SUMIFS(ТСО!$AC:$AC,ТСО!$A:$A,S$23,ТСО!$B:$B,$A60)</f>
        <v>0</v>
      </c>
      <c r="T60" s="41">
        <f>SUMIFS(ТСО!$AC:$AC,ТСО!$A:$A,T$23,ТСО!$B:$B,$A60)</f>
        <v>0</v>
      </c>
      <c r="U60" s="18"/>
    </row>
    <row r="61" spans="1:21" x14ac:dyDescent="0.25">
      <c r="A61" s="39" t="str">
        <f>ТСО!D82</f>
        <v>Аннуитет инвестиционный</v>
      </c>
      <c r="C61" s="207">
        <f>MAX(C$24:C60)+1</f>
        <v>33</v>
      </c>
      <c r="D61" s="20" t="str">
        <f>ТСО!D82</f>
        <v>Аннуитет инвестиционный</v>
      </c>
      <c r="E61" s="21" t="str">
        <f>ТСО!E82</f>
        <v>руб/ткм</v>
      </c>
      <c r="F61" s="40">
        <f>SUMIFS(ТСО!$AC:$AC,ТСО!$A:$A,F$23,ТСО!$B:$B,$A61)</f>
        <v>0</v>
      </c>
      <c r="G61" s="40">
        <f>SUMIFS(ТСО!$AC:$AC,ТСО!$A:$A,G$23,ТСО!$B:$B,$A61)</f>
        <v>0</v>
      </c>
      <c r="H61" s="40">
        <f>SUMIFS(ТСО!$AC:$AC,ТСО!$A:$A,H$23,ТСО!$B:$B,$A61)</f>
        <v>0</v>
      </c>
      <c r="I61" s="40">
        <f>SUMIFS(ТСО!$AC:$AC,ТСО!$A:$A,I$23,ТСО!$B:$B,$A61)</f>
        <v>0</v>
      </c>
      <c r="J61" s="40">
        <f>SUMIFS(ТСО!$AC:$AC,ТСО!$A:$A,J$23,ТСО!$B:$B,$A61)</f>
        <v>0</v>
      </c>
      <c r="K61" s="40" t="e">
        <f>SUMIFS(ТСО!$AC:$AC,ТСО!$A:$A,K$23,ТСО!$B:$B,$A61)</f>
        <v>#DIV/0!</v>
      </c>
      <c r="L61" s="40">
        <f>SUMIFS(ТСО!$AC:$AC,ТСО!$A:$A,L$23,ТСО!$B:$B,$A61)</f>
        <v>0</v>
      </c>
      <c r="M61" s="40">
        <f>SUMIFS(ТСО!$AC:$AC,ТСО!$A:$A,M$23,ТСО!$B:$B,$A61)</f>
        <v>0</v>
      </c>
      <c r="N61" s="40">
        <f>SUMIFS(ТСО!$AC:$AC,ТСО!$A:$A,N$23,ТСО!$B:$B,$A61)</f>
        <v>0</v>
      </c>
      <c r="O61" s="40">
        <f>SUMIFS(ТСО!$AC:$AC,ТСО!$A:$A,O$23,ТСО!$B:$B,$A61)</f>
        <v>0</v>
      </c>
      <c r="P61" s="40">
        <f>SUMIFS(ТСО!$AC:$AC,ТСО!$A:$A,P$23,ТСО!$B:$B,$A61)</f>
        <v>0</v>
      </c>
      <c r="Q61" s="40">
        <f>SUMIFS(ТСО!$AC:$AC,ТСО!$A:$A,Q$23,ТСО!$B:$B,$A61)</f>
        <v>0</v>
      </c>
      <c r="R61" s="40">
        <f>SUMIFS(ТСО!$AC:$AC,ТСО!$A:$A,R$23,ТСО!$B:$B,$A61)</f>
        <v>0</v>
      </c>
      <c r="S61" s="40">
        <f>SUMIFS(ТСО!$AC:$AC,ТСО!$A:$A,S$23,ТСО!$B:$B,$A61)</f>
        <v>0</v>
      </c>
      <c r="T61" s="40">
        <f>SUMIFS(ТСО!$AC:$AC,ТСО!$A:$A,T$23,ТСО!$B:$B,$A61)</f>
        <v>0</v>
      </c>
      <c r="U61" s="18"/>
    </row>
    <row r="62" spans="1:21" ht="14.3" x14ac:dyDescent="0.25">
      <c r="A62" s="39" t="str">
        <f>ТСО!D84</f>
        <v>Аннуитет общий</v>
      </c>
      <c r="C62" s="207">
        <f>MAX(C$24:C61)+1</f>
        <v>34</v>
      </c>
      <c r="D62" s="43" t="str">
        <f>ТСО!D84</f>
        <v>Аннуитет общий</v>
      </c>
      <c r="E62" s="44" t="str">
        <f>ТСО!E84</f>
        <v>руб/ткм</v>
      </c>
      <c r="F62" s="45">
        <f>SUMIFS(ТСО!$AC:$AC,ТСО!$A:$A,F$23,ТСО!$B:$B,$A62)</f>
        <v>8.7358346139070342</v>
      </c>
      <c r="G62" s="45">
        <f>SUMIFS(ТСО!$AC:$AC,ТСО!$A:$A,G$23,ТСО!$B:$B,$A62)</f>
        <v>12.629210716610499</v>
      </c>
      <c r="H62" s="45">
        <f>SUMIFS(ТСО!$AC:$AC,ТСО!$A:$A,H$23,ТСО!$B:$B,$A62)</f>
        <v>9.8330453654636152</v>
      </c>
      <c r="I62" s="45">
        <f>SUMIFS(ТСО!$AC:$AC,ТСО!$A:$A,I$23,ТСО!$B:$B,$A62)</f>
        <v>12.058796115302989</v>
      </c>
      <c r="J62" s="45">
        <f>SUMIFS(ТСО!$AC:$AC,ТСО!$A:$A,J$23,ТСО!$B:$B,$A62)</f>
        <v>9.6354780522779304</v>
      </c>
      <c r="K62" s="45" t="e">
        <f>SUMIFS(ТСО!$AC:$AC,ТСО!$A:$A,K$23,ТСО!$B:$B,$A62)</f>
        <v>#DIV/0!</v>
      </c>
      <c r="L62" s="45">
        <f>SUMIFS(ТСО!$AC:$AC,ТСО!$A:$A,L$23,ТСО!$B:$B,$A62)</f>
        <v>9.5582597017259801</v>
      </c>
      <c r="M62" s="45">
        <f>SUMIFS(ТСО!$AC:$AC,ТСО!$A:$A,M$23,ТСО!$B:$B,$A62)</f>
        <v>0</v>
      </c>
      <c r="N62" s="45">
        <f>SUMIFS(ТСО!$AC:$AC,ТСО!$A:$A,N$23,ТСО!$B:$B,$A62)</f>
        <v>0</v>
      </c>
      <c r="O62" s="45">
        <f>SUMIFS(ТСО!$AC:$AC,ТСО!$A:$A,O$23,ТСО!$B:$B,$A62)</f>
        <v>0</v>
      </c>
      <c r="P62" s="45">
        <f>SUMIFS(ТСО!$AC:$AC,ТСО!$A:$A,P$23,ТСО!$B:$B,$A62)</f>
        <v>0</v>
      </c>
      <c r="Q62" s="45">
        <f>SUMIFS(ТСО!$AC:$AC,ТСО!$A:$A,Q$23,ТСО!$B:$B,$A62)</f>
        <v>0</v>
      </c>
      <c r="R62" s="45">
        <f>SUMIFS(ТСО!$AC:$AC,ТСО!$A:$A,R$23,ТСО!$B:$B,$A62)</f>
        <v>0</v>
      </c>
      <c r="S62" s="45">
        <f>SUMIFS(ТСО!$AC:$AC,ТСО!$A:$A,S$23,ТСО!$B:$B,$A62)</f>
        <v>0</v>
      </c>
      <c r="T62" s="45">
        <f>SUMIFS(ТСО!$AC:$AC,ТСО!$A:$A,T$23,ТСО!$B:$B,$A62)</f>
        <v>0</v>
      </c>
      <c r="U62" s="18"/>
    </row>
    <row r="63" spans="1:21" x14ac:dyDescent="0.25">
      <c r="C63" s="209"/>
      <c r="D63" s="46"/>
      <c r="E63" s="47"/>
      <c r="F63" s="48">
        <f>F53-SUM(F54:F60)+F62-F53-F61</f>
        <v>0</v>
      </c>
      <c r="G63" s="48">
        <f t="shared" ref="G63:T63" si="11">G53-SUM(G54:G60)+G62-G53-G61</f>
        <v>-1.7763568394002505E-15</v>
      </c>
      <c r="H63" s="48">
        <f t="shared" si="11"/>
        <v>0</v>
      </c>
      <c r="I63" s="48">
        <f t="shared" si="11"/>
        <v>0</v>
      </c>
      <c r="J63" s="48">
        <f t="shared" si="11"/>
        <v>3.5527136788005009E-15</v>
      </c>
      <c r="K63" s="48" t="e">
        <f t="shared" si="11"/>
        <v>#DIV/0!</v>
      </c>
      <c r="L63" s="48">
        <f t="shared" ref="L63" si="12">L53-SUM(L54:L60)+L62-L53-L61</f>
        <v>0</v>
      </c>
      <c r="M63" s="48">
        <f t="shared" si="11"/>
        <v>0</v>
      </c>
      <c r="N63" s="48">
        <f t="shared" si="11"/>
        <v>0</v>
      </c>
      <c r="O63" s="48">
        <f t="shared" si="11"/>
        <v>0</v>
      </c>
      <c r="P63" s="48">
        <f t="shared" si="11"/>
        <v>0</v>
      </c>
      <c r="Q63" s="48">
        <f t="shared" si="11"/>
        <v>0</v>
      </c>
      <c r="R63" s="48">
        <f t="shared" si="11"/>
        <v>0</v>
      </c>
      <c r="S63" s="48">
        <f t="shared" si="11"/>
        <v>0</v>
      </c>
      <c r="T63" s="48">
        <f t="shared" si="11"/>
        <v>0</v>
      </c>
      <c r="U63" s="46"/>
    </row>
    <row r="64" spans="1:21" outlineLevel="1" x14ac:dyDescent="0.25">
      <c r="A64" s="2" t="s">
        <v>43</v>
      </c>
      <c r="C64" s="179"/>
      <c r="D64" s="2" t="str">
        <f>D62</f>
        <v>Аннуитет общий</v>
      </c>
      <c r="F64" s="49">
        <f>IF(F62&gt;0,F62,"нет")</f>
        <v>8.7358346139070342</v>
      </c>
      <c r="G64" s="49">
        <f t="shared" ref="G64:T64" si="13">IF(G62&gt;0,G62,"нет")</f>
        <v>12.629210716610499</v>
      </c>
      <c r="H64" s="49">
        <f t="shared" si="13"/>
        <v>9.8330453654636152</v>
      </c>
      <c r="I64" s="49">
        <f t="shared" si="13"/>
        <v>12.058796115302989</v>
      </c>
      <c r="J64" s="49">
        <f t="shared" si="13"/>
        <v>9.6354780522779304</v>
      </c>
      <c r="K64" s="49" t="e">
        <f t="shared" si="13"/>
        <v>#DIV/0!</v>
      </c>
      <c r="L64" s="49">
        <f t="shared" ref="L64" si="14">IF(L62&gt;0,L62,"нет")</f>
        <v>9.5582597017259801</v>
      </c>
      <c r="M64" s="49" t="str">
        <f t="shared" si="13"/>
        <v>нет</v>
      </c>
      <c r="N64" s="49" t="str">
        <f t="shared" si="13"/>
        <v>нет</v>
      </c>
      <c r="O64" s="49" t="str">
        <f t="shared" si="13"/>
        <v>нет</v>
      </c>
      <c r="P64" s="49" t="str">
        <f t="shared" si="13"/>
        <v>нет</v>
      </c>
      <c r="Q64" s="49" t="str">
        <f t="shared" si="13"/>
        <v>нет</v>
      </c>
      <c r="R64" s="49" t="str">
        <f t="shared" si="13"/>
        <v>нет</v>
      </c>
      <c r="S64" s="49" t="str">
        <f t="shared" si="13"/>
        <v>нет</v>
      </c>
      <c r="T64" s="49" t="str">
        <f t="shared" si="13"/>
        <v>нет</v>
      </c>
    </row>
    <row r="65" spans="1:20" outlineLevel="1" x14ac:dyDescent="0.25">
      <c r="A65" s="2" t="str">
        <f>A64</f>
        <v>для ранжирования</v>
      </c>
      <c r="C65" s="179"/>
      <c r="D65" s="2" t="str">
        <f>D41</f>
        <v>Стоимость самосвала</v>
      </c>
      <c r="F65" s="50" t="str">
        <f>IF(F41&gt;0,F41,"нет")</f>
        <v>нет</v>
      </c>
      <c r="G65" s="50" t="str">
        <f t="shared" ref="G65:T65" si="15">IF(G41&gt;0,G41,"нет")</f>
        <v>нет</v>
      </c>
      <c r="H65" s="50" t="str">
        <f t="shared" si="15"/>
        <v>нет</v>
      </c>
      <c r="I65" s="50" t="str">
        <f t="shared" si="15"/>
        <v>нет</v>
      </c>
      <c r="J65" s="50" t="str">
        <f t="shared" si="15"/>
        <v>нет</v>
      </c>
      <c r="K65" s="50" t="str">
        <f t="shared" si="15"/>
        <v>нет</v>
      </c>
      <c r="L65" s="50" t="str">
        <f t="shared" ref="L65" si="16">IF(L41&gt;0,L41,"нет")</f>
        <v>нет</v>
      </c>
      <c r="M65" s="50" t="str">
        <f t="shared" si="15"/>
        <v>нет</v>
      </c>
      <c r="N65" s="50" t="str">
        <f t="shared" si="15"/>
        <v>нет</v>
      </c>
      <c r="O65" s="50" t="str">
        <f t="shared" si="15"/>
        <v>нет</v>
      </c>
      <c r="P65" s="50" t="str">
        <f t="shared" si="15"/>
        <v>нет</v>
      </c>
      <c r="Q65" s="50" t="str">
        <f t="shared" si="15"/>
        <v>нет</v>
      </c>
      <c r="R65" s="50" t="str">
        <f t="shared" si="15"/>
        <v>нет</v>
      </c>
      <c r="S65" s="50" t="str">
        <f t="shared" si="15"/>
        <v>нет</v>
      </c>
      <c r="T65" s="50" t="str">
        <f t="shared" si="15"/>
        <v>нет</v>
      </c>
    </row>
    <row r="66" spans="1:20" outlineLevel="1" x14ac:dyDescent="0.25">
      <c r="A66" s="2" t="str">
        <f>A64</f>
        <v>для ранжирования</v>
      </c>
      <c r="C66" s="179"/>
      <c r="F66" s="2" t="str">
        <f>F23</f>
        <v>NHL NTE 240</v>
      </c>
      <c r="G66" s="2" t="str">
        <f t="shared" ref="G66:T66" si="17">G23</f>
        <v>Estar ESDE240 (ГПБ К)</v>
      </c>
      <c r="H66" s="2" t="str">
        <f t="shared" si="17"/>
        <v>SANY SET240S</v>
      </c>
      <c r="I66" s="2" t="str">
        <f t="shared" si="17"/>
        <v>TZCO TZE240</v>
      </c>
      <c r="J66" s="2" t="str">
        <f t="shared" si="17"/>
        <v>БелАЗ 7531 (ГПФК)</v>
      </c>
      <c r="K66" s="2" t="str">
        <f t="shared" si="17"/>
        <v>XCMG 240</v>
      </c>
      <c r="L66" s="2" t="str">
        <f t="shared" ref="L66" si="18">L23</f>
        <v>БелАЗ 7531 (БТЛ)</v>
      </c>
      <c r="M66" s="2">
        <f t="shared" si="17"/>
        <v>0</v>
      </c>
      <c r="N66" s="2">
        <f t="shared" si="17"/>
        <v>0</v>
      </c>
      <c r="O66" s="2">
        <f t="shared" si="17"/>
        <v>0</v>
      </c>
      <c r="P66" s="2">
        <f t="shared" si="17"/>
        <v>0</v>
      </c>
      <c r="Q66" s="2">
        <f t="shared" si="17"/>
        <v>0</v>
      </c>
      <c r="R66" s="2">
        <f t="shared" si="17"/>
        <v>0</v>
      </c>
      <c r="S66" s="2">
        <f t="shared" si="17"/>
        <v>0</v>
      </c>
      <c r="T66" s="2">
        <f t="shared" si="17"/>
        <v>0</v>
      </c>
    </row>
    <row r="69" spans="1:20" outlineLevel="1" x14ac:dyDescent="0.25">
      <c r="C69" s="533" t="s">
        <v>525</v>
      </c>
      <c r="D69" s="196"/>
      <c r="E69" s="196"/>
      <c r="F69" s="196"/>
      <c r="G69" s="196"/>
      <c r="H69" s="196"/>
      <c r="I69" s="196"/>
      <c r="J69" s="196"/>
    </row>
    <row r="70" spans="1:20" outlineLevel="1" x14ac:dyDescent="0.25">
      <c r="A70" s="520"/>
      <c r="B70" s="520"/>
      <c r="C70" s="196"/>
      <c r="D70" s="533" t="s">
        <v>94</v>
      </c>
      <c r="E70" s="533"/>
      <c r="F70" s="661">
        <v>7.4355451880596011</v>
      </c>
      <c r="G70" s="661">
        <v>14.061966285971195</v>
      </c>
      <c r="H70" s="661"/>
      <c r="I70" s="661"/>
      <c r="J70" s="650">
        <v>7.6836602774405565</v>
      </c>
      <c r="K70" s="217"/>
      <c r="L70" s="650"/>
    </row>
    <row r="71" spans="1:20" outlineLevel="1" x14ac:dyDescent="0.25">
      <c r="A71" s="520"/>
      <c r="B71" s="520"/>
      <c r="C71" s="196"/>
      <c r="D71" s="534" t="s">
        <v>526</v>
      </c>
      <c r="E71" s="196"/>
      <c r="F71" s="662">
        <v>3.1288699289232556</v>
      </c>
      <c r="G71" s="662">
        <v>10.343580313416551</v>
      </c>
      <c r="H71" s="662"/>
      <c r="I71" s="662"/>
      <c r="J71" s="651">
        <v>3.1206404590950516</v>
      </c>
      <c r="K71" s="217"/>
      <c r="L71" s="651"/>
    </row>
    <row r="72" spans="1:20" outlineLevel="1" x14ac:dyDescent="0.25">
      <c r="A72" s="520"/>
      <c r="B72" s="520"/>
      <c r="C72" s="196"/>
      <c r="D72" s="534" t="s">
        <v>527</v>
      </c>
      <c r="E72" s="196"/>
      <c r="F72" s="662">
        <v>9.044135390879092E-2</v>
      </c>
      <c r="G72" s="662">
        <v>1.6932671513747717</v>
      </c>
      <c r="H72" s="662"/>
      <c r="I72" s="662"/>
      <c r="J72" s="651">
        <v>0.3597429172757709</v>
      </c>
      <c r="K72" s="217"/>
      <c r="L72" s="651"/>
    </row>
    <row r="73" spans="1:20" outlineLevel="1" x14ac:dyDescent="0.25">
      <c r="A73" s="520"/>
      <c r="B73" s="520"/>
      <c r="C73" s="196"/>
      <c r="D73" s="534" t="s">
        <v>39</v>
      </c>
      <c r="E73" s="196"/>
      <c r="F73" s="662">
        <v>2.001463633613382</v>
      </c>
      <c r="G73" s="662">
        <v>2.0614104711756669</v>
      </c>
      <c r="H73" s="662"/>
      <c r="I73" s="662"/>
      <c r="J73" s="651">
        <v>1.8237817127143947</v>
      </c>
      <c r="K73" s="217"/>
      <c r="L73" s="651"/>
    </row>
    <row r="74" spans="1:20" outlineLevel="1" x14ac:dyDescent="0.25">
      <c r="A74" s="520"/>
      <c r="B74" s="520"/>
      <c r="C74" s="196"/>
      <c r="D74" s="534" t="s">
        <v>70</v>
      </c>
      <c r="E74" s="196"/>
      <c r="F74" s="662">
        <v>4.0757206719065096</v>
      </c>
      <c r="G74" s="662">
        <v>3.5702156814810975</v>
      </c>
      <c r="H74" s="662"/>
      <c r="I74" s="662"/>
      <c r="J74" s="651">
        <v>4.2845524587458863</v>
      </c>
      <c r="K74" s="217"/>
      <c r="L74" s="651"/>
    </row>
    <row r="75" spans="1:20" outlineLevel="1" x14ac:dyDescent="0.25">
      <c r="A75" s="520"/>
      <c r="B75" s="520"/>
      <c r="C75" s="196"/>
      <c r="D75" s="534" t="s">
        <v>73</v>
      </c>
      <c r="E75" s="196"/>
      <c r="F75" s="662">
        <v>0</v>
      </c>
      <c r="G75" s="662">
        <v>0</v>
      </c>
      <c r="H75" s="662"/>
      <c r="I75" s="662"/>
      <c r="J75" s="651">
        <v>0</v>
      </c>
      <c r="K75" s="217"/>
      <c r="L75" s="651"/>
    </row>
    <row r="76" spans="1:20" outlineLevel="1" x14ac:dyDescent="0.25">
      <c r="A76" s="520"/>
      <c r="B76" s="520"/>
      <c r="C76" s="196"/>
      <c r="D76" s="534" t="s">
        <v>528</v>
      </c>
      <c r="E76" s="196"/>
      <c r="F76" s="662">
        <v>0.76534041726338564</v>
      </c>
      <c r="G76" s="662">
        <v>0.80074501296772449</v>
      </c>
      <c r="H76" s="662"/>
      <c r="I76" s="662"/>
      <c r="J76" s="651">
        <v>0.75405565591019708</v>
      </c>
      <c r="K76" s="217"/>
      <c r="L76" s="651"/>
    </row>
    <row r="77" spans="1:20" outlineLevel="1" x14ac:dyDescent="0.25">
      <c r="A77" s="520"/>
      <c r="B77" s="520"/>
      <c r="C77" s="196"/>
      <c r="D77" s="534" t="s">
        <v>77</v>
      </c>
      <c r="E77" s="196"/>
      <c r="F77" s="662">
        <v>2.8867680526919806E-3</v>
      </c>
      <c r="G77" s="662">
        <v>3.0203097466785776E-3</v>
      </c>
      <c r="H77" s="662"/>
      <c r="I77" s="662"/>
      <c r="J77" s="651">
        <v>2.8840221952602168E-3</v>
      </c>
      <c r="K77" s="217"/>
      <c r="L77" s="651"/>
    </row>
    <row r="78" spans="1:20" outlineLevel="1" x14ac:dyDescent="0.25">
      <c r="A78" s="520"/>
      <c r="B78" s="520"/>
      <c r="C78" s="196"/>
      <c r="D78" s="534" t="s">
        <v>83</v>
      </c>
      <c r="E78" s="196"/>
      <c r="F78" s="662">
        <v>-2.6291775856084141</v>
      </c>
      <c r="G78" s="662">
        <v>-4.410272654191294</v>
      </c>
      <c r="H78" s="662"/>
      <c r="I78" s="662"/>
      <c r="J78" s="651">
        <v>-2.6619969484960069</v>
      </c>
      <c r="K78" s="217"/>
      <c r="L78" s="651"/>
    </row>
    <row r="79" spans="1:20" outlineLevel="1" x14ac:dyDescent="0.25">
      <c r="A79" s="520"/>
      <c r="B79" s="520"/>
      <c r="C79" s="196"/>
      <c r="D79" s="533" t="s">
        <v>96</v>
      </c>
      <c r="E79" s="533"/>
      <c r="F79" s="661">
        <v>4.747217095965417</v>
      </c>
      <c r="G79" s="661">
        <v>5.5144334563210702</v>
      </c>
      <c r="H79" s="661"/>
      <c r="I79" s="661"/>
      <c r="J79" s="650">
        <v>4.567202846818736</v>
      </c>
      <c r="K79" s="217"/>
      <c r="L79" s="650"/>
    </row>
    <row r="80" spans="1:20" outlineLevel="1" x14ac:dyDescent="0.25">
      <c r="A80" s="520"/>
      <c r="B80" s="520"/>
      <c r="C80" s="196"/>
      <c r="D80" s="533" t="s">
        <v>97</v>
      </c>
      <c r="E80" s="533"/>
      <c r="F80" s="661">
        <v>12.182762284025019</v>
      </c>
      <c r="G80" s="661">
        <v>19.576399742292267</v>
      </c>
      <c r="H80" s="661"/>
      <c r="I80" s="661"/>
      <c r="J80" s="650">
        <v>12.250863124259292</v>
      </c>
      <c r="K80" s="217"/>
      <c r="L80" s="650"/>
    </row>
    <row r="81" spans="3:12" outlineLevel="1" x14ac:dyDescent="0.25">
      <c r="C81" s="196"/>
      <c r="D81" s="196"/>
      <c r="E81" s="196"/>
      <c r="F81" s="662"/>
      <c r="G81" s="662"/>
      <c r="H81" s="662"/>
      <c r="I81" s="662"/>
      <c r="J81" s="651"/>
      <c r="K81" s="217"/>
      <c r="L81" s="651"/>
    </row>
    <row r="82" spans="3:12" outlineLevel="1" x14ac:dyDescent="0.25">
      <c r="C82" s="196"/>
      <c r="D82" s="196"/>
      <c r="E82" s="196"/>
      <c r="F82" s="662"/>
      <c r="G82" s="662"/>
      <c r="H82" s="662"/>
      <c r="I82" s="662"/>
      <c r="J82" s="651"/>
      <c r="K82" s="217"/>
      <c r="L82" s="651"/>
    </row>
    <row r="83" spans="3:12" outlineLevel="1" x14ac:dyDescent="0.25">
      <c r="C83" s="196"/>
      <c r="D83" s="535" t="str">
        <f t="shared" ref="D83:D92" si="19">D53</f>
        <v>Аннуитет операционный</v>
      </c>
      <c r="E83" s="535"/>
      <c r="F83" s="652">
        <f>F53-F70</f>
        <v>1.3002894258474331</v>
      </c>
      <c r="G83" s="652">
        <f t="shared" ref="G83:L83" si="20">G53-G70</f>
        <v>-1.4327555693606957</v>
      </c>
      <c r="H83" s="652"/>
      <c r="I83" s="652"/>
      <c r="J83" s="652">
        <f t="shared" si="20"/>
        <v>1.951817774837374</v>
      </c>
      <c r="K83" s="652" t="e">
        <f t="shared" si="20"/>
        <v>#DIV/0!</v>
      </c>
      <c r="L83" s="652">
        <f t="shared" si="20"/>
        <v>9.5582597017259801</v>
      </c>
    </row>
    <row r="84" spans="3:12" outlineLevel="1" x14ac:dyDescent="0.25">
      <c r="C84" s="196"/>
      <c r="D84" s="534" t="str">
        <f t="shared" si="19"/>
        <v>ТО, ТР, ППР</v>
      </c>
      <c r="E84" s="196"/>
      <c r="F84" s="653">
        <f>F54-F71-F72</f>
        <v>-0.72054664373367272</v>
      </c>
      <c r="G84" s="653">
        <f t="shared" ref="G84:L84" si="21">G54-G71-G72</f>
        <v>-4.9137623974935769</v>
      </c>
      <c r="H84" s="653"/>
      <c r="I84" s="653"/>
      <c r="J84" s="653">
        <f t="shared" si="21"/>
        <v>0.32386456605408687</v>
      </c>
      <c r="K84" s="653" t="e">
        <f t="shared" si="21"/>
        <v>#DIV/0!</v>
      </c>
      <c r="L84" s="653">
        <f t="shared" si="21"/>
        <v>3.6979755371677108</v>
      </c>
    </row>
    <row r="85" spans="3:12" outlineLevel="1" x14ac:dyDescent="0.25">
      <c r="C85" s="196"/>
      <c r="D85" s="534" t="str">
        <f t="shared" si="19"/>
        <v>Шины</v>
      </c>
      <c r="E85" s="196"/>
      <c r="F85" s="653">
        <f t="shared" ref="F85:F92" si="22">F55-F73</f>
        <v>-5.4006406373572347E-2</v>
      </c>
      <c r="G85" s="653">
        <f t="shared" ref="G85:L85" si="23">G55-G73</f>
        <v>7.475178350419931E-2</v>
      </c>
      <c r="H85" s="653"/>
      <c r="I85" s="653"/>
      <c r="J85" s="653">
        <f t="shared" si="23"/>
        <v>-0.1859025762471338</v>
      </c>
      <c r="K85" s="653" t="e">
        <f t="shared" si="23"/>
        <v>#DIV/0!</v>
      </c>
      <c r="L85" s="653">
        <f t="shared" si="23"/>
        <v>1.646133858609776</v>
      </c>
    </row>
    <row r="86" spans="3:12" outlineLevel="1" x14ac:dyDescent="0.25">
      <c r="C86" s="196"/>
      <c r="D86" s="534" t="str">
        <f t="shared" si="19"/>
        <v>Топливо</v>
      </c>
      <c r="E86" s="196"/>
      <c r="F86" s="653">
        <f t="shared" si="22"/>
        <v>1.7147014445519373</v>
      </c>
      <c r="G86" s="653">
        <f t="shared" ref="G86:L86" si="24">G56-G74</f>
        <v>2.323801012064453</v>
      </c>
      <c r="H86" s="653"/>
      <c r="I86" s="653"/>
      <c r="J86" s="653">
        <f t="shared" si="24"/>
        <v>1.5987842944976309</v>
      </c>
      <c r="K86" s="653" t="e">
        <f t="shared" si="24"/>
        <v>#DIV/0!</v>
      </c>
      <c r="L86" s="653">
        <f t="shared" si="24"/>
        <v>5.8997573060190227</v>
      </c>
    </row>
    <row r="87" spans="3:12" outlineLevel="1" x14ac:dyDescent="0.25">
      <c r="C87" s="196"/>
      <c r="D87" s="534" t="str">
        <f t="shared" si="19"/>
        <v>Смазочные</v>
      </c>
      <c r="E87" s="196"/>
      <c r="F87" s="653">
        <f t="shared" si="22"/>
        <v>0</v>
      </c>
      <c r="G87" s="653">
        <f t="shared" ref="G87:L87" si="25">G57-G75</f>
        <v>0</v>
      </c>
      <c r="H87" s="653"/>
      <c r="I87" s="653"/>
      <c r="J87" s="653">
        <f t="shared" si="25"/>
        <v>0</v>
      </c>
      <c r="K87" s="653" t="e">
        <f t="shared" si="25"/>
        <v>#DIV/0!</v>
      </c>
      <c r="L87" s="653">
        <f t="shared" si="25"/>
        <v>0</v>
      </c>
    </row>
    <row r="88" spans="3:12" outlineLevel="1" x14ac:dyDescent="0.25">
      <c r="C88" s="196"/>
      <c r="D88" s="534" t="str">
        <f t="shared" si="19"/>
        <v>Затраты на персонал</v>
      </c>
      <c r="E88" s="196"/>
      <c r="F88" s="653">
        <f t="shared" si="22"/>
        <v>0.62974924022213863</v>
      </c>
      <c r="G88" s="653">
        <f t="shared" ref="G88:L88" si="26">G58-G76</f>
        <v>0.87060569727349724</v>
      </c>
      <c r="H88" s="653"/>
      <c r="I88" s="653"/>
      <c r="J88" s="653">
        <f t="shared" si="26"/>
        <v>0.75024045478761148</v>
      </c>
      <c r="K88" s="653" t="e">
        <f t="shared" si="26"/>
        <v>#DIV/0!</v>
      </c>
      <c r="L88" s="653">
        <f t="shared" si="26"/>
        <v>1.483181691058675</v>
      </c>
    </row>
    <row r="89" spans="3:12" outlineLevel="1" x14ac:dyDescent="0.25">
      <c r="C89" s="196"/>
      <c r="D89" s="534" t="str">
        <f t="shared" si="19"/>
        <v>Транспортный налог</v>
      </c>
      <c r="E89" s="196"/>
      <c r="F89" s="653">
        <f t="shared" si="22"/>
        <v>1.315907687453241E-2</v>
      </c>
      <c r="G89" s="653">
        <f t="shared" ref="G89:L89" si="27">G59-G77</f>
        <v>1.1312586636270813E-2</v>
      </c>
      <c r="H89" s="653"/>
      <c r="I89" s="653"/>
      <c r="J89" s="653">
        <f t="shared" si="27"/>
        <v>1.4660104675147854E-2</v>
      </c>
      <c r="K89" s="653" t="e">
        <f t="shared" si="27"/>
        <v>#DIV/0!</v>
      </c>
      <c r="L89" s="653">
        <f t="shared" si="27"/>
        <v>1.7297876112788178E-2</v>
      </c>
    </row>
    <row r="90" spans="3:12" outlineLevel="1" x14ac:dyDescent="0.25">
      <c r="C90" s="196"/>
      <c r="D90" s="534" t="str">
        <f t="shared" si="19"/>
        <v>Налог на прибыль</v>
      </c>
      <c r="E90" s="196"/>
      <c r="F90" s="653">
        <f t="shared" si="22"/>
        <v>-0.28276728569393095</v>
      </c>
      <c r="G90" s="653">
        <f t="shared" ref="G90:L90" si="28">G60-G78</f>
        <v>0.20053574865446055</v>
      </c>
      <c r="H90" s="653"/>
      <c r="I90" s="653"/>
      <c r="J90" s="653">
        <f t="shared" si="28"/>
        <v>-0.54982906892997008</v>
      </c>
      <c r="K90" s="653" t="e">
        <f t="shared" si="28"/>
        <v>#DIV/0!</v>
      </c>
      <c r="L90" s="653">
        <f t="shared" si="28"/>
        <v>-3.1860865672419934</v>
      </c>
    </row>
    <row r="91" spans="3:12" outlineLevel="1" x14ac:dyDescent="0.25">
      <c r="C91" s="196"/>
      <c r="D91" s="535" t="str">
        <f t="shared" si="19"/>
        <v>Аннуитет инвестиционный</v>
      </c>
      <c r="E91" s="535"/>
      <c r="F91" s="652">
        <f t="shared" si="22"/>
        <v>-4.747217095965417</v>
      </c>
      <c r="G91" s="652">
        <f t="shared" ref="G91:L91" si="29">G61-G79</f>
        <v>-5.5144334563210702</v>
      </c>
      <c r="H91" s="652"/>
      <c r="I91" s="652"/>
      <c r="J91" s="652">
        <f t="shared" si="29"/>
        <v>-4.567202846818736</v>
      </c>
      <c r="K91" s="652" t="e">
        <f t="shared" si="29"/>
        <v>#DIV/0!</v>
      </c>
      <c r="L91" s="652">
        <f t="shared" si="29"/>
        <v>0</v>
      </c>
    </row>
    <row r="92" spans="3:12" outlineLevel="1" x14ac:dyDescent="0.25">
      <c r="C92" s="196"/>
      <c r="D92" s="535" t="str">
        <f t="shared" si="19"/>
        <v>Аннуитет общий</v>
      </c>
      <c r="E92" s="535"/>
      <c r="F92" s="652">
        <f t="shared" si="22"/>
        <v>-3.4469276701179847</v>
      </c>
      <c r="G92" s="652">
        <f t="shared" ref="G92:L92" si="30">G62-G80</f>
        <v>-6.9471890256817677</v>
      </c>
      <c r="H92" s="652"/>
      <c r="I92" s="652"/>
      <c r="J92" s="652">
        <f t="shared" si="30"/>
        <v>-2.6153850719813612</v>
      </c>
      <c r="K92" s="652" t="e">
        <f t="shared" si="30"/>
        <v>#DIV/0!</v>
      </c>
      <c r="L92" s="652">
        <f t="shared" si="30"/>
        <v>9.5582597017259801</v>
      </c>
    </row>
  </sheetData>
  <mergeCells count="19">
    <mergeCell ref="H16:J16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D33:D34"/>
    <mergeCell ref="H17:J17"/>
    <mergeCell ref="H18:J18"/>
    <mergeCell ref="H19:J19"/>
    <mergeCell ref="H20:J20"/>
    <mergeCell ref="H21:J21"/>
    <mergeCell ref="D31:D32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64F6-3C5F-4AF8-8446-390CCD6FBA65}">
  <sheetPr>
    <tabColor rgb="FFFF0000"/>
  </sheetPr>
  <dimension ref="A1:AV655"/>
  <sheetViews>
    <sheetView showGridLines="0" zoomScaleNormal="100" workbookViewId="0">
      <selection activeCell="K36" sqref="K36"/>
    </sheetView>
  </sheetViews>
  <sheetFormatPr defaultRowHeight="13.6" outlineLevelRow="1" outlineLevelCol="1" x14ac:dyDescent="0.25"/>
  <cols>
    <col min="1" max="3" width="9.125" style="2" customWidth="1" outlineLevel="1"/>
    <col min="4" max="4" width="44.5" style="2" bestFit="1" customWidth="1"/>
    <col min="5" max="5" width="11.875" style="2" bestFit="1" customWidth="1"/>
    <col min="6" max="6" width="7.75" style="2" bestFit="1" customWidth="1"/>
    <col min="7" max="7" width="9.375" style="2" bestFit="1" customWidth="1"/>
    <col min="8" max="20" width="7.875" style="2" bestFit="1" customWidth="1"/>
    <col min="21" max="26" width="9" style="2" customWidth="1"/>
    <col min="27" max="27" width="9" style="2" customWidth="1" outlineLevel="1"/>
    <col min="28" max="28" width="19" style="2" customWidth="1" outlineLevel="1"/>
    <col min="29" max="29" width="9" style="2" customWidth="1" outlineLevel="1"/>
    <col min="30" max="16384" width="9" style="2"/>
  </cols>
  <sheetData>
    <row r="1" spans="1:29" outlineLevel="1" x14ac:dyDescent="0.25">
      <c r="A1" s="51" t="s">
        <v>44</v>
      </c>
      <c r="B1" s="51" t="s">
        <v>44</v>
      </c>
      <c r="C1" s="51" t="s">
        <v>44</v>
      </c>
      <c r="D1" s="52" t="s">
        <v>7</v>
      </c>
      <c r="E1" s="52" t="s">
        <v>8</v>
      </c>
      <c r="F1" s="53">
        <f>G1-1</f>
        <v>0</v>
      </c>
      <c r="G1" s="54">
        <v>1</v>
      </c>
      <c r="H1" s="53">
        <f>G1+1</f>
        <v>2</v>
      </c>
      <c r="I1" s="53">
        <f t="shared" ref="I1:Z1" si="0">H1+1</f>
        <v>3</v>
      </c>
      <c r="J1" s="53">
        <f t="shared" si="0"/>
        <v>4</v>
      </c>
      <c r="K1" s="53">
        <f t="shared" si="0"/>
        <v>5</v>
      </c>
      <c r="L1" s="53">
        <f t="shared" si="0"/>
        <v>6</v>
      </c>
      <c r="M1" s="53">
        <f t="shared" si="0"/>
        <v>7</v>
      </c>
      <c r="N1" s="53">
        <f t="shared" si="0"/>
        <v>8</v>
      </c>
      <c r="O1" s="53">
        <f t="shared" si="0"/>
        <v>9</v>
      </c>
      <c r="P1" s="53">
        <f t="shared" si="0"/>
        <v>10</v>
      </c>
      <c r="Q1" s="53">
        <f t="shared" si="0"/>
        <v>11</v>
      </c>
      <c r="R1" s="53">
        <f t="shared" si="0"/>
        <v>12</v>
      </c>
      <c r="S1" s="53">
        <f t="shared" si="0"/>
        <v>13</v>
      </c>
      <c r="T1" s="53">
        <f t="shared" si="0"/>
        <v>14</v>
      </c>
      <c r="U1" s="53">
        <f t="shared" si="0"/>
        <v>15</v>
      </c>
      <c r="V1" s="53">
        <f t="shared" si="0"/>
        <v>16</v>
      </c>
      <c r="W1" s="53">
        <f t="shared" si="0"/>
        <v>17</v>
      </c>
      <c r="X1" s="53">
        <f t="shared" si="0"/>
        <v>18</v>
      </c>
      <c r="Y1" s="53">
        <f t="shared" si="0"/>
        <v>19</v>
      </c>
      <c r="Z1" s="53">
        <f t="shared" si="0"/>
        <v>20</v>
      </c>
      <c r="AA1" s="51" t="s">
        <v>44</v>
      </c>
      <c r="AB1" s="51" t="s">
        <v>44</v>
      </c>
      <c r="AC1" s="51" t="s">
        <v>44</v>
      </c>
    </row>
    <row r="2" spans="1:29" outlineLevel="1" x14ac:dyDescent="0.25">
      <c r="A2" s="2" t="s">
        <v>45</v>
      </c>
      <c r="F2" s="55" t="s">
        <v>15</v>
      </c>
      <c r="G2" s="54">
        <v>2027</v>
      </c>
      <c r="H2" s="53">
        <f>G2+1</f>
        <v>2028</v>
      </c>
      <c r="I2" s="53">
        <f t="shared" ref="I2:Z2" si="1">H2+1</f>
        <v>2029</v>
      </c>
      <c r="J2" s="53">
        <f t="shared" si="1"/>
        <v>2030</v>
      </c>
      <c r="K2" s="53">
        <f t="shared" si="1"/>
        <v>2031</v>
      </c>
      <c r="L2" s="53">
        <f t="shared" si="1"/>
        <v>2032</v>
      </c>
      <c r="M2" s="53">
        <f t="shared" si="1"/>
        <v>2033</v>
      </c>
      <c r="N2" s="53">
        <f t="shared" si="1"/>
        <v>2034</v>
      </c>
      <c r="O2" s="53">
        <f t="shared" si="1"/>
        <v>2035</v>
      </c>
      <c r="P2" s="53">
        <f t="shared" si="1"/>
        <v>2036</v>
      </c>
      <c r="Q2" s="53">
        <f t="shared" si="1"/>
        <v>2037</v>
      </c>
      <c r="R2" s="53">
        <f t="shared" si="1"/>
        <v>2038</v>
      </c>
      <c r="S2" s="53">
        <f t="shared" si="1"/>
        <v>2039</v>
      </c>
      <c r="T2" s="53">
        <f t="shared" si="1"/>
        <v>2040</v>
      </c>
      <c r="U2" s="53">
        <f t="shared" si="1"/>
        <v>2041</v>
      </c>
      <c r="V2" s="53">
        <f t="shared" si="1"/>
        <v>2042</v>
      </c>
      <c r="W2" s="53">
        <f t="shared" si="1"/>
        <v>2043</v>
      </c>
      <c r="X2" s="53">
        <f t="shared" si="1"/>
        <v>2044</v>
      </c>
      <c r="Y2" s="53">
        <f t="shared" si="1"/>
        <v>2045</v>
      </c>
      <c r="Z2" s="53">
        <f t="shared" si="1"/>
        <v>2046</v>
      </c>
      <c r="AA2" s="56" t="s">
        <v>46</v>
      </c>
      <c r="AB2" s="2" t="s">
        <v>47</v>
      </c>
      <c r="AC2" s="2" t="s">
        <v>48</v>
      </c>
    </row>
    <row r="3" spans="1:29" ht="14.3" x14ac:dyDescent="0.25">
      <c r="A3" s="2" t="s">
        <v>45</v>
      </c>
      <c r="D3" s="3" t="s">
        <v>49</v>
      </c>
    </row>
    <row r="4" spans="1:29" x14ac:dyDescent="0.25">
      <c r="A4" s="2" t="s">
        <v>45</v>
      </c>
    </row>
    <row r="5" spans="1:29" ht="14.3" x14ac:dyDescent="0.25">
      <c r="A5" s="2" t="s">
        <v>45</v>
      </c>
      <c r="C5" s="57">
        <f>SUM(F55:Z55,F67:Z67,F86:Z86,AA39)</f>
        <v>-8.8817841970012523E-16</v>
      </c>
      <c r="D5" s="58" t="str">
        <f>Свод!F23</f>
        <v>NHL NTE 240</v>
      </c>
      <c r="E5" s="59">
        <f>SUMIFS(Производительность!$Y$55:$Y$71,Производительность!$C$55:$C$71,$D5)</f>
        <v>20</v>
      </c>
      <c r="F5" s="60" t="str">
        <f>$F$2</f>
        <v>лет</v>
      </c>
    </row>
    <row r="6" spans="1:29" outlineLevel="1" x14ac:dyDescent="0.25">
      <c r="A6" s="2" t="s">
        <v>45</v>
      </c>
    </row>
    <row r="7" spans="1:29" outlineLevel="1" x14ac:dyDescent="0.25">
      <c r="A7" s="61" t="str">
        <f>D5</f>
        <v>NHL NTE 240</v>
      </c>
      <c r="D7" s="62" t="str">
        <f>D$1</f>
        <v>Показатель</v>
      </c>
      <c r="E7" s="62" t="str">
        <f t="shared" ref="E7:Z7" si="2">E$1</f>
        <v>Ед. изм.</v>
      </c>
      <c r="F7" s="62">
        <f t="shared" si="2"/>
        <v>0</v>
      </c>
      <c r="G7" s="62">
        <f t="shared" si="2"/>
        <v>1</v>
      </c>
      <c r="H7" s="62">
        <f t="shared" si="2"/>
        <v>2</v>
      </c>
      <c r="I7" s="62">
        <f t="shared" si="2"/>
        <v>3</v>
      </c>
      <c r="J7" s="62">
        <f t="shared" si="2"/>
        <v>4</v>
      </c>
      <c r="K7" s="62">
        <f t="shared" si="2"/>
        <v>5</v>
      </c>
      <c r="L7" s="62">
        <f t="shared" si="2"/>
        <v>6</v>
      </c>
      <c r="M7" s="62">
        <f t="shared" si="2"/>
        <v>7</v>
      </c>
      <c r="N7" s="62">
        <f t="shared" si="2"/>
        <v>8</v>
      </c>
      <c r="O7" s="62">
        <f t="shared" si="2"/>
        <v>9</v>
      </c>
      <c r="P7" s="62">
        <f t="shared" si="2"/>
        <v>10</v>
      </c>
      <c r="Q7" s="62">
        <f t="shared" si="2"/>
        <v>11</v>
      </c>
      <c r="R7" s="62">
        <f t="shared" si="2"/>
        <v>12</v>
      </c>
      <c r="S7" s="62">
        <f t="shared" si="2"/>
        <v>13</v>
      </c>
      <c r="T7" s="62">
        <f t="shared" si="2"/>
        <v>14</v>
      </c>
      <c r="U7" s="62">
        <f t="shared" si="2"/>
        <v>15</v>
      </c>
      <c r="V7" s="62">
        <f t="shared" si="2"/>
        <v>16</v>
      </c>
      <c r="W7" s="62">
        <f t="shared" si="2"/>
        <v>17</v>
      </c>
      <c r="X7" s="62">
        <f t="shared" si="2"/>
        <v>18</v>
      </c>
      <c r="Y7" s="62">
        <f t="shared" si="2"/>
        <v>19</v>
      </c>
      <c r="Z7" s="62">
        <f t="shared" si="2"/>
        <v>20</v>
      </c>
    </row>
    <row r="8" spans="1:29" outlineLevel="1" x14ac:dyDescent="0.25">
      <c r="A8" s="39" t="str">
        <f>A7</f>
        <v>NHL NTE 240</v>
      </c>
      <c r="B8" s="39"/>
      <c r="D8" s="63" t="s">
        <v>50</v>
      </c>
      <c r="E8" s="64" t="s">
        <v>51</v>
      </c>
      <c r="F8" s="65"/>
      <c r="G8" s="66">
        <f>SUMIFS(Производительность!E$55:E$71,Производительность!$C$55:$C$71,$A8)</f>
        <v>0.93755029173008619</v>
      </c>
      <c r="H8" s="66">
        <f>SUMIFS(Производительность!F$55:F$71,Производительность!$C$55:$C$71,$A8)</f>
        <v>0.93038070776255699</v>
      </c>
      <c r="I8" s="66">
        <f>SUMIFS(Производительность!G$55:G$71,Производительность!$C$55:$C$71,$A8)</f>
        <v>0.92090265093860979</v>
      </c>
      <c r="J8" s="66">
        <f>SUMIFS(Производительность!H$55:H$71,Производительность!$C$55:$C$71,$A8)</f>
        <v>0.90840582191780817</v>
      </c>
      <c r="K8" s="66">
        <f>SUMIFS(Производительность!I$55:I$71,Производительность!$C$55:$C$71,$A8)</f>
        <v>0.93333288939624548</v>
      </c>
      <c r="L8" s="66">
        <f>SUMIFS(Производительность!J$55:J$71,Производительность!$C$55:$C$71,$A8)</f>
        <v>0.92172393455098933</v>
      </c>
      <c r="M8" s="66">
        <f>SUMIFS(Производительность!K$55:K$71,Производительность!$C$55:$C$71,$A8)</f>
        <v>0.93126858193810236</v>
      </c>
      <c r="N8" s="66">
        <f>SUMIFS(Производительность!L$55:L$71,Производительность!$C$55:$C$71,$A8)</f>
        <v>0.91113603500761031</v>
      </c>
      <c r="O8" s="66">
        <f>SUMIFS(Производительность!M$55:M$71,Производительность!$C$55:$C$71,$A8)</f>
        <v>0.91706259512937582</v>
      </c>
      <c r="P8" s="66">
        <f>SUMIFS(Производительность!N$55:N$71,Производительность!$C$55:$C$71,$A8)</f>
        <v>0.93222304667681377</v>
      </c>
      <c r="Q8" s="66">
        <f>SUMIFS(Производительность!O$55:O$71,Производительность!$C$55:$C$71,$A8)</f>
        <v>0.91462094114662595</v>
      </c>
      <c r="R8" s="66">
        <f>SUMIFS(Производительность!P$55:P$71,Производительность!$C$55:$C$71,$A8)</f>
        <v>0.91328912988330779</v>
      </c>
      <c r="S8" s="66">
        <f>SUMIFS(Производительность!Q$55:Q$71,Производительность!$C$55:$C$71,$A8)</f>
        <v>0.93377682648401816</v>
      </c>
      <c r="T8" s="66">
        <f>SUMIFS(Производительность!R$55:R$71,Производительность!$C$55:$C$71,$A8)</f>
        <v>0.93266698376458645</v>
      </c>
      <c r="U8" s="66">
        <f>SUMIFS(Производительность!S$55:S$71,Производительность!$C$55:$C$71,$A8)</f>
        <v>0.89848382800608828</v>
      </c>
      <c r="V8" s="66">
        <f>SUMIFS(Производительность!T$55:T$71,Производительность!$C$55:$C$71,$A8)</f>
        <v>0.92556399036022319</v>
      </c>
      <c r="W8" s="66">
        <f>SUMIFS(Производительность!U$55:U$71,Производительность!$C$55:$C$71,$A8)</f>
        <v>0.93422076357179096</v>
      </c>
      <c r="X8" s="66">
        <f>SUMIFS(Производительность!V$55:V$71,Производительность!$C$55:$C$71,$A8)</f>
        <v>0.90469894723490607</v>
      </c>
      <c r="Y8" s="66">
        <f>SUMIFS(Производительность!W$55:W$71,Производительность!$C$55:$C$71,$A8)</f>
        <v>0.9344427321156773</v>
      </c>
      <c r="Z8" s="66">
        <f>SUMIFS(Производительность!X$55:X$71,Производительность!$C$55:$C$71,$A8)</f>
        <v>0.9220124936580415</v>
      </c>
    </row>
    <row r="9" spans="1:29" outlineLevel="1" x14ac:dyDescent="0.25">
      <c r="A9" s="39" t="str">
        <f t="shared" ref="A9:A72" si="3">A8</f>
        <v>NHL NTE 240</v>
      </c>
      <c r="B9" s="39"/>
      <c r="D9" s="63" t="s">
        <v>52</v>
      </c>
      <c r="E9" s="64" t="str">
        <f>E8</f>
        <v>%</v>
      </c>
      <c r="F9" s="65"/>
      <c r="G9" s="66">
        <f>SUMIFS(Производительность!E$119:E$135,Производительность!$C$119:$C$135,$A9)</f>
        <v>0.8042356353910648</v>
      </c>
      <c r="H9" s="66">
        <f>SUMIFS(Производительность!F$119:F$135,Производительность!$C$119:$C$135,$A9)</f>
        <v>0.79808552806511524</v>
      </c>
      <c r="I9" s="66">
        <f>SUMIFS(Производительность!G$119:G$135,Производительность!$C$119:$C$135,$A9)</f>
        <v>0.79624551907764185</v>
      </c>
      <c r="J9" s="66">
        <f>SUMIFS(Производительность!H$119:H$135,Производительность!$C$119:$C$135,$A9)</f>
        <v>0.78544031170816475</v>
      </c>
      <c r="K9" s="66">
        <f>SUMIFS(Производительность!I$119:I$135,Производительность!$C$119:$C$135,$A9)</f>
        <v>0.80699314985367565</v>
      </c>
      <c r="L9" s="66">
        <f>SUMIFS(Производительность!J$119:J$135,Производительность!$C$119:$C$135,$A9)</f>
        <v>0.79695563039677264</v>
      </c>
      <c r="M9" s="66">
        <f>SUMIFS(Производительность!K$119:K$135,Производительность!$C$119:$C$135,$A9)</f>
        <v>0.8052082754569414</v>
      </c>
      <c r="N9" s="66">
        <f>SUMIFS(Производительность!L$119:L$135,Производительность!$C$119:$C$135,$A9)</f>
        <v>0.78780095203932943</v>
      </c>
      <c r="O9" s="66">
        <f>SUMIFS(Производительность!M$119:M$135,Производительность!$C$119:$C$135,$A9)</f>
        <v>0.79292526885575987</v>
      </c>
      <c r="P9" s="66">
        <f>SUMIFS(Производительность!N$119:N$135,Производительность!$C$119:$C$135,$A9)</f>
        <v>0.80603353996295846</v>
      </c>
      <c r="Q9" s="66">
        <f>SUMIFS(Производительность!O$119:O$135,Производительность!$C$119:$C$135,$A9)</f>
        <v>0.79081412709618171</v>
      </c>
      <c r="R9" s="66">
        <f>SUMIFS(Производительность!P$119:P$135,Производительность!$C$119:$C$135,$A9)</f>
        <v>0.78966259522732096</v>
      </c>
      <c r="S9" s="66">
        <f>SUMIFS(Производительность!Q$119:Q$135,Производительность!$C$119:$C$135,$A9)</f>
        <v>0.80737699380996264</v>
      </c>
      <c r="T9" s="66">
        <f>SUMIFS(Производительность!R$119:R$135,Производительность!$C$119:$C$135,$A9)</f>
        <v>0.80641738391924533</v>
      </c>
      <c r="U9" s="66">
        <f>SUMIFS(Производительность!S$119:S$135,Производительность!$C$119:$C$135,$A9)</f>
        <v>0.77686139928515208</v>
      </c>
      <c r="V9" s="66">
        <f>SUMIFS(Производительность!T$119:T$135,Производительность!$C$119:$C$135,$A9)</f>
        <v>0.80027588061865451</v>
      </c>
      <c r="W9" s="66">
        <f>SUMIFS(Производительность!U$119:U$135,Производительность!$C$119:$C$135,$A9)</f>
        <v>0.80776083776624963</v>
      </c>
      <c r="X9" s="66">
        <f>SUMIFS(Производительность!V$119:V$135,Производительность!$C$119:$C$135,$A9)</f>
        <v>0.78223521467316903</v>
      </c>
      <c r="Y9" s="66">
        <f>SUMIFS(Производительность!W$119:W$135,Производительность!$C$119:$C$135,$A9)</f>
        <v>0.80795275974439307</v>
      </c>
      <c r="Z9" s="66">
        <f>SUMIFS(Производительность!X$119:X$135,Производительность!$C$119:$C$135,$A9)</f>
        <v>0.79720512896835904</v>
      </c>
    </row>
    <row r="10" spans="1:29" outlineLevel="1" x14ac:dyDescent="0.25">
      <c r="A10" s="39" t="str">
        <f t="shared" si="3"/>
        <v>NHL NTE 240</v>
      </c>
      <c r="B10" s="39"/>
      <c r="D10" s="67" t="s">
        <v>53</v>
      </c>
      <c r="E10" s="68" t="s">
        <v>23</v>
      </c>
      <c r="F10" s="69"/>
      <c r="G10" s="69">
        <f>SUMIFS(Производительность!E$247:E$263,Производительность!$C$247:$C$263,$A10)</f>
        <v>3844.3301979005578</v>
      </c>
      <c r="H10" s="69">
        <f>SUMIFS(Производительность!F$247:F$263,Производительность!$C$247:$C$263,$A10)</f>
        <v>3560.0082879715892</v>
      </c>
      <c r="I10" s="69">
        <f>SUMIFS(Производительность!G$247:G$263,Производительность!$C$247:$C$263,$A10)</f>
        <v>3123.9323534104306</v>
      </c>
      <c r="J10" s="69">
        <f>SUMIFS(Производительность!H$247:H$263,Производительность!$C$247:$C$263,$A10)</f>
        <v>3160.7421571460854</v>
      </c>
      <c r="K10" s="69">
        <f>SUMIFS(Производительность!I$247:I$263,Производительность!$C$247:$C$263,$A10)</f>
        <v>2793.9180250278246</v>
      </c>
      <c r="L10" s="69">
        <f>SUMIFS(Производительность!J$247:J$263,Производительность!$C$247:$C$263,$A10)</f>
        <v>2535.7903276803472</v>
      </c>
      <c r="M10" s="69">
        <f>SUMIFS(Производительность!K$247:K$263,Производительность!$C$247:$C$263,$A10)</f>
        <v>2962.7002892111268</v>
      </c>
      <c r="N10" s="69">
        <f>SUMIFS(Производительность!L$247:L$263,Производительность!$C$247:$C$263,$A10)</f>
        <v>2847.7655042558322</v>
      </c>
      <c r="O10" s="69">
        <f>SUMIFS(Производительность!M$247:M$263,Производительность!$C$247:$C$263,$A10)</f>
        <v>2512.8291731254067</v>
      </c>
      <c r="P10" s="69">
        <f>SUMIFS(Производительность!N$247:N$263,Производительность!$C$247:$C$263,$A10)</f>
        <v>2779.8778280153429</v>
      </c>
      <c r="Q10" s="69">
        <f>SUMIFS(Производительность!O$247:O$263,Производительность!$C$247:$C$263,$A10)</f>
        <v>2761.9508534072793</v>
      </c>
      <c r="R10" s="69">
        <f>SUMIFS(Производительность!P$247:P$263,Производительность!$C$247:$C$263,$A10)</f>
        <v>2381.709394599814</v>
      </c>
      <c r="S10" s="69">
        <f>SUMIFS(Производительность!Q$247:Q$263,Производительность!$C$247:$C$263,$A10)</f>
        <v>2403.9618789697347</v>
      </c>
      <c r="T10" s="69">
        <f>SUMIFS(Производительность!R$247:R$263,Производительность!$C$247:$C$263,$A10)</f>
        <v>2333.2313267736031</v>
      </c>
      <c r="U10" s="69">
        <f>SUMIFS(Производительность!S$247:S$263,Производительность!$C$247:$C$263,$A10)</f>
        <v>2261.678514762848</v>
      </c>
      <c r="V10" s="69">
        <f>SUMIFS(Производительность!T$247:T$263,Производительность!$C$247:$C$263,$A10)</f>
        <v>2456.2206213619147</v>
      </c>
      <c r="W10" s="69">
        <f>SUMIFS(Производительность!U$247:U$263,Производительность!$C$247:$C$263,$A10)</f>
        <v>3163.4412324976984</v>
      </c>
      <c r="X10" s="69">
        <f>SUMIFS(Производительность!V$247:V$263,Производительность!$C$247:$C$263,$A10)</f>
        <v>2779.55908863882</v>
      </c>
      <c r="Y10" s="69">
        <f>SUMIFS(Производительность!W$247:W$263,Производительность!$C$247:$C$263,$A10)</f>
        <v>2360.630848317619</v>
      </c>
      <c r="Z10" s="69">
        <f>SUMIFS(Производительность!X$247:X$263,Производительность!$C$247:$C$263,$A10)</f>
        <v>2103.0359194350353</v>
      </c>
    </row>
    <row r="11" spans="1:29" outlineLevel="1" x14ac:dyDescent="0.25">
      <c r="A11" s="39" t="str">
        <f t="shared" si="3"/>
        <v>NHL NTE 240</v>
      </c>
      <c r="B11" s="39"/>
      <c r="D11" s="67" t="s">
        <v>54</v>
      </c>
      <c r="E11" s="68" t="s">
        <v>24</v>
      </c>
      <c r="F11" s="69"/>
      <c r="G11" s="69">
        <f>SUMIFS(Производительность!E$263:E$279,Производительность!$C$263:$C$279,$A11)</f>
        <v>11685.164981362384</v>
      </c>
      <c r="H11" s="69">
        <f>SUMIFS(Производительность!F$263:F$279,Производительность!$C$263:$C$279,$A11)</f>
        <v>11996.597947240858</v>
      </c>
      <c r="I11" s="69">
        <f>SUMIFS(Производительность!G$263:G$279,Производительность!$C$263:$C$279,$A11)</f>
        <v>12641.633884995897</v>
      </c>
      <c r="J11" s="69">
        <f>SUMIFS(Производительность!H$263:H$279,Производительность!$C$263:$C$279,$A11)</f>
        <v>12345.562779631944</v>
      </c>
      <c r="K11" s="69">
        <f>SUMIFS(Производительность!I$263:I$279,Производительность!$C$263:$C$279,$A11)</f>
        <v>13397.411879008381</v>
      </c>
      <c r="L11" s="69">
        <f>SUMIFS(Производительность!J$263:J$279,Производительность!$C$263:$C$279,$A11)</f>
        <v>13581.965046199426</v>
      </c>
      <c r="M11" s="69">
        <f>SUMIFS(Производительность!K$263:K$279,Производительность!$C$263:$C$279,$A11)</f>
        <v>13092.705188215768</v>
      </c>
      <c r="N11" s="69">
        <f>SUMIFS(Производительность!L$263:L$279,Производительность!$C$263:$C$279,$A11)</f>
        <v>12889.664538363699</v>
      </c>
      <c r="O11" s="69">
        <f>SUMIFS(Производительность!M$263:M$279,Производительность!$C$263:$C$279,$A11)</f>
        <v>13529.216023292192</v>
      </c>
      <c r="P11" s="69">
        <f>SUMIFS(Производительность!N$263:N$279,Производительность!$C$263:$C$279,$A11)</f>
        <v>13398.331460061287</v>
      </c>
      <c r="Q11" s="69">
        <f>SUMIFS(Производительность!O$263:O$279,Производительность!$C$263:$C$279,$A11)</f>
        <v>13091.007200834771</v>
      </c>
      <c r="R11" s="69">
        <f>SUMIFS(Производительность!P$263:P$279,Производительность!$C$263:$C$279,$A11)</f>
        <v>13663.437522343724</v>
      </c>
      <c r="S11" s="69">
        <f>SUMIFS(Производительность!Q$263:Q$279,Производительность!$C$263:$C$279,$A11)</f>
        <v>14018.962698516962</v>
      </c>
      <c r="T11" s="69">
        <f>SUMIFS(Производительность!R$263:R$279,Производительность!$C$263:$C$279,$A11)</f>
        <v>14109.0108559896</v>
      </c>
      <c r="U11" s="69">
        <f>SUMIFS(Производительность!S$263:S$279,Производительность!$C$263:$C$279,$A11)</f>
        <v>13569.95015297719</v>
      </c>
      <c r="V11" s="69">
        <f>SUMIFS(Производительность!T$263:T$279,Производительность!$C$263:$C$279,$A11)</f>
        <v>13780.258820221083</v>
      </c>
      <c r="W11" s="69">
        <f>SUMIFS(Производительность!U$263:U$279,Производительность!$C$263:$C$279,$A11)</f>
        <v>12833.371025576342</v>
      </c>
      <c r="X11" s="69">
        <f>SUMIFS(Производительность!V$263:V$279,Производительность!$C$263:$C$279,$A11)</f>
        <v>12874.203048194066</v>
      </c>
      <c r="Y11" s="69">
        <f>SUMIFS(Производительность!W$263:W$279,Производительность!$C$263:$C$279,$A11)</f>
        <v>14099.780394922293</v>
      </c>
      <c r="Z11" s="69">
        <f>SUMIFS(Производительность!X$263:X$279,Производительность!$C$263:$C$279,$A11)</f>
        <v>14267.841675182131</v>
      </c>
    </row>
    <row r="12" spans="1:29" outlineLevel="1" x14ac:dyDescent="0.25">
      <c r="A12" s="39" t="str">
        <f t="shared" si="3"/>
        <v>NHL NTE 240</v>
      </c>
      <c r="B12" s="39"/>
      <c r="D12" s="70" t="s">
        <v>55</v>
      </c>
      <c r="E12" s="64" t="str">
        <f>E11</f>
        <v>тыс. ткм</v>
      </c>
      <c r="F12" s="65"/>
      <c r="G12" s="530">
        <f>G11</f>
        <v>11685.164981362384</v>
      </c>
      <c r="H12" s="65">
        <f>IF(H7&gt;$E5,0,G12+H11)</f>
        <v>23681.762928603242</v>
      </c>
      <c r="I12" s="65">
        <f t="shared" ref="I12:Z12" si="4">IF(I7&gt;$E5,0,H12+I11)</f>
        <v>36323.396813599138</v>
      </c>
      <c r="J12" s="65">
        <f t="shared" si="4"/>
        <v>48668.959593231084</v>
      </c>
      <c r="K12" s="65">
        <f t="shared" si="4"/>
        <v>62066.371472239465</v>
      </c>
      <c r="L12" s="65">
        <f t="shared" si="4"/>
        <v>75648.336518438897</v>
      </c>
      <c r="M12" s="65">
        <f t="shared" si="4"/>
        <v>88741.041706654665</v>
      </c>
      <c r="N12" s="65">
        <f t="shared" si="4"/>
        <v>101630.70624501836</v>
      </c>
      <c r="O12" s="65">
        <f t="shared" si="4"/>
        <v>115159.92226831055</v>
      </c>
      <c r="P12" s="65">
        <f t="shared" si="4"/>
        <v>128558.25372837184</v>
      </c>
      <c r="Q12" s="65">
        <f t="shared" si="4"/>
        <v>141649.26092920662</v>
      </c>
      <c r="R12" s="65">
        <f t="shared" si="4"/>
        <v>155312.69845155033</v>
      </c>
      <c r="S12" s="65">
        <f t="shared" si="4"/>
        <v>169331.66115006729</v>
      </c>
      <c r="T12" s="65">
        <f t="shared" si="4"/>
        <v>183440.67200605688</v>
      </c>
      <c r="U12" s="65">
        <f t="shared" si="4"/>
        <v>197010.62215903407</v>
      </c>
      <c r="V12" s="65">
        <f t="shared" si="4"/>
        <v>210790.88097925516</v>
      </c>
      <c r="W12" s="65">
        <f t="shared" si="4"/>
        <v>223624.25200483151</v>
      </c>
      <c r="X12" s="65">
        <f t="shared" si="4"/>
        <v>236498.45505302557</v>
      </c>
      <c r="Y12" s="65">
        <f t="shared" si="4"/>
        <v>250598.23544794787</v>
      </c>
      <c r="Z12" s="65">
        <f t="shared" si="4"/>
        <v>264866.07712312997</v>
      </c>
    </row>
    <row r="13" spans="1:29" outlineLevel="1" x14ac:dyDescent="0.25">
      <c r="A13" s="39" t="str">
        <f t="shared" si="3"/>
        <v>NHL NTE 240</v>
      </c>
      <c r="B13" s="39"/>
      <c r="D13" s="63" t="s">
        <v>56</v>
      </c>
      <c r="E13" s="64" t="s">
        <v>57</v>
      </c>
      <c r="F13" s="65"/>
      <c r="G13" s="65">
        <f>SUMIFS(Производительность!E$279:E$295,Производительность!$C$279:$C$295,$A13)/1000</f>
        <v>104.2899279875263</v>
      </c>
      <c r="H13" s="65">
        <f>SUMIFS(Производительность!F$279:F$295,Производительность!$C$279:$C$295,$A13)/1000</f>
        <v>107.06946269124778</v>
      </c>
      <c r="I13" s="65">
        <f>SUMIFS(Производительность!G$279:G$295,Производительность!$C$279:$C$295,$A13)/1000</f>
        <v>112.82639908068988</v>
      </c>
      <c r="J13" s="65">
        <f>SUMIFS(Производительность!H$279:H$295,Производительность!$C$279:$C$295,$A13)/1000</f>
        <v>110.18396875926587</v>
      </c>
      <c r="K13" s="65">
        <f>SUMIFS(Производительность!I$279:I$295,Производительность!$C$279:$C$295,$A13)/1000</f>
        <v>119.57170671612639</v>
      </c>
      <c r="L13" s="65">
        <f>SUMIFS(Производительность!J$279:J$295,Производительность!$C$279:$C$295,$A13)/1000</f>
        <v>121.21884105671313</v>
      </c>
      <c r="M13" s="65">
        <f>SUMIFS(Производительность!K$279:K$295,Производительность!$C$279:$C$295,$A13)/1000</f>
        <v>116.85220391999437</v>
      </c>
      <c r="N13" s="65">
        <f>SUMIFS(Производительность!L$279:L$295,Производительность!$C$279:$C$295,$A13)/1000</f>
        <v>115.04006906478378</v>
      </c>
      <c r="O13" s="65">
        <f>SUMIFS(Производительность!M$279:M$295,Производительность!$C$279:$C$295,$A13)/1000</f>
        <v>120.74805679229051</v>
      </c>
      <c r="P13" s="65">
        <f>SUMIFS(Производительность!N$279:N$295,Производительность!$C$279:$C$295,$A13)/1000</f>
        <v>119.57991396368679</v>
      </c>
      <c r="Q13" s="65">
        <f>SUMIFS(Производительность!O$279:O$295,Производительность!$C$279:$C$295,$A13)/1000</f>
        <v>116.83704940724502</v>
      </c>
      <c r="R13" s="65">
        <f>SUMIFS(Производительность!P$279:P$295,Производительность!$C$279:$C$295,$A13)/1000</f>
        <v>121.9459817246974</v>
      </c>
      <c r="S13" s="65">
        <f>SUMIFS(Производительность!Q$279:Q$295,Производительность!$C$279:$C$295,$A13)/1000</f>
        <v>125.11903876582586</v>
      </c>
      <c r="T13" s="65">
        <f>SUMIFS(Производительность!R$279:R$295,Производительность!$C$279:$C$295,$A13)/1000</f>
        <v>125.9227172652916</v>
      </c>
      <c r="U13" s="65">
        <f>SUMIFS(Производительность!S$279:S$295,Производительность!$C$279:$C$295,$A13)/1000</f>
        <v>121.11160830895793</v>
      </c>
      <c r="V13" s="65">
        <f>SUMIFS(Производительность!T$279:T$295,Производительность!$C$279:$C$295,$A13)/1000</f>
        <v>122.98861011398171</v>
      </c>
      <c r="W13" s="65">
        <f>SUMIFS(Производительность!U$279:U$295,Производительность!$C$279:$C$295,$A13)/1000</f>
        <v>114.53765027958714</v>
      </c>
      <c r="X13" s="65">
        <f>SUMIFS(Производительность!V$279:V$295,Производительность!$C$279:$C$295,$A13)/1000</f>
        <v>114.90207548925936</v>
      </c>
      <c r="Y13" s="65">
        <f>SUMIFS(Производительность!W$279:W$295,Производительность!$C$279:$C$295,$A13)/1000</f>
        <v>125.8403355341362</v>
      </c>
      <c r="Z13" s="65">
        <f>SUMIFS(Производительность!X$279:X$295,Производительность!$C$279:$C$295,$A13)/1000</f>
        <v>127.34028002304549</v>
      </c>
    </row>
    <row r="14" spans="1:29" outlineLevel="1" x14ac:dyDescent="0.25">
      <c r="A14" s="39" t="str">
        <f t="shared" si="3"/>
        <v>NHL NTE 240</v>
      </c>
      <c r="B14" s="39"/>
      <c r="D14" s="31"/>
      <c r="E14" s="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9" outlineLevel="1" x14ac:dyDescent="0.25">
      <c r="A15" s="39" t="str">
        <f t="shared" si="3"/>
        <v>NHL NTE 240</v>
      </c>
      <c r="B15" s="39"/>
      <c r="D15" s="71" t="s">
        <v>58</v>
      </c>
      <c r="E15" s="72" t="s">
        <v>33</v>
      </c>
      <c r="F15" s="73">
        <f>F40+F41-F39</f>
        <v>0</v>
      </c>
      <c r="G15" s="73">
        <f t="shared" ref="G15" si="5">G40+G41-G39</f>
        <v>88109.824396630691</v>
      </c>
      <c r="H15" s="73">
        <f t="shared" ref="H15:Z15" si="6">H40+H41-H39</f>
        <v>91720.888932277914</v>
      </c>
      <c r="I15" s="73">
        <f t="shared" si="6"/>
        <v>126414.67637461507</v>
      </c>
      <c r="J15" s="73">
        <f t="shared" si="6"/>
        <v>107273.38022677829</v>
      </c>
      <c r="K15" s="73">
        <f t="shared" si="6"/>
        <v>100380.94036716266</v>
      </c>
      <c r="L15" s="73">
        <f t="shared" si="6"/>
        <v>131144.40581406161</v>
      </c>
      <c r="M15" s="73">
        <f t="shared" si="6"/>
        <v>98086.045590586873</v>
      </c>
      <c r="N15" s="73">
        <f t="shared" si="6"/>
        <v>111694.12083085424</v>
      </c>
      <c r="O15" s="73">
        <f t="shared" si="6"/>
        <v>162203.34063511569</v>
      </c>
      <c r="P15" s="73">
        <f t="shared" si="6"/>
        <v>98989.52448369698</v>
      </c>
      <c r="Q15" s="73">
        <f t="shared" si="6"/>
        <v>241076.64218175467</v>
      </c>
      <c r="R15" s="73">
        <f t="shared" si="6"/>
        <v>131724.70202898452</v>
      </c>
      <c r="S15" s="73">
        <f t="shared" si="6"/>
        <v>103154.3018872329</v>
      </c>
      <c r="T15" s="73">
        <f t="shared" si="6"/>
        <v>103786.53484680247</v>
      </c>
      <c r="U15" s="73">
        <f t="shared" si="6"/>
        <v>146541.64496347355</v>
      </c>
      <c r="V15" s="73">
        <f t="shared" si="6"/>
        <v>101840.31472034658</v>
      </c>
      <c r="W15" s="73">
        <f t="shared" si="6"/>
        <v>96124.206162701041</v>
      </c>
      <c r="X15" s="73">
        <f t="shared" si="6"/>
        <v>173230.54167463211</v>
      </c>
      <c r="Y15" s="73">
        <f t="shared" si="6"/>
        <v>103836.20875211341</v>
      </c>
      <c r="Z15" s="73">
        <f t="shared" si="6"/>
        <v>106136.20070163935</v>
      </c>
    </row>
    <row r="16" spans="1:29" outlineLevel="1" x14ac:dyDescent="0.25">
      <c r="A16" s="39" t="str">
        <f t="shared" si="3"/>
        <v>NHL NTE 240</v>
      </c>
      <c r="B16" s="39"/>
      <c r="C16" s="619" t="str">
        <f>D16</f>
        <v>ТО, ТР, ППР</v>
      </c>
      <c r="D16" s="430" t="s">
        <v>59</v>
      </c>
      <c r="E16" s="68" t="str">
        <f>E15</f>
        <v>тыс. руб.</v>
      </c>
      <c r="F16" s="74"/>
      <c r="G16" s="455">
        <f>(G17+G18+G19)*'ФОТ, МТР, макро'!AK$8</f>
        <v>6011.0007709791998</v>
      </c>
      <c r="H16" s="455">
        <f>(H17+H18+H19)*'ФОТ, МТР, макро'!AL$8</f>
        <v>8352.9635055391991</v>
      </c>
      <c r="I16" s="455">
        <f>(I17+I18+I19)*'ФОТ, МТР, макро'!AM$8</f>
        <v>49489.736084433207</v>
      </c>
      <c r="J16" s="455">
        <f>(J17+J18+J19)*'ФОТ, МТР, макро'!AN$8</f>
        <v>26318.824091179205</v>
      </c>
      <c r="K16" s="455">
        <f>(K17+K18+K19)*'ФОТ, МТР, макро'!AO$8</f>
        <v>8777.1811212071989</v>
      </c>
      <c r="L16" s="455">
        <f>(L17+L18+L19)*'ФОТ, МТР, макро'!AP$8</f>
        <v>48329.775655157209</v>
      </c>
      <c r="M16" s="455">
        <f>(M17+M18+M19)*'ФОТ, МТР, макро'!AQ$8</f>
        <v>8136.7045104072013</v>
      </c>
      <c r="N16" s="455">
        <f>(N17+N18+N19)*'ФОТ, МТР, макро'!AR$8</f>
        <v>27892.955564379201</v>
      </c>
      <c r="O16" s="455">
        <f>(O17+O18+O19)*'ФОТ, МТР, макро'!AS$8</f>
        <v>90160.518063333206</v>
      </c>
      <c r="P16" s="455">
        <f>(P17+P18+P19)*'ФОТ, МТР, макро'!AT$8</f>
        <v>6914.6584335792004</v>
      </c>
      <c r="Q16" s="455">
        <f>(Q17+Q18+Q19)*'ФОТ, МТР, макро'!AU$8</f>
        <v>198804.3153851192</v>
      </c>
      <c r="R16" s="455">
        <f>(R17+R18+R19)*'ФОТ, МТР, макро'!AV$8</f>
        <v>48456.609281557205</v>
      </c>
      <c r="S16" s="455">
        <f>(S17+S18+S19)*'ФОТ, МТР, макро'!AW$8</f>
        <v>7539.8585649272</v>
      </c>
      <c r="T16" s="455">
        <f>(T17+T18+T19)*'ФОТ, МТР, макро'!AX$8</f>
        <v>7667.8499376591999</v>
      </c>
      <c r="U16" s="455">
        <f>(U17+U18+U19)*'ФОТ, МТР, макро'!AY$8</f>
        <v>68954.826578405206</v>
      </c>
      <c r="V16" s="455">
        <f>(V17+V18+V19)*'ФОТ, МТР, макро'!AZ$8</f>
        <v>7683.1938437671997</v>
      </c>
      <c r="W16" s="455">
        <f>(W17+W18+W19)*'ФОТ, МТР, макро'!BA$8</f>
        <v>7580.0420424592003</v>
      </c>
      <c r="X16" s="455">
        <f>(X17+X18+X19)*'ФОТ, МТР, макро'!BB$8</f>
        <v>110064.2815285652</v>
      </c>
      <c r="Y16" s="455">
        <f>(Y17+Y18+Y19)*'ФОТ, МТР, макро'!BC$8</f>
        <v>7807.3720347791996</v>
      </c>
      <c r="Z16" s="455">
        <f>(Z17+Z18+Z19)*'ФОТ, МТР, макро'!BD$8</f>
        <v>9539.614802133201</v>
      </c>
      <c r="AB16" s="76">
        <f>SUM(F16:Z16,F30:Z30)/E5</f>
        <v>37724.114089978306</v>
      </c>
    </row>
    <row r="17" spans="1:27" outlineLevel="1" x14ac:dyDescent="0.25">
      <c r="A17" s="39" t="str">
        <f t="shared" si="3"/>
        <v>NHL NTE 240</v>
      </c>
      <c r="B17" s="39"/>
      <c r="D17" s="427" t="s">
        <v>60</v>
      </c>
      <c r="E17" s="428" t="s">
        <v>37</v>
      </c>
      <c r="F17" s="30"/>
      <c r="G17" s="456">
        <f>'NHL NTE240'!E19</f>
        <v>297.27423999999996</v>
      </c>
      <c r="H17" s="456">
        <f>'NHL NTE240'!F19</f>
        <v>297.27423999999996</v>
      </c>
      <c r="I17" s="456">
        <f>'NHL NTE240'!G19</f>
        <v>297.27423999999996</v>
      </c>
      <c r="J17" s="456">
        <f>'NHL NTE240'!H19</f>
        <v>297.27423999999996</v>
      </c>
      <c r="K17" s="456">
        <f>'NHL NTE240'!I19</f>
        <v>297.27423999999996</v>
      </c>
      <c r="L17" s="456">
        <f>'NHL NTE240'!J19</f>
        <v>297.27423999999996</v>
      </c>
      <c r="M17" s="456">
        <f>'NHL NTE240'!K19</f>
        <v>297.27423999999996</v>
      </c>
      <c r="N17" s="456">
        <f>'NHL NTE240'!L19</f>
        <v>297.27423999999996</v>
      </c>
      <c r="O17" s="456">
        <f>'NHL NTE240'!M19</f>
        <v>297.27423999999996</v>
      </c>
      <c r="P17" s="456">
        <f>'NHL NTE240'!N19</f>
        <v>297.27423999999996</v>
      </c>
      <c r="Q17" s="456">
        <f>'NHL NTE240'!O19</f>
        <v>297.27423999999996</v>
      </c>
      <c r="R17" s="456">
        <f>'NHL NTE240'!P19</f>
        <v>297.27423999999996</v>
      </c>
      <c r="S17" s="456">
        <f>'NHL NTE240'!Q19</f>
        <v>297.27423999999996</v>
      </c>
      <c r="T17" s="456">
        <f>'NHL NTE240'!R19</f>
        <v>297.27423999999996</v>
      </c>
      <c r="U17" s="456">
        <f>'NHL NTE240'!S19</f>
        <v>297.27423999999996</v>
      </c>
      <c r="V17" s="456">
        <f>'NHL NTE240'!T19</f>
        <v>297.27423999999996</v>
      </c>
      <c r="W17" s="456">
        <f>'NHL NTE240'!U19</f>
        <v>297.27423999999996</v>
      </c>
      <c r="X17" s="456">
        <f>'NHL NTE240'!V19</f>
        <v>297.27423999999996</v>
      </c>
      <c r="Y17" s="456">
        <f>'NHL NTE240'!W19</f>
        <v>297.27423999999996</v>
      </c>
      <c r="Z17" s="456">
        <f>'NHL NTE240'!X19</f>
        <v>297.27423999999996</v>
      </c>
    </row>
    <row r="18" spans="1:27" outlineLevel="1" x14ac:dyDescent="0.25">
      <c r="A18" s="39" t="str">
        <f t="shared" si="3"/>
        <v>NHL NTE 240</v>
      </c>
      <c r="B18" s="39"/>
      <c r="D18" s="427" t="s">
        <v>61</v>
      </c>
      <c r="E18" s="428" t="s">
        <v>37</v>
      </c>
      <c r="F18" s="30"/>
      <c r="G18" s="456">
        <f>'NHL NTE240'!E20</f>
        <v>0</v>
      </c>
      <c r="H18" s="456">
        <f>'NHL NTE240'!F20</f>
        <v>151.6104</v>
      </c>
      <c r="I18" s="456">
        <f>'NHL NTE240'!G20</f>
        <v>3293.5407700000005</v>
      </c>
      <c r="J18" s="456">
        <f>'NHL NTE240'!H20</f>
        <v>1329.6506000000002</v>
      </c>
      <c r="K18" s="456">
        <f>'NHL NTE240'!I20</f>
        <v>207.44413999999998</v>
      </c>
      <c r="L18" s="456">
        <f>'NHL NTE240'!J20</f>
        <v>3259.1669900000002</v>
      </c>
      <c r="M18" s="456">
        <f>'NHL NTE240'!K20</f>
        <v>47.961739999999999</v>
      </c>
      <c r="N18" s="456">
        <f>'NHL NTE240'!L20</f>
        <v>1481.261</v>
      </c>
      <c r="O18" s="456">
        <f>'NHL NTE240'!M20</f>
        <v>6533.29187</v>
      </c>
      <c r="P18" s="456">
        <f>'NHL NTE240'!N20</f>
        <v>44.023000000000003</v>
      </c>
      <c r="Q18" s="456">
        <f>'NHL NTE240'!O20</f>
        <v>14777.315299999998</v>
      </c>
      <c r="R18" s="456">
        <f>'NHL NTE240'!P20</f>
        <v>3259.1669900000002</v>
      </c>
      <c r="S18" s="456">
        <f>'NHL NTE240'!Q20</f>
        <v>99.856739999999988</v>
      </c>
      <c r="T18" s="456">
        <f>'NHL NTE240'!R20</f>
        <v>107.58739999999999</v>
      </c>
      <c r="U18" s="456">
        <f>'NHL NTE240'!S20</f>
        <v>4575.2296299999998</v>
      </c>
      <c r="V18" s="456">
        <f>'NHL NTE240'!T20</f>
        <v>96.182940000000002</v>
      </c>
      <c r="W18" s="456">
        <f>'NHL NTE240'!U20</f>
        <v>107.58739999999999</v>
      </c>
      <c r="X18" s="456">
        <f>'NHL NTE240'!V20</f>
        <v>7876.5304299999998</v>
      </c>
      <c r="Y18" s="456">
        <f>'NHL NTE240'!W20</f>
        <v>44.023000000000003</v>
      </c>
      <c r="Z18" s="456">
        <f>'NHL NTE240'!X20</f>
        <v>237.35227000000003</v>
      </c>
    </row>
    <row r="19" spans="1:27" outlineLevel="1" x14ac:dyDescent="0.25">
      <c r="A19" s="39" t="str">
        <f t="shared" si="3"/>
        <v>NHL NTE 240</v>
      </c>
      <c r="B19" s="39"/>
      <c r="D19" s="427" t="s">
        <v>62</v>
      </c>
      <c r="E19" s="428" t="s">
        <v>37</v>
      </c>
      <c r="F19" s="30"/>
      <c r="G19" s="456">
        <f>'NHL NTE240'!E21+'NHL NTE240'!E22</f>
        <v>173.43105600000001</v>
      </c>
      <c r="H19" s="456">
        <f>'NHL NTE240'!F21+'NHL NTE240'!F22</f>
        <v>205.21345599999995</v>
      </c>
      <c r="I19" s="456">
        <f>'NHL NTE240'!G21+'NHL NTE240'!G22</f>
        <v>284.59305599999999</v>
      </c>
      <c r="J19" s="456">
        <f>'NHL NTE240'!H21+'NHL NTE240'!H22</f>
        <v>434.03145599999993</v>
      </c>
      <c r="K19" s="456">
        <f>'NHL NTE240'!I21+'NHL NTE240'!I22</f>
        <v>182.59905600000002</v>
      </c>
      <c r="L19" s="456">
        <f>'NHL NTE240'!J21+'NHL NTE240'!J22</f>
        <v>228.13345599999997</v>
      </c>
      <c r="M19" s="456">
        <f>'NHL NTE240'!K21+'NHL NTE240'!K22</f>
        <v>291.92745600000001</v>
      </c>
      <c r="N19" s="456">
        <f>'NHL NTE240'!L21+'NHL NTE240'!L22</f>
        <v>405.68705600000004</v>
      </c>
      <c r="O19" s="456">
        <f>'NHL NTE240'!M21+'NHL NTE240'!M22</f>
        <v>229.66145599999999</v>
      </c>
      <c r="P19" s="456">
        <f>'NHL NTE240'!N21+'NHL NTE240'!N22</f>
        <v>200.17105600000002</v>
      </c>
      <c r="Q19" s="456">
        <f>'NHL NTE240'!O21+'NHL NTE240'!O22</f>
        <v>493.24145599999997</v>
      </c>
      <c r="R19" s="456">
        <f>'NHL NTE240'!P21+'NHL NTE240'!P22</f>
        <v>238.06545599999998</v>
      </c>
      <c r="S19" s="456">
        <f>'NHL NTE240'!Q21+'NHL NTE240'!Q22</f>
        <v>193.29505599999999</v>
      </c>
      <c r="T19" s="456">
        <f>'NHL NTE240'!R21+'NHL NTE240'!R22</f>
        <v>195.58705599999996</v>
      </c>
      <c r="U19" s="456">
        <f>'NHL NTE240'!S21+'NHL NTE240'!S22</f>
        <v>527.16305599999998</v>
      </c>
      <c r="V19" s="456">
        <f>'NHL NTE240'!T21+'NHL NTE240'!T22</f>
        <v>208.19305600000001</v>
      </c>
      <c r="W19" s="456">
        <f>'NHL NTE240'!U21+'NHL NTE240'!U22</f>
        <v>188.71105599999999</v>
      </c>
      <c r="X19" s="456">
        <f>'NHL NTE240'!V21+'NHL NTE240'!V22</f>
        <v>445.03305599999999</v>
      </c>
      <c r="Y19" s="456">
        <f>'NHL NTE240'!W21+'NHL NTE240'!W22</f>
        <v>270.07705600000003</v>
      </c>
      <c r="Z19" s="456">
        <f>'NHL NTE240'!X21+'NHL NTE240'!X22</f>
        <v>212.39505599999995</v>
      </c>
    </row>
    <row r="20" spans="1:27" outlineLevel="1" x14ac:dyDescent="0.25">
      <c r="A20" s="39" t="str">
        <f t="shared" si="3"/>
        <v>NHL NTE 240</v>
      </c>
      <c r="B20" s="39"/>
      <c r="D20" s="80" t="s">
        <v>63</v>
      </c>
      <c r="E20" s="81"/>
      <c r="F20" s="82"/>
      <c r="G20" s="83" t="e">
        <f>G16/$F44</f>
        <v>#DIV/0!</v>
      </c>
      <c r="H20" s="83" t="e">
        <f t="shared" ref="H20:Z20" si="7">H16/$F44</f>
        <v>#DIV/0!</v>
      </c>
      <c r="I20" s="83" t="e">
        <f t="shared" si="7"/>
        <v>#DIV/0!</v>
      </c>
      <c r="J20" s="83" t="e">
        <f t="shared" si="7"/>
        <v>#DIV/0!</v>
      </c>
      <c r="K20" s="83" t="e">
        <f t="shared" si="7"/>
        <v>#DIV/0!</v>
      </c>
      <c r="L20" s="83" t="e">
        <f t="shared" si="7"/>
        <v>#DIV/0!</v>
      </c>
      <c r="M20" s="83" t="e">
        <f t="shared" si="7"/>
        <v>#DIV/0!</v>
      </c>
      <c r="N20" s="83" t="e">
        <f t="shared" si="7"/>
        <v>#DIV/0!</v>
      </c>
      <c r="O20" s="83" t="e">
        <f t="shared" si="7"/>
        <v>#DIV/0!</v>
      </c>
      <c r="P20" s="83" t="e">
        <f t="shared" si="7"/>
        <v>#DIV/0!</v>
      </c>
      <c r="Q20" s="83" t="e">
        <f t="shared" si="7"/>
        <v>#DIV/0!</v>
      </c>
      <c r="R20" s="83" t="e">
        <f t="shared" si="7"/>
        <v>#DIV/0!</v>
      </c>
      <c r="S20" s="83" t="e">
        <f t="shared" si="7"/>
        <v>#DIV/0!</v>
      </c>
      <c r="T20" s="83" t="e">
        <f t="shared" si="7"/>
        <v>#DIV/0!</v>
      </c>
      <c r="U20" s="83" t="e">
        <f t="shared" si="7"/>
        <v>#DIV/0!</v>
      </c>
      <c r="V20" s="83" t="e">
        <f t="shared" si="7"/>
        <v>#DIV/0!</v>
      </c>
      <c r="W20" s="83" t="e">
        <f t="shared" si="7"/>
        <v>#DIV/0!</v>
      </c>
      <c r="X20" s="83" t="e">
        <f t="shared" si="7"/>
        <v>#DIV/0!</v>
      </c>
      <c r="Y20" s="83" t="e">
        <f t="shared" si="7"/>
        <v>#DIV/0!</v>
      </c>
      <c r="Z20" s="83" t="e">
        <f t="shared" si="7"/>
        <v>#DIV/0!</v>
      </c>
      <c r="AA20" s="84" t="e">
        <f>SUM(F16:Z16)/$F44</f>
        <v>#DIV/0!</v>
      </c>
    </row>
    <row r="21" spans="1:27" outlineLevel="1" x14ac:dyDescent="0.25">
      <c r="A21" s="39" t="str">
        <f t="shared" si="3"/>
        <v>NHL NTE 240</v>
      </c>
      <c r="B21" s="39"/>
      <c r="D21" s="67" t="s">
        <v>39</v>
      </c>
      <c r="E21" s="68" t="str">
        <f>E15</f>
        <v>тыс. руб.</v>
      </c>
      <c r="F21" s="74"/>
      <c r="G21" s="85">
        <f>G23*G24</f>
        <v>23350.891901443927</v>
      </c>
      <c r="H21" s="85">
        <f t="shared" ref="H21:Z21" si="8">H23*H24</f>
        <v>23973.239770076794</v>
      </c>
      <c r="I21" s="85">
        <f t="shared" si="8"/>
        <v>25262.238639933428</v>
      </c>
      <c r="J21" s="85">
        <f t="shared" si="8"/>
        <v>24670.588938151588</v>
      </c>
      <c r="K21" s="85">
        <f t="shared" si="8"/>
        <v>26772.537404890878</v>
      </c>
      <c r="L21" s="85">
        <f t="shared" si="8"/>
        <v>27141.336738406553</v>
      </c>
      <c r="M21" s="85">
        <f t="shared" si="8"/>
        <v>26163.630897392395</v>
      </c>
      <c r="N21" s="85">
        <f t="shared" si="8"/>
        <v>25757.887352148769</v>
      </c>
      <c r="O21" s="85">
        <f t="shared" si="8"/>
        <v>27035.926439640709</v>
      </c>
      <c r="P21" s="85">
        <f t="shared" si="8"/>
        <v>26774.375037290189</v>
      </c>
      <c r="Q21" s="85">
        <f t="shared" si="8"/>
        <v>26160.237747201787</v>
      </c>
      <c r="R21" s="85">
        <f t="shared" si="8"/>
        <v>27304.146162699904</v>
      </c>
      <c r="S21" s="85">
        <f t="shared" si="8"/>
        <v>28014.605105325394</v>
      </c>
      <c r="T21" s="85">
        <f t="shared" si="8"/>
        <v>28194.551626784145</v>
      </c>
      <c r="U21" s="85">
        <f t="shared" si="8"/>
        <v>27117.326938520349</v>
      </c>
      <c r="V21" s="85">
        <f t="shared" si="8"/>
        <v>27537.594428331719</v>
      </c>
      <c r="W21" s="85">
        <f t="shared" si="8"/>
        <v>25645.393969817691</v>
      </c>
      <c r="X21" s="85">
        <f t="shared" si="8"/>
        <v>25726.99009171965</v>
      </c>
      <c r="Y21" s="85">
        <f t="shared" si="8"/>
        <v>28176.106059355105</v>
      </c>
      <c r="Z21" s="85">
        <f t="shared" si="8"/>
        <v>28511.949052964963</v>
      </c>
    </row>
    <row r="22" spans="1:27" outlineLevel="1" x14ac:dyDescent="0.25">
      <c r="A22" s="39" t="str">
        <f t="shared" si="3"/>
        <v>NHL NTE 240</v>
      </c>
      <c r="B22" s="39"/>
      <c r="D22" s="31" t="s">
        <v>64</v>
      </c>
      <c r="E22" s="9" t="s">
        <v>65</v>
      </c>
      <c r="F22" s="86">
        <f>SUMIFS('ФОТ, МТР, макро'!$Z$4:$Z$20,'ФОТ, МТР, макро'!$W$4:$W$20,$A22)</f>
        <v>7.4999999999999997E-2</v>
      </c>
      <c r="G22" s="87">
        <f>F22</f>
        <v>7.4999999999999997E-2</v>
      </c>
      <c r="H22" s="87">
        <f t="shared" ref="H22:Z22" si="9">G22</f>
        <v>7.4999999999999997E-2</v>
      </c>
      <c r="I22" s="87">
        <f t="shared" si="9"/>
        <v>7.4999999999999997E-2</v>
      </c>
      <c r="J22" s="87">
        <f t="shared" si="9"/>
        <v>7.4999999999999997E-2</v>
      </c>
      <c r="K22" s="87">
        <f t="shared" si="9"/>
        <v>7.4999999999999997E-2</v>
      </c>
      <c r="L22" s="87">
        <f t="shared" si="9"/>
        <v>7.4999999999999997E-2</v>
      </c>
      <c r="M22" s="87">
        <f t="shared" si="9"/>
        <v>7.4999999999999997E-2</v>
      </c>
      <c r="N22" s="87">
        <f t="shared" si="9"/>
        <v>7.4999999999999997E-2</v>
      </c>
      <c r="O22" s="87">
        <f t="shared" si="9"/>
        <v>7.4999999999999997E-2</v>
      </c>
      <c r="P22" s="87">
        <f t="shared" si="9"/>
        <v>7.4999999999999997E-2</v>
      </c>
      <c r="Q22" s="87">
        <f t="shared" si="9"/>
        <v>7.4999999999999997E-2</v>
      </c>
      <c r="R22" s="87">
        <f t="shared" si="9"/>
        <v>7.4999999999999997E-2</v>
      </c>
      <c r="S22" s="87">
        <f t="shared" si="9"/>
        <v>7.4999999999999997E-2</v>
      </c>
      <c r="T22" s="87">
        <f t="shared" si="9"/>
        <v>7.4999999999999997E-2</v>
      </c>
      <c r="U22" s="87">
        <f t="shared" si="9"/>
        <v>7.4999999999999997E-2</v>
      </c>
      <c r="V22" s="87">
        <f t="shared" si="9"/>
        <v>7.4999999999999997E-2</v>
      </c>
      <c r="W22" s="87">
        <f t="shared" si="9"/>
        <v>7.4999999999999997E-2</v>
      </c>
      <c r="X22" s="87">
        <f t="shared" si="9"/>
        <v>7.4999999999999997E-2</v>
      </c>
      <c r="Y22" s="87">
        <f t="shared" si="9"/>
        <v>7.4999999999999997E-2</v>
      </c>
      <c r="Z22" s="87">
        <f t="shared" si="9"/>
        <v>7.4999999999999997E-2</v>
      </c>
    </row>
    <row r="23" spans="1:27" outlineLevel="1" x14ac:dyDescent="0.25">
      <c r="A23" s="39" t="str">
        <f t="shared" si="3"/>
        <v>NHL NTE 240</v>
      </c>
      <c r="B23" s="39"/>
      <c r="D23" s="31" t="s">
        <v>66</v>
      </c>
      <c r="E23" s="9" t="s">
        <v>67</v>
      </c>
      <c r="F23" s="74"/>
      <c r="G23" s="78">
        <f>G13*G22</f>
        <v>7.8217445990644716</v>
      </c>
      <c r="H23" s="78">
        <f t="shared" ref="H23:Y23" si="10">H13*H22</f>
        <v>8.0302097018435834</v>
      </c>
      <c r="I23" s="78">
        <f t="shared" si="10"/>
        <v>8.4619799310517401</v>
      </c>
      <c r="J23" s="78">
        <f t="shared" si="10"/>
        <v>8.2637976569449396</v>
      </c>
      <c r="K23" s="78">
        <f t="shared" si="10"/>
        <v>8.9678780037094779</v>
      </c>
      <c r="L23" s="78">
        <f t="shared" si="10"/>
        <v>9.0914130792534849</v>
      </c>
      <c r="M23" s="78">
        <f t="shared" si="10"/>
        <v>8.7639152939995775</v>
      </c>
      <c r="N23" s="78">
        <f t="shared" si="10"/>
        <v>8.6280051798587838</v>
      </c>
      <c r="O23" s="78">
        <f t="shared" si="10"/>
        <v>9.0561042594217884</v>
      </c>
      <c r="P23" s="78">
        <f t="shared" si="10"/>
        <v>8.968493547276509</v>
      </c>
      <c r="Q23" s="78">
        <f t="shared" si="10"/>
        <v>8.7627787055433757</v>
      </c>
      <c r="R23" s="78">
        <f t="shared" si="10"/>
        <v>9.1459486293523042</v>
      </c>
      <c r="S23" s="78">
        <f t="shared" si="10"/>
        <v>9.3839279074369397</v>
      </c>
      <c r="T23" s="78">
        <f t="shared" si="10"/>
        <v>9.44420379489687</v>
      </c>
      <c r="U23" s="78">
        <f t="shared" si="10"/>
        <v>9.0833706231718434</v>
      </c>
      <c r="V23" s="78">
        <f t="shared" si="10"/>
        <v>9.2241457585486284</v>
      </c>
      <c r="W23" s="78">
        <f t="shared" si="10"/>
        <v>8.5903237709690359</v>
      </c>
      <c r="X23" s="78">
        <f t="shared" si="10"/>
        <v>8.6176556616944513</v>
      </c>
      <c r="Y23" s="78">
        <f t="shared" si="10"/>
        <v>9.4380251650602141</v>
      </c>
      <c r="Z23" s="78">
        <f>Z13*Z22</f>
        <v>9.550521001728411</v>
      </c>
      <c r="AA23" s="88">
        <f>SUM(F13:Z13)*F22-SUM(F23:Z23)</f>
        <v>0</v>
      </c>
    </row>
    <row r="24" spans="1:27" outlineLevel="1" x14ac:dyDescent="0.25">
      <c r="A24" s="39" t="str">
        <f t="shared" si="3"/>
        <v>NHL NTE 240</v>
      </c>
      <c r="B24" s="39"/>
      <c r="D24" s="31" t="s">
        <v>68</v>
      </c>
      <c r="E24" s="9" t="s">
        <v>69</v>
      </c>
      <c r="F24" s="78">
        <f>SUMIFS('ФОТ, МТР, макро'!$AA$4:$AA$20,'ФОТ, МТР, макро'!$W$4:$W$20,$A24)</f>
        <v>2985.3815355000002</v>
      </c>
      <c r="G24" s="89">
        <f>F24</f>
        <v>2985.3815355000002</v>
      </c>
      <c r="H24" s="89">
        <f t="shared" ref="H24:Z24" si="11">G24</f>
        <v>2985.3815355000002</v>
      </c>
      <c r="I24" s="89">
        <f t="shared" si="11"/>
        <v>2985.3815355000002</v>
      </c>
      <c r="J24" s="89">
        <f t="shared" si="11"/>
        <v>2985.3815355000002</v>
      </c>
      <c r="K24" s="89">
        <f t="shared" si="11"/>
        <v>2985.3815355000002</v>
      </c>
      <c r="L24" s="89">
        <f t="shared" si="11"/>
        <v>2985.3815355000002</v>
      </c>
      <c r="M24" s="89">
        <f t="shared" si="11"/>
        <v>2985.3815355000002</v>
      </c>
      <c r="N24" s="89">
        <f t="shared" si="11"/>
        <v>2985.3815355000002</v>
      </c>
      <c r="O24" s="89">
        <f t="shared" si="11"/>
        <v>2985.3815355000002</v>
      </c>
      <c r="P24" s="89">
        <f t="shared" si="11"/>
        <v>2985.3815355000002</v>
      </c>
      <c r="Q24" s="89">
        <f t="shared" si="11"/>
        <v>2985.3815355000002</v>
      </c>
      <c r="R24" s="89">
        <f t="shared" si="11"/>
        <v>2985.3815355000002</v>
      </c>
      <c r="S24" s="89">
        <f t="shared" si="11"/>
        <v>2985.3815355000002</v>
      </c>
      <c r="T24" s="89">
        <f t="shared" si="11"/>
        <v>2985.3815355000002</v>
      </c>
      <c r="U24" s="89">
        <f t="shared" si="11"/>
        <v>2985.3815355000002</v>
      </c>
      <c r="V24" s="89">
        <f t="shared" si="11"/>
        <v>2985.3815355000002</v>
      </c>
      <c r="W24" s="89">
        <f t="shared" si="11"/>
        <v>2985.3815355000002</v>
      </c>
      <c r="X24" s="89">
        <f t="shared" si="11"/>
        <v>2985.3815355000002</v>
      </c>
      <c r="Y24" s="89">
        <f t="shared" si="11"/>
        <v>2985.3815355000002</v>
      </c>
      <c r="Z24" s="89">
        <f t="shared" si="11"/>
        <v>2985.3815355000002</v>
      </c>
    </row>
    <row r="25" spans="1:27" outlineLevel="1" x14ac:dyDescent="0.25">
      <c r="A25" s="39" t="str">
        <f t="shared" si="3"/>
        <v>NHL NTE 240</v>
      </c>
      <c r="B25" s="39"/>
      <c r="D25" s="67" t="s">
        <v>70</v>
      </c>
      <c r="E25" s="68" t="str">
        <f>E15</f>
        <v>тыс. руб.</v>
      </c>
      <c r="F25" s="89"/>
      <c r="G25" s="85">
        <f>G28*G29</f>
        <v>69429.77694908902</v>
      </c>
      <c r="H25" s="85">
        <f t="shared" ref="H25:Z25" si="12">H28*H29</f>
        <v>71280.219060092466</v>
      </c>
      <c r="I25" s="85">
        <f t="shared" si="12"/>
        <v>75112.830867791345</v>
      </c>
      <c r="J25" s="85">
        <f t="shared" si="12"/>
        <v>73353.664365711476</v>
      </c>
      <c r="K25" s="85">
        <f t="shared" si="12"/>
        <v>79603.439056123389</v>
      </c>
      <c r="L25" s="85">
        <f t="shared" si="12"/>
        <v>80699.999117856307</v>
      </c>
      <c r="M25" s="85">
        <f t="shared" si="12"/>
        <v>77792.962472320811</v>
      </c>
      <c r="N25" s="85">
        <f t="shared" si="12"/>
        <v>76586.55528394891</v>
      </c>
      <c r="O25" s="85">
        <f t="shared" si="12"/>
        <v>80386.580103184897</v>
      </c>
      <c r="P25" s="85">
        <f t="shared" si="12"/>
        <v>79608.902933397825</v>
      </c>
      <c r="Q25" s="85">
        <f t="shared" si="12"/>
        <v>77782.873536023122</v>
      </c>
      <c r="R25" s="85">
        <f t="shared" si="12"/>
        <v>81184.084353726808</v>
      </c>
      <c r="S25" s="85">
        <f t="shared" si="12"/>
        <v>83296.509272062496</v>
      </c>
      <c r="T25" s="85">
        <f t="shared" si="12"/>
        <v>83831.548657297841</v>
      </c>
      <c r="U25" s="85">
        <f t="shared" si="12"/>
        <v>80628.610193710381</v>
      </c>
      <c r="V25" s="85">
        <f t="shared" si="12"/>
        <v>81878.201781034411</v>
      </c>
      <c r="W25" s="85">
        <f t="shared" si="12"/>
        <v>76252.075963995725</v>
      </c>
      <c r="X25" s="85">
        <f t="shared" si="12"/>
        <v>76494.687705229197</v>
      </c>
      <c r="Y25" s="85">
        <f t="shared" si="12"/>
        <v>83776.70400135481</v>
      </c>
      <c r="Z25" s="85">
        <f t="shared" si="12"/>
        <v>84775.274173092213</v>
      </c>
    </row>
    <row r="26" spans="1:27" outlineLevel="1" x14ac:dyDescent="0.25">
      <c r="A26" s="39" t="str">
        <f t="shared" si="3"/>
        <v>NHL NTE 240</v>
      </c>
      <c r="B26" s="39"/>
      <c r="D26" s="31" t="s">
        <v>64</v>
      </c>
      <c r="E26" s="77" t="str">
        <f>VLOOKUP($A26,'ФОТ, МТР, макро'!$N$4:$Q$20,4,FALSE)</f>
        <v>г/ткм</v>
      </c>
      <c r="F26" s="90">
        <f>IF($E26="г/ткм",SUMIFS('ФОТ, МТР, макро'!$O$4:$O$20,'ФОТ, МТР, макро'!$N$4:$N$20,$A26),SUMIFS('ФОТ, МТР, макро'!$P$4:$P$20,'ФОТ, МТР, макро'!$N$4:$N$20,$A26))</f>
        <v>90</v>
      </c>
      <c r="G26" s="91">
        <f>F26</f>
        <v>90</v>
      </c>
      <c r="H26" s="91">
        <f t="shared" ref="H26:Z26" si="13">G26</f>
        <v>90</v>
      </c>
      <c r="I26" s="91">
        <f t="shared" si="13"/>
        <v>90</v>
      </c>
      <c r="J26" s="91">
        <f t="shared" si="13"/>
        <v>90</v>
      </c>
      <c r="K26" s="91">
        <f t="shared" si="13"/>
        <v>90</v>
      </c>
      <c r="L26" s="91">
        <f t="shared" si="13"/>
        <v>90</v>
      </c>
      <c r="M26" s="91">
        <f t="shared" si="13"/>
        <v>90</v>
      </c>
      <c r="N26" s="91">
        <f t="shared" si="13"/>
        <v>90</v>
      </c>
      <c r="O26" s="91">
        <f t="shared" si="13"/>
        <v>90</v>
      </c>
      <c r="P26" s="91">
        <f t="shared" si="13"/>
        <v>90</v>
      </c>
      <c r="Q26" s="91">
        <f t="shared" si="13"/>
        <v>90</v>
      </c>
      <c r="R26" s="91">
        <f t="shared" si="13"/>
        <v>90</v>
      </c>
      <c r="S26" s="91">
        <f t="shared" si="13"/>
        <v>90</v>
      </c>
      <c r="T26" s="91">
        <f t="shared" si="13"/>
        <v>90</v>
      </c>
      <c r="U26" s="91">
        <f t="shared" si="13"/>
        <v>90</v>
      </c>
      <c r="V26" s="91">
        <f t="shared" si="13"/>
        <v>90</v>
      </c>
      <c r="W26" s="91">
        <f t="shared" si="13"/>
        <v>90</v>
      </c>
      <c r="X26" s="91">
        <f t="shared" si="13"/>
        <v>90</v>
      </c>
      <c r="Y26" s="91">
        <f t="shared" si="13"/>
        <v>90</v>
      </c>
      <c r="Z26" s="91">
        <f t="shared" si="13"/>
        <v>90</v>
      </c>
      <c r="AA26" s="92"/>
    </row>
    <row r="27" spans="1:27" outlineLevel="1" x14ac:dyDescent="0.25">
      <c r="A27" s="39" t="str">
        <f t="shared" si="3"/>
        <v>NHL NTE 240</v>
      </c>
      <c r="B27" s="39"/>
      <c r="D27" s="93" t="s">
        <v>71</v>
      </c>
      <c r="E27" s="94" t="str">
        <f>IF(E26='ФОТ, МТР, макро'!$O$4,'ФОТ, МТР, макро'!$P$4,'ФОТ, МТР, макро'!$O$4)</f>
        <v>л/час</v>
      </c>
      <c r="F27" s="95"/>
      <c r="G27" s="96">
        <f>IF($E26="г/ткм",G28*1000/(365*24*G9),G28/G11*1000)</f>
        <v>149.27598280152583</v>
      </c>
      <c r="H27" s="96">
        <f t="shared" ref="H27:Z27" si="14">IF($E26="г/ткм",H28*1000/(365*24*H9),H28/H11*1000)</f>
        <v>154.43547627639742</v>
      </c>
      <c r="I27" s="96">
        <f t="shared" si="14"/>
        <v>163.1152666815189</v>
      </c>
      <c r="J27" s="96">
        <f t="shared" si="14"/>
        <v>161.48645781561225</v>
      </c>
      <c r="K27" s="96">
        <f t="shared" si="14"/>
        <v>170.56482154465581</v>
      </c>
      <c r="L27" s="96">
        <f t="shared" si="14"/>
        <v>175.09222779008374</v>
      </c>
      <c r="M27" s="96">
        <f t="shared" si="14"/>
        <v>167.05503221901526</v>
      </c>
      <c r="N27" s="96">
        <f t="shared" si="14"/>
        <v>168.09837558947657</v>
      </c>
      <c r="O27" s="96">
        <f t="shared" si="14"/>
        <v>175.29873270457776</v>
      </c>
      <c r="P27" s="96">
        <f t="shared" si="14"/>
        <v>170.77960595711855</v>
      </c>
      <c r="Q27" s="96">
        <f t="shared" si="14"/>
        <v>170.07365538284944</v>
      </c>
      <c r="R27" s="96">
        <f t="shared" si="14"/>
        <v>177.76932022897032</v>
      </c>
      <c r="S27" s="96">
        <f t="shared" si="14"/>
        <v>178.39304288783683</v>
      </c>
      <c r="T27" s="96">
        <f t="shared" si="14"/>
        <v>179.75256222987173</v>
      </c>
      <c r="U27" s="96">
        <f t="shared" si="14"/>
        <v>179.4622518515138</v>
      </c>
      <c r="V27" s="96">
        <f t="shared" si="14"/>
        <v>176.91149390653479</v>
      </c>
      <c r="W27" s="96">
        <f t="shared" si="14"/>
        <v>163.22863916277149</v>
      </c>
      <c r="X27" s="96">
        <f t="shared" si="14"/>
        <v>169.09135119226048</v>
      </c>
      <c r="Y27" s="96">
        <f t="shared" si="14"/>
        <v>179.29359821471127</v>
      </c>
      <c r="Z27" s="96">
        <f t="shared" si="14"/>
        <v>183.87665751817727</v>
      </c>
      <c r="AA27" s="92"/>
    </row>
    <row r="28" spans="1:27" outlineLevel="1" x14ac:dyDescent="0.25">
      <c r="A28" s="39" t="str">
        <f t="shared" si="3"/>
        <v>NHL NTE 240</v>
      </c>
      <c r="B28" s="39"/>
      <c r="D28" s="31" t="s">
        <v>66</v>
      </c>
      <c r="E28" s="9" t="s">
        <v>11</v>
      </c>
      <c r="F28" s="89"/>
      <c r="G28" s="78">
        <f>IF($E26="г/ткм",G11*G26/1000,365*24*G9*G26*0.85/1000)</f>
        <v>1051.6648483226145</v>
      </c>
      <c r="H28" s="78">
        <f t="shared" ref="H28:Z28" si="15">IF($E26="г/ткм",H11*H26/1000,365*24*H9*H26*0.85/1000)</f>
        <v>1079.6938152516773</v>
      </c>
      <c r="I28" s="78">
        <f t="shared" si="15"/>
        <v>1137.7470496496308</v>
      </c>
      <c r="J28" s="78">
        <f t="shared" si="15"/>
        <v>1111.1006501668751</v>
      </c>
      <c r="K28" s="78">
        <f t="shared" si="15"/>
        <v>1205.7670691107544</v>
      </c>
      <c r="L28" s="78">
        <f t="shared" si="15"/>
        <v>1222.3768541579484</v>
      </c>
      <c r="M28" s="78">
        <f t="shared" si="15"/>
        <v>1178.3434669394189</v>
      </c>
      <c r="N28" s="78">
        <f t="shared" si="15"/>
        <v>1160.0698084527328</v>
      </c>
      <c r="O28" s="78">
        <f t="shared" si="15"/>
        <v>1217.6294420962975</v>
      </c>
      <c r="P28" s="78">
        <f t="shared" si="15"/>
        <v>1205.8498314055157</v>
      </c>
      <c r="Q28" s="78">
        <f t="shared" si="15"/>
        <v>1178.1906480751293</v>
      </c>
      <c r="R28" s="78">
        <f t="shared" si="15"/>
        <v>1229.7093770109352</v>
      </c>
      <c r="S28" s="78">
        <f t="shared" si="15"/>
        <v>1261.7066428665264</v>
      </c>
      <c r="T28" s="78">
        <f t="shared" si="15"/>
        <v>1269.810977039064</v>
      </c>
      <c r="U28" s="78">
        <f t="shared" si="15"/>
        <v>1221.2955137679469</v>
      </c>
      <c r="V28" s="78">
        <f t="shared" si="15"/>
        <v>1240.2232938198974</v>
      </c>
      <c r="W28" s="78">
        <f t="shared" si="15"/>
        <v>1155.0033923018707</v>
      </c>
      <c r="X28" s="78">
        <f t="shared" si="15"/>
        <v>1158.6782743374658</v>
      </c>
      <c r="Y28" s="78">
        <f t="shared" si="15"/>
        <v>1268.9802355430063</v>
      </c>
      <c r="Z28" s="78">
        <f t="shared" si="15"/>
        <v>1284.1057507663918</v>
      </c>
      <c r="AA28" s="92"/>
    </row>
    <row r="29" spans="1:27" outlineLevel="1" x14ac:dyDescent="0.25">
      <c r="A29" s="39" t="str">
        <f t="shared" si="3"/>
        <v>NHL NTE 240</v>
      </c>
      <c r="B29" s="39"/>
      <c r="D29" s="31" t="s">
        <v>68</v>
      </c>
      <c r="E29" s="9" t="s">
        <v>72</v>
      </c>
      <c r="F29" s="78">
        <f>'ФОТ, МТР, макро'!$G$2</f>
        <v>66.018919487352079</v>
      </c>
      <c r="G29" s="89">
        <f>F29</f>
        <v>66.018919487352079</v>
      </c>
      <c r="H29" s="89">
        <f t="shared" ref="H29:Z29" si="16">G29</f>
        <v>66.018919487352079</v>
      </c>
      <c r="I29" s="89">
        <f t="shared" si="16"/>
        <v>66.018919487352079</v>
      </c>
      <c r="J29" s="89">
        <f t="shared" si="16"/>
        <v>66.018919487352079</v>
      </c>
      <c r="K29" s="89">
        <f t="shared" si="16"/>
        <v>66.018919487352079</v>
      </c>
      <c r="L29" s="89">
        <f t="shared" si="16"/>
        <v>66.018919487352079</v>
      </c>
      <c r="M29" s="89">
        <f t="shared" si="16"/>
        <v>66.018919487352079</v>
      </c>
      <c r="N29" s="89">
        <f t="shared" si="16"/>
        <v>66.018919487352079</v>
      </c>
      <c r="O29" s="89">
        <f t="shared" si="16"/>
        <v>66.018919487352079</v>
      </c>
      <c r="P29" s="89">
        <f t="shared" si="16"/>
        <v>66.018919487352079</v>
      </c>
      <c r="Q29" s="89">
        <f t="shared" si="16"/>
        <v>66.018919487352079</v>
      </c>
      <c r="R29" s="89">
        <f t="shared" si="16"/>
        <v>66.018919487352079</v>
      </c>
      <c r="S29" s="89">
        <f t="shared" si="16"/>
        <v>66.018919487352079</v>
      </c>
      <c r="T29" s="89">
        <f t="shared" si="16"/>
        <v>66.018919487352079</v>
      </c>
      <c r="U29" s="89">
        <f t="shared" si="16"/>
        <v>66.018919487352079</v>
      </c>
      <c r="V29" s="89">
        <f t="shared" si="16"/>
        <v>66.018919487352079</v>
      </c>
      <c r="W29" s="89">
        <f t="shared" si="16"/>
        <v>66.018919487352079</v>
      </c>
      <c r="X29" s="89">
        <f t="shared" si="16"/>
        <v>66.018919487352079</v>
      </c>
      <c r="Y29" s="89">
        <f t="shared" si="16"/>
        <v>66.018919487352079</v>
      </c>
      <c r="Z29" s="89">
        <f t="shared" si="16"/>
        <v>66.018919487352079</v>
      </c>
    </row>
    <row r="30" spans="1:27" outlineLevel="1" x14ac:dyDescent="0.25">
      <c r="A30" s="39" t="str">
        <f t="shared" si="3"/>
        <v>NHL NTE 240</v>
      </c>
      <c r="B30" s="39"/>
      <c r="C30" s="619" t="str">
        <f>C16</f>
        <v>ТО, ТР, ППР</v>
      </c>
      <c r="D30" s="218" t="s">
        <v>73</v>
      </c>
      <c r="E30" s="68" t="str">
        <f>E15</f>
        <v>тыс. руб.</v>
      </c>
      <c r="F30" s="30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7" outlineLevel="1" x14ac:dyDescent="0.25">
      <c r="A31" s="39" t="str">
        <f t="shared" si="3"/>
        <v>NHL NTE 240</v>
      </c>
      <c r="B31" s="39"/>
      <c r="D31" s="67"/>
      <c r="E31" s="68"/>
      <c r="F31" s="30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7" outlineLevel="1" x14ac:dyDescent="0.25">
      <c r="A32" s="39" t="str">
        <f t="shared" si="3"/>
        <v>NHL NTE 240</v>
      </c>
      <c r="B32" s="39"/>
      <c r="D32" s="67" t="s">
        <v>74</v>
      </c>
      <c r="E32" s="68" t="str">
        <f>E15</f>
        <v>тыс. руб.</v>
      </c>
      <c r="F32" s="74"/>
      <c r="G32" s="85">
        <f>G33+G34+G35</f>
        <v>18475.596240662097</v>
      </c>
      <c r="H32" s="85">
        <f t="shared" ref="H32:Z32" si="17">H33+H34+H35</f>
        <v>18475.596240662097</v>
      </c>
      <c r="I32" s="85">
        <f t="shared" si="17"/>
        <v>18475.596240662097</v>
      </c>
      <c r="J32" s="85">
        <f t="shared" si="17"/>
        <v>18475.596240662097</v>
      </c>
      <c r="K32" s="85">
        <f t="shared" si="17"/>
        <v>18475.596240662097</v>
      </c>
      <c r="L32" s="85">
        <f t="shared" si="17"/>
        <v>18475.596240662097</v>
      </c>
      <c r="M32" s="85">
        <f t="shared" si="17"/>
        <v>18475.596240662097</v>
      </c>
      <c r="N32" s="85">
        <f t="shared" si="17"/>
        <v>18475.596240662097</v>
      </c>
      <c r="O32" s="85">
        <f t="shared" si="17"/>
        <v>18475.596240662097</v>
      </c>
      <c r="P32" s="85">
        <f t="shared" si="17"/>
        <v>18475.596240662097</v>
      </c>
      <c r="Q32" s="85">
        <f t="shared" si="17"/>
        <v>18475.596240662097</v>
      </c>
      <c r="R32" s="85">
        <f t="shared" si="17"/>
        <v>18475.596240662097</v>
      </c>
      <c r="S32" s="85">
        <f t="shared" si="17"/>
        <v>18475.596240662097</v>
      </c>
      <c r="T32" s="85">
        <f t="shared" si="17"/>
        <v>18475.596240662097</v>
      </c>
      <c r="U32" s="85">
        <f t="shared" si="17"/>
        <v>18475.596240662097</v>
      </c>
      <c r="V32" s="85">
        <f t="shared" si="17"/>
        <v>18475.596240662097</v>
      </c>
      <c r="W32" s="85">
        <f t="shared" si="17"/>
        <v>18475.596240662097</v>
      </c>
      <c r="X32" s="85">
        <f t="shared" si="17"/>
        <v>18475.596240662097</v>
      </c>
      <c r="Y32" s="85">
        <f t="shared" si="17"/>
        <v>18475.596240662097</v>
      </c>
      <c r="Z32" s="85">
        <f t="shared" si="17"/>
        <v>18475.596240662097</v>
      </c>
    </row>
    <row r="33" spans="1:28" outlineLevel="1" x14ac:dyDescent="0.25">
      <c r="A33" s="39" t="str">
        <f t="shared" si="3"/>
        <v>NHL NTE 240</v>
      </c>
      <c r="B33" s="39"/>
      <c r="D33" s="31" t="s">
        <v>257</v>
      </c>
      <c r="E33" s="9" t="str">
        <f>E32</f>
        <v>тыс. руб.</v>
      </c>
      <c r="F33" s="78">
        <f>'ФОТ, МТР, макро'!$B$4*'ФОТ, МТР, макро'!$B$7</f>
        <v>11107.5</v>
      </c>
      <c r="G33" s="89">
        <f>IF(G10=0,0,$F33)</f>
        <v>11107.5</v>
      </c>
      <c r="H33" s="89">
        <f t="shared" ref="H33:Z33" si="18">IF(H10=0,0,$F33)</f>
        <v>11107.5</v>
      </c>
      <c r="I33" s="89">
        <f t="shared" si="18"/>
        <v>11107.5</v>
      </c>
      <c r="J33" s="89">
        <f t="shared" si="18"/>
        <v>11107.5</v>
      </c>
      <c r="K33" s="89">
        <f t="shared" si="18"/>
        <v>11107.5</v>
      </c>
      <c r="L33" s="89">
        <f t="shared" si="18"/>
        <v>11107.5</v>
      </c>
      <c r="M33" s="89">
        <f t="shared" si="18"/>
        <v>11107.5</v>
      </c>
      <c r="N33" s="89">
        <f t="shared" si="18"/>
        <v>11107.5</v>
      </c>
      <c r="O33" s="89">
        <f t="shared" si="18"/>
        <v>11107.5</v>
      </c>
      <c r="P33" s="89">
        <f t="shared" si="18"/>
        <v>11107.5</v>
      </c>
      <c r="Q33" s="89">
        <f t="shared" si="18"/>
        <v>11107.5</v>
      </c>
      <c r="R33" s="89">
        <f t="shared" si="18"/>
        <v>11107.5</v>
      </c>
      <c r="S33" s="89">
        <f t="shared" si="18"/>
        <v>11107.5</v>
      </c>
      <c r="T33" s="89">
        <f t="shared" si="18"/>
        <v>11107.5</v>
      </c>
      <c r="U33" s="89">
        <f t="shared" si="18"/>
        <v>11107.5</v>
      </c>
      <c r="V33" s="89">
        <f t="shared" si="18"/>
        <v>11107.5</v>
      </c>
      <c r="W33" s="89">
        <f t="shared" si="18"/>
        <v>11107.5</v>
      </c>
      <c r="X33" s="89">
        <f t="shared" si="18"/>
        <v>11107.5</v>
      </c>
      <c r="Y33" s="89">
        <f t="shared" si="18"/>
        <v>11107.5</v>
      </c>
      <c r="Z33" s="89">
        <f t="shared" si="18"/>
        <v>11107.5</v>
      </c>
    </row>
    <row r="34" spans="1:28" outlineLevel="1" x14ac:dyDescent="0.25">
      <c r="A34" s="39" t="str">
        <f t="shared" si="3"/>
        <v>NHL NTE 240</v>
      </c>
      <c r="B34" s="39"/>
      <c r="D34" s="31" t="s">
        <v>75</v>
      </c>
      <c r="E34" s="9" t="str">
        <f>E32</f>
        <v>тыс. руб.</v>
      </c>
      <c r="F34" s="97">
        <f>'ФОТ, МТР, макро'!$B$5</f>
        <v>0.377</v>
      </c>
      <c r="G34" s="89">
        <f>G33*$F34</f>
        <v>4187.5275000000001</v>
      </c>
      <c r="H34" s="89">
        <f t="shared" ref="H34:Z34" si="19">H33*$F34</f>
        <v>4187.5275000000001</v>
      </c>
      <c r="I34" s="89">
        <f t="shared" si="19"/>
        <v>4187.5275000000001</v>
      </c>
      <c r="J34" s="89">
        <f t="shared" si="19"/>
        <v>4187.5275000000001</v>
      </c>
      <c r="K34" s="89">
        <f t="shared" si="19"/>
        <v>4187.5275000000001</v>
      </c>
      <c r="L34" s="89">
        <f t="shared" si="19"/>
        <v>4187.5275000000001</v>
      </c>
      <c r="M34" s="89">
        <f t="shared" si="19"/>
        <v>4187.5275000000001</v>
      </c>
      <c r="N34" s="89">
        <f t="shared" si="19"/>
        <v>4187.5275000000001</v>
      </c>
      <c r="O34" s="89">
        <f t="shared" si="19"/>
        <v>4187.5275000000001</v>
      </c>
      <c r="P34" s="89">
        <f t="shared" si="19"/>
        <v>4187.5275000000001</v>
      </c>
      <c r="Q34" s="89">
        <f t="shared" si="19"/>
        <v>4187.5275000000001</v>
      </c>
      <c r="R34" s="89">
        <f t="shared" si="19"/>
        <v>4187.5275000000001</v>
      </c>
      <c r="S34" s="89">
        <f t="shared" si="19"/>
        <v>4187.5275000000001</v>
      </c>
      <c r="T34" s="89">
        <f t="shared" si="19"/>
        <v>4187.5275000000001</v>
      </c>
      <c r="U34" s="89">
        <f t="shared" si="19"/>
        <v>4187.5275000000001</v>
      </c>
      <c r="V34" s="89">
        <f t="shared" si="19"/>
        <v>4187.5275000000001</v>
      </c>
      <c r="W34" s="89">
        <f t="shared" si="19"/>
        <v>4187.5275000000001</v>
      </c>
      <c r="X34" s="89">
        <f t="shared" si="19"/>
        <v>4187.5275000000001</v>
      </c>
      <c r="Y34" s="89">
        <f t="shared" si="19"/>
        <v>4187.5275000000001</v>
      </c>
      <c r="Z34" s="89">
        <f t="shared" si="19"/>
        <v>4187.5275000000001</v>
      </c>
    </row>
    <row r="35" spans="1:28" outlineLevel="1" x14ac:dyDescent="0.25">
      <c r="A35" s="39" t="str">
        <f t="shared" si="3"/>
        <v>NHL NTE 240</v>
      </c>
      <c r="B35" s="39"/>
      <c r="D35" s="31" t="s">
        <v>76</v>
      </c>
      <c r="E35" s="9"/>
      <c r="F35" s="78">
        <f>'ФОТ, МТР, макро'!$C$13*'ФОТ, МТР, макро'!$B$7</f>
        <v>3180.5687406620973</v>
      </c>
      <c r="G35" s="89">
        <f>IF(G10=0,0,$F35)</f>
        <v>3180.5687406620973</v>
      </c>
      <c r="H35" s="89">
        <f t="shared" ref="H35:Z35" si="20">IF(H10=0,0,$F35)</f>
        <v>3180.5687406620973</v>
      </c>
      <c r="I35" s="89">
        <f t="shared" si="20"/>
        <v>3180.5687406620973</v>
      </c>
      <c r="J35" s="89">
        <f t="shared" si="20"/>
        <v>3180.5687406620973</v>
      </c>
      <c r="K35" s="89">
        <f t="shared" si="20"/>
        <v>3180.5687406620973</v>
      </c>
      <c r="L35" s="89">
        <f t="shared" si="20"/>
        <v>3180.5687406620973</v>
      </c>
      <c r="M35" s="89">
        <f t="shared" si="20"/>
        <v>3180.5687406620973</v>
      </c>
      <c r="N35" s="89">
        <f t="shared" si="20"/>
        <v>3180.5687406620973</v>
      </c>
      <c r="O35" s="89">
        <f t="shared" si="20"/>
        <v>3180.5687406620973</v>
      </c>
      <c r="P35" s="89">
        <f t="shared" si="20"/>
        <v>3180.5687406620973</v>
      </c>
      <c r="Q35" s="89">
        <f t="shared" si="20"/>
        <v>3180.5687406620973</v>
      </c>
      <c r="R35" s="89">
        <f t="shared" si="20"/>
        <v>3180.5687406620973</v>
      </c>
      <c r="S35" s="89">
        <f t="shared" si="20"/>
        <v>3180.5687406620973</v>
      </c>
      <c r="T35" s="89">
        <f t="shared" si="20"/>
        <v>3180.5687406620973</v>
      </c>
      <c r="U35" s="89">
        <f t="shared" si="20"/>
        <v>3180.5687406620973</v>
      </c>
      <c r="V35" s="89">
        <f t="shared" si="20"/>
        <v>3180.5687406620973</v>
      </c>
      <c r="W35" s="89">
        <f t="shared" si="20"/>
        <v>3180.5687406620973</v>
      </c>
      <c r="X35" s="89">
        <f t="shared" si="20"/>
        <v>3180.5687406620973</v>
      </c>
      <c r="Y35" s="89">
        <f t="shared" si="20"/>
        <v>3180.5687406620973</v>
      </c>
      <c r="Z35" s="89">
        <f t="shared" si="20"/>
        <v>3180.5687406620973</v>
      </c>
    </row>
    <row r="36" spans="1:28" outlineLevel="1" x14ac:dyDescent="0.25">
      <c r="A36" s="39" t="str">
        <f t="shared" si="3"/>
        <v>NHL NTE 240</v>
      </c>
      <c r="B36" s="39"/>
      <c r="D36" s="98" t="s">
        <v>77</v>
      </c>
      <c r="E36" s="68" t="str">
        <f>E15</f>
        <v>тыс. руб.</v>
      </c>
      <c r="F36" s="74"/>
      <c r="G36" s="85">
        <f>IF(G10=0,0,G37*G38/1000)</f>
        <v>212.5</v>
      </c>
      <c r="H36" s="85">
        <f t="shared" ref="H36:Z36" si="21">IF(H10=0,0,H37*H38/1000)</f>
        <v>212.5</v>
      </c>
      <c r="I36" s="85">
        <f t="shared" si="21"/>
        <v>212.5</v>
      </c>
      <c r="J36" s="85">
        <f t="shared" si="21"/>
        <v>212.5</v>
      </c>
      <c r="K36" s="85">
        <f t="shared" si="21"/>
        <v>212.5</v>
      </c>
      <c r="L36" s="85">
        <f t="shared" si="21"/>
        <v>212.5</v>
      </c>
      <c r="M36" s="85">
        <f t="shared" si="21"/>
        <v>212.5</v>
      </c>
      <c r="N36" s="85">
        <f t="shared" si="21"/>
        <v>212.5</v>
      </c>
      <c r="O36" s="85">
        <f t="shared" si="21"/>
        <v>212.5</v>
      </c>
      <c r="P36" s="85">
        <f t="shared" si="21"/>
        <v>212.5</v>
      </c>
      <c r="Q36" s="85">
        <f t="shared" si="21"/>
        <v>212.5</v>
      </c>
      <c r="R36" s="85">
        <f t="shared" si="21"/>
        <v>212.5</v>
      </c>
      <c r="S36" s="85">
        <f t="shared" si="21"/>
        <v>212.5</v>
      </c>
      <c r="T36" s="85">
        <f t="shared" si="21"/>
        <v>212.5</v>
      </c>
      <c r="U36" s="85">
        <f t="shared" si="21"/>
        <v>212.5</v>
      </c>
      <c r="V36" s="85">
        <f t="shared" si="21"/>
        <v>212.5</v>
      </c>
      <c r="W36" s="85">
        <f t="shared" si="21"/>
        <v>212.5</v>
      </c>
      <c r="X36" s="85">
        <f t="shared" si="21"/>
        <v>212.5</v>
      </c>
      <c r="Y36" s="85">
        <f t="shared" si="21"/>
        <v>212.5</v>
      </c>
      <c r="Z36" s="85">
        <f t="shared" si="21"/>
        <v>212.5</v>
      </c>
    </row>
    <row r="37" spans="1:28" outlineLevel="1" x14ac:dyDescent="0.25">
      <c r="A37" s="39" t="str">
        <f t="shared" si="3"/>
        <v>NHL NTE 240</v>
      </c>
      <c r="B37" s="39"/>
      <c r="D37" s="31" t="s">
        <v>78</v>
      </c>
      <c r="E37" s="9" t="s">
        <v>13</v>
      </c>
      <c r="F37" s="78">
        <f>SUMIFS('ФОТ, МТР, макро'!$AC$4:$AC$20,'ФОТ, МТР, макро'!$W$4:$W$20,$A37)</f>
        <v>2500</v>
      </c>
      <c r="G37" s="89">
        <f>F37</f>
        <v>2500</v>
      </c>
      <c r="H37" s="89">
        <f t="shared" ref="H37:Z37" si="22">G37</f>
        <v>2500</v>
      </c>
      <c r="I37" s="89">
        <f t="shared" si="22"/>
        <v>2500</v>
      </c>
      <c r="J37" s="89">
        <f t="shared" si="22"/>
        <v>2500</v>
      </c>
      <c r="K37" s="89">
        <f t="shared" si="22"/>
        <v>2500</v>
      </c>
      <c r="L37" s="89">
        <f t="shared" si="22"/>
        <v>2500</v>
      </c>
      <c r="M37" s="89">
        <f t="shared" si="22"/>
        <v>2500</v>
      </c>
      <c r="N37" s="89">
        <f t="shared" si="22"/>
        <v>2500</v>
      </c>
      <c r="O37" s="89">
        <f t="shared" si="22"/>
        <v>2500</v>
      </c>
      <c r="P37" s="89">
        <f t="shared" si="22"/>
        <v>2500</v>
      </c>
      <c r="Q37" s="89">
        <f t="shared" si="22"/>
        <v>2500</v>
      </c>
      <c r="R37" s="89">
        <f t="shared" si="22"/>
        <v>2500</v>
      </c>
      <c r="S37" s="89">
        <f t="shared" si="22"/>
        <v>2500</v>
      </c>
      <c r="T37" s="89">
        <f t="shared" si="22"/>
        <v>2500</v>
      </c>
      <c r="U37" s="89">
        <f t="shared" si="22"/>
        <v>2500</v>
      </c>
      <c r="V37" s="89">
        <f t="shared" si="22"/>
        <v>2500</v>
      </c>
      <c r="W37" s="89">
        <f t="shared" si="22"/>
        <v>2500</v>
      </c>
      <c r="X37" s="89">
        <f t="shared" si="22"/>
        <v>2500</v>
      </c>
      <c r="Y37" s="89">
        <f t="shared" si="22"/>
        <v>2500</v>
      </c>
      <c r="Z37" s="89">
        <f t="shared" si="22"/>
        <v>2500</v>
      </c>
    </row>
    <row r="38" spans="1:28" outlineLevel="1" x14ac:dyDescent="0.25">
      <c r="A38" s="39" t="str">
        <f t="shared" si="3"/>
        <v>NHL NTE 240</v>
      </c>
      <c r="B38" s="39"/>
      <c r="D38" s="31" t="s">
        <v>79</v>
      </c>
      <c r="E38" s="9" t="s">
        <v>80</v>
      </c>
      <c r="F38" s="78">
        <f>SUMIFS('ФОТ, МТР, макро'!$AD$4:$AD$20,'ФОТ, МТР, макро'!$W$4:$W$20,$A38)</f>
        <v>85</v>
      </c>
      <c r="G38" s="89">
        <f>F38</f>
        <v>85</v>
      </c>
      <c r="H38" s="89">
        <f t="shared" ref="H38:Z38" si="23">G38</f>
        <v>85</v>
      </c>
      <c r="I38" s="89">
        <f t="shared" si="23"/>
        <v>85</v>
      </c>
      <c r="J38" s="89">
        <f t="shared" si="23"/>
        <v>85</v>
      </c>
      <c r="K38" s="89">
        <f t="shared" si="23"/>
        <v>85</v>
      </c>
      <c r="L38" s="89">
        <f t="shared" si="23"/>
        <v>85</v>
      </c>
      <c r="M38" s="89">
        <f t="shared" si="23"/>
        <v>85</v>
      </c>
      <c r="N38" s="89">
        <f t="shared" si="23"/>
        <v>85</v>
      </c>
      <c r="O38" s="89">
        <f t="shared" si="23"/>
        <v>85</v>
      </c>
      <c r="P38" s="89">
        <f t="shared" si="23"/>
        <v>85</v>
      </c>
      <c r="Q38" s="89">
        <f t="shared" si="23"/>
        <v>85</v>
      </c>
      <c r="R38" s="89">
        <f t="shared" si="23"/>
        <v>85</v>
      </c>
      <c r="S38" s="89">
        <f t="shared" si="23"/>
        <v>85</v>
      </c>
      <c r="T38" s="89">
        <f t="shared" si="23"/>
        <v>85</v>
      </c>
      <c r="U38" s="89">
        <f t="shared" si="23"/>
        <v>85</v>
      </c>
      <c r="V38" s="89">
        <f t="shared" si="23"/>
        <v>85</v>
      </c>
      <c r="W38" s="89">
        <f t="shared" si="23"/>
        <v>85</v>
      </c>
      <c r="X38" s="89">
        <f t="shared" si="23"/>
        <v>85</v>
      </c>
      <c r="Y38" s="89">
        <f t="shared" si="23"/>
        <v>85</v>
      </c>
      <c r="Z38" s="89">
        <f t="shared" si="23"/>
        <v>85</v>
      </c>
    </row>
    <row r="39" spans="1:28" outlineLevel="1" x14ac:dyDescent="0.25">
      <c r="A39" s="39" t="str">
        <f t="shared" si="3"/>
        <v>NHL NTE 240</v>
      </c>
      <c r="B39" s="39"/>
      <c r="C39" s="99">
        <f>SUMIFS('ФОТ, МТР, макро'!$AG$4:$AG$20,'ФОТ, МТР, макро'!$W$4:$W$20,$A39)</f>
        <v>14.117647058823531</v>
      </c>
      <c r="D39" s="98" t="s">
        <v>81</v>
      </c>
      <c r="E39" s="68" t="str">
        <f>E15</f>
        <v>тыс. руб.</v>
      </c>
      <c r="F39" s="85"/>
      <c r="G39" s="100">
        <f>IF(G7&lt;=$C40,$F44*$C39%,"ОШИБКА")</f>
        <v>0</v>
      </c>
      <c r="H39" s="75">
        <f>IF(H7&lt;=$C40,$F44*$C39%,$F44-SUM($G39:G39))</f>
        <v>0</v>
      </c>
      <c r="I39" s="75">
        <f>IF(I7&lt;=$C40,$F44*$C39%,$F44-SUM($G39:H39))</f>
        <v>0</v>
      </c>
      <c r="J39" s="75">
        <f>IF(J7&lt;=$C40,$F44*$C39%,$F44-SUM($G39:I39))</f>
        <v>0</v>
      </c>
      <c r="K39" s="75">
        <f>IF(K7&lt;=$C40,$F44*$C39%,$F44-SUM($G39:J39))</f>
        <v>0</v>
      </c>
      <c r="L39" s="75">
        <f>IF(L7&lt;=$C40,$F44*$C39%,$F44-SUM($G39:K39))</f>
        <v>0</v>
      </c>
      <c r="M39" s="75">
        <f>IF(M7&lt;=$C40,$F44*$C39%,$F44-SUM($G39:L39))</f>
        <v>0</v>
      </c>
      <c r="N39" s="75">
        <f>IF(N7&lt;=$C40,$F44*$C39%,$F44-SUM($G39:M39))</f>
        <v>0</v>
      </c>
      <c r="O39" s="75">
        <f>IF(O7&lt;=$C40,$F44*$C39%,$F44-SUM($G39:N39))</f>
        <v>0</v>
      </c>
      <c r="P39" s="75">
        <f>IF(P7&lt;=$C40,$F44*$C39%,$F44-SUM($G39:O39))</f>
        <v>0</v>
      </c>
      <c r="Q39" s="75">
        <f>IF(Q7&lt;=$C40,$F44*$C39%,$F44-SUM($G39:P39))</f>
        <v>0</v>
      </c>
      <c r="R39" s="75">
        <f>IF(R7&lt;=$C40,$F44*$C39%,$F44-SUM($G39:Q39))</f>
        <v>0</v>
      </c>
      <c r="S39" s="75">
        <f>IF(S7&lt;=$C40,$F44*$C39%,$F44-SUM($G39:R39))</f>
        <v>0</v>
      </c>
      <c r="T39" s="75">
        <f>IF(T7&lt;=$C40,$F44*$C39%,$F44-SUM($G39:S39))</f>
        <v>0</v>
      </c>
      <c r="U39" s="75">
        <f>IF(U7&lt;=$C40,$F44*$C39%,$F44-SUM($G39:T39))</f>
        <v>0</v>
      </c>
      <c r="V39" s="75">
        <f>IF(V7&lt;=$C40,$F44*$C39%,$F44-SUM($G39:U39))</f>
        <v>0</v>
      </c>
      <c r="W39" s="75">
        <f>IF(W7&lt;=$C40,$F44*$C39%,$F44-SUM($G39:V39))</f>
        <v>0</v>
      </c>
      <c r="X39" s="75">
        <f>IF(X7&lt;=$C40,$F44*$C39%,$F44-SUM($G39:W39))</f>
        <v>0</v>
      </c>
      <c r="Y39" s="75">
        <f>IF(Y7&lt;=$C40,$F44*$C39%,$F44-SUM($G39:X39))</f>
        <v>0</v>
      </c>
      <c r="Z39" s="75">
        <f>IF(Z7&lt;=$C40,$F44*$C39%,$F44-SUM($G39:Y39))</f>
        <v>0</v>
      </c>
      <c r="AA39" s="88">
        <f>F44-SUM(G39:Z39)</f>
        <v>0</v>
      </c>
    </row>
    <row r="40" spans="1:28" outlineLevel="1" x14ac:dyDescent="0.25">
      <c r="A40" s="39" t="str">
        <f t="shared" si="3"/>
        <v>NHL NTE 240</v>
      </c>
      <c r="B40" s="39"/>
      <c r="C40" s="99">
        <f>SUMIFS('ФОТ, МТР, макро'!$AF$4:$AF$20,'ФОТ, МТР, макро'!$W$4:$W$20,$A40)/12</f>
        <v>7.083333333333333</v>
      </c>
      <c r="D40" s="98" t="s">
        <v>82</v>
      </c>
      <c r="E40" s="68" t="str">
        <f>E15</f>
        <v>тыс. руб.</v>
      </c>
      <c r="F40" s="69"/>
      <c r="G40" s="69">
        <f>SUM(G16,G21,G25,G30,G32,G36,G39)</f>
        <v>117479.76586217424</v>
      </c>
      <c r="H40" s="69">
        <f t="shared" ref="H40:Z40" si="24">SUM(H16,H21,H25,H30,H32,H36,H39)</f>
        <v>122294.51857637055</v>
      </c>
      <c r="I40" s="69">
        <f t="shared" si="24"/>
        <v>168552.90183282009</v>
      </c>
      <c r="J40" s="69">
        <f t="shared" si="24"/>
        <v>143031.17363570438</v>
      </c>
      <c r="K40" s="69">
        <f t="shared" si="24"/>
        <v>133841.25382288356</v>
      </c>
      <c r="L40" s="69">
        <f t="shared" si="24"/>
        <v>174859.20775208215</v>
      </c>
      <c r="M40" s="69">
        <f t="shared" si="24"/>
        <v>130781.3941207825</v>
      </c>
      <c r="N40" s="69">
        <f t="shared" si="24"/>
        <v>148925.49444113899</v>
      </c>
      <c r="O40" s="69">
        <f t="shared" si="24"/>
        <v>216271.12084682091</v>
      </c>
      <c r="P40" s="69">
        <f t="shared" si="24"/>
        <v>131986.03264492931</v>
      </c>
      <c r="Q40" s="69">
        <f t="shared" si="24"/>
        <v>321435.52290900622</v>
      </c>
      <c r="R40" s="69">
        <f t="shared" si="24"/>
        <v>175632.93603864603</v>
      </c>
      <c r="S40" s="69">
        <f t="shared" si="24"/>
        <v>137539.0691829772</v>
      </c>
      <c r="T40" s="69">
        <f t="shared" si="24"/>
        <v>138382.04646240329</v>
      </c>
      <c r="U40" s="69">
        <f t="shared" si="24"/>
        <v>195388.85995129804</v>
      </c>
      <c r="V40" s="69">
        <f t="shared" si="24"/>
        <v>135787.08629379544</v>
      </c>
      <c r="W40" s="69">
        <f t="shared" si="24"/>
        <v>128165.60821693472</v>
      </c>
      <c r="X40" s="69">
        <f t="shared" si="24"/>
        <v>230974.05556617613</v>
      </c>
      <c r="Y40" s="69">
        <f t="shared" si="24"/>
        <v>138448.27833615121</v>
      </c>
      <c r="Z40" s="69">
        <f t="shared" si="24"/>
        <v>141514.93426885246</v>
      </c>
      <c r="AB40" s="42"/>
    </row>
    <row r="41" spans="1:28" outlineLevel="1" x14ac:dyDescent="0.25">
      <c r="A41" s="39" t="str">
        <f t="shared" si="3"/>
        <v>NHL NTE 240</v>
      </c>
      <c r="B41" s="39"/>
      <c r="D41" s="98" t="s">
        <v>83</v>
      </c>
      <c r="E41" s="68" t="str">
        <f>E15</f>
        <v>тыс. руб.</v>
      </c>
      <c r="F41" s="69"/>
      <c r="G41" s="69">
        <f>-G40*'ФОТ, МТР, макро'!AK$11</f>
        <v>-29369.941465543561</v>
      </c>
      <c r="H41" s="69">
        <f>-H40*'ФОТ, МТР, макро'!AL$11</f>
        <v>-30573.629644092638</v>
      </c>
      <c r="I41" s="69">
        <f>-I40*'ФОТ, МТР, макро'!AM$11</f>
        <v>-42138.225458205023</v>
      </c>
      <c r="J41" s="69">
        <f>-J40*'ФОТ, МТР, макро'!AN$11</f>
        <v>-35757.793408926096</v>
      </c>
      <c r="K41" s="69">
        <f>-K40*'ФОТ, МТР, макро'!AO$11</f>
        <v>-33460.31345572089</v>
      </c>
      <c r="L41" s="69">
        <f>-L40*'ФОТ, МТР, макро'!AP$11</f>
        <v>-43714.801938020537</v>
      </c>
      <c r="M41" s="69">
        <f>-M40*'ФОТ, МТР, макро'!AQ$11</f>
        <v>-32695.348530195624</v>
      </c>
      <c r="N41" s="69">
        <f>-N40*'ФОТ, МТР, макро'!AR$11</f>
        <v>-37231.373610284747</v>
      </c>
      <c r="O41" s="69">
        <f>-O40*'ФОТ, МТР, макро'!AS$11</f>
        <v>-54067.780211705227</v>
      </c>
      <c r="P41" s="69">
        <f>-P40*'ФОТ, МТР, макро'!AT$11</f>
        <v>-32996.508161232327</v>
      </c>
      <c r="Q41" s="69">
        <f>-Q40*'ФОТ, МТР, макро'!AU$11</f>
        <v>-80358.880727251555</v>
      </c>
      <c r="R41" s="69">
        <f>-R40*'ФОТ, МТР, макро'!AV$11</f>
        <v>-43908.234009661508</v>
      </c>
      <c r="S41" s="69">
        <f>-S40*'ФОТ, МТР, макро'!AW$11</f>
        <v>-34384.767295744299</v>
      </c>
      <c r="T41" s="69">
        <f>-T40*'ФОТ, МТР, макро'!AX$11</f>
        <v>-34595.511615600823</v>
      </c>
      <c r="U41" s="69">
        <f>-U40*'ФОТ, МТР, макро'!AY$11</f>
        <v>-48847.214987824511</v>
      </c>
      <c r="V41" s="69">
        <f>-V40*'ФОТ, МТР, макро'!AZ$11</f>
        <v>-33946.771573448859</v>
      </c>
      <c r="W41" s="69">
        <f>-W40*'ФОТ, МТР, макро'!BA$11</f>
        <v>-32041.40205423368</v>
      </c>
      <c r="X41" s="69">
        <f>-X40*'ФОТ, МТР, макро'!BB$11</f>
        <v>-57743.513891544033</v>
      </c>
      <c r="Y41" s="69">
        <f>-Y40*'ФОТ, МТР, макро'!BC$11</f>
        <v>-34612.069584037803</v>
      </c>
      <c r="Z41" s="69">
        <f>-Z40*'ФОТ, МТР, макро'!BD$11</f>
        <v>-35378.733567213116</v>
      </c>
    </row>
    <row r="42" spans="1:28" outlineLevel="1" x14ac:dyDescent="0.25">
      <c r="A42" s="39" t="str">
        <f t="shared" si="3"/>
        <v>NHL NTE 240</v>
      </c>
      <c r="B42" s="39"/>
      <c r="D42" s="101"/>
      <c r="E42" s="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8" outlineLevel="1" x14ac:dyDescent="0.25">
      <c r="A43" s="39" t="str">
        <f t="shared" si="3"/>
        <v>NHL NTE 240</v>
      </c>
      <c r="B43" s="39"/>
      <c r="D43" s="71" t="s">
        <v>84</v>
      </c>
      <c r="E43" s="72" t="str">
        <f>E15</f>
        <v>тыс. руб.</v>
      </c>
      <c r="F43" s="73">
        <f>F44</f>
        <v>0</v>
      </c>
      <c r="G43" s="73">
        <f t="shared" ref="G43:Z43" si="25">G44</f>
        <v>0</v>
      </c>
      <c r="H43" s="73">
        <f t="shared" si="25"/>
        <v>0</v>
      </c>
      <c r="I43" s="73">
        <f t="shared" si="25"/>
        <v>0</v>
      </c>
      <c r="J43" s="73">
        <f t="shared" si="25"/>
        <v>0</v>
      </c>
      <c r="K43" s="73">
        <f t="shared" si="25"/>
        <v>0</v>
      </c>
      <c r="L43" s="73">
        <f t="shared" si="25"/>
        <v>0</v>
      </c>
      <c r="M43" s="73">
        <f t="shared" si="25"/>
        <v>0</v>
      </c>
      <c r="N43" s="73">
        <f t="shared" si="25"/>
        <v>0</v>
      </c>
      <c r="O43" s="73">
        <f t="shared" si="25"/>
        <v>0</v>
      </c>
      <c r="P43" s="73">
        <f t="shared" si="25"/>
        <v>0</v>
      </c>
      <c r="Q43" s="73">
        <f t="shared" si="25"/>
        <v>0</v>
      </c>
      <c r="R43" s="73">
        <f t="shared" si="25"/>
        <v>0</v>
      </c>
      <c r="S43" s="73">
        <f t="shared" si="25"/>
        <v>0</v>
      </c>
      <c r="T43" s="73">
        <f t="shared" si="25"/>
        <v>0</v>
      </c>
      <c r="U43" s="73">
        <f t="shared" si="25"/>
        <v>0</v>
      </c>
      <c r="V43" s="73">
        <f t="shared" si="25"/>
        <v>0</v>
      </c>
      <c r="W43" s="73">
        <f t="shared" si="25"/>
        <v>0</v>
      </c>
      <c r="X43" s="73">
        <f t="shared" si="25"/>
        <v>0</v>
      </c>
      <c r="Y43" s="73">
        <f t="shared" si="25"/>
        <v>0</v>
      </c>
      <c r="Z43" s="73">
        <f t="shared" si="25"/>
        <v>0</v>
      </c>
    </row>
    <row r="44" spans="1:28" outlineLevel="1" x14ac:dyDescent="0.25">
      <c r="A44" s="39" t="str">
        <f t="shared" si="3"/>
        <v>NHL NTE 240</v>
      </c>
      <c r="B44" s="39"/>
      <c r="D44" s="101" t="s">
        <v>85</v>
      </c>
      <c r="E44" s="9" t="str">
        <f>E43</f>
        <v>тыс. руб.</v>
      </c>
      <c r="F44" s="78">
        <f>SUMIFS(Свод!$D$41:$U$41,Свод!$D$23:$U$23,$A44)</f>
        <v>0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8" outlineLevel="1" x14ac:dyDescent="0.25">
      <c r="A45" s="39" t="str">
        <f t="shared" si="3"/>
        <v>NHL NTE 240</v>
      </c>
      <c r="B45" s="39"/>
      <c r="D45" s="101"/>
      <c r="E45" s="9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8" outlineLevel="1" x14ac:dyDescent="0.25">
      <c r="A46" s="39" t="str">
        <f t="shared" si="3"/>
        <v>NHL NTE 240</v>
      </c>
      <c r="B46" s="39"/>
      <c r="D46" s="71" t="s">
        <v>86</v>
      </c>
      <c r="E46" s="72" t="str">
        <f>E15</f>
        <v>тыс. руб.</v>
      </c>
      <c r="F46" s="73">
        <f>F15+F43</f>
        <v>0</v>
      </c>
      <c r="G46" s="73">
        <f>G15+G43</f>
        <v>88109.824396630691</v>
      </c>
      <c r="H46" s="73">
        <f t="shared" ref="H46:Z46" si="26">H15+H43</f>
        <v>91720.888932277914</v>
      </c>
      <c r="I46" s="73">
        <f t="shared" si="26"/>
        <v>126414.67637461507</v>
      </c>
      <c r="J46" s="73">
        <f t="shared" si="26"/>
        <v>107273.38022677829</v>
      </c>
      <c r="K46" s="73">
        <f t="shared" si="26"/>
        <v>100380.94036716266</v>
      </c>
      <c r="L46" s="73">
        <f t="shared" si="26"/>
        <v>131144.40581406161</v>
      </c>
      <c r="M46" s="73">
        <f t="shared" si="26"/>
        <v>98086.045590586873</v>
      </c>
      <c r="N46" s="73">
        <f t="shared" si="26"/>
        <v>111694.12083085424</v>
      </c>
      <c r="O46" s="73">
        <f t="shared" si="26"/>
        <v>162203.34063511569</v>
      </c>
      <c r="P46" s="73">
        <f t="shared" si="26"/>
        <v>98989.52448369698</v>
      </c>
      <c r="Q46" s="73">
        <f t="shared" si="26"/>
        <v>241076.64218175467</v>
      </c>
      <c r="R46" s="73">
        <f t="shared" si="26"/>
        <v>131724.70202898452</v>
      </c>
      <c r="S46" s="73">
        <f t="shared" si="26"/>
        <v>103154.3018872329</v>
      </c>
      <c r="T46" s="73">
        <f t="shared" si="26"/>
        <v>103786.53484680247</v>
      </c>
      <c r="U46" s="73">
        <f t="shared" si="26"/>
        <v>146541.64496347355</v>
      </c>
      <c r="V46" s="73">
        <f t="shared" si="26"/>
        <v>101840.31472034658</v>
      </c>
      <c r="W46" s="73">
        <f t="shared" si="26"/>
        <v>96124.206162701041</v>
      </c>
      <c r="X46" s="73">
        <f t="shared" si="26"/>
        <v>173230.54167463211</v>
      </c>
      <c r="Y46" s="73">
        <f t="shared" si="26"/>
        <v>103836.20875211341</v>
      </c>
      <c r="Z46" s="73">
        <f t="shared" si="26"/>
        <v>106136.20070163935</v>
      </c>
    </row>
    <row r="47" spans="1:28" outlineLevel="1" x14ac:dyDescent="0.25">
      <c r="A47" s="39" t="str">
        <f t="shared" si="3"/>
        <v>NHL NTE 240</v>
      </c>
      <c r="B47" s="39"/>
      <c r="D47" s="67" t="s">
        <v>87</v>
      </c>
      <c r="E47" s="68" t="str">
        <f>E46</f>
        <v>тыс. руб.</v>
      </c>
      <c r="F47" s="102"/>
      <c r="G47" s="69">
        <f>G15*'ФОТ, МТР, макро'!AK$13</f>
        <v>78669.486068420258</v>
      </c>
      <c r="H47" s="69">
        <f>H15*'ФОТ, МТР, макро'!AL$13</f>
        <v>73119.331100349082</v>
      </c>
      <c r="I47" s="69">
        <f>I15*'ФОТ, МТР, макро'!AM$13</f>
        <v>89979.469677175643</v>
      </c>
      <c r="J47" s="69">
        <f>J15*'ФОТ, МТР, макро'!AN$13</f>
        <v>68174.172465712938</v>
      </c>
      <c r="K47" s="69">
        <f>K15*'ФОТ, МТР, макро'!AO$13</f>
        <v>56958.841366615321</v>
      </c>
      <c r="L47" s="69">
        <f>L15*'ФОТ, МТР, макро'!AP$13</f>
        <v>66441.837353711569</v>
      </c>
      <c r="M47" s="69">
        <f>M15*'ФОТ, МТР, макро'!AQ$13</f>
        <v>44369.145758400729</v>
      </c>
      <c r="N47" s="69">
        <f>N15*'ФОТ, МТР, макро'!AR$13</f>
        <v>45111.3820674831</v>
      </c>
      <c r="O47" s="69">
        <f>O15*'ФОТ, МТР, макро'!AS$13</f>
        <v>58492.150718524717</v>
      </c>
      <c r="P47" s="69">
        <f>P15*'ФОТ, МТР, макро'!AT$13</f>
        <v>31871.977586589859</v>
      </c>
      <c r="Q47" s="69">
        <f>Q15*'ФОТ, МТР, макро'!AU$13</f>
        <v>69303.773883639864</v>
      </c>
      <c r="R47" s="69">
        <f>R15*'ФОТ, МТР, макро'!AV$13</f>
        <v>33810.450136493273</v>
      </c>
      <c r="S47" s="69">
        <f>S15*'ФОТ, МТР, макро'!AW$13</f>
        <v>23640.303593412693</v>
      </c>
      <c r="T47" s="69">
        <f>T15*'ФОТ, МТР, макро'!AX$13</f>
        <v>21236.781312406627</v>
      </c>
      <c r="U47" s="69">
        <f>U15*'ФОТ, МТР, макро'!AY$13</f>
        <v>26772.610654332289</v>
      </c>
      <c r="V47" s="69">
        <f>V15*'ФОТ, МТР, макро'!AZ$13</f>
        <v>16612.361379800637</v>
      </c>
      <c r="W47" s="69">
        <f>W15*'ФОТ, МТР, макро'!BA$13</f>
        <v>13999.946654109197</v>
      </c>
      <c r="X47" s="69">
        <f>X15*'ФОТ, МТР, макро'!BB$13</f>
        <v>22526.828635152357</v>
      </c>
      <c r="Y47" s="69">
        <f>Y15*'ФОТ, МТР, макро'!BC$13</f>
        <v>12056.087522723607</v>
      </c>
      <c r="Z47" s="69">
        <f>Z15*'ФОТ, МТР, макро'!BD$13</f>
        <v>11002.796584693628</v>
      </c>
    </row>
    <row r="48" spans="1:28" outlineLevel="1" x14ac:dyDescent="0.25">
      <c r="A48" s="39" t="str">
        <f t="shared" si="3"/>
        <v>NHL NTE 240</v>
      </c>
      <c r="B48" s="39"/>
      <c r="D48" s="18" t="str">
        <f>D16</f>
        <v>ТО, ТР, ППР</v>
      </c>
      <c r="E48" s="9" t="str">
        <f>E47</f>
        <v>тыс. руб.</v>
      </c>
      <c r="F48" s="103"/>
      <c r="G48" s="74">
        <f>G16*'ФОТ, МТР, макро'!AK$13</f>
        <v>5366.9649740885707</v>
      </c>
      <c r="H48" s="74">
        <f>H16*'ФОТ, МТР, макро'!AL$13</f>
        <v>6658.9313660229573</v>
      </c>
      <c r="I48" s="74">
        <f>I16*'ФОТ, МТР, макро'!AM$13</f>
        <v>35225.816614398173</v>
      </c>
      <c r="J48" s="74">
        <f>J16*'ФОТ, МТР, макро'!AN$13</f>
        <v>16726.088512300983</v>
      </c>
      <c r="K48" s="74">
        <f>K16*'ФОТ, МТР, макро'!AO$13</f>
        <v>4980.4082856792502</v>
      </c>
      <c r="L48" s="74">
        <f>L16*'ФОТ, МТР, макро'!AP$13</f>
        <v>24485.368426420675</v>
      </c>
      <c r="M48" s="74">
        <f>M16*'ФОТ, МТР, макро'!AQ$13</f>
        <v>3680.6319007108591</v>
      </c>
      <c r="N48" s="74">
        <f>N16*'ФОТ, МТР, макро'!AR$13</f>
        <v>11265.496931226577</v>
      </c>
      <c r="O48" s="74">
        <f>O16*'ФОТ, МТР, макро'!AS$13</f>
        <v>32512.786671170739</v>
      </c>
      <c r="P48" s="74">
        <f>P16*'ФОТ, МТР, макро'!AT$13</f>
        <v>2226.3349557786473</v>
      </c>
      <c r="Q48" s="74">
        <f>Q16*'ФОТ, МТР, макро'!AU$13</f>
        <v>57151.490064950289</v>
      </c>
      <c r="R48" s="74">
        <f>R16*'ФОТ, МТР, макро'!AV$13</f>
        <v>12437.604691162094</v>
      </c>
      <c r="S48" s="74">
        <f>S16*'ФОТ, МТР, макро'!AW$13</f>
        <v>1727.9409803105143</v>
      </c>
      <c r="T48" s="74">
        <f>T16*'ФОТ, МТР, макро'!AX$13</f>
        <v>1568.9940174106903</v>
      </c>
      <c r="U48" s="74">
        <f>U16*'ФОТ, МТР, макро'!AY$13</f>
        <v>12597.789011995868</v>
      </c>
      <c r="V48" s="74">
        <f>V16*'ФОТ, МТР, макро'!AZ$13</f>
        <v>1253.2953480574818</v>
      </c>
      <c r="W48" s="74">
        <f>W16*'ФОТ, МТР, макро'!BA$13</f>
        <v>1103.9902275053732</v>
      </c>
      <c r="X48" s="74">
        <f>X16*'ФОТ, МТР, макро'!BB$13</f>
        <v>14312.714056520419</v>
      </c>
      <c r="Y48" s="74">
        <f>Y16*'ФОТ, МТР, макро'!BC$13</f>
        <v>906.48880294222931</v>
      </c>
      <c r="Z48" s="74">
        <f>Z16*'ФОТ, МТР, макро'!BD$13</f>
        <v>988.94100665299902</v>
      </c>
    </row>
    <row r="49" spans="1:26" outlineLevel="1" x14ac:dyDescent="0.25">
      <c r="A49" s="39" t="str">
        <f t="shared" si="3"/>
        <v>NHL NTE 240</v>
      </c>
      <c r="B49" s="39"/>
      <c r="D49" s="18" t="str">
        <f>D21</f>
        <v>Шины</v>
      </c>
      <c r="E49" s="9" t="str">
        <f t="shared" ref="E49:E54" si="27">E48</f>
        <v>тыс. руб.</v>
      </c>
      <c r="F49" s="103"/>
      <c r="G49" s="74">
        <f>G21*'ФОТ, МТР, макро'!AK$13</f>
        <v>20849.010626289219</v>
      </c>
      <c r="H49" s="74">
        <f>H21*'ФОТ, МТР, макро'!AL$13</f>
        <v>19111.319969767846</v>
      </c>
      <c r="I49" s="74">
        <f>I21*'ФОТ, МТР, макро'!AM$13</f>
        <v>17981.162479453338</v>
      </c>
      <c r="J49" s="74">
        <f>J21*'ФОТ, МТР, макро'!AN$13</f>
        <v>15678.60527508958</v>
      </c>
      <c r="K49" s="74">
        <f>K21*'ФОТ, МТР, макро'!AO$13</f>
        <v>15191.456719265816</v>
      </c>
      <c r="L49" s="74">
        <f>L21*'ФОТ, МТР, макро'!AP$13</f>
        <v>13750.645862030116</v>
      </c>
      <c r="M49" s="74">
        <f>M21*'ФОТ, МТР, макро'!AQ$13</f>
        <v>11835.09790679955</v>
      </c>
      <c r="N49" s="74">
        <f>N21*'ФОТ, МТР, макро'!AR$13</f>
        <v>10403.178689714809</v>
      </c>
      <c r="O49" s="74">
        <f>O21*'ФОТ, МТР, макро'!AS$13</f>
        <v>9749.4261087989817</v>
      </c>
      <c r="P49" s="74">
        <f>P21*'ФОТ, МТР, макро'!AT$13</f>
        <v>8620.6321884494591</v>
      </c>
      <c r="Q49" s="74">
        <f>Q21*'ФОТ, МТР, макро'!AU$13</f>
        <v>7520.4432298648717</v>
      </c>
      <c r="R49" s="74">
        <f>R21*'ФОТ, МТР, макро'!AV$13</f>
        <v>7008.2942541054836</v>
      </c>
      <c r="S49" s="74">
        <f>S21*'ФОТ, МТР, макро'!AW$13</f>
        <v>6420.2244368194324</v>
      </c>
      <c r="T49" s="74">
        <f>T21*'ФОТ, МТР, макро'!AX$13</f>
        <v>5769.1638706619797</v>
      </c>
      <c r="U49" s="74">
        <f>U21*'ФОТ, МТР, макро'!AY$13</f>
        <v>4954.2342471466218</v>
      </c>
      <c r="V49" s="74">
        <f>V21*'ФОТ, МТР, макро'!AZ$13</f>
        <v>4491.9781663089725</v>
      </c>
      <c r="W49" s="74">
        <f>W21*'ФОТ, МТР, макро'!BA$13</f>
        <v>3735.1065026571523</v>
      </c>
      <c r="X49" s="74">
        <f>X21*'ФОТ, МТР, макро'!BB$13</f>
        <v>3345.527246476885</v>
      </c>
      <c r="Y49" s="74">
        <f>Y21*'ФОТ, МТР, макро'!BC$13</f>
        <v>3271.4368598729698</v>
      </c>
      <c r="Z49" s="74">
        <f>Z21*'ФОТ, МТР, макро'!BD$13</f>
        <v>2955.7415244662711</v>
      </c>
    </row>
    <row r="50" spans="1:26" outlineLevel="1" x14ac:dyDescent="0.25">
      <c r="A50" s="39" t="str">
        <f t="shared" si="3"/>
        <v>NHL NTE 240</v>
      </c>
      <c r="B50" s="39"/>
      <c r="D50" s="18" t="str">
        <f>D25</f>
        <v>Топливо</v>
      </c>
      <c r="E50" s="9" t="str">
        <f t="shared" si="27"/>
        <v>тыс. руб.</v>
      </c>
      <c r="F50" s="103"/>
      <c r="G50" s="74">
        <f>G25*'ФОТ, МТР, макро'!AK$13</f>
        <v>61990.872275972339</v>
      </c>
      <c r="H50" s="74">
        <f>H25*'ФОТ, МТР, макро'!AL$13</f>
        <v>56824.154225201251</v>
      </c>
      <c r="I50" s="74">
        <f>I25*'ФОТ, МТР, макро'!AM$13</f>
        <v>53463.829369043342</v>
      </c>
      <c r="J50" s="74">
        <f>J25*'ФОТ, МТР, макро'!AN$13</f>
        <v>46617.579821649888</v>
      </c>
      <c r="K50" s="74">
        <f>K25*'ФОТ, МТР, макро'!AO$13</f>
        <v>45169.129128003231</v>
      </c>
      <c r="L50" s="74">
        <f>L25*'ФОТ, МТР, макро'!AP$13</f>
        <v>40885.131032088328</v>
      </c>
      <c r="M50" s="74">
        <f>M25*'ФОТ, МТР, макро'!AQ$13</f>
        <v>35189.585533086713</v>
      </c>
      <c r="N50" s="74">
        <f>N25*'ФОТ, МТР, макро'!AR$13</f>
        <v>30932.025167901691</v>
      </c>
      <c r="O50" s="74">
        <f>O25*'ФОТ, МТР, макро'!AS$13</f>
        <v>28988.206659193249</v>
      </c>
      <c r="P50" s="74">
        <f>P25*'ФОТ, МТР, макро'!AT$13</f>
        <v>25631.936138900648</v>
      </c>
      <c r="Q50" s="74">
        <f>Q25*'ФОТ, МТР, макро'!AU$13</f>
        <v>22360.717449748354</v>
      </c>
      <c r="R50" s="74">
        <f>R25*'ФОТ, МТР, макро'!AV$13</f>
        <v>20837.932397179127</v>
      </c>
      <c r="S50" s="74">
        <f>S25*'ФОТ, МТР, макро'!AW$13</f>
        <v>19089.410053065265</v>
      </c>
      <c r="T50" s="74">
        <f>T25*'ФОТ, МТР, макро'!AX$13</f>
        <v>17153.595777557253</v>
      </c>
      <c r="U50" s="74">
        <f>U25*'ФОТ, МТР, макро'!AY$13</f>
        <v>14730.545633319391</v>
      </c>
      <c r="V50" s="74">
        <f>V25*'ФОТ, МТР, макро'!AZ$13</f>
        <v>13356.108343241684</v>
      </c>
      <c r="W50" s="74">
        <f>W25*'ФОТ, МТР, макро'!BA$13</f>
        <v>11105.68334841815</v>
      </c>
      <c r="X50" s="74">
        <f>X25*'ФОТ, МТР, макро'!BB$13</f>
        <v>9947.3378353324006</v>
      </c>
      <c r="Y50" s="74">
        <f>Y25*'ФОТ, МТР, макро'!BC$13</f>
        <v>9727.0430800959439</v>
      </c>
      <c r="Z50" s="74">
        <f>Z25*'ФОТ, МТР, макро'!BD$13</f>
        <v>8788.3784323528907</v>
      </c>
    </row>
    <row r="51" spans="1:26" outlineLevel="1" x14ac:dyDescent="0.25">
      <c r="A51" s="39" t="str">
        <f t="shared" si="3"/>
        <v>NHL NTE 240</v>
      </c>
      <c r="B51" s="39"/>
      <c r="D51" s="18" t="str">
        <f>D30</f>
        <v>Смазочные</v>
      </c>
      <c r="E51" s="9" t="str">
        <f t="shared" si="27"/>
        <v>тыс. руб.</v>
      </c>
      <c r="F51" s="103"/>
      <c r="G51" s="74">
        <f>G30*'ФОТ, МТР, макро'!AK$13</f>
        <v>0</v>
      </c>
      <c r="H51" s="74">
        <f>H30*'ФОТ, МТР, макро'!AL$13</f>
        <v>0</v>
      </c>
      <c r="I51" s="74">
        <f>I30*'ФОТ, МТР, макро'!AM$13</f>
        <v>0</v>
      </c>
      <c r="J51" s="74">
        <f>J30*'ФОТ, МТР, макро'!AN$13</f>
        <v>0</v>
      </c>
      <c r="K51" s="74">
        <f>K30*'ФОТ, МТР, макро'!AO$13</f>
        <v>0</v>
      </c>
      <c r="L51" s="74">
        <f>L30*'ФОТ, МТР, макро'!AP$13</f>
        <v>0</v>
      </c>
      <c r="M51" s="74">
        <f>M30*'ФОТ, МТР, макро'!AQ$13</f>
        <v>0</v>
      </c>
      <c r="N51" s="74">
        <f>N30*'ФОТ, МТР, макро'!AR$13</f>
        <v>0</v>
      </c>
      <c r="O51" s="74">
        <f>O30*'ФОТ, МТР, макро'!AS$13</f>
        <v>0</v>
      </c>
      <c r="P51" s="74">
        <f>P30*'ФОТ, МТР, макро'!AT$13</f>
        <v>0</v>
      </c>
      <c r="Q51" s="74">
        <f>Q30*'ФОТ, МТР, макро'!AU$13</f>
        <v>0</v>
      </c>
      <c r="R51" s="74">
        <f>R30*'ФОТ, МТР, макро'!AV$13</f>
        <v>0</v>
      </c>
      <c r="S51" s="74">
        <f>S30*'ФОТ, МТР, макро'!AW$13</f>
        <v>0</v>
      </c>
      <c r="T51" s="74">
        <f>T30*'ФОТ, МТР, макро'!AX$13</f>
        <v>0</v>
      </c>
      <c r="U51" s="74">
        <f>U30*'ФОТ, МТР, макро'!AY$13</f>
        <v>0</v>
      </c>
      <c r="V51" s="74">
        <f>V30*'ФОТ, МТР, макро'!AZ$13</f>
        <v>0</v>
      </c>
      <c r="W51" s="74">
        <f>W30*'ФОТ, МТР, макро'!BA$13</f>
        <v>0</v>
      </c>
      <c r="X51" s="74">
        <f>X30*'ФОТ, МТР, макро'!BB$13</f>
        <v>0</v>
      </c>
      <c r="Y51" s="74">
        <f>Y30*'ФОТ, МТР, макро'!BC$13</f>
        <v>0</v>
      </c>
      <c r="Z51" s="74">
        <f>Z30*'ФОТ, МТР, макро'!BD$13</f>
        <v>0</v>
      </c>
    </row>
    <row r="52" spans="1:26" outlineLevel="1" x14ac:dyDescent="0.25">
      <c r="A52" s="39" t="str">
        <f t="shared" si="3"/>
        <v>NHL NTE 240</v>
      </c>
      <c r="B52" s="39"/>
      <c r="D52" s="18" t="str">
        <f>D32</f>
        <v>Затраты на персонал</v>
      </c>
      <c r="E52" s="9" t="str">
        <f t="shared" si="27"/>
        <v>тыс. руб.</v>
      </c>
      <c r="F52" s="103"/>
      <c r="G52" s="74">
        <f>G32*'ФОТ, МТР, макро'!AK$13</f>
        <v>16496.068072019727</v>
      </c>
      <c r="H52" s="74">
        <f>H32*'ФОТ, МТР, макро'!AL$13</f>
        <v>14728.632207160468</v>
      </c>
      <c r="I52" s="74">
        <f>I32*'ФОТ, МТР, макро'!AM$13</f>
        <v>13150.56447067899</v>
      </c>
      <c r="J52" s="74">
        <f>J32*'ФОТ, МТР, макро'!AN$13</f>
        <v>11741.575420249097</v>
      </c>
      <c r="K52" s="74">
        <f>K32*'ФОТ, МТР, макро'!AO$13</f>
        <v>10483.549482365264</v>
      </c>
      <c r="L52" s="74">
        <f>L32*'ФОТ, МТР, макро'!AP$13</f>
        <v>9360.3120378261283</v>
      </c>
      <c r="M52" s="74">
        <f>M32*'ФОТ, МТР, макро'!AQ$13</f>
        <v>8357.4214623447569</v>
      </c>
      <c r="N52" s="74">
        <f>N32*'ФОТ, МТР, макро'!AR$13</f>
        <v>7461.9834485221045</v>
      </c>
      <c r="O52" s="74">
        <f>O32*'ФОТ, МТР, макро'!AS$13</f>
        <v>6662.4852218947353</v>
      </c>
      <c r="P52" s="74">
        <f>P32*'ФОТ, МТР, макро'!AT$13</f>
        <v>5948.6475195488702</v>
      </c>
      <c r="Q52" s="74">
        <f>Q32*'ФОТ, МТР, макро'!AU$13</f>
        <v>5311.2924281686337</v>
      </c>
      <c r="R52" s="74">
        <f>R32*'ФОТ, МТР, макро'!AV$13</f>
        <v>4742.2253822934226</v>
      </c>
      <c r="S52" s="74">
        <f>S32*'ФОТ, МТР, макро'!AW$13</f>
        <v>4234.1298056191272</v>
      </c>
      <c r="T52" s="74">
        <f>T32*'ФОТ, МТР, макро'!AX$13</f>
        <v>3780.4730407313632</v>
      </c>
      <c r="U52" s="74">
        <f>U32*'ФОТ, МТР, макро'!AY$13</f>
        <v>3375.4223577958596</v>
      </c>
      <c r="V52" s="74">
        <f>V32*'ФОТ, МТР, макро'!AZ$13</f>
        <v>3013.7699623177318</v>
      </c>
      <c r="W52" s="74">
        <f>W32*'ФОТ, МТР, макро'!BA$13</f>
        <v>2690.8660377836886</v>
      </c>
      <c r="X52" s="74">
        <f>X32*'ФОТ, МТР, макро'!BB$13</f>
        <v>2402.5589623068645</v>
      </c>
      <c r="Y52" s="74">
        <f>Y32*'ФОТ, МТР, макро'!BC$13</f>
        <v>2145.1419306311286</v>
      </c>
      <c r="Z52" s="74">
        <f>Z32*'ФОТ, МТР, макро'!BD$13</f>
        <v>1915.3052952063649</v>
      </c>
    </row>
    <row r="53" spans="1:26" outlineLevel="1" x14ac:dyDescent="0.25">
      <c r="A53" s="39" t="str">
        <f t="shared" si="3"/>
        <v>NHL NTE 240</v>
      </c>
      <c r="B53" s="39"/>
      <c r="D53" s="18" t="str">
        <f>D36</f>
        <v>Транспортный налог</v>
      </c>
      <c r="E53" s="9" t="str">
        <f t="shared" si="27"/>
        <v>тыс. руб.</v>
      </c>
      <c r="F53" s="103"/>
      <c r="G53" s="74">
        <f>G36*'ФОТ, МТР, макро'!AK$13</f>
        <v>189.73214285714283</v>
      </c>
      <c r="H53" s="74">
        <f>H36*'ФОТ, МТР, макро'!AL$13</f>
        <v>169.40369897959181</v>
      </c>
      <c r="I53" s="74">
        <f>I36*'ФОТ, МТР, макро'!AM$13</f>
        <v>151.25330266034982</v>
      </c>
      <c r="J53" s="74">
        <f>J36*'ФОТ, МТР, макро'!AN$13</f>
        <v>135.04759166102662</v>
      </c>
      <c r="K53" s="74">
        <f>K36*'ФОТ, МТР, макро'!AO$13</f>
        <v>120.57820684020233</v>
      </c>
      <c r="L53" s="74">
        <f>L36*'ФОТ, МТР, макро'!AP$13</f>
        <v>107.65911325018064</v>
      </c>
      <c r="M53" s="74">
        <f>M36*'ФОТ, МТР, макро'!AQ$13</f>
        <v>96.124208259089855</v>
      </c>
      <c r="N53" s="74">
        <f>N36*'ФОТ, МТР, макро'!AR$13</f>
        <v>85.825185945615928</v>
      </c>
      <c r="O53" s="74">
        <f>O36*'ФОТ, МТР, макро'!AS$13</f>
        <v>76.629630308585647</v>
      </c>
      <c r="P53" s="74">
        <f>P36*'ФОТ, МТР, макро'!AT$13</f>
        <v>68.419312775522897</v>
      </c>
      <c r="Q53" s="74">
        <f>Q36*'ФОТ, МТР, макро'!AU$13</f>
        <v>61.088672121002581</v>
      </c>
      <c r="R53" s="74">
        <f>R36*'ФОТ, МТР, макро'!AV$13</f>
        <v>54.543457250895159</v>
      </c>
      <c r="S53" s="74">
        <f>S36*'ФОТ, МТР, макро'!AW$13</f>
        <v>48.699515402584957</v>
      </c>
      <c r="T53" s="74">
        <f>T36*'ФОТ, МТР, макро'!AX$13</f>
        <v>43.481710180879425</v>
      </c>
      <c r="U53" s="74">
        <f>U36*'ФОТ, МТР, макро'!AY$13</f>
        <v>38.822955518642338</v>
      </c>
      <c r="V53" s="74">
        <f>V36*'ФОТ, МТР, макро'!AZ$13</f>
        <v>34.663353141644947</v>
      </c>
      <c r="W53" s="74">
        <f>W36*'ФОТ, МТР, макро'!BA$13</f>
        <v>30.949422447897266</v>
      </c>
      <c r="X53" s="74">
        <f>X36*'ФОТ, МТР, макро'!BB$13</f>
        <v>27.633412899908269</v>
      </c>
      <c r="Y53" s="74">
        <f>Y36*'ФОТ, МТР, макро'!BC$13</f>
        <v>24.672690089203808</v>
      </c>
      <c r="Z53" s="74">
        <f>Z36*'ФОТ, МТР, макро'!BD$13</f>
        <v>22.029187579646258</v>
      </c>
    </row>
    <row r="54" spans="1:26" outlineLevel="1" x14ac:dyDescent="0.25">
      <c r="A54" s="39" t="str">
        <f t="shared" si="3"/>
        <v>NHL NTE 240</v>
      </c>
      <c r="B54" s="39"/>
      <c r="D54" s="18" t="str">
        <f>D41</f>
        <v>Налог на прибыль</v>
      </c>
      <c r="E54" s="9" t="str">
        <f t="shared" si="27"/>
        <v>тыс. руб.</v>
      </c>
      <c r="F54" s="103"/>
      <c r="G54" s="74">
        <f>G41*'ФОТ, МТР, макро'!AK$13</f>
        <v>-26223.162022806748</v>
      </c>
      <c r="H54" s="74">
        <f>H41*'ФОТ, МТР, макро'!AL$13</f>
        <v>-24373.110366783028</v>
      </c>
      <c r="I54" s="74">
        <f>I41*'ФОТ, МТР, макро'!AM$13</f>
        <v>-29993.156559058549</v>
      </c>
      <c r="J54" s="74">
        <f>J41*'ФОТ, МТР, макро'!AN$13</f>
        <v>-22724.724155237647</v>
      </c>
      <c r="K54" s="74">
        <f>K41*'ФОТ, МТР, макро'!AO$13</f>
        <v>-18986.280455538439</v>
      </c>
      <c r="L54" s="74">
        <f>L41*'ФОТ, МТР, макро'!AP$13</f>
        <v>-22147.279117903854</v>
      </c>
      <c r="M54" s="74">
        <f>M41*'ФОТ, МТР, макро'!AQ$13</f>
        <v>-14789.715252800243</v>
      </c>
      <c r="N54" s="74">
        <f>N41*'ФОТ, МТР, макро'!AR$13</f>
        <v>-15037.127355827701</v>
      </c>
      <c r="O54" s="74">
        <f>O41*'ФОТ, МТР, макро'!AS$13</f>
        <v>-19497.383572841572</v>
      </c>
      <c r="P54" s="74">
        <f>P41*'ФОТ, МТР, макро'!AT$13</f>
        <v>-10623.992528863288</v>
      </c>
      <c r="Q54" s="74">
        <f>Q41*'ФОТ, МТР, макро'!AU$13</f>
        <v>-23101.257961213287</v>
      </c>
      <c r="R54" s="74">
        <f>R41*'ФОТ, МТР, макро'!AV$13</f>
        <v>-11270.150045497758</v>
      </c>
      <c r="S54" s="74">
        <f>S41*'ФОТ, МТР, макро'!AW$13</f>
        <v>-7880.1011978042316</v>
      </c>
      <c r="T54" s="74">
        <f>T41*'ФОТ, МТР, макро'!AX$13</f>
        <v>-7078.9271041355423</v>
      </c>
      <c r="U54" s="74">
        <f>U41*'ФОТ, МТР, макро'!AY$13</f>
        <v>-8924.2035514440959</v>
      </c>
      <c r="V54" s="74">
        <f>V41*'ФОТ, МТР, макро'!AZ$13</f>
        <v>-5537.4537932668791</v>
      </c>
      <c r="W54" s="74">
        <f>W41*'ФОТ, МТР, макро'!BA$13</f>
        <v>-4666.648884703066</v>
      </c>
      <c r="X54" s="74">
        <f>X41*'ФОТ, МТР, макро'!BB$13</f>
        <v>-7508.9428783841186</v>
      </c>
      <c r="Y54" s="74">
        <f>Y41*'ФОТ, МТР, макро'!BC$13</f>
        <v>-4018.6958409078688</v>
      </c>
      <c r="Z54" s="74">
        <f>Z41*'ФОТ, МТР, макро'!BD$13</f>
        <v>-3667.5988615645424</v>
      </c>
    </row>
    <row r="55" spans="1:26" outlineLevel="1" x14ac:dyDescent="0.25">
      <c r="A55" s="39" t="str">
        <f t="shared" si="3"/>
        <v>NHL NTE 240</v>
      </c>
      <c r="B55" s="39"/>
      <c r="D55" s="104" t="s">
        <v>88</v>
      </c>
      <c r="E55" s="9"/>
      <c r="F55" s="105"/>
      <c r="G55" s="106">
        <f>G47-SUM(G48:G54)</f>
        <v>0</v>
      </c>
      <c r="H55" s="106">
        <f t="shared" ref="H55:Z55" si="28">H47-SUM(H48:H54)</f>
        <v>0</v>
      </c>
      <c r="I55" s="106">
        <f t="shared" si="28"/>
        <v>0</v>
      </c>
      <c r="J55" s="106">
        <f t="shared" si="28"/>
        <v>0</v>
      </c>
      <c r="K55" s="106">
        <f t="shared" si="28"/>
        <v>0</v>
      </c>
      <c r="L55" s="106">
        <f t="shared" si="28"/>
        <v>0</v>
      </c>
      <c r="M55" s="106">
        <f t="shared" si="28"/>
        <v>0</v>
      </c>
      <c r="N55" s="106">
        <f t="shared" si="28"/>
        <v>0</v>
      </c>
      <c r="O55" s="106">
        <f t="shared" si="28"/>
        <v>0</v>
      </c>
      <c r="P55" s="106">
        <f t="shared" si="28"/>
        <v>0</v>
      </c>
      <c r="Q55" s="106">
        <f t="shared" si="28"/>
        <v>0</v>
      </c>
      <c r="R55" s="106">
        <f t="shared" si="28"/>
        <v>0</v>
      </c>
      <c r="S55" s="106">
        <f t="shared" si="28"/>
        <v>0</v>
      </c>
      <c r="T55" s="106">
        <f t="shared" si="28"/>
        <v>0</v>
      </c>
      <c r="U55" s="106">
        <f t="shared" si="28"/>
        <v>0</v>
      </c>
      <c r="V55" s="106">
        <f t="shared" si="28"/>
        <v>0</v>
      </c>
      <c r="W55" s="106">
        <f t="shared" si="28"/>
        <v>0</v>
      </c>
      <c r="X55" s="106">
        <f t="shared" si="28"/>
        <v>0</v>
      </c>
      <c r="Y55" s="106">
        <f t="shared" si="28"/>
        <v>0</v>
      </c>
      <c r="Z55" s="106">
        <f t="shared" si="28"/>
        <v>0</v>
      </c>
    </row>
    <row r="56" spans="1:26" ht="27.2" outlineLevel="1" x14ac:dyDescent="0.25">
      <c r="A56" s="39" t="str">
        <f t="shared" si="3"/>
        <v>NHL NTE 240</v>
      </c>
      <c r="B56" s="39"/>
      <c r="D56" s="107" t="s">
        <v>89</v>
      </c>
      <c r="E56" s="68" t="str">
        <f>E47</f>
        <v>тыс. руб.</v>
      </c>
      <c r="F56" s="69">
        <f>F47</f>
        <v>0</v>
      </c>
      <c r="G56" s="69">
        <f>F56+G47</f>
        <v>78669.486068420258</v>
      </c>
      <c r="H56" s="69">
        <f t="shared" ref="H56:Z56" si="29">G56+H47</f>
        <v>151788.81716876934</v>
      </c>
      <c r="I56" s="69">
        <f t="shared" si="29"/>
        <v>241768.286845945</v>
      </c>
      <c r="J56" s="69">
        <f t="shared" si="29"/>
        <v>309942.45931165793</v>
      </c>
      <c r="K56" s="69">
        <f t="shared" si="29"/>
        <v>366901.30067827326</v>
      </c>
      <c r="L56" s="69">
        <f t="shared" si="29"/>
        <v>433343.1380319848</v>
      </c>
      <c r="M56" s="69">
        <f t="shared" si="29"/>
        <v>477712.28379038553</v>
      </c>
      <c r="N56" s="69">
        <f t="shared" si="29"/>
        <v>522823.66585786862</v>
      </c>
      <c r="O56" s="69">
        <f t="shared" si="29"/>
        <v>581315.81657639332</v>
      </c>
      <c r="P56" s="69">
        <f t="shared" si="29"/>
        <v>613187.79416298319</v>
      </c>
      <c r="Q56" s="69">
        <f t="shared" si="29"/>
        <v>682491.56804662303</v>
      </c>
      <c r="R56" s="69">
        <f t="shared" si="29"/>
        <v>716302.01818311634</v>
      </c>
      <c r="S56" s="69">
        <f t="shared" si="29"/>
        <v>739942.32177652908</v>
      </c>
      <c r="T56" s="69">
        <f t="shared" si="29"/>
        <v>761179.10308893572</v>
      </c>
      <c r="U56" s="69">
        <f t="shared" si="29"/>
        <v>787951.71374326805</v>
      </c>
      <c r="V56" s="69">
        <f t="shared" si="29"/>
        <v>804564.07512306864</v>
      </c>
      <c r="W56" s="69">
        <f t="shared" si="29"/>
        <v>818564.02177717781</v>
      </c>
      <c r="X56" s="69">
        <f t="shared" si="29"/>
        <v>841090.85041233012</v>
      </c>
      <c r="Y56" s="69">
        <f t="shared" si="29"/>
        <v>853146.93793505372</v>
      </c>
      <c r="Z56" s="69">
        <f t="shared" si="29"/>
        <v>864149.73451974732</v>
      </c>
    </row>
    <row r="57" spans="1:26" outlineLevel="1" x14ac:dyDescent="0.25">
      <c r="A57" s="39" t="str">
        <f t="shared" si="3"/>
        <v>NHL NTE 240</v>
      </c>
      <c r="B57" s="39"/>
      <c r="D57" s="101" t="str">
        <f>D48</f>
        <v>ТО, ТР, ППР</v>
      </c>
      <c r="E57" s="9" t="str">
        <f>E48</f>
        <v>тыс. руб.</v>
      </c>
      <c r="F57" s="74">
        <f>F48</f>
        <v>0</v>
      </c>
      <c r="G57" s="74">
        <f>F57+G48</f>
        <v>5366.9649740885707</v>
      </c>
      <c r="H57" s="74">
        <f t="shared" ref="H57:Z63" si="30">G57+H48</f>
        <v>12025.896340111529</v>
      </c>
      <c r="I57" s="74">
        <f t="shared" si="30"/>
        <v>47251.712954509698</v>
      </c>
      <c r="J57" s="74">
        <f t="shared" si="30"/>
        <v>63977.801466810677</v>
      </c>
      <c r="K57" s="74">
        <f t="shared" si="30"/>
        <v>68958.209752489929</v>
      </c>
      <c r="L57" s="74">
        <f t="shared" si="30"/>
        <v>93443.578178910597</v>
      </c>
      <c r="M57" s="74">
        <f t="shared" si="30"/>
        <v>97124.210079621451</v>
      </c>
      <c r="N57" s="74">
        <f t="shared" si="30"/>
        <v>108389.70701084803</v>
      </c>
      <c r="O57" s="74">
        <f t="shared" si="30"/>
        <v>140902.49368201877</v>
      </c>
      <c r="P57" s="74">
        <f t="shared" si="30"/>
        <v>143128.82863779741</v>
      </c>
      <c r="Q57" s="74">
        <f t="shared" si="30"/>
        <v>200280.3187027477</v>
      </c>
      <c r="R57" s="74">
        <f t="shared" si="30"/>
        <v>212717.92339390979</v>
      </c>
      <c r="S57" s="74">
        <f t="shared" si="30"/>
        <v>214445.86437422031</v>
      </c>
      <c r="T57" s="74">
        <f t="shared" si="30"/>
        <v>216014.85839163102</v>
      </c>
      <c r="U57" s="74">
        <f t="shared" si="30"/>
        <v>228612.64740362688</v>
      </c>
      <c r="V57" s="74">
        <f t="shared" si="30"/>
        <v>229865.94275168437</v>
      </c>
      <c r="W57" s="74">
        <f t="shared" si="30"/>
        <v>230969.93297918973</v>
      </c>
      <c r="X57" s="74">
        <f t="shared" si="30"/>
        <v>245282.64703571016</v>
      </c>
      <c r="Y57" s="74">
        <f t="shared" si="30"/>
        <v>246189.13583865241</v>
      </c>
      <c r="Z57" s="74">
        <f t="shared" si="30"/>
        <v>247178.07684530542</v>
      </c>
    </row>
    <row r="58" spans="1:26" outlineLevel="1" x14ac:dyDescent="0.25">
      <c r="A58" s="39" t="str">
        <f t="shared" si="3"/>
        <v>NHL NTE 240</v>
      </c>
      <c r="B58" s="39"/>
      <c r="D58" s="101" t="str">
        <f t="shared" ref="D58:F63" si="31">D49</f>
        <v>Шины</v>
      </c>
      <c r="E58" s="9" t="str">
        <f t="shared" si="31"/>
        <v>тыс. руб.</v>
      </c>
      <c r="F58" s="74">
        <f t="shared" si="31"/>
        <v>0</v>
      </c>
      <c r="G58" s="74">
        <f t="shared" ref="G58:G63" si="32">F58+G49</f>
        <v>20849.010626289219</v>
      </c>
      <c r="H58" s="74">
        <f t="shared" si="30"/>
        <v>39960.330596057065</v>
      </c>
      <c r="I58" s="74">
        <f t="shared" si="30"/>
        <v>57941.4930755104</v>
      </c>
      <c r="J58" s="74">
        <f t="shared" si="30"/>
        <v>73620.098350599976</v>
      </c>
      <c r="K58" s="74">
        <f t="shared" si="30"/>
        <v>88811.55506986579</v>
      </c>
      <c r="L58" s="74">
        <f t="shared" si="30"/>
        <v>102562.2009318959</v>
      </c>
      <c r="M58" s="74">
        <f t="shared" si="30"/>
        <v>114397.29883869545</v>
      </c>
      <c r="N58" s="74">
        <f t="shared" si="30"/>
        <v>124800.47752841027</v>
      </c>
      <c r="O58" s="74">
        <f t="shared" si="30"/>
        <v>134549.90363720924</v>
      </c>
      <c r="P58" s="74">
        <f t="shared" si="30"/>
        <v>143170.53582565871</v>
      </c>
      <c r="Q58" s="74">
        <f t="shared" si="30"/>
        <v>150690.97905552358</v>
      </c>
      <c r="R58" s="74">
        <f t="shared" si="30"/>
        <v>157699.27330962906</v>
      </c>
      <c r="S58" s="74">
        <f t="shared" si="30"/>
        <v>164119.4977464485</v>
      </c>
      <c r="T58" s="74">
        <f t="shared" si="30"/>
        <v>169888.66161711048</v>
      </c>
      <c r="U58" s="74">
        <f t="shared" si="30"/>
        <v>174842.89586425709</v>
      </c>
      <c r="V58" s="74">
        <f t="shared" si="30"/>
        <v>179334.87403056608</v>
      </c>
      <c r="W58" s="74">
        <f t="shared" si="30"/>
        <v>183069.98053322322</v>
      </c>
      <c r="X58" s="74">
        <f t="shared" si="30"/>
        <v>186415.5077797001</v>
      </c>
      <c r="Y58" s="74">
        <f t="shared" si="30"/>
        <v>189686.94463957308</v>
      </c>
      <c r="Z58" s="74">
        <f t="shared" si="30"/>
        <v>192642.68616403936</v>
      </c>
    </row>
    <row r="59" spans="1:26" outlineLevel="1" x14ac:dyDescent="0.25">
      <c r="A59" s="39" t="str">
        <f t="shared" si="3"/>
        <v>NHL NTE 240</v>
      </c>
      <c r="B59" s="39"/>
      <c r="D59" s="101" t="str">
        <f t="shared" si="31"/>
        <v>Топливо</v>
      </c>
      <c r="E59" s="9" t="str">
        <f t="shared" si="31"/>
        <v>тыс. руб.</v>
      </c>
      <c r="F59" s="74">
        <f t="shared" si="31"/>
        <v>0</v>
      </c>
      <c r="G59" s="74">
        <f t="shared" si="32"/>
        <v>61990.872275972339</v>
      </c>
      <c r="H59" s="74">
        <f t="shared" si="30"/>
        <v>118815.02650117359</v>
      </c>
      <c r="I59" s="74">
        <f t="shared" si="30"/>
        <v>172278.85587021694</v>
      </c>
      <c r="J59" s="74">
        <f t="shared" si="30"/>
        <v>218896.43569186682</v>
      </c>
      <c r="K59" s="74">
        <f t="shared" si="30"/>
        <v>264065.56481987005</v>
      </c>
      <c r="L59" s="74">
        <f t="shared" si="30"/>
        <v>304950.69585195836</v>
      </c>
      <c r="M59" s="74">
        <f t="shared" si="30"/>
        <v>340140.28138504509</v>
      </c>
      <c r="N59" s="74">
        <f t="shared" si="30"/>
        <v>371072.3065529468</v>
      </c>
      <c r="O59" s="74">
        <f t="shared" si="30"/>
        <v>400060.51321214007</v>
      </c>
      <c r="P59" s="74">
        <f t="shared" si="30"/>
        <v>425692.4493510407</v>
      </c>
      <c r="Q59" s="74">
        <f t="shared" si="30"/>
        <v>448053.16680078907</v>
      </c>
      <c r="R59" s="74">
        <f t="shared" si="30"/>
        <v>468891.0991979682</v>
      </c>
      <c r="S59" s="74">
        <f t="shared" si="30"/>
        <v>487980.50925103348</v>
      </c>
      <c r="T59" s="74">
        <f t="shared" si="30"/>
        <v>505134.10502859071</v>
      </c>
      <c r="U59" s="74">
        <f t="shared" si="30"/>
        <v>519864.65066191013</v>
      </c>
      <c r="V59" s="74">
        <f t="shared" si="30"/>
        <v>533220.75900515181</v>
      </c>
      <c r="W59" s="74">
        <f t="shared" si="30"/>
        <v>544326.4423535699</v>
      </c>
      <c r="X59" s="74">
        <f t="shared" si="30"/>
        <v>554273.78018890228</v>
      </c>
      <c r="Y59" s="74">
        <f t="shared" si="30"/>
        <v>564000.82326899818</v>
      </c>
      <c r="Z59" s="74">
        <f t="shared" si="30"/>
        <v>572789.20170135109</v>
      </c>
    </row>
    <row r="60" spans="1:26" outlineLevel="1" x14ac:dyDescent="0.25">
      <c r="A60" s="39" t="str">
        <f t="shared" si="3"/>
        <v>NHL NTE 240</v>
      </c>
      <c r="B60" s="39"/>
      <c r="D60" s="101" t="str">
        <f t="shared" si="31"/>
        <v>Смазочные</v>
      </c>
      <c r="E60" s="9" t="str">
        <f t="shared" si="31"/>
        <v>тыс. руб.</v>
      </c>
      <c r="F60" s="74">
        <f t="shared" si="31"/>
        <v>0</v>
      </c>
      <c r="G60" s="74">
        <f t="shared" si="32"/>
        <v>0</v>
      </c>
      <c r="H60" s="74">
        <f t="shared" si="30"/>
        <v>0</v>
      </c>
      <c r="I60" s="74">
        <f t="shared" si="30"/>
        <v>0</v>
      </c>
      <c r="J60" s="74">
        <f t="shared" si="30"/>
        <v>0</v>
      </c>
      <c r="K60" s="74">
        <f t="shared" si="30"/>
        <v>0</v>
      </c>
      <c r="L60" s="74">
        <f t="shared" si="30"/>
        <v>0</v>
      </c>
      <c r="M60" s="74">
        <f t="shared" si="30"/>
        <v>0</v>
      </c>
      <c r="N60" s="74">
        <f t="shared" si="30"/>
        <v>0</v>
      </c>
      <c r="O60" s="74">
        <f t="shared" si="30"/>
        <v>0</v>
      </c>
      <c r="P60" s="74">
        <f t="shared" si="30"/>
        <v>0</v>
      </c>
      <c r="Q60" s="74">
        <f t="shared" si="30"/>
        <v>0</v>
      </c>
      <c r="R60" s="74">
        <f t="shared" si="30"/>
        <v>0</v>
      </c>
      <c r="S60" s="74">
        <f t="shared" si="30"/>
        <v>0</v>
      </c>
      <c r="T60" s="74">
        <f t="shared" si="30"/>
        <v>0</v>
      </c>
      <c r="U60" s="74">
        <f t="shared" si="30"/>
        <v>0</v>
      </c>
      <c r="V60" s="74">
        <f t="shared" si="30"/>
        <v>0</v>
      </c>
      <c r="W60" s="74">
        <f t="shared" si="30"/>
        <v>0</v>
      </c>
      <c r="X60" s="74">
        <f t="shared" si="30"/>
        <v>0</v>
      </c>
      <c r="Y60" s="74">
        <f t="shared" si="30"/>
        <v>0</v>
      </c>
      <c r="Z60" s="74">
        <f t="shared" si="30"/>
        <v>0</v>
      </c>
    </row>
    <row r="61" spans="1:26" outlineLevel="1" x14ac:dyDescent="0.25">
      <c r="A61" s="39" t="str">
        <f t="shared" si="3"/>
        <v>NHL NTE 240</v>
      </c>
      <c r="B61" s="39"/>
      <c r="D61" s="101" t="str">
        <f t="shared" si="31"/>
        <v>Затраты на персонал</v>
      </c>
      <c r="E61" s="9" t="str">
        <f t="shared" si="31"/>
        <v>тыс. руб.</v>
      </c>
      <c r="F61" s="74">
        <f t="shared" si="31"/>
        <v>0</v>
      </c>
      <c r="G61" s="74">
        <f t="shared" si="32"/>
        <v>16496.068072019727</v>
      </c>
      <c r="H61" s="74">
        <f t="shared" si="30"/>
        <v>31224.700279180193</v>
      </c>
      <c r="I61" s="74">
        <f t="shared" si="30"/>
        <v>44375.264749859183</v>
      </c>
      <c r="J61" s="74">
        <f t="shared" si="30"/>
        <v>56116.840170108277</v>
      </c>
      <c r="K61" s="74">
        <f t="shared" si="30"/>
        <v>66600.389652473546</v>
      </c>
      <c r="L61" s="74">
        <f t="shared" si="30"/>
        <v>75960.701690299669</v>
      </c>
      <c r="M61" s="74">
        <f t="shared" si="30"/>
        <v>84318.123152644432</v>
      </c>
      <c r="N61" s="74">
        <f t="shared" si="30"/>
        <v>91780.106601166539</v>
      </c>
      <c r="O61" s="74">
        <f t="shared" si="30"/>
        <v>98442.591823061273</v>
      </c>
      <c r="P61" s="74">
        <f t="shared" si="30"/>
        <v>104391.23934261015</v>
      </c>
      <c r="Q61" s="74">
        <f t="shared" si="30"/>
        <v>109702.53177077878</v>
      </c>
      <c r="R61" s="74">
        <f t="shared" si="30"/>
        <v>114444.75715307221</v>
      </c>
      <c r="S61" s="74">
        <f t="shared" si="30"/>
        <v>118678.88695869134</v>
      </c>
      <c r="T61" s="74">
        <f t="shared" si="30"/>
        <v>122459.3599994227</v>
      </c>
      <c r="U61" s="74">
        <f t="shared" si="30"/>
        <v>125834.78235721856</v>
      </c>
      <c r="V61" s="74">
        <f t="shared" si="30"/>
        <v>128848.55231953629</v>
      </c>
      <c r="W61" s="74">
        <f t="shared" si="30"/>
        <v>131539.41835731998</v>
      </c>
      <c r="X61" s="74">
        <f t="shared" si="30"/>
        <v>133941.97731962684</v>
      </c>
      <c r="Y61" s="74">
        <f t="shared" si="30"/>
        <v>136087.11925025797</v>
      </c>
      <c r="Z61" s="74">
        <f t="shared" si="30"/>
        <v>138002.42454546434</v>
      </c>
    </row>
    <row r="62" spans="1:26" outlineLevel="1" x14ac:dyDescent="0.25">
      <c r="A62" s="39" t="str">
        <f t="shared" si="3"/>
        <v>NHL NTE 240</v>
      </c>
      <c r="B62" s="39"/>
      <c r="D62" s="101" t="str">
        <f t="shared" si="31"/>
        <v>Транспортный налог</v>
      </c>
      <c r="E62" s="9" t="str">
        <f t="shared" si="31"/>
        <v>тыс. руб.</v>
      </c>
      <c r="F62" s="74">
        <f t="shared" si="31"/>
        <v>0</v>
      </c>
      <c r="G62" s="74">
        <f t="shared" si="32"/>
        <v>189.73214285714283</v>
      </c>
      <c r="H62" s="74">
        <f t="shared" si="30"/>
        <v>359.13584183673464</v>
      </c>
      <c r="I62" s="74">
        <f t="shared" si="30"/>
        <v>510.38914449708443</v>
      </c>
      <c r="J62" s="74">
        <f t="shared" si="30"/>
        <v>645.43673615811099</v>
      </c>
      <c r="K62" s="74">
        <f t="shared" si="30"/>
        <v>766.01494299831336</v>
      </c>
      <c r="L62" s="74">
        <f t="shared" si="30"/>
        <v>873.67405624849403</v>
      </c>
      <c r="M62" s="74">
        <f t="shared" si="30"/>
        <v>969.79826450758389</v>
      </c>
      <c r="N62" s="74">
        <f t="shared" si="30"/>
        <v>1055.6234504531999</v>
      </c>
      <c r="O62" s="74">
        <f t="shared" si="30"/>
        <v>1132.2530807617854</v>
      </c>
      <c r="P62" s="74">
        <f t="shared" si="30"/>
        <v>1200.6723935373084</v>
      </c>
      <c r="Q62" s="74">
        <f t="shared" si="30"/>
        <v>1261.7610656583111</v>
      </c>
      <c r="R62" s="74">
        <f t="shared" si="30"/>
        <v>1316.3045229092063</v>
      </c>
      <c r="S62" s="74">
        <f t="shared" si="30"/>
        <v>1365.0040383117912</v>
      </c>
      <c r="T62" s="74">
        <f t="shared" si="30"/>
        <v>1408.4857484926706</v>
      </c>
      <c r="U62" s="74">
        <f t="shared" si="30"/>
        <v>1447.308704011313</v>
      </c>
      <c r="V62" s="74">
        <f t="shared" si="30"/>
        <v>1481.9720571529579</v>
      </c>
      <c r="W62" s="74">
        <f t="shared" si="30"/>
        <v>1512.921479600855</v>
      </c>
      <c r="X62" s="74">
        <f t="shared" si="30"/>
        <v>1540.5548925007633</v>
      </c>
      <c r="Y62" s="74">
        <f t="shared" si="30"/>
        <v>1565.2275825899671</v>
      </c>
      <c r="Z62" s="74">
        <f t="shared" si="30"/>
        <v>1587.2567701696134</v>
      </c>
    </row>
    <row r="63" spans="1:26" outlineLevel="1" x14ac:dyDescent="0.25">
      <c r="A63" s="39" t="str">
        <f t="shared" si="3"/>
        <v>NHL NTE 240</v>
      </c>
      <c r="B63" s="39"/>
      <c r="D63" s="101" t="str">
        <f t="shared" si="31"/>
        <v>Налог на прибыль</v>
      </c>
      <c r="E63" s="9" t="str">
        <f t="shared" si="31"/>
        <v>тыс. руб.</v>
      </c>
      <c r="F63" s="74">
        <f t="shared" si="31"/>
        <v>0</v>
      </c>
      <c r="G63" s="74">
        <f t="shared" si="32"/>
        <v>-26223.162022806748</v>
      </c>
      <c r="H63" s="74">
        <f t="shared" si="30"/>
        <v>-50596.27238958978</v>
      </c>
      <c r="I63" s="74">
        <f t="shared" si="30"/>
        <v>-80589.428948648332</v>
      </c>
      <c r="J63" s="74">
        <f t="shared" si="30"/>
        <v>-103314.15310388598</v>
      </c>
      <c r="K63" s="74">
        <f t="shared" si="30"/>
        <v>-122300.43355942442</v>
      </c>
      <c r="L63" s="74">
        <f t="shared" si="30"/>
        <v>-144447.71267732827</v>
      </c>
      <c r="M63" s="74">
        <f t="shared" si="30"/>
        <v>-159237.4279301285</v>
      </c>
      <c r="N63" s="74">
        <f t="shared" si="30"/>
        <v>-174274.55528595619</v>
      </c>
      <c r="O63" s="74">
        <f t="shared" si="30"/>
        <v>-193771.93885879777</v>
      </c>
      <c r="P63" s="74">
        <f t="shared" si="30"/>
        <v>-204395.93138766105</v>
      </c>
      <c r="Q63" s="74">
        <f t="shared" si="30"/>
        <v>-227497.18934887435</v>
      </c>
      <c r="R63" s="74">
        <f t="shared" si="30"/>
        <v>-238767.3393943721</v>
      </c>
      <c r="S63" s="74">
        <f t="shared" si="30"/>
        <v>-246647.44059217634</v>
      </c>
      <c r="T63" s="74">
        <f t="shared" si="30"/>
        <v>-253726.36769631188</v>
      </c>
      <c r="U63" s="74">
        <f t="shared" si="30"/>
        <v>-262650.57124775596</v>
      </c>
      <c r="V63" s="74">
        <f t="shared" si="30"/>
        <v>-268188.02504102286</v>
      </c>
      <c r="W63" s="74">
        <f t="shared" si="30"/>
        <v>-272854.67392572592</v>
      </c>
      <c r="X63" s="74">
        <f t="shared" si="30"/>
        <v>-280363.61680411006</v>
      </c>
      <c r="Y63" s="74">
        <f t="shared" si="30"/>
        <v>-284382.31264501793</v>
      </c>
      <c r="Z63" s="74">
        <f t="shared" si="30"/>
        <v>-288049.91150658246</v>
      </c>
    </row>
    <row r="64" spans="1:26" outlineLevel="1" x14ac:dyDescent="0.25">
      <c r="A64" s="39" t="str">
        <f t="shared" si="3"/>
        <v>NHL NTE 240</v>
      </c>
      <c r="B64" s="39"/>
      <c r="D64" s="101"/>
      <c r="E64" s="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9" outlineLevel="1" x14ac:dyDescent="0.25">
      <c r="A65" s="39" t="str">
        <f t="shared" si="3"/>
        <v>NHL NTE 240</v>
      </c>
      <c r="B65" s="39"/>
      <c r="D65" s="67" t="s">
        <v>90</v>
      </c>
      <c r="E65" s="68" t="str">
        <f>E46</f>
        <v>тыс. руб.</v>
      </c>
      <c r="F65" s="69">
        <f>F43*'ФОТ, МТР, макро'!AJ$13</f>
        <v>0</v>
      </c>
      <c r="G65" s="69">
        <f>G43*'ФОТ, МТР, макро'!AK$13</f>
        <v>0</v>
      </c>
      <c r="H65" s="69">
        <f>H43*'ФОТ, МТР, макро'!AL$13</f>
        <v>0</v>
      </c>
      <c r="I65" s="69">
        <f>I43*'ФОТ, МТР, макро'!AM$13</f>
        <v>0</v>
      </c>
      <c r="J65" s="69">
        <f>J43*'ФОТ, МТР, макро'!AN$13</f>
        <v>0</v>
      </c>
      <c r="K65" s="69">
        <f>K43*'ФОТ, МТР, макро'!AO$13</f>
        <v>0</v>
      </c>
      <c r="L65" s="69">
        <f>L43*'ФОТ, МТР, макро'!AP$13</f>
        <v>0</v>
      </c>
      <c r="M65" s="69">
        <f>M43*'ФОТ, МТР, макро'!AQ$13</f>
        <v>0</v>
      </c>
      <c r="N65" s="69">
        <f>N43*'ФОТ, МТР, макро'!AR$13</f>
        <v>0</v>
      </c>
      <c r="O65" s="69">
        <f>O43*'ФОТ, МТР, макро'!AS$13</f>
        <v>0</v>
      </c>
      <c r="P65" s="69">
        <f>P43*'ФОТ, МТР, макро'!AT$13</f>
        <v>0</v>
      </c>
      <c r="Q65" s="69">
        <f>Q43*'ФОТ, МТР, макро'!AU$13</f>
        <v>0</v>
      </c>
      <c r="R65" s="69">
        <f>R43*'ФОТ, МТР, макро'!AV$13</f>
        <v>0</v>
      </c>
      <c r="S65" s="69">
        <f>S43*'ФОТ, МТР, макро'!AW$13</f>
        <v>0</v>
      </c>
      <c r="T65" s="69">
        <f>T43*'ФОТ, МТР, макро'!AX$13</f>
        <v>0</v>
      </c>
      <c r="U65" s="69">
        <f>U43*'ФОТ, МТР, макро'!AY$13</f>
        <v>0</v>
      </c>
      <c r="V65" s="69">
        <f>V43*'ФОТ, МТР, макро'!AZ$13</f>
        <v>0</v>
      </c>
      <c r="W65" s="69">
        <f>W43*'ФОТ, МТР, макро'!BA$13</f>
        <v>0</v>
      </c>
      <c r="X65" s="69">
        <f>X43*'ФОТ, МТР, макро'!BB$13</f>
        <v>0</v>
      </c>
      <c r="Y65" s="69">
        <f>Y43*'ФОТ, МТР, макро'!BC$13</f>
        <v>0</v>
      </c>
      <c r="Z65" s="69">
        <f>Z43*'ФОТ, МТР, макро'!BD$13</f>
        <v>0</v>
      </c>
    </row>
    <row r="66" spans="1:29" outlineLevel="1" x14ac:dyDescent="0.25">
      <c r="A66" s="39" t="str">
        <f t="shared" si="3"/>
        <v>NHL NTE 240</v>
      </c>
      <c r="B66" s="39"/>
      <c r="D66" s="101" t="str">
        <f>D44</f>
        <v>Самосвал</v>
      </c>
      <c r="E66" s="9" t="str">
        <f>E65</f>
        <v>тыс. руб.</v>
      </c>
      <c r="F66" s="74">
        <f>F44*'ФОТ, МТР, макро'!AJ$13</f>
        <v>0</v>
      </c>
      <c r="G66" s="74">
        <f>G44*'ФОТ, МТР, макро'!AK$13</f>
        <v>0</v>
      </c>
      <c r="H66" s="74">
        <f>H44*'ФОТ, МТР, макро'!AL$13</f>
        <v>0</v>
      </c>
      <c r="I66" s="74">
        <f>I44*'ФОТ, МТР, макро'!AM$13</f>
        <v>0</v>
      </c>
      <c r="J66" s="74">
        <f>J44*'ФОТ, МТР, макро'!AN$13</f>
        <v>0</v>
      </c>
      <c r="K66" s="74">
        <f>K44*'ФОТ, МТР, макро'!AO$13</f>
        <v>0</v>
      </c>
      <c r="L66" s="74">
        <f>L44*'ФОТ, МТР, макро'!AP$13</f>
        <v>0</v>
      </c>
      <c r="M66" s="74">
        <f>M44*'ФОТ, МТР, макро'!AQ$13</f>
        <v>0</v>
      </c>
      <c r="N66" s="74">
        <f>N44*'ФОТ, МТР, макро'!AR$13</f>
        <v>0</v>
      </c>
      <c r="O66" s="74">
        <f>O44*'ФОТ, МТР, макро'!AS$13</f>
        <v>0</v>
      </c>
      <c r="P66" s="74">
        <f>P44*'ФОТ, МТР, макро'!AT$13</f>
        <v>0</v>
      </c>
      <c r="Q66" s="74">
        <f>Q44*'ФОТ, МТР, макро'!AU$13</f>
        <v>0</v>
      </c>
      <c r="R66" s="74">
        <f>R44*'ФОТ, МТР, макро'!AV$13</f>
        <v>0</v>
      </c>
      <c r="S66" s="74">
        <f>S44*'ФОТ, МТР, макро'!AW$13</f>
        <v>0</v>
      </c>
      <c r="T66" s="74">
        <f>T44*'ФОТ, МТР, макро'!AX$13</f>
        <v>0</v>
      </c>
      <c r="U66" s="74">
        <f>U44*'ФОТ, МТР, макро'!AY$13</f>
        <v>0</v>
      </c>
      <c r="V66" s="74">
        <f>V44*'ФОТ, МТР, макро'!AZ$13</f>
        <v>0</v>
      </c>
      <c r="W66" s="74">
        <f>W44*'ФОТ, МТР, макро'!BA$13</f>
        <v>0</v>
      </c>
      <c r="X66" s="74">
        <f>X44*'ФОТ, МТР, макро'!BB$13</f>
        <v>0</v>
      </c>
      <c r="Y66" s="74">
        <f>Y44*'ФОТ, МТР, макро'!BC$13</f>
        <v>0</v>
      </c>
      <c r="Z66" s="74">
        <f>Z44*'ФОТ, МТР, макро'!BD$13</f>
        <v>0</v>
      </c>
    </row>
    <row r="67" spans="1:29" outlineLevel="1" x14ac:dyDescent="0.25">
      <c r="A67" s="39" t="str">
        <f t="shared" si="3"/>
        <v>NHL NTE 240</v>
      </c>
      <c r="B67" s="39"/>
      <c r="D67" s="104" t="s">
        <v>88</v>
      </c>
      <c r="E67" s="9"/>
      <c r="F67" s="106">
        <f>F65-F66</f>
        <v>0</v>
      </c>
      <c r="G67" s="106">
        <f t="shared" ref="G67" si="33">G65-G66</f>
        <v>0</v>
      </c>
      <c r="H67" s="106">
        <f t="shared" ref="H67:Z67" si="34">H65-H66</f>
        <v>0</v>
      </c>
      <c r="I67" s="106">
        <f t="shared" si="34"/>
        <v>0</v>
      </c>
      <c r="J67" s="106">
        <f t="shared" si="34"/>
        <v>0</v>
      </c>
      <c r="K67" s="106">
        <f t="shared" si="34"/>
        <v>0</v>
      </c>
      <c r="L67" s="106">
        <f t="shared" si="34"/>
        <v>0</v>
      </c>
      <c r="M67" s="106">
        <f t="shared" si="34"/>
        <v>0</v>
      </c>
      <c r="N67" s="106">
        <f t="shared" si="34"/>
        <v>0</v>
      </c>
      <c r="O67" s="106">
        <f t="shared" si="34"/>
        <v>0</v>
      </c>
      <c r="P67" s="106">
        <f t="shared" si="34"/>
        <v>0</v>
      </c>
      <c r="Q67" s="106">
        <f t="shared" si="34"/>
        <v>0</v>
      </c>
      <c r="R67" s="106">
        <f t="shared" si="34"/>
        <v>0</v>
      </c>
      <c r="S67" s="106">
        <f t="shared" si="34"/>
        <v>0</v>
      </c>
      <c r="T67" s="106">
        <f t="shared" si="34"/>
        <v>0</v>
      </c>
      <c r="U67" s="106">
        <f t="shared" si="34"/>
        <v>0</v>
      </c>
      <c r="V67" s="106">
        <f t="shared" si="34"/>
        <v>0</v>
      </c>
      <c r="W67" s="106">
        <f t="shared" si="34"/>
        <v>0</v>
      </c>
      <c r="X67" s="106">
        <f t="shared" si="34"/>
        <v>0</v>
      </c>
      <c r="Y67" s="106">
        <f t="shared" si="34"/>
        <v>0</v>
      </c>
      <c r="Z67" s="106">
        <f t="shared" si="34"/>
        <v>0</v>
      </c>
    </row>
    <row r="68" spans="1:29" outlineLevel="1" x14ac:dyDescent="0.25">
      <c r="A68" s="39" t="str">
        <f t="shared" si="3"/>
        <v>NHL NTE 240</v>
      </c>
      <c r="B68" s="39"/>
      <c r="D68" s="107" t="s">
        <v>91</v>
      </c>
      <c r="E68" s="68" t="str">
        <f>E65</f>
        <v>тыс. руб.</v>
      </c>
      <c r="F68" s="69">
        <f>F65</f>
        <v>0</v>
      </c>
      <c r="G68" s="69">
        <f>F68+G65</f>
        <v>0</v>
      </c>
      <c r="H68" s="69">
        <f t="shared" ref="H68:H69" si="35">G68+H65</f>
        <v>0</v>
      </c>
      <c r="I68" s="69">
        <f t="shared" ref="I68:I69" si="36">H68+I65</f>
        <v>0</v>
      </c>
      <c r="J68" s="69">
        <f t="shared" ref="J68:J69" si="37">I68+J65</f>
        <v>0</v>
      </c>
      <c r="K68" s="69">
        <f t="shared" ref="K68:K69" si="38">J68+K65</f>
        <v>0</v>
      </c>
      <c r="L68" s="69">
        <f t="shared" ref="L68:L69" si="39">K68+L65</f>
        <v>0</v>
      </c>
      <c r="M68" s="69">
        <f t="shared" ref="M68:M69" si="40">L68+M65</f>
        <v>0</v>
      </c>
      <c r="N68" s="69">
        <f t="shared" ref="N68:N69" si="41">M68+N65</f>
        <v>0</v>
      </c>
      <c r="O68" s="69">
        <f t="shared" ref="O68:O69" si="42">N68+O65</f>
        <v>0</v>
      </c>
      <c r="P68" s="69">
        <f t="shared" ref="P68:P69" si="43">O68+P65</f>
        <v>0</v>
      </c>
      <c r="Q68" s="69">
        <f t="shared" ref="Q68:Q69" si="44">P68+Q65</f>
        <v>0</v>
      </c>
      <c r="R68" s="69">
        <f t="shared" ref="R68:R69" si="45">Q68+R65</f>
        <v>0</v>
      </c>
      <c r="S68" s="69">
        <f t="shared" ref="S68:S69" si="46">R68+S65</f>
        <v>0</v>
      </c>
      <c r="T68" s="69">
        <f t="shared" ref="T68:T69" si="47">S68+T65</f>
        <v>0</v>
      </c>
      <c r="U68" s="69">
        <f t="shared" ref="U68:U69" si="48">T68+U65</f>
        <v>0</v>
      </c>
      <c r="V68" s="69">
        <f t="shared" ref="V68:V69" si="49">U68+V65</f>
        <v>0</v>
      </c>
      <c r="W68" s="69">
        <f t="shared" ref="W68:W69" si="50">V68+W65</f>
        <v>0</v>
      </c>
      <c r="X68" s="69">
        <f t="shared" ref="X68:X69" si="51">W68+X65</f>
        <v>0</v>
      </c>
      <c r="Y68" s="69">
        <f t="shared" ref="Y68:Y69" si="52">X68+Y65</f>
        <v>0</v>
      </c>
      <c r="Z68" s="69">
        <f t="shared" ref="Z68:Z69" si="53">Y68+Z65</f>
        <v>0</v>
      </c>
    </row>
    <row r="69" spans="1:29" outlineLevel="1" x14ac:dyDescent="0.25">
      <c r="A69" s="39" t="str">
        <f t="shared" si="3"/>
        <v>NHL NTE 240</v>
      </c>
      <c r="B69" s="39"/>
      <c r="D69" s="101" t="str">
        <f>D66</f>
        <v>Самосвал</v>
      </c>
      <c r="E69" s="9" t="str">
        <f>E66</f>
        <v>тыс. руб.</v>
      </c>
      <c r="F69" s="74">
        <f>F66</f>
        <v>0</v>
      </c>
      <c r="G69" s="74">
        <f>F69+G66</f>
        <v>0</v>
      </c>
      <c r="H69" s="74">
        <f t="shared" si="35"/>
        <v>0</v>
      </c>
      <c r="I69" s="74">
        <f t="shared" si="36"/>
        <v>0</v>
      </c>
      <c r="J69" s="74">
        <f t="shared" si="37"/>
        <v>0</v>
      </c>
      <c r="K69" s="74">
        <f t="shared" si="38"/>
        <v>0</v>
      </c>
      <c r="L69" s="74">
        <f t="shared" si="39"/>
        <v>0</v>
      </c>
      <c r="M69" s="74">
        <f t="shared" si="40"/>
        <v>0</v>
      </c>
      <c r="N69" s="74">
        <f t="shared" si="41"/>
        <v>0</v>
      </c>
      <c r="O69" s="74">
        <f t="shared" si="42"/>
        <v>0</v>
      </c>
      <c r="P69" s="74">
        <f t="shared" si="43"/>
        <v>0</v>
      </c>
      <c r="Q69" s="74">
        <f t="shared" si="44"/>
        <v>0</v>
      </c>
      <c r="R69" s="74">
        <f t="shared" si="45"/>
        <v>0</v>
      </c>
      <c r="S69" s="74">
        <f t="shared" si="46"/>
        <v>0</v>
      </c>
      <c r="T69" s="74">
        <f t="shared" si="47"/>
        <v>0</v>
      </c>
      <c r="U69" s="74">
        <f t="shared" si="48"/>
        <v>0</v>
      </c>
      <c r="V69" s="74">
        <f t="shared" si="49"/>
        <v>0</v>
      </c>
      <c r="W69" s="74">
        <f t="shared" si="50"/>
        <v>0</v>
      </c>
      <c r="X69" s="74">
        <f t="shared" si="51"/>
        <v>0</v>
      </c>
      <c r="Y69" s="74">
        <f t="shared" si="52"/>
        <v>0</v>
      </c>
      <c r="Z69" s="74">
        <f t="shared" si="53"/>
        <v>0</v>
      </c>
    </row>
    <row r="70" spans="1:29" outlineLevel="1" x14ac:dyDescent="0.25">
      <c r="A70" s="39" t="str">
        <f t="shared" si="3"/>
        <v>NHL NTE 240</v>
      </c>
      <c r="B70" s="39"/>
      <c r="D70" s="101"/>
      <c r="E70" s="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9" outlineLevel="1" x14ac:dyDescent="0.25">
      <c r="A71" s="39" t="str">
        <f t="shared" si="3"/>
        <v>NHL NTE 240</v>
      </c>
      <c r="B71" s="39"/>
      <c r="D71" s="67" t="s">
        <v>92</v>
      </c>
      <c r="E71" s="68" t="str">
        <f>E46</f>
        <v>тыс. руб.</v>
      </c>
      <c r="F71" s="69">
        <f>F46*'ФОТ, МТР, макро'!AJ$13</f>
        <v>0</v>
      </c>
      <c r="G71" s="69">
        <f>G46*'ФОТ, МТР, макро'!AK$13</f>
        <v>78669.486068420258</v>
      </c>
      <c r="H71" s="69">
        <f>H46*'ФОТ, МТР, макро'!AL$13</f>
        <v>73119.331100349082</v>
      </c>
      <c r="I71" s="69">
        <f>I46*'ФОТ, МТР, макро'!AM$13</f>
        <v>89979.469677175643</v>
      </c>
      <c r="J71" s="69">
        <f>J46*'ФОТ, МТР, макро'!AN$13</f>
        <v>68174.172465712938</v>
      </c>
      <c r="K71" s="69">
        <f>K46*'ФОТ, МТР, макро'!AO$13</f>
        <v>56958.841366615321</v>
      </c>
      <c r="L71" s="69">
        <f>L46*'ФОТ, МТР, макро'!AP$13</f>
        <v>66441.837353711569</v>
      </c>
      <c r="M71" s="69">
        <f>M46*'ФОТ, МТР, макро'!AQ$13</f>
        <v>44369.145758400729</v>
      </c>
      <c r="N71" s="69">
        <f>N46*'ФОТ, МТР, макро'!AR$13</f>
        <v>45111.3820674831</v>
      </c>
      <c r="O71" s="69">
        <f>O46*'ФОТ, МТР, макро'!AS$13</f>
        <v>58492.150718524717</v>
      </c>
      <c r="P71" s="69">
        <f>P46*'ФОТ, МТР, макро'!AT$13</f>
        <v>31871.977586589859</v>
      </c>
      <c r="Q71" s="69">
        <f>Q46*'ФОТ, МТР, макро'!AU$13</f>
        <v>69303.773883639864</v>
      </c>
      <c r="R71" s="69">
        <f>R46*'ФОТ, МТР, макро'!AV$13</f>
        <v>33810.450136493273</v>
      </c>
      <c r="S71" s="69">
        <f>S46*'ФОТ, МТР, макро'!AW$13</f>
        <v>23640.303593412693</v>
      </c>
      <c r="T71" s="69">
        <f>T46*'ФОТ, МТР, макро'!AX$13</f>
        <v>21236.781312406627</v>
      </c>
      <c r="U71" s="69">
        <f>U46*'ФОТ, МТР, макро'!AY$13</f>
        <v>26772.610654332289</v>
      </c>
      <c r="V71" s="69">
        <f>V46*'ФОТ, МТР, макро'!AZ$13</f>
        <v>16612.361379800637</v>
      </c>
      <c r="W71" s="69">
        <f>W46*'ФОТ, МТР, макро'!BA$13</f>
        <v>13999.946654109197</v>
      </c>
      <c r="X71" s="69">
        <f>X46*'ФОТ, МТР, макро'!BB$13</f>
        <v>22526.828635152357</v>
      </c>
      <c r="Y71" s="69">
        <f>Y46*'ФОТ, МТР, макро'!BC$13</f>
        <v>12056.087522723607</v>
      </c>
      <c r="Z71" s="69">
        <f>Z46*'ФОТ, МТР, макро'!BD$13</f>
        <v>11002.796584693628</v>
      </c>
    </row>
    <row r="72" spans="1:29" outlineLevel="1" x14ac:dyDescent="0.25">
      <c r="A72" s="39" t="str">
        <f t="shared" si="3"/>
        <v>NHL NTE 240</v>
      </c>
      <c r="B72" s="39"/>
      <c r="D72" s="107" t="s">
        <v>93</v>
      </c>
      <c r="E72" s="68" t="str">
        <f>E71</f>
        <v>тыс. руб.</v>
      </c>
      <c r="F72" s="69">
        <f>F71</f>
        <v>0</v>
      </c>
      <c r="G72" s="69">
        <f>F72+G71</f>
        <v>78669.486068420258</v>
      </c>
      <c r="H72" s="69">
        <f t="shared" ref="H72" si="54">G72+H71</f>
        <v>151788.81716876934</v>
      </c>
      <c r="I72" s="69">
        <f t="shared" ref="I72" si="55">H72+I71</f>
        <v>241768.286845945</v>
      </c>
      <c r="J72" s="69">
        <f t="shared" ref="J72" si="56">I72+J71</f>
        <v>309942.45931165793</v>
      </c>
      <c r="K72" s="69">
        <f t="shared" ref="K72" si="57">J72+K71</f>
        <v>366901.30067827326</v>
      </c>
      <c r="L72" s="69">
        <f t="shared" ref="L72" si="58">K72+L71</f>
        <v>433343.1380319848</v>
      </c>
      <c r="M72" s="69">
        <f t="shared" ref="M72" si="59">L72+M71</f>
        <v>477712.28379038553</v>
      </c>
      <c r="N72" s="69">
        <f t="shared" ref="N72" si="60">M72+N71</f>
        <v>522823.66585786862</v>
      </c>
      <c r="O72" s="69">
        <f t="shared" ref="O72" si="61">N72+O71</f>
        <v>581315.81657639332</v>
      </c>
      <c r="P72" s="69">
        <f t="shared" ref="P72" si="62">O72+P71</f>
        <v>613187.79416298319</v>
      </c>
      <c r="Q72" s="69">
        <f t="shared" ref="Q72" si="63">P72+Q71</f>
        <v>682491.56804662303</v>
      </c>
      <c r="R72" s="69">
        <f t="shared" ref="R72" si="64">Q72+R71</f>
        <v>716302.01818311634</v>
      </c>
      <c r="S72" s="69">
        <f t="shared" ref="S72" si="65">R72+S71</f>
        <v>739942.32177652908</v>
      </c>
      <c r="T72" s="69">
        <f t="shared" ref="T72" si="66">S72+T71</f>
        <v>761179.10308893572</v>
      </c>
      <c r="U72" s="69">
        <f t="shared" ref="U72" si="67">T72+U71</f>
        <v>787951.71374326805</v>
      </c>
      <c r="V72" s="69">
        <f t="shared" ref="V72" si="68">U72+V71</f>
        <v>804564.07512306864</v>
      </c>
      <c r="W72" s="69">
        <f t="shared" ref="W72" si="69">V72+W71</f>
        <v>818564.02177717781</v>
      </c>
      <c r="X72" s="69">
        <f t="shared" ref="X72" si="70">W72+X71</f>
        <v>841090.85041233012</v>
      </c>
      <c r="Y72" s="69">
        <f t="shared" ref="Y72" si="71">X72+Y71</f>
        <v>853146.93793505372</v>
      </c>
      <c r="Z72" s="69">
        <f t="shared" ref="Z72" si="72">Y72+Z71</f>
        <v>864149.73451974732</v>
      </c>
    </row>
    <row r="73" spans="1:29" outlineLevel="1" x14ac:dyDescent="0.25">
      <c r="A73" s="39" t="str">
        <f t="shared" ref="A73:A95" si="73">A72</f>
        <v>NHL NTE 240</v>
      </c>
      <c r="B73" s="39"/>
      <c r="D73" s="101"/>
      <c r="E73" s="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9" outlineLevel="1" x14ac:dyDescent="0.25">
      <c r="A74" s="39" t="str">
        <f t="shared" si="73"/>
        <v>NHL NTE 240</v>
      </c>
      <c r="B74" s="39" t="str">
        <f>D74</f>
        <v>Аннуитет операционный</v>
      </c>
      <c r="C74" s="61">
        <f>E5</f>
        <v>20</v>
      </c>
      <c r="D74" s="108" t="s">
        <v>94</v>
      </c>
      <c r="E74" s="109" t="s">
        <v>95</v>
      </c>
      <c r="F74" s="110"/>
      <c r="G74" s="111">
        <f>G56/'ФОТ, МТР, макро'!AK$14/(G12/G7)</f>
        <v>7.5403149666405378</v>
      </c>
      <c r="H74" s="111">
        <f>H56/'ФОТ, МТР, макро'!AL$14/(H12/H7)</f>
        <v>7.5850059808079822</v>
      </c>
      <c r="I74" s="111">
        <f>I56/'ФОТ, МТР, макро'!AM$14/(I12/I7)</f>
        <v>8.3136481103200275</v>
      </c>
      <c r="J74" s="111">
        <f>J56/'ФОТ, МТР, макро'!AN$14/(J12/J7)</f>
        <v>8.3867608209866287</v>
      </c>
      <c r="K74" s="111">
        <f>K56/'ФОТ, МТР, макро'!AO$14/(K12/K7)</f>
        <v>8.1994475474940725</v>
      </c>
      <c r="L74" s="111">
        <f>L56/'ФОТ, МТР, макро'!AP$14/(L12/L7)</f>
        <v>8.3597499368559447</v>
      </c>
      <c r="M74" s="111">
        <f>M56/'ФОТ, МТР, макро'!AQ$14/(M12/M7)</f>
        <v>8.2569082373086111</v>
      </c>
      <c r="N74" s="111">
        <f>N56/'ФОТ, МТР, макро'!AR$14/(N12/N7)</f>
        <v>8.2845740910141963</v>
      </c>
      <c r="O74" s="111">
        <f>O56/'ФОТ, МТР, макро'!AS$14/(O12/O7)</f>
        <v>8.5264590228719861</v>
      </c>
      <c r="P74" s="111">
        <f>P56/'ФОТ, МТР, макро'!AT$14/(P12/P7)</f>
        <v>8.4416617428744356</v>
      </c>
      <c r="Q74" s="111">
        <f>Q56/'ФОТ, МТР, макро'!AU$14/(Q12/Q7)</f>
        <v>8.9260121704272617</v>
      </c>
      <c r="R74" s="111">
        <f>R56/'ФОТ, МТР, макро'!AV$14/(R12/R7)</f>
        <v>8.9345568449852166</v>
      </c>
      <c r="S74" s="111">
        <f>S56/'ФОТ, МТР, макро'!AW$14/(S12/S7)</f>
        <v>8.8435787932836671</v>
      </c>
      <c r="T74" s="111">
        <f>T56/'ФОТ, МТР, макро'!AX$14/(T12/T7)</f>
        <v>8.7644715838431289</v>
      </c>
      <c r="U74" s="111">
        <f>U56/'ФОТ, МТР, макро'!AY$14/(U12/U7)</f>
        <v>8.8084396146164199</v>
      </c>
      <c r="V74" s="111">
        <f>V56/'ФОТ, МТР, макро'!AZ$14/(V12/V7)</f>
        <v>8.7568461561439772</v>
      </c>
      <c r="W74" s="111">
        <f>W56/'ФОТ, МТР, макро'!BA$14/(W12/W7)</f>
        <v>8.7402774354464956</v>
      </c>
      <c r="X74" s="111">
        <f>X56/'ФОТ, МТР, макро'!BB$14/(X12/X7)</f>
        <v>8.830165888594296</v>
      </c>
      <c r="Y74" s="111">
        <f>Y56/'ФОТ, МТР, макро'!BC$14/(Y12/Y7)</f>
        <v>8.7817459800610731</v>
      </c>
      <c r="Z74" s="111">
        <f>Z56/'ФОТ, МТР, макро'!BD$14/(Z12/Z7)</f>
        <v>8.7358346139070342</v>
      </c>
      <c r="AC74" s="112" cm="1">
        <f t="array" ref="AC74">INDEX(G74:Z74,1,$C74)</f>
        <v>8.7358346139070342</v>
      </c>
    </row>
    <row r="75" spans="1:29" outlineLevel="1" x14ac:dyDescent="0.25">
      <c r="A75" s="39" t="str">
        <f t="shared" si="73"/>
        <v>NHL NTE 240</v>
      </c>
      <c r="B75" s="39" t="str">
        <f>D75</f>
        <v>ТО, ТР, ППР</v>
      </c>
      <c r="C75" s="39">
        <f>C74</f>
        <v>20</v>
      </c>
      <c r="D75" s="113" t="str">
        <f>D57</f>
        <v>ТО, ТР, ППР</v>
      </c>
      <c r="E75" s="114" t="str">
        <f>E74</f>
        <v>руб/ткм</v>
      </c>
      <c r="F75" s="115"/>
      <c r="G75" s="116">
        <f>G57/'ФОТ, МТР, макро'!AK$14/(G12/G7)</f>
        <v>0.51441299977934685</v>
      </c>
      <c r="H75" s="116">
        <f>H57/'ФОТ, МТР, макро'!AL$14/(H12/H7)</f>
        <v>0.60094345134070015</v>
      </c>
      <c r="I75" s="116">
        <f>I57/'ФОТ, МТР, макро'!AM$14/(I12/I7)</f>
        <v>1.6248372325356228</v>
      </c>
      <c r="J75" s="116">
        <f>J57/'ФОТ, МТР, макро'!AN$14/(J12/J7)</f>
        <v>1.731181071307085</v>
      </c>
      <c r="K75" s="116">
        <f>K57/'ФОТ, МТР, макро'!AO$14/(K12/K7)</f>
        <v>1.541066283464712</v>
      </c>
      <c r="L75" s="116">
        <f>L57/'ФОТ, МТР, макро'!AP$14/(L12/L7)</f>
        <v>1.8026475516108995</v>
      </c>
      <c r="M75" s="116">
        <f>M57/'ФОТ, МТР, макро'!AQ$14/(M12/M7)</f>
        <v>1.6787210994147319</v>
      </c>
      <c r="N75" s="116">
        <f>N57/'ФОТ, МТР, макро'!AR$14/(N12/N7)</f>
        <v>1.7175246972825546</v>
      </c>
      <c r="O75" s="116">
        <f>O57/'ФОТ, МТР, макро'!AS$14/(O12/O7)</f>
        <v>2.0666895762027329</v>
      </c>
      <c r="P75" s="116">
        <f>P57/'ФОТ, МТР, макро'!AT$14/(P12/P7)</f>
        <v>1.9704324980300865</v>
      </c>
      <c r="Q75" s="116">
        <f>Q57/'ФОТ, МТР, макро'!AU$14/(Q12/Q7)</f>
        <v>2.619379705092054</v>
      </c>
      <c r="R75" s="116">
        <f>R57/'ФОТ, МТР, макро'!AV$14/(R12/R7)</f>
        <v>2.653266820789888</v>
      </c>
      <c r="S75" s="116">
        <f>S57/'ФОТ, МТР, макро'!AW$14/(S12/S7)</f>
        <v>2.5629955777282798</v>
      </c>
      <c r="T75" s="116">
        <f>T57/'ФОТ, МТР, макро'!AX$14/(T12/T7)</f>
        <v>2.4872675568448188</v>
      </c>
      <c r="U75" s="116">
        <f>U57/'ФОТ, МТР, макро'!AY$14/(U12/U7)</f>
        <v>2.5556397234368569</v>
      </c>
      <c r="V75" s="116">
        <f>V57/'ФОТ, МТР, макро'!AZ$14/(V12/V7)</f>
        <v>2.5018525676846792</v>
      </c>
      <c r="W75" s="116">
        <f>W57/'ФОТ, МТР, макро'!BA$14/(W12/W7)</f>
        <v>2.4661984154907373</v>
      </c>
      <c r="X75" s="116">
        <f>X57/'ФОТ, МТР, макро'!BB$14/(X12/X7)</f>
        <v>2.5750921697187112</v>
      </c>
      <c r="Y75" s="116">
        <f>Y57/'ФОТ, МТР, макро'!BC$14/(Y12/Y7)</f>
        <v>2.5341126573326296</v>
      </c>
      <c r="Z75" s="116">
        <f>Z57/'ФОТ, МТР, макро'!BD$14/(Z12/Z7)</f>
        <v>2.4987646390983738</v>
      </c>
      <c r="AC75" s="117" cm="1">
        <f t="array" ref="AC75">INDEX(G75:Z75,1,$C75)</f>
        <v>2.4987646390983738</v>
      </c>
    </row>
    <row r="76" spans="1:29" outlineLevel="1" x14ac:dyDescent="0.25">
      <c r="A76" s="39" t="str">
        <f t="shared" si="73"/>
        <v>NHL NTE 240</v>
      </c>
      <c r="B76" s="39" t="str">
        <f>D76</f>
        <v>Шины</v>
      </c>
      <c r="C76" s="39">
        <f t="shared" ref="C76:C84" si="74">C75</f>
        <v>20</v>
      </c>
      <c r="D76" s="113" t="str">
        <f t="shared" ref="D76:D81" si="75">D58</f>
        <v>Шины</v>
      </c>
      <c r="E76" s="114" t="str">
        <f t="shared" ref="E76:E81" si="76">E75</f>
        <v>руб/ткм</v>
      </c>
      <c r="F76" s="115"/>
      <c r="G76" s="116">
        <f>G58/'ФОТ, МТР, макро'!AK$14/(G12/G7)</f>
        <v>1.9983365180284707</v>
      </c>
      <c r="H76" s="116">
        <f>H58/'ФОТ, МТР, макро'!AL$14/(H12/H7)</f>
        <v>1.9968489920383934</v>
      </c>
      <c r="I76" s="116">
        <f>I58/'ФОТ, МТР, макро'!AM$14/(I12/I7)</f>
        <v>1.9924250227379121</v>
      </c>
      <c r="J76" s="116">
        <f>J58/'ФОТ, МТР, макро'!AN$14/(J12/J7)</f>
        <v>1.9920928479926097</v>
      </c>
      <c r="K76" s="116">
        <f>K58/'ФОТ, МТР, макро'!AO$14/(K12/K7)</f>
        <v>1.984745450780758</v>
      </c>
      <c r="L76" s="116">
        <f>L58/'ФОТ, МТР, макро'!AP$14/(L12/L7)</f>
        <v>1.9785575852384671</v>
      </c>
      <c r="M76" s="116">
        <f>M58/'ФОТ, МТР, макро'!AQ$14/(M12/M7)</f>
        <v>1.9772738343934746</v>
      </c>
      <c r="N76" s="116">
        <f>N58/'ФОТ, МТР, макро'!AR$14/(N12/N7)</f>
        <v>1.9775669507645077</v>
      </c>
      <c r="O76" s="116">
        <f>O58/'ФОТ, МТР, макро'!AS$14/(O12/O7)</f>
        <v>1.9735128602737333</v>
      </c>
      <c r="P76" s="116">
        <f>P58/'ФОТ, МТР, макро'!AT$14/(P12/P7)</f>
        <v>1.9710066744496484</v>
      </c>
      <c r="Q76" s="116">
        <f>Q58/'ФОТ, МТР, макро'!AU$14/(Q12/Q7)</f>
        <v>1.9708221698224959</v>
      </c>
      <c r="R76" s="116">
        <f>R58/'ФОТ, МТР, макро'!AV$14/(R12/R7)</f>
        <v>1.9670098450533042</v>
      </c>
      <c r="S76" s="116">
        <f>S58/'ФОТ, МТР, макро'!AW$14/(S12/S7)</f>
        <v>1.9615092516267756</v>
      </c>
      <c r="T76" s="116">
        <f>T58/'ФОТ, МТР, макро'!AX$14/(T12/T7)</f>
        <v>1.9561550509175418</v>
      </c>
      <c r="U76" s="116">
        <f>U58/'ФОТ, МТР, макро'!AY$14/(U12/U7)</f>
        <v>1.9545526247396066</v>
      </c>
      <c r="V76" s="116">
        <f>V58/'ФОТ, МТР, макро'!AZ$14/(V12/V7)</f>
        <v>1.9518742520002679</v>
      </c>
      <c r="W76" s="116">
        <f>W58/'ФОТ, МТР, макро'!BA$14/(W12/W7)</f>
        <v>1.9547431567884377</v>
      </c>
      <c r="X76" s="116">
        <f>X58/'ФОТ, МТР, макро'!BB$14/(X12/X7)</f>
        <v>1.9570773562622048</v>
      </c>
      <c r="Y76" s="116">
        <f>Y58/'ФОТ, МТР, макро'!BC$14/(Y12/Y7)</f>
        <v>1.9525154337311197</v>
      </c>
      <c r="Z76" s="116">
        <f>Z58/'ФОТ, МТР, макро'!BD$14/(Z12/Z7)</f>
        <v>1.9474572272398096</v>
      </c>
      <c r="AC76" s="117" cm="1">
        <f t="array" ref="AC76">INDEX(G76:Z76,1,$C76)</f>
        <v>1.9474572272398096</v>
      </c>
    </row>
    <row r="77" spans="1:29" outlineLevel="1" x14ac:dyDescent="0.25">
      <c r="A77" s="39" t="str">
        <f t="shared" si="73"/>
        <v>NHL NTE 240</v>
      </c>
      <c r="B77" s="39" t="str">
        <f t="shared" ref="B77:B84" si="77">D77</f>
        <v>Топливо</v>
      </c>
      <c r="C77" s="39">
        <f t="shared" si="74"/>
        <v>20</v>
      </c>
      <c r="D77" s="113" t="str">
        <f t="shared" si="75"/>
        <v>Топливо</v>
      </c>
      <c r="E77" s="114" t="str">
        <f t="shared" si="76"/>
        <v>руб/ткм</v>
      </c>
      <c r="F77" s="115"/>
      <c r="G77" s="116">
        <f>G59/'ФОТ, МТР, макро'!AK$14/(G12/G7)</f>
        <v>5.9417027538616862</v>
      </c>
      <c r="H77" s="116">
        <f>H59/'ФОТ, МТР, макро'!AL$14/(H12/H7)</f>
        <v>5.9372798565208509</v>
      </c>
      <c r="I77" s="116">
        <f>I59/'ФОТ, МТР, макро'!AM$14/(I12/I7)</f>
        <v>5.9241259605986567</v>
      </c>
      <c r="J77" s="116">
        <f>J59/'ФОТ, МТР, макро'!AN$14/(J12/J7)</f>
        <v>5.9231382973191629</v>
      </c>
      <c r="K77" s="116">
        <f>K59/'ФОТ, МТР, макро'!AO$14/(K12/K7)</f>
        <v>5.9012921018192959</v>
      </c>
      <c r="L77" s="116">
        <f>L59/'ФОТ, МТР, макро'!AP$14/(L12/L7)</f>
        <v>5.882893570139843</v>
      </c>
      <c r="M77" s="116">
        <f>M59/'ФОТ, МТР, макро'!AQ$14/(M12/M7)</f>
        <v>5.8790765624125907</v>
      </c>
      <c r="N77" s="116">
        <f>N59/'ФОТ, МТР, макро'!AR$14/(N12/N7)</f>
        <v>5.879948092474347</v>
      </c>
      <c r="O77" s="116">
        <f>O59/'ФОТ, МТР, макро'!AS$14/(O12/O7)</f>
        <v>5.8678939662467977</v>
      </c>
      <c r="P77" s="116">
        <f>P59/'ФОТ, МТР, макро'!AT$14/(P12/P7)</f>
        <v>5.86044226275326</v>
      </c>
      <c r="Q77" s="116">
        <f>Q59/'ФОТ, МТР, макро'!AU$14/(Q12/Q7)</f>
        <v>5.8598936706410907</v>
      </c>
      <c r="R77" s="116">
        <f>R59/'ФОТ, МТР, макро'!AV$14/(R12/R7)</f>
        <v>5.8485583923356792</v>
      </c>
      <c r="S77" s="116">
        <f>S59/'ФОТ, МТР, макро'!AW$14/(S12/S7)</f>
        <v>5.8322033436161949</v>
      </c>
      <c r="T77" s="116">
        <f>T59/'ФОТ, МТР, макро'!AX$14/(T12/T7)</f>
        <v>5.8162835679368863</v>
      </c>
      <c r="U77" s="116">
        <f>U59/'ФОТ, МТР, макро'!AY$14/(U12/U7)</f>
        <v>5.811519035062469</v>
      </c>
      <c r="V77" s="116">
        <f>V59/'ФОТ, МТР, макро'!AZ$14/(V12/V7)</f>
        <v>5.8035553640102586</v>
      </c>
      <c r="W77" s="116">
        <f>W59/'ФОТ, МТР, макро'!BA$14/(W12/W7)</f>
        <v>5.812085548654661</v>
      </c>
      <c r="X77" s="116">
        <f>X59/'ФОТ, МТР, макро'!BB$14/(X12/X7)</f>
        <v>5.8190258809341442</v>
      </c>
      <c r="Y77" s="116">
        <f>Y59/'ФОТ, МТР, макро'!BC$14/(Y12/Y7)</f>
        <v>5.8054618053035814</v>
      </c>
      <c r="Z77" s="116">
        <f>Z59/'ФОТ, МТР, макро'!BD$14/(Z12/Z7)</f>
        <v>5.7904221164584468</v>
      </c>
      <c r="AC77" s="117" cm="1">
        <f t="array" ref="AC77">INDEX(G77:Z77,1,$C77)</f>
        <v>5.7904221164584468</v>
      </c>
    </row>
    <row r="78" spans="1:29" outlineLevel="1" x14ac:dyDescent="0.25">
      <c r="A78" s="39" t="str">
        <f t="shared" si="73"/>
        <v>NHL NTE 240</v>
      </c>
      <c r="B78" s="39" t="str">
        <f t="shared" si="77"/>
        <v>Смазочные</v>
      </c>
      <c r="C78" s="39">
        <f t="shared" si="74"/>
        <v>20</v>
      </c>
      <c r="D78" s="113" t="str">
        <f t="shared" si="75"/>
        <v>Смазочные</v>
      </c>
      <c r="E78" s="114" t="str">
        <f t="shared" si="76"/>
        <v>руб/ткм</v>
      </c>
      <c r="F78" s="115"/>
      <c r="G78" s="116">
        <f>G60/'ФОТ, МТР, макро'!AK$14/(G12/G7)</f>
        <v>0</v>
      </c>
      <c r="H78" s="116">
        <f>H60/'ФОТ, МТР, макро'!AL$14/(H12/H7)</f>
        <v>0</v>
      </c>
      <c r="I78" s="116">
        <f>I60/'ФОТ, МТР, макро'!AM$14/(I12/I7)</f>
        <v>0</v>
      </c>
      <c r="J78" s="116">
        <f>J60/'ФОТ, МТР, макро'!AN$14/(J12/J7)</f>
        <v>0</v>
      </c>
      <c r="K78" s="116">
        <f>K60/'ФОТ, МТР, макро'!AO$14/(K12/K7)</f>
        <v>0</v>
      </c>
      <c r="L78" s="116">
        <f>L60/'ФОТ, МТР, макро'!AP$14/(L12/L7)</f>
        <v>0</v>
      </c>
      <c r="M78" s="116">
        <f>M60/'ФОТ, МТР, макро'!AQ$14/(M12/M7)</f>
        <v>0</v>
      </c>
      <c r="N78" s="116">
        <f>N60/'ФОТ, МТР, макро'!AR$14/(N12/N7)</f>
        <v>0</v>
      </c>
      <c r="O78" s="116">
        <f>O60/'ФОТ, МТР, макро'!AS$14/(O12/O7)</f>
        <v>0</v>
      </c>
      <c r="P78" s="116">
        <f>P60/'ФОТ, МТР, макро'!AT$14/(P12/P7)</f>
        <v>0</v>
      </c>
      <c r="Q78" s="116">
        <f>Q60/'ФОТ, МТР, макро'!AU$14/(Q12/Q7)</f>
        <v>0</v>
      </c>
      <c r="R78" s="116">
        <f>R60/'ФОТ, МТР, макро'!AV$14/(R12/R7)</f>
        <v>0</v>
      </c>
      <c r="S78" s="116">
        <f>S60/'ФОТ, МТР, макро'!AW$14/(S12/S7)</f>
        <v>0</v>
      </c>
      <c r="T78" s="116">
        <f>T60/'ФОТ, МТР, макро'!AX$14/(T12/T7)</f>
        <v>0</v>
      </c>
      <c r="U78" s="116">
        <f>U60/'ФОТ, МТР, макро'!AY$14/(U12/U7)</f>
        <v>0</v>
      </c>
      <c r="V78" s="116">
        <f>V60/'ФОТ, МТР, макро'!AZ$14/(V12/V7)</f>
        <v>0</v>
      </c>
      <c r="W78" s="116">
        <f>W60/'ФОТ, МТР, макро'!BA$14/(W12/W7)</f>
        <v>0</v>
      </c>
      <c r="X78" s="116">
        <f>X60/'ФОТ, МТР, макро'!BB$14/(X12/X7)</f>
        <v>0</v>
      </c>
      <c r="Y78" s="116">
        <f>Y60/'ФОТ, МТР, макро'!BC$14/(Y12/Y7)</f>
        <v>0</v>
      </c>
      <c r="Z78" s="116">
        <f>Z60/'ФОТ, МТР, макро'!BD$14/(Z12/Z7)</f>
        <v>0</v>
      </c>
      <c r="AC78" s="117" cm="1">
        <f t="array" ref="AC78">INDEX(G78:Z78,1,$C78)</f>
        <v>0</v>
      </c>
    </row>
    <row r="79" spans="1:29" outlineLevel="1" x14ac:dyDescent="0.25">
      <c r="A79" s="39" t="str">
        <f t="shared" si="73"/>
        <v>NHL NTE 240</v>
      </c>
      <c r="B79" s="39" t="str">
        <f t="shared" si="77"/>
        <v>Затраты на персонал</v>
      </c>
      <c r="C79" s="39">
        <f t="shared" si="74"/>
        <v>20</v>
      </c>
      <c r="D79" s="113" t="str">
        <f t="shared" si="75"/>
        <v>Затраты на персонал</v>
      </c>
      <c r="E79" s="114" t="str">
        <f t="shared" si="76"/>
        <v>руб/ткм</v>
      </c>
      <c r="F79" s="115"/>
      <c r="G79" s="116">
        <f>G61/'ФОТ, МТР, макро'!AK$14/(G12/G7)</f>
        <v>1.581115565773382</v>
      </c>
      <c r="H79" s="116">
        <f>H61/'ФОТ, МТР, макро'!AL$14/(H12/H7)</f>
        <v>1.5603227087749407</v>
      </c>
      <c r="I79" s="116">
        <f>I61/'ФОТ, МТР, макро'!AM$14/(I12/I7)</f>
        <v>1.5259252598654272</v>
      </c>
      <c r="J79" s="116">
        <f>J61/'ФОТ, МТР, макро'!AN$14/(J12/J7)</f>
        <v>1.5184706141309581</v>
      </c>
      <c r="K79" s="116">
        <f>K61/'ФОТ, МТР, макро'!AO$14/(K12/K7)</f>
        <v>1.4883741229278813</v>
      </c>
      <c r="L79" s="116">
        <f>L61/'ФОТ, МТР, макро'!AP$14/(L12/L7)</f>
        <v>1.4653802389554536</v>
      </c>
      <c r="M79" s="116">
        <f>M61/'ФОТ, МТР, макро'!AQ$14/(M12/M7)</f>
        <v>1.457377231519881</v>
      </c>
      <c r="N79" s="116">
        <f>N61/'ФОТ, МТР, макро'!AR$14/(N12/N7)</f>
        <v>1.4543318194499089</v>
      </c>
      <c r="O79" s="116">
        <f>O61/'ФОТ, МТР, макро'!AS$14/(O12/O7)</f>
        <v>1.4439082876292939</v>
      </c>
      <c r="P79" s="116">
        <f>P61/'ФОТ, МТР, макро'!AT$14/(P12/P7)</f>
        <v>1.4371380836969685</v>
      </c>
      <c r="Q79" s="116">
        <f>Q61/'ФОТ, МТР, макро'!AU$14/(Q12/Q7)</f>
        <v>1.4347519875084556</v>
      </c>
      <c r="R79" s="116">
        <f>R61/'ФОТ, МТР, макро'!AV$14/(R12/R7)</f>
        <v>1.4274889117138514</v>
      </c>
      <c r="S79" s="116">
        <f>S61/'ФОТ, МТР, макро'!AW$14/(S12/S7)</f>
        <v>1.4184160805919774</v>
      </c>
      <c r="T79" s="116">
        <f>T61/'ФОТ, МТР, макро'!AX$14/(T12/T7)</f>
        <v>1.4100381586081894</v>
      </c>
      <c r="U79" s="116">
        <f>U61/'ФОТ, МТР, макро'!AY$14/(U12/U7)</f>
        <v>1.4066954389201354</v>
      </c>
      <c r="V79" s="116">
        <f>V61/'ФОТ, МТР, макро'!AZ$14/(V12/V7)</f>
        <v>1.4023829611475731</v>
      </c>
      <c r="W79" s="116">
        <f>W61/'ФОТ, МТР, макро'!BA$14/(W12/W7)</f>
        <v>1.4045217961622052</v>
      </c>
      <c r="X79" s="116">
        <f>X61/'ФОТ, МТР, макро'!BB$14/(X12/X7)</f>
        <v>1.4061856440345619</v>
      </c>
      <c r="Y79" s="116">
        <f>Y61/'ФОТ, МТР, макро'!BC$14/(Y12/Y7)</f>
        <v>1.4007932974671486</v>
      </c>
      <c r="Z79" s="116">
        <f>Z61/'ФОТ, МТР, макро'!BD$14/(Z12/Z7)</f>
        <v>1.3950896574855243</v>
      </c>
      <c r="AC79" s="117" cm="1">
        <f t="array" ref="AC79">INDEX(G79:Z79,1,$C79)</f>
        <v>1.3950896574855243</v>
      </c>
    </row>
    <row r="80" spans="1:29" outlineLevel="1" x14ac:dyDescent="0.25">
      <c r="A80" s="39" t="str">
        <f t="shared" si="73"/>
        <v>NHL NTE 240</v>
      </c>
      <c r="B80" s="39" t="str">
        <f t="shared" si="77"/>
        <v>Транспортный налог</v>
      </c>
      <c r="C80" s="39">
        <f t="shared" si="74"/>
        <v>20</v>
      </c>
      <c r="D80" s="113" t="str">
        <f t="shared" si="75"/>
        <v>Транспортный налог</v>
      </c>
      <c r="E80" s="114" t="str">
        <f t="shared" si="76"/>
        <v>руб/ткм</v>
      </c>
      <c r="F80" s="115"/>
      <c r="G80" s="116">
        <f>G62/'ФОТ, МТР, макро'!AK$14/(G12/G7)</f>
        <v>1.8185451411163938E-2</v>
      </c>
      <c r="H80" s="116">
        <f>H62/'ФОТ, МТР, макро'!AL$14/(H12/H7)</f>
        <v>1.7946299069089896E-2</v>
      </c>
      <c r="I80" s="116">
        <f>I62/'ФОТ, МТР, макро'!AM$14/(I12/I7)</f>
        <v>1.7550671355750683E-2</v>
      </c>
      <c r="J80" s="116">
        <f>J62/'ФОТ, МТР, макро'!AN$14/(J12/J7)</f>
        <v>1.7464930565686855E-2</v>
      </c>
      <c r="K80" s="116">
        <f>K62/'ФОТ, МТР, макро'!AO$14/(K12/K7)</f>
        <v>1.7118770999448973E-2</v>
      </c>
      <c r="L80" s="116">
        <f>L62/'ФОТ, МТР, макро'!AP$14/(L12/L7)</f>
        <v>1.6854303196597392E-2</v>
      </c>
      <c r="M80" s="116">
        <f>M62/'ФОТ, МТР, макро'!AQ$14/(M12/M7)</f>
        <v>1.6762255337469775E-2</v>
      </c>
      <c r="N80" s="116">
        <f>N62/'ФОТ, МТР, макро'!AR$14/(N12/N7)</f>
        <v>1.6727228047609174E-2</v>
      </c>
      <c r="O80" s="116">
        <f>O62/'ФОТ, МТР, макро'!AS$14/(O12/O7)</f>
        <v>1.6607340143423119E-2</v>
      </c>
      <c r="P80" s="116">
        <f>P62/'ФОТ, МТР, макро'!AT$14/(P12/P7)</f>
        <v>1.6529471569284613E-2</v>
      </c>
      <c r="Q80" s="116">
        <f>Q62/'ФОТ, МТР, макро'!AU$14/(Q12/Q7)</f>
        <v>1.6502027505588143E-2</v>
      </c>
      <c r="R80" s="116">
        <f>R62/'ФОТ, МТР, макро'!AV$14/(R12/R7)</f>
        <v>1.6418490087566604E-2</v>
      </c>
      <c r="S80" s="116">
        <f>S62/'ФОТ, МТР, макро'!AW$14/(S12/S7)</f>
        <v>1.6314137481659628E-2</v>
      </c>
      <c r="T80" s="116">
        <f>T62/'ФОТ, МТР, макро'!AX$14/(T12/T7)</f>
        <v>1.621777748340221E-2</v>
      </c>
      <c r="U80" s="116">
        <f>U62/'ФОТ, МТР, макро'!AY$14/(U12/U7)</f>
        <v>1.6179330662825554E-2</v>
      </c>
      <c r="V80" s="116">
        <f>V62/'ФОТ, МТР, макро'!AZ$14/(V12/V7)</f>
        <v>1.6129730015856845E-2</v>
      </c>
      <c r="W80" s="116">
        <f>W62/'ФОТ, МТР, макро'!BA$14/(W12/W7)</f>
        <v>1.6154330165951542E-2</v>
      </c>
      <c r="X80" s="116">
        <f>X62/'ФОТ, МТР, макро'!BB$14/(X12/X7)</f>
        <v>1.6173467176106463E-2</v>
      </c>
      <c r="Y80" s="116">
        <f>Y62/'ФОТ, МТР, макро'!BC$14/(Y12/Y7)</f>
        <v>1.6111446246949469E-2</v>
      </c>
      <c r="Z80" s="116">
        <f>Z62/'ФОТ, МТР, макро'!BD$14/(Z12/Z7)</f>
        <v>1.6045844927224391E-2</v>
      </c>
      <c r="AC80" s="117" cm="1">
        <f t="array" ref="AC80">INDEX(G80:Z80,1,$C80)</f>
        <v>1.6045844927224391E-2</v>
      </c>
    </row>
    <row r="81" spans="1:29" outlineLevel="1" x14ac:dyDescent="0.25">
      <c r="A81" s="39" t="str">
        <f t="shared" si="73"/>
        <v>NHL NTE 240</v>
      </c>
      <c r="B81" s="39" t="str">
        <f t="shared" si="77"/>
        <v>Налог на прибыль</v>
      </c>
      <c r="C81" s="39">
        <f t="shared" si="74"/>
        <v>20</v>
      </c>
      <c r="D81" s="113" t="str">
        <f t="shared" si="75"/>
        <v>Налог на прибыль</v>
      </c>
      <c r="E81" s="114" t="str">
        <f t="shared" si="76"/>
        <v>руб/ткм</v>
      </c>
      <c r="F81" s="30"/>
      <c r="G81" s="116">
        <f>G63/'ФОТ, МТР, макро'!AK$14/(G12/G7)</f>
        <v>-2.5134383222135126</v>
      </c>
      <c r="H81" s="116">
        <f>H63/'ФОТ, МТР, макро'!AL$14/(H12/H7)</f>
        <v>-2.5283353269359936</v>
      </c>
      <c r="I81" s="116">
        <f>I63/'ФОТ, МТР, макро'!AM$14/(I12/I7)</f>
        <v>-2.7712160367733425</v>
      </c>
      <c r="J81" s="116">
        <f>J63/'ФОТ, МТР, макро'!AN$14/(J12/J7)</f>
        <v>-2.7955869403288762</v>
      </c>
      <c r="K81" s="116">
        <f>K63/'ФОТ, МТР, макро'!AO$14/(K12/K7)</f>
        <v>-2.7331491824980243</v>
      </c>
      <c r="L81" s="116">
        <f>L63/'ФОТ, МТР, макро'!AP$14/(L12/L7)</f>
        <v>-2.7865833122853156</v>
      </c>
      <c r="M81" s="116">
        <f>M63/'ФОТ, МТР, макро'!AQ$14/(M12/M7)</f>
        <v>-2.7523027457695366</v>
      </c>
      <c r="N81" s="116">
        <f>N63/'ФОТ, МТР, макро'!AR$14/(N12/N7)</f>
        <v>-2.7615246970047314</v>
      </c>
      <c r="O81" s="116">
        <f>O63/'ФОТ, МТР, макро'!AS$14/(O12/O7)</f>
        <v>-2.8421530076239949</v>
      </c>
      <c r="P81" s="116">
        <f>P63/'ФОТ, МТР, макро'!AT$14/(P12/P7)</f>
        <v>-2.813887247624812</v>
      </c>
      <c r="Q81" s="116">
        <f>Q63/'ФОТ, МТР, макро'!AU$14/(Q12/Q7)</f>
        <v>-2.9753373901424212</v>
      </c>
      <c r="R81" s="116">
        <f>R63/'ФОТ, МТР, макро'!AV$14/(R12/R7)</f>
        <v>-2.9781856149950721</v>
      </c>
      <c r="S81" s="116">
        <f>S63/'ФОТ, МТР, макро'!AW$14/(S12/S7)</f>
        <v>-2.9478595977612216</v>
      </c>
      <c r="T81" s="116">
        <f>T63/'ФОТ, МТР, макро'!AX$14/(T12/T7)</f>
        <v>-2.921490527947709</v>
      </c>
      <c r="U81" s="116">
        <f>U63/'ФОТ, МТР, макро'!AY$14/(U12/U7)</f>
        <v>-2.936146538205473</v>
      </c>
      <c r="V81" s="116">
        <f>V63/'ФОТ, МТР, макро'!AZ$14/(V12/V7)</f>
        <v>-2.9189487187146583</v>
      </c>
      <c r="W81" s="116">
        <f>W63/'ФОТ, МТР, макро'!BA$14/(W12/W7)</f>
        <v>-2.9134258118154976</v>
      </c>
      <c r="X81" s="116">
        <f>X63/'ФОТ, МТР, макро'!BB$14/(X12/X7)</f>
        <v>-2.9433886295314324</v>
      </c>
      <c r="Y81" s="116">
        <f>Y63/'ФОТ, МТР, макро'!BC$14/(Y12/Y7)</f>
        <v>-2.9272486600203576</v>
      </c>
      <c r="Z81" s="116">
        <f>Z63/'ФОТ, МТР, макро'!BD$14/(Z12/Z7)</f>
        <v>-2.911944871302345</v>
      </c>
      <c r="AC81" s="117" cm="1">
        <f t="array" ref="AC81">INDEX(G81:Z81,1,$C81)</f>
        <v>-2.911944871302345</v>
      </c>
    </row>
    <row r="82" spans="1:29" outlineLevel="1" x14ac:dyDescent="0.25">
      <c r="A82" s="39" t="str">
        <f t="shared" si="73"/>
        <v>NHL NTE 240</v>
      </c>
      <c r="B82" s="39" t="str">
        <f t="shared" si="77"/>
        <v>Аннуитет инвестиционный</v>
      </c>
      <c r="C82" s="39">
        <f t="shared" si="74"/>
        <v>20</v>
      </c>
      <c r="D82" s="108" t="s">
        <v>96</v>
      </c>
      <c r="E82" s="118" t="str">
        <f>E74</f>
        <v>руб/ткм</v>
      </c>
      <c r="F82" s="119"/>
      <c r="G82" s="111">
        <f>G68/'ФОТ, МТР, макро'!AK$14/(G12/G7)</f>
        <v>0</v>
      </c>
      <c r="H82" s="111">
        <f>H68/'ФОТ, МТР, макро'!AL$14/(H12/H7)</f>
        <v>0</v>
      </c>
      <c r="I82" s="111">
        <f>I68/'ФОТ, МТР, макро'!AM$14/(I12/I7)</f>
        <v>0</v>
      </c>
      <c r="J82" s="111">
        <f>J68/'ФОТ, МТР, макро'!AN$14/(J12/J7)</f>
        <v>0</v>
      </c>
      <c r="K82" s="111">
        <f>K68/'ФОТ, МТР, макро'!AO$14/(K12/K7)</f>
        <v>0</v>
      </c>
      <c r="L82" s="111">
        <f>L68/'ФОТ, МТР, макро'!AP$14/(L12/L7)</f>
        <v>0</v>
      </c>
      <c r="M82" s="111">
        <f>M68/'ФОТ, МТР, макро'!AQ$14/(M12/M7)</f>
        <v>0</v>
      </c>
      <c r="N82" s="111">
        <f>N68/'ФОТ, МТР, макро'!AR$14/(N12/N7)</f>
        <v>0</v>
      </c>
      <c r="O82" s="111">
        <f>O68/'ФОТ, МТР, макро'!AS$14/(O12/O7)</f>
        <v>0</v>
      </c>
      <c r="P82" s="111">
        <f>P68/'ФОТ, МТР, макро'!AT$14/(P12/P7)</f>
        <v>0</v>
      </c>
      <c r="Q82" s="111">
        <f>Q68/'ФОТ, МТР, макро'!AU$14/(Q12/Q7)</f>
        <v>0</v>
      </c>
      <c r="R82" s="111">
        <f>R68/'ФОТ, МТР, макро'!AV$14/(R12/R7)</f>
        <v>0</v>
      </c>
      <c r="S82" s="111">
        <f>S68/'ФОТ, МТР, макро'!AW$14/(S12/S7)</f>
        <v>0</v>
      </c>
      <c r="T82" s="111">
        <f>T68/'ФОТ, МТР, макро'!AX$14/(T12/T7)</f>
        <v>0</v>
      </c>
      <c r="U82" s="111">
        <f>U68/'ФОТ, МТР, макро'!AY$14/(U12/U7)</f>
        <v>0</v>
      </c>
      <c r="V82" s="111">
        <f>V68/'ФОТ, МТР, макро'!AZ$14/(V12/V7)</f>
        <v>0</v>
      </c>
      <c r="W82" s="111">
        <f>W68/'ФОТ, МТР, макро'!BA$14/(W12/W7)</f>
        <v>0</v>
      </c>
      <c r="X82" s="111">
        <f>X68/'ФОТ, МТР, макро'!BB$14/(X12/X7)</f>
        <v>0</v>
      </c>
      <c r="Y82" s="111">
        <f>Y68/'ФОТ, МТР, макро'!BC$14/(Y12/Y7)</f>
        <v>0</v>
      </c>
      <c r="Z82" s="111">
        <f>Z68/'ФОТ, МТР, макро'!BD$14/(Z12/Z7)</f>
        <v>0</v>
      </c>
      <c r="AC82" s="112" cm="1">
        <f t="array" ref="AC82">INDEX(G82:Z82,1,$C82)</f>
        <v>0</v>
      </c>
    </row>
    <row r="83" spans="1:29" outlineLevel="1" x14ac:dyDescent="0.25">
      <c r="A83" s="39" t="str">
        <f t="shared" si="73"/>
        <v>NHL NTE 240</v>
      </c>
      <c r="B83" s="39" t="str">
        <f t="shared" si="77"/>
        <v>Самосвал</v>
      </c>
      <c r="C83" s="39">
        <f t="shared" si="74"/>
        <v>20</v>
      </c>
      <c r="D83" s="101" t="str">
        <f>D69</f>
        <v>Самосвал</v>
      </c>
      <c r="E83" s="9" t="str">
        <f>E82</f>
        <v>руб/ткм</v>
      </c>
      <c r="F83" s="30"/>
      <c r="G83" s="120">
        <f>G69/'ФОТ, МТР, макро'!AK$14/(G12/G7)</f>
        <v>0</v>
      </c>
      <c r="H83" s="120">
        <f>H69/'ФОТ, МТР, макро'!AL$14/(H12/H7)</f>
        <v>0</v>
      </c>
      <c r="I83" s="120">
        <f>I69/'ФОТ, МТР, макро'!AM$14/(I12/I7)</f>
        <v>0</v>
      </c>
      <c r="J83" s="120">
        <f>J69/'ФОТ, МТР, макро'!AN$14/(J12/J7)</f>
        <v>0</v>
      </c>
      <c r="K83" s="120">
        <f>K69/'ФОТ, МТР, макро'!AO$14/(K12/K7)</f>
        <v>0</v>
      </c>
      <c r="L83" s="120">
        <f>L69/'ФОТ, МТР, макро'!AP$14/(L12/L7)</f>
        <v>0</v>
      </c>
      <c r="M83" s="120">
        <f>M69/'ФОТ, МТР, макро'!AQ$14/(M12/M7)</f>
        <v>0</v>
      </c>
      <c r="N83" s="120">
        <f>N69/'ФОТ, МТР, макро'!AR$14/(N12/N7)</f>
        <v>0</v>
      </c>
      <c r="O83" s="120">
        <f>O69/'ФОТ, МТР, макро'!AS$14/(O12/O7)</f>
        <v>0</v>
      </c>
      <c r="P83" s="120">
        <f>P69/'ФОТ, МТР, макро'!AT$14/(P12/P7)</f>
        <v>0</v>
      </c>
      <c r="Q83" s="120">
        <f>Q69/'ФОТ, МТР, макро'!AU$14/(Q12/Q7)</f>
        <v>0</v>
      </c>
      <c r="R83" s="120">
        <f>R69/'ФОТ, МТР, макро'!AV$14/(R12/R7)</f>
        <v>0</v>
      </c>
      <c r="S83" s="120">
        <f>S69/'ФОТ, МТР, макро'!AW$14/(S12/S7)</f>
        <v>0</v>
      </c>
      <c r="T83" s="120">
        <f>T69/'ФОТ, МТР, макро'!AX$14/(T12/T7)</f>
        <v>0</v>
      </c>
      <c r="U83" s="120">
        <f>U69/'ФОТ, МТР, макро'!AY$14/(U12/U7)</f>
        <v>0</v>
      </c>
      <c r="V83" s="120">
        <f>V69/'ФОТ, МТР, макро'!AZ$14/(V12/V7)</f>
        <v>0</v>
      </c>
      <c r="W83" s="120">
        <f>W69/'ФОТ, МТР, макро'!BA$14/(W12/W7)</f>
        <v>0</v>
      </c>
      <c r="X83" s="120">
        <f>X69/'ФОТ, МТР, макро'!BB$14/(X12/X7)</f>
        <v>0</v>
      </c>
      <c r="Y83" s="120">
        <f>Y69/'ФОТ, МТР, макро'!BC$14/(Y12/Y7)</f>
        <v>0</v>
      </c>
      <c r="Z83" s="120">
        <f>Z69/'ФОТ, МТР, макро'!BD$14/(Z12/Z7)</f>
        <v>0</v>
      </c>
      <c r="AC83" s="117" cm="1">
        <f t="array" ref="AC83">INDEX(G83:Z83,1,$C83)</f>
        <v>0</v>
      </c>
    </row>
    <row r="84" spans="1:29" outlineLevel="1" x14ac:dyDescent="0.25">
      <c r="A84" s="39" t="str">
        <f t="shared" si="73"/>
        <v>NHL NTE 240</v>
      </c>
      <c r="B84" s="39" t="str">
        <f t="shared" si="77"/>
        <v>Аннуитет общий</v>
      </c>
      <c r="C84" s="39">
        <f t="shared" si="74"/>
        <v>20</v>
      </c>
      <c r="D84" s="108" t="s">
        <v>97</v>
      </c>
      <c r="E84" s="118" t="str">
        <f>E74</f>
        <v>руб/ткм</v>
      </c>
      <c r="F84" s="119"/>
      <c r="G84" s="111">
        <f>G72/'ФОТ, МТР, макро'!AK$14/(G12/G7)</f>
        <v>7.5403149666405378</v>
      </c>
      <c r="H84" s="111">
        <f>H72/'ФОТ, МТР, макро'!AL$14/(H12/H7)</f>
        <v>7.5850059808079822</v>
      </c>
      <c r="I84" s="111">
        <f>I72/'ФОТ, МТР, макро'!AM$14/(I12/I7)</f>
        <v>8.3136481103200275</v>
      </c>
      <c r="J84" s="111">
        <f>J72/'ФОТ, МТР, макро'!AN$14/(J12/J7)</f>
        <v>8.3867608209866287</v>
      </c>
      <c r="K84" s="111">
        <f>K72/'ФОТ, МТР, макро'!AO$14/(K12/K7)</f>
        <v>8.1994475474940725</v>
      </c>
      <c r="L84" s="111">
        <f>L72/'ФОТ, МТР, макро'!AP$14/(L12/L7)</f>
        <v>8.3597499368559447</v>
      </c>
      <c r="M84" s="111">
        <f>M72/'ФОТ, МТР, макро'!AQ$14/(M12/M7)</f>
        <v>8.2569082373086111</v>
      </c>
      <c r="N84" s="111">
        <f>N72/'ФОТ, МТР, макро'!AR$14/(N12/N7)</f>
        <v>8.2845740910141963</v>
      </c>
      <c r="O84" s="111">
        <f>O72/'ФОТ, МТР, макро'!AS$14/(O12/O7)</f>
        <v>8.5264590228719861</v>
      </c>
      <c r="P84" s="111">
        <f>P72/'ФОТ, МТР, макро'!AT$14/(P12/P7)</f>
        <v>8.4416617428744356</v>
      </c>
      <c r="Q84" s="111">
        <f>Q72/'ФОТ, МТР, макро'!AU$14/(Q12/Q7)</f>
        <v>8.9260121704272617</v>
      </c>
      <c r="R84" s="111">
        <f>R72/'ФОТ, МТР, макро'!AV$14/(R12/R7)</f>
        <v>8.9345568449852166</v>
      </c>
      <c r="S84" s="111">
        <f>S72/'ФОТ, МТР, макро'!AW$14/(S12/S7)</f>
        <v>8.8435787932836671</v>
      </c>
      <c r="T84" s="111">
        <f>T72/'ФОТ, МТР, макро'!AX$14/(T12/T7)</f>
        <v>8.7644715838431289</v>
      </c>
      <c r="U84" s="111">
        <f>U72/'ФОТ, МТР, макро'!AY$14/(U12/U7)</f>
        <v>8.8084396146164199</v>
      </c>
      <c r="V84" s="111">
        <f>V72/'ФОТ, МТР, макро'!AZ$14/(V12/V7)</f>
        <v>8.7568461561439772</v>
      </c>
      <c r="W84" s="111">
        <f>W72/'ФОТ, МТР, макро'!BA$14/(W12/W7)</f>
        <v>8.7402774354464956</v>
      </c>
      <c r="X84" s="111">
        <f>X72/'ФОТ, МТР, макро'!BB$14/(X12/X7)</f>
        <v>8.830165888594296</v>
      </c>
      <c r="Y84" s="111">
        <f>Y72/'ФОТ, МТР, макро'!BC$14/(Y12/Y7)</f>
        <v>8.7817459800610731</v>
      </c>
      <c r="Z84" s="111">
        <f>Z72/'ФОТ, МТР, макро'!BD$14/(Z12/Z7)</f>
        <v>8.7358346139070342</v>
      </c>
      <c r="AC84" s="112" cm="1">
        <f t="array" ref="AC84">INDEX(G84:Z84,1,$C84)</f>
        <v>8.7358346139070342</v>
      </c>
    </row>
    <row r="85" spans="1:29" outlineLevel="1" x14ac:dyDescent="0.25">
      <c r="A85" s="39" t="str">
        <f t="shared" si="73"/>
        <v>NHL NTE 240</v>
      </c>
      <c r="B85" s="39"/>
      <c r="D85" s="121"/>
      <c r="E85" s="1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9" outlineLevel="1" x14ac:dyDescent="0.25">
      <c r="A86" s="39" t="str">
        <f t="shared" si="73"/>
        <v>NHL NTE 240</v>
      </c>
      <c r="B86" s="39"/>
      <c r="D86" s="123" t="s">
        <v>88</v>
      </c>
      <c r="E86" s="124"/>
      <c r="F86" s="125"/>
      <c r="G86" s="126">
        <f>G84-G74-G82+G74-SUM(G75:G81)+G82-G83</f>
        <v>1.7763568394002505E-15</v>
      </c>
      <c r="H86" s="126">
        <f t="shared" ref="H86" si="78">H84-H74-H82+H74-SUM(H75:H81)+H82-H83</f>
        <v>8.8817841970012523E-16</v>
      </c>
      <c r="I86" s="126">
        <f t="shared" ref="I86:Z86" si="79">I84-I74-I82+I74-SUM(I75:I81)+I82-I83</f>
        <v>-1.7763568394002505E-15</v>
      </c>
      <c r="J86" s="126">
        <f t="shared" si="79"/>
        <v>1.7763568394002505E-15</v>
      </c>
      <c r="K86" s="126">
        <f t="shared" si="79"/>
        <v>0</v>
      </c>
      <c r="L86" s="126">
        <f t="shared" si="79"/>
        <v>0</v>
      </c>
      <c r="M86" s="126">
        <f t="shared" si="79"/>
        <v>-1.7763568394002505E-15</v>
      </c>
      <c r="N86" s="126">
        <f t="shared" si="79"/>
        <v>0</v>
      </c>
      <c r="O86" s="126">
        <f t="shared" si="79"/>
        <v>1.7763568394002505E-15</v>
      </c>
      <c r="P86" s="126">
        <f t="shared" si="79"/>
        <v>0</v>
      </c>
      <c r="Q86" s="126">
        <f t="shared" si="79"/>
        <v>-1.7763568394002505E-15</v>
      </c>
      <c r="R86" s="126">
        <f t="shared" si="79"/>
        <v>-1.7763568394002505E-15</v>
      </c>
      <c r="S86" s="126">
        <f t="shared" si="79"/>
        <v>1.7763568394002505E-15</v>
      </c>
      <c r="T86" s="126">
        <f t="shared" si="79"/>
        <v>0</v>
      </c>
      <c r="U86" s="126">
        <f t="shared" si="79"/>
        <v>-1.7763568394002505E-15</v>
      </c>
      <c r="V86" s="126">
        <f t="shared" si="79"/>
        <v>-1.7763568394002505E-15</v>
      </c>
      <c r="W86" s="126">
        <f t="shared" si="79"/>
        <v>-1.7763568394002505E-15</v>
      </c>
      <c r="X86" s="126">
        <f t="shared" si="79"/>
        <v>0</v>
      </c>
      <c r="Y86" s="126">
        <f t="shared" si="79"/>
        <v>3.5527136788005009E-15</v>
      </c>
      <c r="Z86" s="126">
        <f t="shared" si="79"/>
        <v>0</v>
      </c>
    </row>
    <row r="87" spans="1:29" outlineLevel="1" x14ac:dyDescent="0.25">
      <c r="A87" s="39" t="str">
        <f t="shared" si="73"/>
        <v>NHL NTE 240</v>
      </c>
      <c r="B87" s="39"/>
      <c r="D87" s="125"/>
      <c r="E87" s="124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9" outlineLevel="1" x14ac:dyDescent="0.25">
      <c r="A88" s="39" t="str">
        <f t="shared" si="73"/>
        <v>NHL NTE 240</v>
      </c>
      <c r="B88" s="39"/>
      <c r="D88" s="127" t="s">
        <v>98</v>
      </c>
      <c r="E88" s="128" t="str">
        <f>E84</f>
        <v>руб/ткм</v>
      </c>
      <c r="F88" s="129"/>
      <c r="G88" s="130">
        <f>SUM(G89:G94)</f>
        <v>10.053753288854049</v>
      </c>
      <c r="H88" s="130">
        <f t="shared" ref="H88" si="80">SUM(H89:H94)</f>
        <v>10.194099953520368</v>
      </c>
      <c r="I88" s="130">
        <f t="shared" ref="I88:Z88" si="81">SUM(I89:I94)</f>
        <v>13.333157989401364</v>
      </c>
      <c r="J88" s="130">
        <f t="shared" si="81"/>
        <v>11.585634141497481</v>
      </c>
      <c r="K88" s="130">
        <f t="shared" si="81"/>
        <v>9.9900827884967534</v>
      </c>
      <c r="L88" s="130">
        <f t="shared" si="81"/>
        <v>12.874367380367552</v>
      </c>
      <c r="M88" s="130">
        <f t="shared" si="81"/>
        <v>9.9888748918362342</v>
      </c>
      <c r="N88" s="130">
        <f t="shared" si="81"/>
        <v>11.553868915508996</v>
      </c>
      <c r="O88" s="130">
        <f t="shared" si="81"/>
        <v>15.985488033784353</v>
      </c>
      <c r="P88" s="130">
        <f t="shared" si="81"/>
        <v>9.8509305459685628</v>
      </c>
      <c r="Q88" s="130">
        <f t="shared" si="81"/>
        <v>24.553918424894711</v>
      </c>
      <c r="R88" s="130">
        <f t="shared" si="81"/>
        <v>12.854227624010042</v>
      </c>
      <c r="S88" s="130">
        <f t="shared" si="81"/>
        <v>9.8109305332217751</v>
      </c>
      <c r="T88" s="130">
        <f t="shared" si="81"/>
        <v>9.808061520036107</v>
      </c>
      <c r="U88" s="130">
        <f t="shared" si="81"/>
        <v>14.398642423047557</v>
      </c>
      <c r="V88" s="130">
        <f t="shared" si="81"/>
        <v>9.8537399090459861</v>
      </c>
      <c r="W88" s="130">
        <f t="shared" si="81"/>
        <v>9.9869011783035262</v>
      </c>
      <c r="X88" s="130">
        <f t="shared" si="81"/>
        <v>17.940842994438878</v>
      </c>
      <c r="Y88" s="130">
        <f t="shared" si="81"/>
        <v>9.8191797643891068</v>
      </c>
      <c r="Z88" s="130">
        <f t="shared" si="81"/>
        <v>9.9184542056565839</v>
      </c>
    </row>
    <row r="89" spans="1:29" outlineLevel="1" x14ac:dyDescent="0.25">
      <c r="A89" s="39" t="str">
        <f t="shared" si="73"/>
        <v>NHL NTE 240</v>
      </c>
      <c r="B89" s="39"/>
      <c r="D89" s="113" t="str">
        <f>D75</f>
        <v>ТО, ТР, ППР</v>
      </c>
      <c r="E89" s="114" t="str">
        <f>E88</f>
        <v>руб/ткм</v>
      </c>
      <c r="F89" s="115"/>
      <c r="G89" s="116">
        <f>G16/G11</f>
        <v>0.51441299977934685</v>
      </c>
      <c r="H89" s="116">
        <f t="shared" ref="H89" si="82">H16/H11</f>
        <v>0.69627768991460848</v>
      </c>
      <c r="I89" s="116">
        <f t="shared" ref="I89:Z89" si="83">I16/I11</f>
        <v>3.9148211801301716</v>
      </c>
      <c r="J89" s="116">
        <f t="shared" si="83"/>
        <v>2.131844822384342</v>
      </c>
      <c r="K89" s="116">
        <f t="shared" si="83"/>
        <v>0.65514005245741902</v>
      </c>
      <c r="L89" s="116">
        <f t="shared" si="83"/>
        <v>3.5583787390677384</v>
      </c>
      <c r="M89" s="116">
        <f t="shared" si="83"/>
        <v>0.62146855011527569</v>
      </c>
      <c r="N89" s="116">
        <f t="shared" si="83"/>
        <v>2.1639783938023358</v>
      </c>
      <c r="O89" s="116">
        <f t="shared" si="83"/>
        <v>6.6641347072964834</v>
      </c>
      <c r="P89" s="116">
        <f t="shared" si="83"/>
        <v>0.51608354773061949</v>
      </c>
      <c r="Q89" s="116">
        <f t="shared" si="83"/>
        <v>15.186326944533505</v>
      </c>
      <c r="R89" s="116">
        <f t="shared" si="83"/>
        <v>3.5464435067907654</v>
      </c>
      <c r="S89" s="116">
        <f t="shared" si="83"/>
        <v>0.53783284306226353</v>
      </c>
      <c r="T89" s="116">
        <f t="shared" si="83"/>
        <v>0.54347182916823833</v>
      </c>
      <c r="U89" s="116">
        <f t="shared" si="83"/>
        <v>5.0814355101574789</v>
      </c>
      <c r="V89" s="116">
        <f t="shared" si="83"/>
        <v>0.55755076475725696</v>
      </c>
      <c r="W89" s="116">
        <f t="shared" si="83"/>
        <v>0.59065089190926623</v>
      </c>
      <c r="X89" s="116">
        <f t="shared" si="83"/>
        <v>8.5492112495463957</v>
      </c>
      <c r="Y89" s="116">
        <f t="shared" si="83"/>
        <v>0.55372295284760908</v>
      </c>
      <c r="Z89" s="116">
        <f t="shared" si="83"/>
        <v>0.66860952198023504</v>
      </c>
    </row>
    <row r="90" spans="1:29" outlineLevel="1" x14ac:dyDescent="0.25">
      <c r="A90" s="39" t="str">
        <f t="shared" si="73"/>
        <v>NHL NTE 240</v>
      </c>
      <c r="B90" s="39"/>
      <c r="D90" s="113" t="str">
        <f t="shared" ref="D90:D94" si="84">D76</f>
        <v>Шины</v>
      </c>
      <c r="E90" s="114" t="str">
        <f t="shared" ref="E90:E94" si="85">E89</f>
        <v>руб/ткм</v>
      </c>
      <c r="F90" s="115"/>
      <c r="G90" s="116">
        <f>G21/G11</f>
        <v>1.9983365180284707</v>
      </c>
      <c r="H90" s="116">
        <f t="shared" ref="H90" si="86">H21/H11</f>
        <v>1.9983365180284707</v>
      </c>
      <c r="I90" s="116">
        <f t="shared" ref="I90:Z90" si="87">I21/I11</f>
        <v>1.9983365180284705</v>
      </c>
      <c r="J90" s="116">
        <f t="shared" si="87"/>
        <v>1.9983365180284707</v>
      </c>
      <c r="K90" s="116">
        <f t="shared" si="87"/>
        <v>1.9983365180284707</v>
      </c>
      <c r="L90" s="116">
        <f t="shared" si="87"/>
        <v>1.9983365180284702</v>
      </c>
      <c r="M90" s="116">
        <f t="shared" si="87"/>
        <v>1.9983365180284709</v>
      </c>
      <c r="N90" s="116">
        <f t="shared" si="87"/>
        <v>1.9983365180284707</v>
      </c>
      <c r="O90" s="116">
        <f t="shared" si="87"/>
        <v>1.9983365180284705</v>
      </c>
      <c r="P90" s="116">
        <f t="shared" si="87"/>
        <v>1.9983365180284707</v>
      </c>
      <c r="Q90" s="116">
        <f t="shared" si="87"/>
        <v>1.9983365180284702</v>
      </c>
      <c r="R90" s="116">
        <f t="shared" si="87"/>
        <v>1.9983365180284702</v>
      </c>
      <c r="S90" s="116">
        <f t="shared" si="87"/>
        <v>1.9983365180284705</v>
      </c>
      <c r="T90" s="116">
        <f t="shared" si="87"/>
        <v>1.9983365180284705</v>
      </c>
      <c r="U90" s="116">
        <f t="shared" si="87"/>
        <v>1.9983365180284707</v>
      </c>
      <c r="V90" s="116">
        <f t="shared" si="87"/>
        <v>1.9983365180284707</v>
      </c>
      <c r="W90" s="116">
        <f t="shared" si="87"/>
        <v>1.9983365180284707</v>
      </c>
      <c r="X90" s="116">
        <f t="shared" si="87"/>
        <v>1.9983365180284705</v>
      </c>
      <c r="Y90" s="116">
        <f t="shared" si="87"/>
        <v>1.9983365180284705</v>
      </c>
      <c r="Z90" s="116">
        <f t="shared" si="87"/>
        <v>1.9983365180284707</v>
      </c>
    </row>
    <row r="91" spans="1:29" outlineLevel="1" x14ac:dyDescent="0.25">
      <c r="A91" s="39" t="str">
        <f t="shared" si="73"/>
        <v>NHL NTE 240</v>
      </c>
      <c r="B91" s="39"/>
      <c r="D91" s="113" t="str">
        <f t="shared" si="84"/>
        <v>Топливо</v>
      </c>
      <c r="E91" s="114" t="str">
        <f t="shared" si="85"/>
        <v>руб/ткм</v>
      </c>
      <c r="F91" s="115"/>
      <c r="G91" s="116">
        <f>G25/G11</f>
        <v>5.9417027538616862</v>
      </c>
      <c r="H91" s="116">
        <f t="shared" ref="H91" si="88">H25/H11</f>
        <v>5.9417027538616871</v>
      </c>
      <c r="I91" s="116">
        <f t="shared" ref="I91:Z91" si="89">I25/I11</f>
        <v>5.9417027538616871</v>
      </c>
      <c r="J91" s="116">
        <f t="shared" si="89"/>
        <v>5.941702753861688</v>
      </c>
      <c r="K91" s="116">
        <f t="shared" si="89"/>
        <v>5.941702753861688</v>
      </c>
      <c r="L91" s="116">
        <f t="shared" si="89"/>
        <v>5.9417027538616871</v>
      </c>
      <c r="M91" s="116">
        <f t="shared" si="89"/>
        <v>5.9417027538616853</v>
      </c>
      <c r="N91" s="116">
        <f t="shared" si="89"/>
        <v>5.9417027538616862</v>
      </c>
      <c r="O91" s="116">
        <f t="shared" si="89"/>
        <v>5.941702753861688</v>
      </c>
      <c r="P91" s="116">
        <f t="shared" si="89"/>
        <v>5.9417027538616871</v>
      </c>
      <c r="Q91" s="116">
        <f t="shared" si="89"/>
        <v>5.9417027538616862</v>
      </c>
      <c r="R91" s="116">
        <f t="shared" si="89"/>
        <v>5.9417027538616871</v>
      </c>
      <c r="S91" s="116">
        <f t="shared" si="89"/>
        <v>5.9417027538616871</v>
      </c>
      <c r="T91" s="116">
        <f t="shared" si="89"/>
        <v>5.9417027538616871</v>
      </c>
      <c r="U91" s="116">
        <f t="shared" si="89"/>
        <v>5.9417027538616862</v>
      </c>
      <c r="V91" s="116">
        <f t="shared" si="89"/>
        <v>5.9417027538616871</v>
      </c>
      <c r="W91" s="116">
        <f t="shared" si="89"/>
        <v>5.9417027538616862</v>
      </c>
      <c r="X91" s="116">
        <f t="shared" si="89"/>
        <v>5.9417027538616862</v>
      </c>
      <c r="Y91" s="116">
        <f t="shared" si="89"/>
        <v>5.9417027538616871</v>
      </c>
      <c r="Z91" s="116">
        <f t="shared" si="89"/>
        <v>5.9417027538616871</v>
      </c>
    </row>
    <row r="92" spans="1:29" outlineLevel="1" x14ac:dyDescent="0.25">
      <c r="A92" s="39" t="str">
        <f t="shared" si="73"/>
        <v>NHL NTE 240</v>
      </c>
      <c r="B92" s="39"/>
      <c r="D92" s="113" t="str">
        <f t="shared" si="84"/>
        <v>Смазочные</v>
      </c>
      <c r="E92" s="114" t="str">
        <f t="shared" si="85"/>
        <v>руб/ткм</v>
      </c>
      <c r="F92" s="115"/>
      <c r="G92" s="116">
        <f>G30/G11</f>
        <v>0</v>
      </c>
      <c r="H92" s="116">
        <f t="shared" ref="H92" si="90">H30/H11</f>
        <v>0</v>
      </c>
      <c r="I92" s="116">
        <f t="shared" ref="I92:Z92" si="91">I30/I11</f>
        <v>0</v>
      </c>
      <c r="J92" s="116">
        <f t="shared" si="91"/>
        <v>0</v>
      </c>
      <c r="K92" s="116">
        <f t="shared" si="91"/>
        <v>0</v>
      </c>
      <c r="L92" s="116">
        <f t="shared" si="91"/>
        <v>0</v>
      </c>
      <c r="M92" s="116">
        <f t="shared" si="91"/>
        <v>0</v>
      </c>
      <c r="N92" s="116">
        <f t="shared" si="91"/>
        <v>0</v>
      </c>
      <c r="O92" s="116">
        <f t="shared" si="91"/>
        <v>0</v>
      </c>
      <c r="P92" s="116">
        <f t="shared" si="91"/>
        <v>0</v>
      </c>
      <c r="Q92" s="116">
        <f t="shared" si="91"/>
        <v>0</v>
      </c>
      <c r="R92" s="116">
        <f t="shared" si="91"/>
        <v>0</v>
      </c>
      <c r="S92" s="116">
        <f t="shared" si="91"/>
        <v>0</v>
      </c>
      <c r="T92" s="116">
        <f t="shared" si="91"/>
        <v>0</v>
      </c>
      <c r="U92" s="116">
        <f t="shared" si="91"/>
        <v>0</v>
      </c>
      <c r="V92" s="116">
        <f t="shared" si="91"/>
        <v>0</v>
      </c>
      <c r="W92" s="116">
        <f t="shared" si="91"/>
        <v>0</v>
      </c>
      <c r="X92" s="116">
        <f t="shared" si="91"/>
        <v>0</v>
      </c>
      <c r="Y92" s="116">
        <f t="shared" si="91"/>
        <v>0</v>
      </c>
      <c r="Z92" s="116">
        <f t="shared" si="91"/>
        <v>0</v>
      </c>
    </row>
    <row r="93" spans="1:29" outlineLevel="1" x14ac:dyDescent="0.25">
      <c r="A93" s="39" t="str">
        <f t="shared" si="73"/>
        <v>NHL NTE 240</v>
      </c>
      <c r="B93" s="39"/>
      <c r="D93" s="113" t="str">
        <f t="shared" si="84"/>
        <v>Затраты на персонал</v>
      </c>
      <c r="E93" s="114" t="str">
        <f t="shared" si="85"/>
        <v>руб/ткм</v>
      </c>
      <c r="F93" s="115"/>
      <c r="G93" s="116">
        <f>G32/G11</f>
        <v>1.581115565773382</v>
      </c>
      <c r="H93" s="116">
        <f t="shared" ref="H93" si="92">H32/H11</f>
        <v>1.5400696365682045</v>
      </c>
      <c r="I93" s="116">
        <f t="shared" ref="I93:Z93" si="93">I32/I11</f>
        <v>1.4614880013722287</v>
      </c>
      <c r="J93" s="116">
        <f t="shared" si="93"/>
        <v>1.4965373851683501</v>
      </c>
      <c r="K93" s="116">
        <f t="shared" si="93"/>
        <v>1.3790421916945335</v>
      </c>
      <c r="L93" s="116">
        <f t="shared" si="93"/>
        <v>1.3603036215906057</v>
      </c>
      <c r="M93" s="116">
        <f t="shared" si="93"/>
        <v>1.4111366577849211</v>
      </c>
      <c r="N93" s="116">
        <f t="shared" si="93"/>
        <v>1.4333651729781567</v>
      </c>
      <c r="O93" s="116">
        <f t="shared" si="93"/>
        <v>1.3656073056157954</v>
      </c>
      <c r="P93" s="116">
        <f t="shared" si="93"/>
        <v>1.3789475425156847</v>
      </c>
      <c r="Q93" s="116">
        <f t="shared" si="93"/>
        <v>1.4113196912368948</v>
      </c>
      <c r="R93" s="116">
        <f t="shared" si="93"/>
        <v>1.3521923901250388</v>
      </c>
      <c r="S93" s="116">
        <f t="shared" si="93"/>
        <v>1.3179003780797987</v>
      </c>
      <c r="T93" s="116">
        <f t="shared" si="93"/>
        <v>1.3094891221817142</v>
      </c>
      <c r="U93" s="116">
        <f t="shared" si="93"/>
        <v>1.3615080403673132</v>
      </c>
      <c r="V93" s="116">
        <f t="shared" si="93"/>
        <v>1.340729262178378</v>
      </c>
      <c r="W93" s="116">
        <f t="shared" si="93"/>
        <v>1.439652621578621</v>
      </c>
      <c r="X93" s="116">
        <f t="shared" si="93"/>
        <v>1.4350865969333744</v>
      </c>
      <c r="Y93" s="116">
        <f t="shared" si="93"/>
        <v>1.3103463829348472</v>
      </c>
      <c r="Z93" s="116">
        <f t="shared" si="93"/>
        <v>1.2949117786188395</v>
      </c>
    </row>
    <row r="94" spans="1:29" outlineLevel="1" x14ac:dyDescent="0.25">
      <c r="A94" s="39" t="str">
        <f t="shared" si="73"/>
        <v>NHL NTE 240</v>
      </c>
      <c r="B94" s="39"/>
      <c r="D94" s="113" t="str">
        <f t="shared" si="84"/>
        <v>Транспортный налог</v>
      </c>
      <c r="E94" s="114" t="str">
        <f t="shared" si="85"/>
        <v>руб/ткм</v>
      </c>
      <c r="F94" s="115"/>
      <c r="G94" s="116">
        <f>G36/G11</f>
        <v>1.8185451411163938E-2</v>
      </c>
      <c r="H94" s="116">
        <f t="shared" ref="H94" si="94">H36/H11</f>
        <v>1.7713355147396071E-2</v>
      </c>
      <c r="I94" s="116">
        <f t="shared" ref="I94:Z94" si="95">I36/I11</f>
        <v>1.6809536008807531E-2</v>
      </c>
      <c r="J94" s="116">
        <f t="shared" si="95"/>
        <v>1.7212662054628118E-2</v>
      </c>
      <c r="K94" s="116">
        <f t="shared" si="95"/>
        <v>1.5861272454641317E-2</v>
      </c>
      <c r="L94" s="116">
        <f t="shared" si="95"/>
        <v>1.5645747819050884E-2</v>
      </c>
      <c r="M94" s="116">
        <f t="shared" si="95"/>
        <v>1.6230412045882079E-2</v>
      </c>
      <c r="N94" s="116">
        <f t="shared" si="95"/>
        <v>1.6486076838348518E-2</v>
      </c>
      <c r="O94" s="116">
        <f t="shared" si="95"/>
        <v>1.5706748981918494E-2</v>
      </c>
      <c r="P94" s="116">
        <f t="shared" si="95"/>
        <v>1.5860183832101433E-2</v>
      </c>
      <c r="Q94" s="116">
        <f t="shared" si="95"/>
        <v>1.6232517234155183E-2</v>
      </c>
      <c r="R94" s="116">
        <f t="shared" si="95"/>
        <v>1.5552455204080249E-2</v>
      </c>
      <c r="S94" s="116">
        <f t="shared" si="95"/>
        <v>1.5158040189555534E-2</v>
      </c>
      <c r="T94" s="116">
        <f t="shared" si="95"/>
        <v>1.5061296795996784E-2</v>
      </c>
      <c r="U94" s="116">
        <f t="shared" si="95"/>
        <v>1.565960063260648E-2</v>
      </c>
      <c r="V94" s="116">
        <f t="shared" si="95"/>
        <v>1.5420610220192567E-2</v>
      </c>
      <c r="W94" s="116">
        <f t="shared" si="95"/>
        <v>1.6558392925482859E-2</v>
      </c>
      <c r="X94" s="116">
        <f t="shared" si="95"/>
        <v>1.650587606895081E-2</v>
      </c>
      <c r="Y94" s="116">
        <f t="shared" si="95"/>
        <v>1.5071156716492331E-2</v>
      </c>
      <c r="Z94" s="116">
        <f t="shared" si="95"/>
        <v>1.4893633167350618E-2</v>
      </c>
    </row>
    <row r="95" spans="1:29" outlineLevel="1" x14ac:dyDescent="0.25">
      <c r="A95" s="39" t="str">
        <f t="shared" si="73"/>
        <v>NHL NTE 240</v>
      </c>
      <c r="B95" s="39"/>
      <c r="D95" s="121"/>
      <c r="E95" s="12"/>
      <c r="F95" s="122"/>
      <c r="G95" s="131">
        <f>G88-(G15-G41)/G11</f>
        <v>0</v>
      </c>
      <c r="H95" s="131">
        <f t="shared" ref="H95" si="96">H88-(H15-H41)/H11</f>
        <v>0</v>
      </c>
      <c r="I95" s="131">
        <f t="shared" ref="I95:Z95" si="97">I88-(I15-I41)/I11</f>
        <v>0</v>
      </c>
      <c r="J95" s="131">
        <f t="shared" si="97"/>
        <v>0</v>
      </c>
      <c r="K95" s="131">
        <f t="shared" si="97"/>
        <v>0</v>
      </c>
      <c r="L95" s="131">
        <f t="shared" si="97"/>
        <v>0</v>
      </c>
      <c r="M95" s="131">
        <f t="shared" si="97"/>
        <v>0</v>
      </c>
      <c r="N95" s="131">
        <f t="shared" si="97"/>
        <v>0</v>
      </c>
      <c r="O95" s="131">
        <f t="shared" si="97"/>
        <v>0</v>
      </c>
      <c r="P95" s="131">
        <f t="shared" si="97"/>
        <v>0</v>
      </c>
      <c r="Q95" s="131">
        <f t="shared" si="97"/>
        <v>0</v>
      </c>
      <c r="R95" s="131">
        <f t="shared" si="97"/>
        <v>0</v>
      </c>
      <c r="S95" s="131">
        <f t="shared" si="97"/>
        <v>0</v>
      </c>
      <c r="T95" s="131">
        <f t="shared" si="97"/>
        <v>0</v>
      </c>
      <c r="U95" s="131">
        <f t="shared" si="97"/>
        <v>0</v>
      </c>
      <c r="V95" s="131">
        <f t="shared" si="97"/>
        <v>0</v>
      </c>
      <c r="W95" s="131">
        <f t="shared" si="97"/>
        <v>0</v>
      </c>
      <c r="X95" s="131">
        <f t="shared" si="97"/>
        <v>0</v>
      </c>
      <c r="Y95" s="131">
        <f t="shared" si="97"/>
        <v>0</v>
      </c>
      <c r="Z95" s="131">
        <f t="shared" si="97"/>
        <v>0</v>
      </c>
    </row>
    <row r="96" spans="1:29" outlineLevel="1" x14ac:dyDescent="0.25">
      <c r="A96" s="2" t="s">
        <v>45</v>
      </c>
    </row>
    <row r="97" spans="1:28" x14ac:dyDescent="0.25">
      <c r="A97" s="2" t="s">
        <v>45</v>
      </c>
    </row>
    <row r="98" spans="1:28" ht="14.3" x14ac:dyDescent="0.25">
      <c r="A98" s="2" t="s">
        <v>45</v>
      </c>
      <c r="C98" s="57" t="e">
        <f>SUM(F148:Z148,F160:Z160,F179:Z179,AA132)</f>
        <v>#DIV/0!</v>
      </c>
      <c r="D98" s="58" t="str">
        <f>Свод!G23</f>
        <v>Estar ESDE240 (ГПБ К)</v>
      </c>
      <c r="E98" s="59">
        <f>SUMIFS(Производительность!$Y$55:$Y$71,Производительность!$C$55:$C$71,$D98)</f>
        <v>10</v>
      </c>
      <c r="F98" s="60" t="str">
        <f>$F$2</f>
        <v>лет</v>
      </c>
    </row>
    <row r="99" spans="1:28" outlineLevel="1" x14ac:dyDescent="0.25">
      <c r="A99" s="2" t="s">
        <v>45</v>
      </c>
    </row>
    <row r="100" spans="1:28" outlineLevel="1" x14ac:dyDescent="0.25">
      <c r="A100" s="61" t="str">
        <f>D98</f>
        <v>Estar ESDE240 (ГПБ К)</v>
      </c>
      <c r="D100" s="62" t="str">
        <f>D$1</f>
        <v>Показатель</v>
      </c>
      <c r="E100" s="62" t="str">
        <f t="shared" ref="E100:Z100" si="98">E$1</f>
        <v>Ед. изм.</v>
      </c>
      <c r="F100" s="62">
        <f t="shared" si="98"/>
        <v>0</v>
      </c>
      <c r="G100" s="62">
        <f t="shared" si="98"/>
        <v>1</v>
      </c>
      <c r="H100" s="62">
        <f t="shared" si="98"/>
        <v>2</v>
      </c>
      <c r="I100" s="62">
        <f t="shared" si="98"/>
        <v>3</v>
      </c>
      <c r="J100" s="62">
        <f t="shared" si="98"/>
        <v>4</v>
      </c>
      <c r="K100" s="62">
        <f t="shared" si="98"/>
        <v>5</v>
      </c>
      <c r="L100" s="62">
        <f t="shared" si="98"/>
        <v>6</v>
      </c>
      <c r="M100" s="62">
        <f t="shared" si="98"/>
        <v>7</v>
      </c>
      <c r="N100" s="62">
        <f t="shared" si="98"/>
        <v>8</v>
      </c>
      <c r="O100" s="62">
        <f t="shared" si="98"/>
        <v>9</v>
      </c>
      <c r="P100" s="62">
        <f t="shared" si="98"/>
        <v>10</v>
      </c>
      <c r="Q100" s="62">
        <f t="shared" si="98"/>
        <v>11</v>
      </c>
      <c r="R100" s="62">
        <f t="shared" si="98"/>
        <v>12</v>
      </c>
      <c r="S100" s="62">
        <f t="shared" si="98"/>
        <v>13</v>
      </c>
      <c r="T100" s="62">
        <f t="shared" si="98"/>
        <v>14</v>
      </c>
      <c r="U100" s="62">
        <f t="shared" si="98"/>
        <v>15</v>
      </c>
      <c r="V100" s="62">
        <f t="shared" si="98"/>
        <v>16</v>
      </c>
      <c r="W100" s="62">
        <f t="shared" si="98"/>
        <v>17</v>
      </c>
      <c r="X100" s="62">
        <f t="shared" si="98"/>
        <v>18</v>
      </c>
      <c r="Y100" s="62">
        <f t="shared" si="98"/>
        <v>19</v>
      </c>
      <c r="Z100" s="62">
        <f t="shared" si="98"/>
        <v>20</v>
      </c>
    </row>
    <row r="101" spans="1:28" outlineLevel="1" x14ac:dyDescent="0.25">
      <c r="A101" s="39" t="str">
        <f>A100</f>
        <v>Estar ESDE240 (ГПБ К)</v>
      </c>
      <c r="B101" s="39"/>
      <c r="D101" s="63" t="s">
        <v>50</v>
      </c>
      <c r="E101" s="64" t="s">
        <v>51</v>
      </c>
      <c r="F101" s="65"/>
      <c r="G101" s="66">
        <f>SUMIFS(Производительность!E$55:E$71,Производительность!$C$55:$C$71,$A101)</f>
        <v>0.91162480974124804</v>
      </c>
      <c r="H101" s="66">
        <f>SUMIFS(Производительность!F$55:F$71,Производительность!$C$55:$C$71,$A101)</f>
        <v>0.89608701166920346</v>
      </c>
      <c r="I101" s="66">
        <f>SUMIFS(Производительность!G$55:G$71,Производительность!$C$55:$C$71,$A101)</f>
        <v>0.84869672754946723</v>
      </c>
      <c r="J101" s="66">
        <f>SUMIFS(Производительность!H$55:H$71,Производительность!$C$55:$C$71,$A101)</f>
        <v>0.80563483003551495</v>
      </c>
      <c r="K101" s="66">
        <f>SUMIFS(Производительность!I$55:I$71,Производительность!$C$55:$C$71,$A101)</f>
        <v>0.89852866565195333</v>
      </c>
      <c r="L101" s="66">
        <f>SUMIFS(Производительность!J$55:J$71,Производительность!$C$55:$C$71,$A101)</f>
        <v>0.82206050228310501</v>
      </c>
      <c r="M101" s="66">
        <f>SUMIFS(Производительность!K$55:K$71,Производительность!$C$55:$C$71,$A101)</f>
        <v>0.88942795535261288</v>
      </c>
      <c r="N101" s="66">
        <f>SUMIFS(Производительность!L$55:L$71,Производительность!$C$55:$C$71,$A101)</f>
        <v>0.81118404363267382</v>
      </c>
      <c r="O101" s="66">
        <f>SUMIFS(Производительность!M$55:M$71,Производительность!$C$55:$C$71,$A101)</f>
        <v>0.85613267376966007</v>
      </c>
      <c r="P101" s="66">
        <f>SUMIFS(Производительность!N$55:N$71,Производительность!$C$55:$C$71,$A101)</f>
        <v>0.83393581938102479</v>
      </c>
      <c r="Q101" s="66">
        <f>SUMIFS(Производительность!O$55:O$71,Производительность!$C$55:$C$71,$A101)</f>
        <v>0</v>
      </c>
      <c r="R101" s="66">
        <f>SUMIFS(Производительность!P$55:P$71,Производительность!$C$55:$C$71,$A101)</f>
        <v>0</v>
      </c>
      <c r="S101" s="66">
        <f>SUMIFS(Производительность!Q$55:Q$71,Производительность!$C$55:$C$71,$A101)</f>
        <v>0</v>
      </c>
      <c r="T101" s="66">
        <f>SUMIFS(Производительность!R$55:R$71,Производительность!$C$55:$C$71,$A101)</f>
        <v>0</v>
      </c>
      <c r="U101" s="66">
        <f>SUMIFS(Производительность!S$55:S$71,Производительность!$C$55:$C$71,$A101)</f>
        <v>0</v>
      </c>
      <c r="V101" s="66">
        <f>SUMIFS(Производительность!T$55:T$71,Производительность!$C$55:$C$71,$A101)</f>
        <v>0</v>
      </c>
      <c r="W101" s="66">
        <f>SUMIFS(Производительность!U$55:U$71,Производительность!$C$55:$C$71,$A101)</f>
        <v>0</v>
      </c>
      <c r="X101" s="66">
        <f>SUMIFS(Производительность!V$55:V$71,Производительность!$C$55:$C$71,$A101)</f>
        <v>0</v>
      </c>
      <c r="Y101" s="66">
        <f>SUMIFS(Производительность!W$55:W$71,Производительность!$C$55:$C$71,$A101)</f>
        <v>0</v>
      </c>
      <c r="Z101" s="66">
        <f>SUMIFS(Производительность!X$55:X$71,Производительность!$C$55:$C$71,$A101)</f>
        <v>0</v>
      </c>
    </row>
    <row r="102" spans="1:28" outlineLevel="1" x14ac:dyDescent="0.25">
      <c r="A102" s="39" t="str">
        <f t="shared" ref="A102:A165" si="99">A101</f>
        <v>Estar ESDE240 (ГПБ К)</v>
      </c>
      <c r="B102" s="39"/>
      <c r="D102" s="63" t="s">
        <v>52</v>
      </c>
      <c r="E102" s="64" t="str">
        <f>E101</f>
        <v>%</v>
      </c>
      <c r="F102" s="65"/>
      <c r="G102" s="66">
        <f>SUMIFS(Производительность!E$119:E$135,Производительность!$C$119:$C$135,$A102)</f>
        <v>0.7819966188134716</v>
      </c>
      <c r="H102" s="66">
        <f>SUMIFS(Производительность!F$119:F$135,Производительность!$C$119:$C$135,$A102)</f>
        <v>0.76866821284392139</v>
      </c>
      <c r="I102" s="66">
        <f>SUMIFS(Производительность!G$119:G$135,Производительность!$C$119:$C$135,$A102)</f>
        <v>0.73381368343152964</v>
      </c>
      <c r="J102" s="66">
        <f>SUMIFS(Производительность!H$119:H$135,Производительность!$C$119:$C$135,$A102)</f>
        <v>0.69658081967169794</v>
      </c>
      <c r="K102" s="66">
        <f>SUMIFS(Производительность!I$119:I$135,Производительность!$C$119:$C$135,$A102)</f>
        <v>0.77690016752473712</v>
      </c>
      <c r="L102" s="66">
        <f>SUMIFS(Производительность!J$119:J$135,Производительность!$C$119:$C$135,$A102)</f>
        <v>0.71078304605431419</v>
      </c>
      <c r="M102" s="66">
        <f>SUMIFS(Производительность!K$119:K$135,Производительность!$C$119:$C$135,$A102)</f>
        <v>0.76903136642085512</v>
      </c>
      <c r="N102" s="66">
        <f>SUMIFS(Производительность!L$119:L$135,Производительность!$C$119:$C$135,$A102)</f>
        <v>0.70137886912528458</v>
      </c>
      <c r="O102" s="66">
        <f>SUMIFS(Производительность!M$119:M$135,Производительность!$C$119:$C$135,$A102)</f>
        <v>0.74024306969933573</v>
      </c>
      <c r="P102" s="66">
        <f>SUMIFS(Производительность!N$119:N$135,Производительность!$C$119:$C$135,$A102)</f>
        <v>0.7210508718849894</v>
      </c>
      <c r="Q102" s="66">
        <f>SUMIFS(Производительность!O$119:O$135,Производительность!$C$119:$C$135,$A102)</f>
        <v>0</v>
      </c>
      <c r="R102" s="66">
        <f>SUMIFS(Производительность!P$119:P$135,Производительность!$C$119:$C$135,$A102)</f>
        <v>0</v>
      </c>
      <c r="S102" s="66">
        <f>SUMIFS(Производительность!Q$119:Q$135,Производительность!$C$119:$C$135,$A102)</f>
        <v>0</v>
      </c>
      <c r="T102" s="66">
        <f>SUMIFS(Производительность!R$119:R$135,Производительность!$C$119:$C$135,$A102)</f>
        <v>0</v>
      </c>
      <c r="U102" s="66">
        <f>SUMIFS(Производительность!S$119:S$135,Производительность!$C$119:$C$135,$A102)</f>
        <v>0</v>
      </c>
      <c r="V102" s="66">
        <f>SUMIFS(Производительность!T$119:T$135,Производительность!$C$119:$C$135,$A102)</f>
        <v>0</v>
      </c>
      <c r="W102" s="66">
        <f>SUMIFS(Производительность!U$119:U$135,Производительность!$C$119:$C$135,$A102)</f>
        <v>0</v>
      </c>
      <c r="X102" s="66">
        <f>SUMIFS(Производительность!V$119:V$135,Производительность!$C$119:$C$135,$A102)</f>
        <v>0</v>
      </c>
      <c r="Y102" s="66">
        <f>SUMIFS(Производительность!W$119:W$135,Производительность!$C$119:$C$135,$A102)</f>
        <v>0</v>
      </c>
      <c r="Z102" s="66">
        <f>SUMIFS(Производительность!X$119:X$135,Производительность!$C$119:$C$135,$A102)</f>
        <v>0</v>
      </c>
    </row>
    <row r="103" spans="1:28" outlineLevel="1" x14ac:dyDescent="0.25">
      <c r="A103" s="39" t="str">
        <f t="shared" si="99"/>
        <v>Estar ESDE240 (ГПБ К)</v>
      </c>
      <c r="B103" s="39"/>
      <c r="D103" s="67" t="s">
        <v>53</v>
      </c>
      <c r="E103" s="68" t="s">
        <v>23</v>
      </c>
      <c r="F103" s="69"/>
      <c r="G103" s="69">
        <f>SUMIFS(Производительность!E$247:E$263,Производительность!$C$247:$C$263,$A103)</f>
        <v>3468.7825332226494</v>
      </c>
      <c r="H103" s="69">
        <f>SUMIFS(Производительность!F$247:F$263,Производительность!$C$247:$C$263,$A103)</f>
        <v>3181.8179175320083</v>
      </c>
      <c r="I103" s="69">
        <f>SUMIFS(Производительность!G$247:G$263,Производительность!$C$247:$C$263,$A103)</f>
        <v>2671.6234903014893</v>
      </c>
      <c r="J103" s="69">
        <f>SUMIFS(Производительность!H$247:H$263,Производительность!$C$247:$C$263,$A103)</f>
        <v>2601.2507701990708</v>
      </c>
      <c r="K103" s="69">
        <f>SUMIFS(Производительность!I$247:I$263,Производительность!$C$247:$C$263,$A103)</f>
        <v>2495.9958236214775</v>
      </c>
      <c r="L103" s="69">
        <f>SUMIFS(Производительность!J$247:J$263,Производительность!$C$247:$C$263,$A103)</f>
        <v>2098.7034958810245</v>
      </c>
      <c r="M103" s="69">
        <f>SUMIFS(Производительность!K$247:K$263,Производительность!$C$247:$C$263,$A103)</f>
        <v>2625.7802162816274</v>
      </c>
      <c r="N103" s="69">
        <f>SUMIFS(Производительность!L$247:L$263,Производительность!$C$247:$C$263,$A103)</f>
        <v>2352.7470042377572</v>
      </c>
      <c r="O103" s="69">
        <f>SUMIFS(Производительность!M$247:M$263,Производительность!$C$247:$C$263,$A103)</f>
        <v>2176.9070476514285</v>
      </c>
      <c r="P103" s="69">
        <f>SUMIFS(Производительность!N$247:N$263,Производительность!$C$247:$C$263,$A103)</f>
        <v>2307.6680129701058</v>
      </c>
      <c r="Q103" s="69">
        <f>SUMIFS(Производительность!O$247:O$263,Производительность!$C$247:$C$263,$A103)</f>
        <v>0</v>
      </c>
      <c r="R103" s="69">
        <f>SUMIFS(Производительность!P$247:P$263,Производительность!$C$247:$C$263,$A103)</f>
        <v>0</v>
      </c>
      <c r="S103" s="69">
        <f>SUMIFS(Производительность!Q$247:Q$263,Производительность!$C$247:$C$263,$A103)</f>
        <v>0</v>
      </c>
      <c r="T103" s="69">
        <f>SUMIFS(Производительность!R$247:R$263,Производительность!$C$247:$C$263,$A103)</f>
        <v>0</v>
      </c>
      <c r="U103" s="69">
        <f>SUMIFS(Производительность!S$247:S$263,Производительность!$C$247:$C$263,$A103)</f>
        <v>0</v>
      </c>
      <c r="V103" s="69">
        <f>SUMIFS(Производительность!T$247:T$263,Производительность!$C$247:$C$263,$A103)</f>
        <v>0</v>
      </c>
      <c r="W103" s="69">
        <f>SUMIFS(Производительность!U$247:U$263,Производительность!$C$247:$C$263,$A103)</f>
        <v>0</v>
      </c>
      <c r="X103" s="69">
        <f>SUMIFS(Производительность!V$247:V$263,Производительность!$C$247:$C$263,$A103)</f>
        <v>0</v>
      </c>
      <c r="Y103" s="69">
        <f>SUMIFS(Производительность!W$247:W$263,Производительность!$C$247:$C$263,$A103)</f>
        <v>0</v>
      </c>
      <c r="Z103" s="69">
        <f>SUMIFS(Производительность!X$247:X$263,Производительность!$C$247:$C$263,$A103)</f>
        <v>0</v>
      </c>
    </row>
    <row r="104" spans="1:28" outlineLevel="1" x14ac:dyDescent="0.25">
      <c r="A104" s="39" t="str">
        <f t="shared" si="99"/>
        <v>Estar ESDE240 (ГПБ К)</v>
      </c>
      <c r="B104" s="39"/>
      <c r="D104" s="67" t="s">
        <v>54</v>
      </c>
      <c r="E104" s="68" t="s">
        <v>24</v>
      </c>
      <c r="F104" s="69"/>
      <c r="G104" s="69">
        <f>SUMIFS(Производительность!E$263:E$279,Производительность!$C$263:$C$279,$A104)</f>
        <v>10543.656267432647</v>
      </c>
      <c r="H104" s="69">
        <f>SUMIFS(Производительность!F$263:F$279,Производительность!$C$263:$C$279,$A104)</f>
        <v>10722.163323869008</v>
      </c>
      <c r="I104" s="69">
        <f>SUMIFS(Производительность!G$263:G$279,Производительность!$C$263:$C$279,$A104)</f>
        <v>10811.273171800669</v>
      </c>
      <c r="J104" s="69">
        <f>SUMIFS(Производительность!H$263:H$279,Производительность!$C$263:$C$279,$A104)</f>
        <v>10160.241833220283</v>
      </c>
      <c r="K104" s="69">
        <f>SUMIFS(Производительность!I$263:I$279,Производительность!$C$263:$C$279,$A104)</f>
        <v>11968.813615069706</v>
      </c>
      <c r="L104" s="69">
        <f>SUMIFS(Производительность!J$263:J$279,Производительность!$C$263:$C$279,$A104)</f>
        <v>11240.881082414868</v>
      </c>
      <c r="M104" s="69">
        <f>SUMIFS(Производительность!K$263:K$279,Производительность!$C$263:$C$279,$A104)</f>
        <v>11603.794817186421</v>
      </c>
      <c r="N104" s="69">
        <f>SUMIFS(Производительность!L$263:L$279,Производительность!$C$263:$C$279,$A104)</f>
        <v>10649.092975859176</v>
      </c>
      <c r="O104" s="69">
        <f>SUMIFS(Производительность!M$263:M$279,Производительность!$C$263:$C$279,$A104)</f>
        <v>11720.592082139747</v>
      </c>
      <c r="P104" s="69">
        <f>SUMIFS(Производительность!N$263:N$279,Производительность!$C$263:$C$279,$A104)</f>
        <v>11122.395605287671</v>
      </c>
      <c r="Q104" s="69">
        <f>SUMIFS(Производительность!O$263:O$279,Производительность!$C$263:$C$279,$A104)</f>
        <v>0</v>
      </c>
      <c r="R104" s="69">
        <f>SUMIFS(Производительность!P$263:P$279,Производительность!$C$263:$C$279,$A104)</f>
        <v>0</v>
      </c>
      <c r="S104" s="69">
        <f>SUMIFS(Производительность!Q$263:Q$279,Производительность!$C$263:$C$279,$A104)</f>
        <v>0</v>
      </c>
      <c r="T104" s="69">
        <f>SUMIFS(Производительность!R$263:R$279,Производительность!$C$263:$C$279,$A104)</f>
        <v>0</v>
      </c>
      <c r="U104" s="69">
        <f>SUMIFS(Производительность!S$263:S$279,Производительность!$C$263:$C$279,$A104)</f>
        <v>0</v>
      </c>
      <c r="V104" s="69">
        <f>SUMIFS(Производительность!T$263:T$279,Производительность!$C$263:$C$279,$A104)</f>
        <v>0</v>
      </c>
      <c r="W104" s="69">
        <f>SUMIFS(Производительность!U$263:U$279,Производительность!$C$263:$C$279,$A104)</f>
        <v>0</v>
      </c>
      <c r="X104" s="69">
        <f>SUMIFS(Производительность!V$263:V$279,Производительность!$C$263:$C$279,$A104)</f>
        <v>0</v>
      </c>
      <c r="Y104" s="69">
        <f>SUMIFS(Производительность!W$263:W$279,Производительность!$C$263:$C$279,$A104)</f>
        <v>0</v>
      </c>
      <c r="Z104" s="69">
        <f>SUMIFS(Производительность!X$263:X$279,Производительность!$C$263:$C$279,$A104)</f>
        <v>0</v>
      </c>
    </row>
    <row r="105" spans="1:28" outlineLevel="1" x14ac:dyDescent="0.25">
      <c r="A105" s="39" t="str">
        <f t="shared" si="99"/>
        <v>Estar ESDE240 (ГПБ К)</v>
      </c>
      <c r="B105" s="39"/>
      <c r="D105" s="70" t="s">
        <v>55</v>
      </c>
      <c r="E105" s="64" t="str">
        <f>E104</f>
        <v>тыс. ткм</v>
      </c>
      <c r="F105" s="65"/>
      <c r="G105" s="530">
        <f>G104</f>
        <v>10543.656267432647</v>
      </c>
      <c r="H105" s="65">
        <f>IF(H100&gt;$E98,0,G105+H104)</f>
        <v>21265.819591301653</v>
      </c>
      <c r="I105" s="65">
        <f t="shared" ref="I105" si="100">IF(I100&gt;$E98,0,H105+I104)</f>
        <v>32077.092763102322</v>
      </c>
      <c r="J105" s="65">
        <f t="shared" ref="J105" si="101">IF(J100&gt;$E98,0,I105+J104)</f>
        <v>42237.334596322602</v>
      </c>
      <c r="K105" s="65">
        <f t="shared" ref="K105" si="102">IF(K100&gt;$E98,0,J105+K104)</f>
        <v>54206.148211392312</v>
      </c>
      <c r="L105" s="65">
        <f t="shared" ref="L105" si="103">IF(L100&gt;$E98,0,K105+L104)</f>
        <v>65447.02929380718</v>
      </c>
      <c r="M105" s="65">
        <f t="shared" ref="M105" si="104">IF(M100&gt;$E98,0,L105+M104)</f>
        <v>77050.824110993606</v>
      </c>
      <c r="N105" s="65">
        <f t="shared" ref="N105" si="105">IF(N100&gt;$E98,0,M105+N104)</f>
        <v>87699.917086852787</v>
      </c>
      <c r="O105" s="65">
        <f t="shared" ref="O105" si="106">IF(O100&gt;$E98,0,N105+O104)</f>
        <v>99420.509168992532</v>
      </c>
      <c r="P105" s="65">
        <f t="shared" ref="P105" si="107">IF(P100&gt;$E98,0,O105+P104)</f>
        <v>110542.90477428021</v>
      </c>
      <c r="Q105" s="65">
        <f t="shared" ref="Q105" si="108">IF(Q100&gt;$E98,0,P105+Q104)</f>
        <v>0</v>
      </c>
      <c r="R105" s="65">
        <f t="shared" ref="R105" si="109">IF(R100&gt;$E98,0,Q105+R104)</f>
        <v>0</v>
      </c>
      <c r="S105" s="65">
        <f t="shared" ref="S105" si="110">IF(S100&gt;$E98,0,R105+S104)</f>
        <v>0</v>
      </c>
      <c r="T105" s="65">
        <f t="shared" ref="T105" si="111">IF(T100&gt;$E98,0,S105+T104)</f>
        <v>0</v>
      </c>
      <c r="U105" s="65">
        <f t="shared" ref="U105" si="112">IF(U100&gt;$E98,0,T105+U104)</f>
        <v>0</v>
      </c>
      <c r="V105" s="65">
        <f t="shared" ref="V105" si="113">IF(V100&gt;$E98,0,U105+V104)</f>
        <v>0</v>
      </c>
      <c r="W105" s="65">
        <f t="shared" ref="W105" si="114">IF(W100&gt;$E98,0,V105+W104)</f>
        <v>0</v>
      </c>
      <c r="X105" s="65">
        <f t="shared" ref="X105" si="115">IF(X100&gt;$E98,0,W105+X104)</f>
        <v>0</v>
      </c>
      <c r="Y105" s="65">
        <f t="shared" ref="Y105" si="116">IF(Y100&gt;$E98,0,X105+Y104)</f>
        <v>0</v>
      </c>
      <c r="Z105" s="65">
        <f t="shared" ref="Z105" si="117">IF(Z100&gt;$E98,0,Y105+Z104)</f>
        <v>0</v>
      </c>
    </row>
    <row r="106" spans="1:28" outlineLevel="1" x14ac:dyDescent="0.25">
      <c r="A106" s="39" t="str">
        <f t="shared" si="99"/>
        <v>Estar ESDE240 (ГПБ К)</v>
      </c>
      <c r="B106" s="39"/>
      <c r="D106" s="63" t="s">
        <v>56</v>
      </c>
      <c r="E106" s="64" t="s">
        <v>57</v>
      </c>
      <c r="F106" s="65"/>
      <c r="G106" s="65">
        <f>SUMIFS(Производительность!E$279:E$295,Производительность!$C$279:$C$295,$A106)/1000</f>
        <v>101.40606493131789</v>
      </c>
      <c r="H106" s="65">
        <f>SUMIFS(Производительность!F$279:F$295,Производительность!$C$279:$C$295,$A106)/1000</f>
        <v>103.12289803897492</v>
      </c>
      <c r="I106" s="65">
        <f>SUMIFS(Производительность!G$279:G$295,Производительность!$C$279:$C$295,$A106)/1000</f>
        <v>103.97993271425065</v>
      </c>
      <c r="J106" s="65">
        <f>SUMIFS(Производительность!H$279:H$295,Производительность!$C$279:$C$295,$A106)/1000</f>
        <v>97.7184874889995</v>
      </c>
      <c r="K106" s="65">
        <f>SUMIFS(Производительность!I$279:I$295,Производительность!$C$279:$C$295,$A106)/1000</f>
        <v>115.11284698738908</v>
      </c>
      <c r="L106" s="65">
        <f>SUMIFS(Производительность!J$279:J$295,Производительность!$C$279:$C$295,$A106)/1000</f>
        <v>108.11178665312714</v>
      </c>
      <c r="M106" s="65">
        <f>SUMIFS(Производительность!K$279:K$295,Производительность!$C$279:$C$295,$A106)/1000</f>
        <v>111.60219385336794</v>
      </c>
      <c r="N106" s="65">
        <f>SUMIFS(Производительность!L$279:L$295,Производительность!$C$279:$C$295,$A106)/1000</f>
        <v>102.42012698243673</v>
      </c>
      <c r="O106" s="65">
        <f>SUMIFS(Производительность!M$279:M$295,Производительность!$C$279:$C$295,$A106)/1000</f>
        <v>112.72551869754375</v>
      </c>
      <c r="P106" s="65">
        <f>SUMIFS(Производительность!N$279:N$295,Производительность!$C$279:$C$295,$A106)/1000</f>
        <v>106.97222503595916</v>
      </c>
      <c r="Q106" s="65">
        <f>SUMIFS(Производительность!O$279:O$295,Производительность!$C$279:$C$295,$A106)/1000</f>
        <v>0</v>
      </c>
      <c r="R106" s="65">
        <f>SUMIFS(Производительность!P$279:P$295,Производительность!$C$279:$C$295,$A106)/1000</f>
        <v>0</v>
      </c>
      <c r="S106" s="65">
        <f>SUMIFS(Производительность!Q$279:Q$295,Производительность!$C$279:$C$295,$A106)/1000</f>
        <v>0</v>
      </c>
      <c r="T106" s="65">
        <f>SUMIFS(Производительность!R$279:R$295,Производительность!$C$279:$C$295,$A106)/1000</f>
        <v>0</v>
      </c>
      <c r="U106" s="65">
        <f>SUMIFS(Производительность!S$279:S$295,Производительность!$C$279:$C$295,$A106)/1000</f>
        <v>0</v>
      </c>
      <c r="V106" s="65">
        <f>SUMIFS(Производительность!T$279:T$295,Производительность!$C$279:$C$295,$A106)/1000</f>
        <v>0</v>
      </c>
      <c r="W106" s="65">
        <f>SUMIFS(Производительность!U$279:U$295,Производительность!$C$279:$C$295,$A106)/1000</f>
        <v>0</v>
      </c>
      <c r="X106" s="65">
        <f>SUMIFS(Производительность!V$279:V$295,Производительность!$C$279:$C$295,$A106)/1000</f>
        <v>0</v>
      </c>
      <c r="Y106" s="65">
        <f>SUMIFS(Производительность!W$279:W$295,Производительность!$C$279:$C$295,$A106)/1000</f>
        <v>0</v>
      </c>
      <c r="Z106" s="65">
        <f>SUMIFS(Производительность!X$279:X$295,Производительность!$C$279:$C$295,$A106)/1000</f>
        <v>0</v>
      </c>
    </row>
    <row r="107" spans="1:28" outlineLevel="1" x14ac:dyDescent="0.25">
      <c r="A107" s="39" t="str">
        <f t="shared" si="99"/>
        <v>Estar ESDE240 (ГПБ К)</v>
      </c>
      <c r="B107" s="39"/>
      <c r="D107" s="31"/>
      <c r="E107" s="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8" outlineLevel="1" x14ac:dyDescent="0.25">
      <c r="A108" s="39" t="str">
        <f t="shared" si="99"/>
        <v>Estar ESDE240 (ГПБ К)</v>
      </c>
      <c r="B108" s="39"/>
      <c r="D108" s="71" t="s">
        <v>58</v>
      </c>
      <c r="E108" s="72" t="s">
        <v>33</v>
      </c>
      <c r="F108" s="73">
        <f>F133+F134-F132</f>
        <v>0</v>
      </c>
      <c r="G108" s="73">
        <f t="shared" ref="G108:H108" si="118">G133+G134-G132</f>
        <v>90723.802825498133</v>
      </c>
      <c r="H108" s="73">
        <f t="shared" si="118"/>
        <v>98593.128819186328</v>
      </c>
      <c r="I108" s="73">
        <f t="shared" ref="I108:Z108" si="119">I133+I134-I132</f>
        <v>145082.30686393863</v>
      </c>
      <c r="J108" s="73">
        <f t="shared" si="119"/>
        <v>269731.49545957893</v>
      </c>
      <c r="K108" s="73">
        <f t="shared" si="119"/>
        <v>99637.643565928272</v>
      </c>
      <c r="L108" s="73">
        <f t="shared" si="119"/>
        <v>154476.15675630298</v>
      </c>
      <c r="M108" s="73">
        <f t="shared" si="119"/>
        <v>97160.286525640782</v>
      </c>
      <c r="N108" s="73">
        <f t="shared" si="119"/>
        <v>272699.48715474195</v>
      </c>
      <c r="O108" s="73">
        <f t="shared" si="119"/>
        <v>97869.404868962913</v>
      </c>
      <c r="P108" s="73">
        <f t="shared" si="119"/>
        <v>94237.538191125961</v>
      </c>
      <c r="Q108" s="73">
        <f t="shared" si="119"/>
        <v>0</v>
      </c>
      <c r="R108" s="73">
        <f t="shared" si="119"/>
        <v>0</v>
      </c>
      <c r="S108" s="73">
        <f t="shared" si="119"/>
        <v>0</v>
      </c>
      <c r="T108" s="73">
        <f t="shared" si="119"/>
        <v>0</v>
      </c>
      <c r="U108" s="73">
        <f t="shared" si="119"/>
        <v>0</v>
      </c>
      <c r="V108" s="73">
        <f t="shared" si="119"/>
        <v>0</v>
      </c>
      <c r="W108" s="73">
        <f t="shared" si="119"/>
        <v>0</v>
      </c>
      <c r="X108" s="73">
        <f t="shared" si="119"/>
        <v>0</v>
      </c>
      <c r="Y108" s="73">
        <f t="shared" si="119"/>
        <v>0</v>
      </c>
      <c r="Z108" s="73">
        <f t="shared" si="119"/>
        <v>0</v>
      </c>
    </row>
    <row r="109" spans="1:28" outlineLevel="1" x14ac:dyDescent="0.25">
      <c r="A109" s="39" t="str">
        <f t="shared" si="99"/>
        <v>Estar ESDE240 (ГПБ К)</v>
      </c>
      <c r="B109" s="39"/>
      <c r="C109" s="619" t="str">
        <f>D109</f>
        <v>ТО, ТР, ППР</v>
      </c>
      <c r="D109" s="430" t="s">
        <v>59</v>
      </c>
      <c r="E109" s="68" t="str">
        <f>E108</f>
        <v>тыс. руб.</v>
      </c>
      <c r="F109" s="74"/>
      <c r="G109" s="455">
        <f>(G110+G111+G112)*'ФОТ, МТР, макро'!AK$7</f>
        <v>16978.57817583454</v>
      </c>
      <c r="H109" s="455">
        <f>(H110+H111+H112)*'ФОТ, МТР, макро'!AL$7</f>
        <v>26025.971825838711</v>
      </c>
      <c r="I109" s="455">
        <f>(I110+I111+I112)*'ФОТ, МТР, макро'!AM$7</f>
        <v>87290.185161209505</v>
      </c>
      <c r="J109" s="455">
        <f>(J110+J111+J112)*'ФОТ, МТР, макро'!AN$7</f>
        <v>258759.29820809895</v>
      </c>
      <c r="K109" s="455">
        <f>(K110+K111+K112)*'ФОТ, МТР, макро'!AO$7</f>
        <v>17326.83977133454</v>
      </c>
      <c r="L109" s="455">
        <f>(L110+L111+L112)*'ФОТ, МТР, макро'!AP$7</f>
        <v>96337.578811213665</v>
      </c>
      <c r="M109" s="455">
        <f>(M110+M111+M112)*'ФОТ, МТР, макро'!AQ$7</f>
        <v>16978.57817583454</v>
      </c>
      <c r="N109" s="455">
        <f>(N110+N111+N112)*'ФОТ, МТР, макро'!AR$7</f>
        <v>258759.29820809895</v>
      </c>
      <c r="O109" s="455">
        <f>(O110+O111+O112)*'ФОТ, МТР, макро'!AS$7</f>
        <v>16978.57817583454</v>
      </c>
      <c r="P109" s="455">
        <f>(P110+P111+P112)*'ФОТ, МТР, макро'!AT$7</f>
        <v>16978.57817583454</v>
      </c>
      <c r="Q109" s="455"/>
      <c r="R109" s="455"/>
      <c r="S109" s="455"/>
      <c r="T109" s="455"/>
      <c r="U109" s="455"/>
      <c r="V109" s="455"/>
      <c r="W109" s="455"/>
      <c r="X109" s="455"/>
      <c r="Y109" s="455"/>
      <c r="Z109" s="455"/>
      <c r="AB109" s="76">
        <f>SUM(F109:Z109,F123:Z123)/E98</f>
        <v>81241.348468913246</v>
      </c>
    </row>
    <row r="110" spans="1:28" outlineLevel="1" x14ac:dyDescent="0.25">
      <c r="A110" s="39" t="str">
        <f t="shared" si="99"/>
        <v>Estar ESDE240 (ГПБ К)</v>
      </c>
      <c r="B110" s="39"/>
      <c r="D110" s="427" t="s">
        <v>60</v>
      </c>
      <c r="E110" s="428" t="s">
        <v>35</v>
      </c>
      <c r="F110" s="30"/>
      <c r="G110" s="456">
        <f>ESDE240!E19</f>
        <v>154.71899099571866</v>
      </c>
      <c r="H110" s="456">
        <f>ESDE240!F19</f>
        <v>154.71899099571866</v>
      </c>
      <c r="I110" s="456">
        <f>ESDE240!G19</f>
        <v>154.71899099571866</v>
      </c>
      <c r="J110" s="456">
        <f>ESDE240!H19</f>
        <v>154.71899099571866</v>
      </c>
      <c r="K110" s="456">
        <f>ESDE240!I19</f>
        <v>154.71899099571866</v>
      </c>
      <c r="L110" s="456">
        <f>ESDE240!J19</f>
        <v>154.71899099571866</v>
      </c>
      <c r="M110" s="456">
        <f>ESDE240!K19</f>
        <v>154.71899099571866</v>
      </c>
      <c r="N110" s="456">
        <f>ESDE240!L19</f>
        <v>154.71899099571866</v>
      </c>
      <c r="O110" s="456">
        <f>ESDE240!M19</f>
        <v>154.71899099571866</v>
      </c>
      <c r="P110" s="456">
        <f>ESDE240!N19</f>
        <v>154.71899099571866</v>
      </c>
      <c r="Q110" s="456"/>
      <c r="R110" s="456"/>
      <c r="S110" s="456"/>
      <c r="T110" s="456"/>
      <c r="U110" s="456"/>
      <c r="V110" s="456"/>
      <c r="W110" s="456"/>
      <c r="X110" s="456"/>
      <c r="Y110" s="456"/>
      <c r="Z110" s="456"/>
    </row>
    <row r="111" spans="1:28" outlineLevel="1" x14ac:dyDescent="0.25">
      <c r="A111" s="39" t="str">
        <f t="shared" si="99"/>
        <v>Estar ESDE240 (ГПБ К)</v>
      </c>
      <c r="B111" s="39"/>
      <c r="D111" s="427" t="s">
        <v>61</v>
      </c>
      <c r="E111" s="428" t="s">
        <v>35</v>
      </c>
      <c r="F111" s="30"/>
      <c r="G111" s="456">
        <f>ESDE240!E20+ESDE240!E21</f>
        <v>4.9310352762000003</v>
      </c>
      <c r="H111" s="456">
        <f>ESDE240!F20+ESDE240!F21</f>
        <v>88.530269182154584</v>
      </c>
      <c r="I111" s="456">
        <f>ESDE240!G20+ESDE240!G21</f>
        <v>701.51111927940008</v>
      </c>
      <c r="J111" s="456">
        <f>ESDE240!H20+ESDE240!H21</f>
        <v>2494.2899267764833</v>
      </c>
      <c r="K111" s="456">
        <f>ESDE240!I20+ESDE240!I21</f>
        <v>7.0140352762000004</v>
      </c>
      <c r="L111" s="456">
        <f>ESDE240!J20+ESDE240!J21</f>
        <v>785.1103531853546</v>
      </c>
      <c r="M111" s="456">
        <f>ESDE240!K20+ESDE240!K21</f>
        <v>4.9310352762000003</v>
      </c>
      <c r="N111" s="456">
        <f>ESDE240!L20+ESDE240!L21</f>
        <v>2494.2899267764833</v>
      </c>
      <c r="O111" s="456">
        <f>ESDE240!M20+ESDE240!M21</f>
        <v>4.9310352762000003</v>
      </c>
      <c r="P111" s="456">
        <f>ESDE240!N20+ESDE240!N21</f>
        <v>4.9310352762000003</v>
      </c>
      <c r="Q111" s="456"/>
      <c r="R111" s="456"/>
      <c r="S111" s="456"/>
      <c r="T111" s="456"/>
      <c r="U111" s="456"/>
      <c r="V111" s="456"/>
      <c r="W111" s="456"/>
      <c r="X111" s="456"/>
      <c r="Y111" s="456"/>
      <c r="Z111" s="456"/>
    </row>
    <row r="112" spans="1:28" outlineLevel="1" x14ac:dyDescent="0.25">
      <c r="A112" s="39" t="str">
        <f t="shared" si="99"/>
        <v>Estar ESDE240 (ГПБ К)</v>
      </c>
      <c r="B112" s="39"/>
      <c r="D112" s="427" t="s">
        <v>62</v>
      </c>
      <c r="E112" s="428" t="s">
        <v>33</v>
      </c>
      <c r="F112" s="30"/>
      <c r="G112" s="456">
        <f>ESDE240!E22+ESDE240!E23</f>
        <v>20.880000000000003</v>
      </c>
      <c r="H112" s="456">
        <f>ESDE240!F22+ESDE240!F23</f>
        <v>33.480000000000004</v>
      </c>
      <c r="I112" s="456">
        <f>ESDE240!G22+ESDE240!G23</f>
        <v>71.91</v>
      </c>
      <c r="J112" s="456">
        <f>ESDE240!H22+ESDE240!H23</f>
        <v>102.33</v>
      </c>
      <c r="K112" s="456">
        <f>ESDE240!I22+ESDE240!I23</f>
        <v>22.5</v>
      </c>
      <c r="L112" s="456">
        <f>ESDE240!J22+ESDE240!J23</f>
        <v>84.509999999999991</v>
      </c>
      <c r="M112" s="456">
        <f>ESDE240!K22+ESDE240!K23</f>
        <v>20.880000000000003</v>
      </c>
      <c r="N112" s="456">
        <f>ESDE240!L22+ESDE240!L23</f>
        <v>102.33</v>
      </c>
      <c r="O112" s="456">
        <f>ESDE240!M22+ESDE240!M23</f>
        <v>20.880000000000003</v>
      </c>
      <c r="P112" s="456">
        <f>ESDE240!N22+ESDE240!N23</f>
        <v>20.880000000000003</v>
      </c>
      <c r="Q112" s="456"/>
      <c r="R112" s="456"/>
      <c r="S112" s="456"/>
      <c r="T112" s="456"/>
      <c r="U112" s="456"/>
      <c r="V112" s="456"/>
      <c r="W112" s="456"/>
      <c r="X112" s="456"/>
      <c r="Y112" s="456"/>
      <c r="Z112" s="456"/>
    </row>
    <row r="113" spans="1:28" outlineLevel="1" x14ac:dyDescent="0.25">
      <c r="A113" s="39" t="str">
        <f t="shared" si="99"/>
        <v>Estar ESDE240 (ГПБ К)</v>
      </c>
      <c r="B113" s="39"/>
      <c r="D113" s="80" t="s">
        <v>63</v>
      </c>
      <c r="E113" s="81"/>
      <c r="F113" s="82"/>
      <c r="G113" s="83" t="e">
        <f>G109/$F137</f>
        <v>#DIV/0!</v>
      </c>
      <c r="H113" s="83" t="e">
        <f t="shared" ref="H113:Z113" si="120">H109/$F137</f>
        <v>#DIV/0!</v>
      </c>
      <c r="I113" s="83" t="e">
        <f t="shared" si="120"/>
        <v>#DIV/0!</v>
      </c>
      <c r="J113" s="83" t="e">
        <f t="shared" si="120"/>
        <v>#DIV/0!</v>
      </c>
      <c r="K113" s="83" t="e">
        <f t="shared" si="120"/>
        <v>#DIV/0!</v>
      </c>
      <c r="L113" s="83" t="e">
        <f t="shared" si="120"/>
        <v>#DIV/0!</v>
      </c>
      <c r="M113" s="83" t="e">
        <f t="shared" si="120"/>
        <v>#DIV/0!</v>
      </c>
      <c r="N113" s="83" t="e">
        <f t="shared" si="120"/>
        <v>#DIV/0!</v>
      </c>
      <c r="O113" s="83" t="e">
        <f t="shared" si="120"/>
        <v>#DIV/0!</v>
      </c>
      <c r="P113" s="83" t="e">
        <f t="shared" si="120"/>
        <v>#DIV/0!</v>
      </c>
      <c r="Q113" s="83" t="e">
        <f t="shared" si="120"/>
        <v>#DIV/0!</v>
      </c>
      <c r="R113" s="83" t="e">
        <f t="shared" si="120"/>
        <v>#DIV/0!</v>
      </c>
      <c r="S113" s="83" t="e">
        <f t="shared" si="120"/>
        <v>#DIV/0!</v>
      </c>
      <c r="T113" s="83" t="e">
        <f t="shared" si="120"/>
        <v>#DIV/0!</v>
      </c>
      <c r="U113" s="83" t="e">
        <f t="shared" si="120"/>
        <v>#DIV/0!</v>
      </c>
      <c r="V113" s="83" t="e">
        <f t="shared" si="120"/>
        <v>#DIV/0!</v>
      </c>
      <c r="W113" s="83" t="e">
        <f t="shared" si="120"/>
        <v>#DIV/0!</v>
      </c>
      <c r="X113" s="83" t="e">
        <f t="shared" si="120"/>
        <v>#DIV/0!</v>
      </c>
      <c r="Y113" s="83" t="e">
        <f t="shared" si="120"/>
        <v>#DIV/0!</v>
      </c>
      <c r="Z113" s="83" t="e">
        <f t="shared" si="120"/>
        <v>#DIV/0!</v>
      </c>
      <c r="AA113" s="84" t="e">
        <f>SUM(F109:Z109)/$F137</f>
        <v>#DIV/0!</v>
      </c>
    </row>
    <row r="114" spans="1:28" outlineLevel="1" x14ac:dyDescent="0.25">
      <c r="A114" s="39" t="str">
        <f t="shared" si="99"/>
        <v>Estar ESDE240 (ГПБ К)</v>
      </c>
      <c r="B114" s="39"/>
      <c r="D114" s="67" t="s">
        <v>39</v>
      </c>
      <c r="E114" s="68" t="str">
        <f>E108</f>
        <v>тыс. руб.</v>
      </c>
      <c r="F114" s="74"/>
      <c r="G114" s="85">
        <f>G116*G117</f>
        <v>22705.184537525285</v>
      </c>
      <c r="H114" s="85">
        <f t="shared" ref="H114:Z114" si="121">H116*H117</f>
        <v>23089.589676960368</v>
      </c>
      <c r="I114" s="85">
        <f t="shared" si="121"/>
        <v>23281.482839074222</v>
      </c>
      <c r="J114" s="85">
        <f t="shared" si="121"/>
        <v>21879.522616998514</v>
      </c>
      <c r="K114" s="85">
        <f t="shared" si="121"/>
        <v>25774.182592124111</v>
      </c>
      <c r="L114" s="85">
        <f t="shared" si="121"/>
        <v>24206.619873312084</v>
      </c>
      <c r="M114" s="85">
        <f t="shared" si="121"/>
        <v>24988.134663835215</v>
      </c>
      <c r="N114" s="85">
        <f t="shared" si="121"/>
        <v>22932.236696769894</v>
      </c>
      <c r="O114" s="85">
        <f t="shared" si="121"/>
        <v>25239.651157448032</v>
      </c>
      <c r="P114" s="85">
        <f t="shared" si="121"/>
        <v>23951.467907527745</v>
      </c>
      <c r="Q114" s="85">
        <f t="shared" si="121"/>
        <v>0</v>
      </c>
      <c r="R114" s="85">
        <f t="shared" si="121"/>
        <v>0</v>
      </c>
      <c r="S114" s="85">
        <f t="shared" si="121"/>
        <v>0</v>
      </c>
      <c r="T114" s="85">
        <f t="shared" si="121"/>
        <v>0</v>
      </c>
      <c r="U114" s="85">
        <f t="shared" si="121"/>
        <v>0</v>
      </c>
      <c r="V114" s="85">
        <f t="shared" si="121"/>
        <v>0</v>
      </c>
      <c r="W114" s="85">
        <f t="shared" si="121"/>
        <v>0</v>
      </c>
      <c r="X114" s="85">
        <f t="shared" si="121"/>
        <v>0</v>
      </c>
      <c r="Y114" s="85">
        <f t="shared" si="121"/>
        <v>0</v>
      </c>
      <c r="Z114" s="85">
        <f t="shared" si="121"/>
        <v>0</v>
      </c>
    </row>
    <row r="115" spans="1:28" outlineLevel="1" x14ac:dyDescent="0.25">
      <c r="A115" s="39" t="str">
        <f t="shared" si="99"/>
        <v>Estar ESDE240 (ГПБ К)</v>
      </c>
      <c r="B115" s="39"/>
      <c r="D115" s="31" t="s">
        <v>64</v>
      </c>
      <c r="E115" s="9" t="s">
        <v>65</v>
      </c>
      <c r="F115" s="86">
        <f>SUMIFS('ФОТ, МТР, макро'!$Z$4:$Z$20,'ФОТ, МТР, макро'!$W$4:$W$20,$A115)</f>
        <v>7.4999999999999997E-2</v>
      </c>
      <c r="G115" s="87">
        <f>F115</f>
        <v>7.4999999999999997E-2</v>
      </c>
      <c r="H115" s="87">
        <f t="shared" ref="H115:Z115" si="122">G115</f>
        <v>7.4999999999999997E-2</v>
      </c>
      <c r="I115" s="87">
        <f t="shared" si="122"/>
        <v>7.4999999999999997E-2</v>
      </c>
      <c r="J115" s="87">
        <f t="shared" si="122"/>
        <v>7.4999999999999997E-2</v>
      </c>
      <c r="K115" s="87">
        <f t="shared" si="122"/>
        <v>7.4999999999999997E-2</v>
      </c>
      <c r="L115" s="87">
        <f t="shared" si="122"/>
        <v>7.4999999999999997E-2</v>
      </c>
      <c r="M115" s="87">
        <f t="shared" si="122"/>
        <v>7.4999999999999997E-2</v>
      </c>
      <c r="N115" s="87">
        <f t="shared" si="122"/>
        <v>7.4999999999999997E-2</v>
      </c>
      <c r="O115" s="87">
        <f t="shared" si="122"/>
        <v>7.4999999999999997E-2</v>
      </c>
      <c r="P115" s="87">
        <f t="shared" si="122"/>
        <v>7.4999999999999997E-2</v>
      </c>
      <c r="Q115" s="87">
        <f t="shared" si="122"/>
        <v>7.4999999999999997E-2</v>
      </c>
      <c r="R115" s="87">
        <f t="shared" si="122"/>
        <v>7.4999999999999997E-2</v>
      </c>
      <c r="S115" s="87">
        <f t="shared" si="122"/>
        <v>7.4999999999999997E-2</v>
      </c>
      <c r="T115" s="87">
        <f t="shared" si="122"/>
        <v>7.4999999999999997E-2</v>
      </c>
      <c r="U115" s="87">
        <f t="shared" si="122"/>
        <v>7.4999999999999997E-2</v>
      </c>
      <c r="V115" s="87">
        <f t="shared" si="122"/>
        <v>7.4999999999999997E-2</v>
      </c>
      <c r="W115" s="87">
        <f t="shared" si="122"/>
        <v>7.4999999999999997E-2</v>
      </c>
      <c r="X115" s="87">
        <f t="shared" si="122"/>
        <v>7.4999999999999997E-2</v>
      </c>
      <c r="Y115" s="87">
        <f t="shared" si="122"/>
        <v>7.4999999999999997E-2</v>
      </c>
      <c r="Z115" s="87">
        <f t="shared" si="122"/>
        <v>7.4999999999999997E-2</v>
      </c>
    </row>
    <row r="116" spans="1:28" outlineLevel="1" x14ac:dyDescent="0.25">
      <c r="A116" s="39" t="str">
        <f t="shared" si="99"/>
        <v>Estar ESDE240 (ГПБ К)</v>
      </c>
      <c r="B116" s="39"/>
      <c r="D116" s="31" t="s">
        <v>66</v>
      </c>
      <c r="E116" s="9" t="s">
        <v>67</v>
      </c>
      <c r="F116" s="74"/>
      <c r="G116" s="78">
        <f>G106*G115</f>
        <v>7.6054548698488409</v>
      </c>
      <c r="H116" s="78">
        <f t="shared" ref="H116:Z116" si="123">H106*H115</f>
        <v>7.7342173529231193</v>
      </c>
      <c r="I116" s="78">
        <f t="shared" si="123"/>
        <v>7.7984949535687988</v>
      </c>
      <c r="J116" s="78">
        <f t="shared" si="123"/>
        <v>7.3288865616749623</v>
      </c>
      <c r="K116" s="78">
        <f t="shared" si="123"/>
        <v>8.6334635240541804</v>
      </c>
      <c r="L116" s="78">
        <f t="shared" si="123"/>
        <v>8.1083839989845359</v>
      </c>
      <c r="M116" s="78">
        <f t="shared" si="123"/>
        <v>8.3701645390025945</v>
      </c>
      <c r="N116" s="78">
        <f t="shared" si="123"/>
        <v>7.6815095236827542</v>
      </c>
      <c r="O116" s="78">
        <f t="shared" si="123"/>
        <v>8.45441390231578</v>
      </c>
      <c r="P116" s="78">
        <f t="shared" si="123"/>
        <v>8.022916877696936</v>
      </c>
      <c r="Q116" s="78">
        <f t="shared" si="123"/>
        <v>0</v>
      </c>
      <c r="R116" s="78">
        <f t="shared" si="123"/>
        <v>0</v>
      </c>
      <c r="S116" s="78">
        <f t="shared" si="123"/>
        <v>0</v>
      </c>
      <c r="T116" s="78">
        <f t="shared" si="123"/>
        <v>0</v>
      </c>
      <c r="U116" s="78">
        <f t="shared" si="123"/>
        <v>0</v>
      </c>
      <c r="V116" s="78">
        <f t="shared" si="123"/>
        <v>0</v>
      </c>
      <c r="W116" s="78">
        <f t="shared" si="123"/>
        <v>0</v>
      </c>
      <c r="X116" s="78">
        <f t="shared" si="123"/>
        <v>0</v>
      </c>
      <c r="Y116" s="78">
        <f t="shared" si="123"/>
        <v>0</v>
      </c>
      <c r="Z116" s="78">
        <f t="shared" si="123"/>
        <v>0</v>
      </c>
      <c r="AA116" s="88">
        <f>SUM(F106:Z106)*F115-SUM(F116:Z116)</f>
        <v>0</v>
      </c>
    </row>
    <row r="117" spans="1:28" outlineLevel="1" x14ac:dyDescent="0.25">
      <c r="A117" s="39" t="str">
        <f t="shared" si="99"/>
        <v>Estar ESDE240 (ГПБ К)</v>
      </c>
      <c r="B117" s="39"/>
      <c r="D117" s="31" t="s">
        <v>68</v>
      </c>
      <c r="E117" s="9" t="s">
        <v>69</v>
      </c>
      <c r="F117" s="78">
        <f>SUMIFS('ФОТ, МТР, макро'!$AA$4:$AA$20,'ФОТ, МТР, макро'!$W$4:$W$20,$A117)</f>
        <v>2985.3815355000002</v>
      </c>
      <c r="G117" s="89">
        <f>F117</f>
        <v>2985.3815355000002</v>
      </c>
      <c r="H117" s="89">
        <f t="shared" ref="H117:Z117" si="124">G117</f>
        <v>2985.3815355000002</v>
      </c>
      <c r="I117" s="89">
        <f t="shared" si="124"/>
        <v>2985.3815355000002</v>
      </c>
      <c r="J117" s="89">
        <f t="shared" si="124"/>
        <v>2985.3815355000002</v>
      </c>
      <c r="K117" s="89">
        <f t="shared" si="124"/>
        <v>2985.3815355000002</v>
      </c>
      <c r="L117" s="89">
        <f t="shared" si="124"/>
        <v>2985.3815355000002</v>
      </c>
      <c r="M117" s="89">
        <f t="shared" si="124"/>
        <v>2985.3815355000002</v>
      </c>
      <c r="N117" s="89">
        <f t="shared" si="124"/>
        <v>2985.3815355000002</v>
      </c>
      <c r="O117" s="89">
        <f t="shared" si="124"/>
        <v>2985.3815355000002</v>
      </c>
      <c r="P117" s="89">
        <f t="shared" si="124"/>
        <v>2985.3815355000002</v>
      </c>
      <c r="Q117" s="89">
        <f t="shared" si="124"/>
        <v>2985.3815355000002</v>
      </c>
      <c r="R117" s="89">
        <f t="shared" si="124"/>
        <v>2985.3815355000002</v>
      </c>
      <c r="S117" s="89">
        <f t="shared" si="124"/>
        <v>2985.3815355000002</v>
      </c>
      <c r="T117" s="89">
        <f t="shared" si="124"/>
        <v>2985.3815355000002</v>
      </c>
      <c r="U117" s="89">
        <f t="shared" si="124"/>
        <v>2985.3815355000002</v>
      </c>
      <c r="V117" s="89">
        <f t="shared" si="124"/>
        <v>2985.3815355000002</v>
      </c>
      <c r="W117" s="89">
        <f t="shared" si="124"/>
        <v>2985.3815355000002</v>
      </c>
      <c r="X117" s="89">
        <f t="shared" si="124"/>
        <v>2985.3815355000002</v>
      </c>
      <c r="Y117" s="89">
        <f t="shared" si="124"/>
        <v>2985.3815355000002</v>
      </c>
      <c r="Z117" s="89">
        <f t="shared" si="124"/>
        <v>2985.3815355000002</v>
      </c>
    </row>
    <row r="118" spans="1:28" outlineLevel="1" x14ac:dyDescent="0.25">
      <c r="A118" s="39" t="str">
        <f t="shared" si="99"/>
        <v>Estar ESDE240 (ГПБ К)</v>
      </c>
      <c r="B118" s="39"/>
      <c r="D118" s="67" t="s">
        <v>70</v>
      </c>
      <c r="E118" s="68" t="str">
        <f>E108</f>
        <v>тыс. руб.</v>
      </c>
      <c r="F118" s="89"/>
      <c r="G118" s="85">
        <f>G121*G122</f>
        <v>62647.2714799756</v>
      </c>
      <c r="H118" s="85">
        <f t="shared" ref="H118:Z118" si="125">H121*H122</f>
        <v>63707.907348787259</v>
      </c>
      <c r="I118" s="85">
        <f t="shared" si="125"/>
        <v>64237.371577639009</v>
      </c>
      <c r="J118" s="85">
        <f t="shared" si="125"/>
        <v>60369.136880345679</v>
      </c>
      <c r="K118" s="85">
        <f t="shared" si="125"/>
        <v>71115.13281711693</v>
      </c>
      <c r="L118" s="85">
        <f t="shared" si="125"/>
        <v>66789.974083216162</v>
      </c>
      <c r="M118" s="85">
        <f t="shared" si="125"/>
        <v>68946.299620522535</v>
      </c>
      <c r="N118" s="85">
        <f t="shared" si="125"/>
        <v>63273.745060791611</v>
      </c>
      <c r="O118" s="85">
        <f t="shared" si="125"/>
        <v>69640.274251339215</v>
      </c>
      <c r="P118" s="85">
        <f t="shared" si="125"/>
        <v>66085.96859747688</v>
      </c>
      <c r="Q118" s="85">
        <f t="shared" si="125"/>
        <v>0</v>
      </c>
      <c r="R118" s="85">
        <f t="shared" si="125"/>
        <v>0</v>
      </c>
      <c r="S118" s="85">
        <f t="shared" si="125"/>
        <v>0</v>
      </c>
      <c r="T118" s="85">
        <f t="shared" si="125"/>
        <v>0</v>
      </c>
      <c r="U118" s="85">
        <f t="shared" si="125"/>
        <v>0</v>
      </c>
      <c r="V118" s="85">
        <f t="shared" si="125"/>
        <v>0</v>
      </c>
      <c r="W118" s="85">
        <f t="shared" si="125"/>
        <v>0</v>
      </c>
      <c r="X118" s="85">
        <f t="shared" si="125"/>
        <v>0</v>
      </c>
      <c r="Y118" s="85">
        <f t="shared" si="125"/>
        <v>0</v>
      </c>
      <c r="Z118" s="85">
        <f t="shared" si="125"/>
        <v>0</v>
      </c>
    </row>
    <row r="119" spans="1:28" outlineLevel="1" x14ac:dyDescent="0.25">
      <c r="A119" s="39" t="str">
        <f t="shared" si="99"/>
        <v>Estar ESDE240 (ГПБ К)</v>
      </c>
      <c r="B119" s="39"/>
      <c r="D119" s="31" t="s">
        <v>64</v>
      </c>
      <c r="E119" s="77" t="str">
        <f>VLOOKUP($A119,'ФОТ, МТР, макро'!$N$4:$Q$20,4,FALSE)</f>
        <v>г/ткм</v>
      </c>
      <c r="F119" s="90">
        <f>IF($E119="г/ткм",SUMIFS('ФОТ, МТР, макро'!$O$4:$O$20,'ФОТ, МТР, макро'!$N$4:$N$20,$A119),SUMIFS('ФОТ, МТР, макро'!$P$4:$P$20,'ФОТ, МТР, макро'!$N$4:$N$20,$A119))</f>
        <v>90</v>
      </c>
      <c r="G119" s="91">
        <f>F119</f>
        <v>90</v>
      </c>
      <c r="H119" s="91">
        <f t="shared" ref="H119:Z119" si="126">G119</f>
        <v>90</v>
      </c>
      <c r="I119" s="91">
        <f t="shared" si="126"/>
        <v>90</v>
      </c>
      <c r="J119" s="91">
        <f t="shared" si="126"/>
        <v>90</v>
      </c>
      <c r="K119" s="91">
        <f t="shared" si="126"/>
        <v>90</v>
      </c>
      <c r="L119" s="91">
        <f t="shared" si="126"/>
        <v>90</v>
      </c>
      <c r="M119" s="91">
        <f t="shared" si="126"/>
        <v>90</v>
      </c>
      <c r="N119" s="91">
        <f t="shared" si="126"/>
        <v>90</v>
      </c>
      <c r="O119" s="91">
        <f t="shared" si="126"/>
        <v>90</v>
      </c>
      <c r="P119" s="91">
        <f t="shared" si="126"/>
        <v>90</v>
      </c>
      <c r="Q119" s="91">
        <f t="shared" si="126"/>
        <v>90</v>
      </c>
      <c r="R119" s="91">
        <f t="shared" si="126"/>
        <v>90</v>
      </c>
      <c r="S119" s="91">
        <f t="shared" si="126"/>
        <v>90</v>
      </c>
      <c r="T119" s="91">
        <f t="shared" si="126"/>
        <v>90</v>
      </c>
      <c r="U119" s="91">
        <f t="shared" si="126"/>
        <v>90</v>
      </c>
      <c r="V119" s="91">
        <f t="shared" si="126"/>
        <v>90</v>
      </c>
      <c r="W119" s="91">
        <f t="shared" si="126"/>
        <v>90</v>
      </c>
      <c r="X119" s="91">
        <f t="shared" si="126"/>
        <v>90</v>
      </c>
      <c r="Y119" s="91">
        <f t="shared" si="126"/>
        <v>90</v>
      </c>
      <c r="Z119" s="91">
        <f t="shared" si="126"/>
        <v>90</v>
      </c>
    </row>
    <row r="120" spans="1:28" outlineLevel="1" x14ac:dyDescent="0.25">
      <c r="A120" s="39" t="str">
        <f t="shared" si="99"/>
        <v>Estar ESDE240 (ГПБ К)</v>
      </c>
      <c r="B120" s="39"/>
      <c r="D120" s="93" t="s">
        <v>71</v>
      </c>
      <c r="E120" s="94" t="str">
        <f>IF(E119='ФОТ, МТР, макро'!$O$4,'ФОТ, МТР, макро'!$P$4,'ФОТ, МТР, макро'!$O$4)</f>
        <v>л/час</v>
      </c>
      <c r="F120" s="95"/>
      <c r="G120" s="96">
        <f>IF($E119="г/ткм",G121*1000/(365*24*G102),G121/G104*1000)</f>
        <v>138.52391815794624</v>
      </c>
      <c r="H120" s="96">
        <f t="shared" ref="H120:Z120" si="127">IF($E119="г/ткм",H121*1000/(365*24*H102),H121/H104*1000)</f>
        <v>143.31178314758648</v>
      </c>
      <c r="I120" s="96">
        <f t="shared" si="127"/>
        <v>151.36638478638997</v>
      </c>
      <c r="J120" s="96">
        <f t="shared" si="127"/>
        <v>149.85489591992055</v>
      </c>
      <c r="K120" s="96">
        <f t="shared" si="127"/>
        <v>158.27936240547794</v>
      </c>
      <c r="L120" s="96">
        <f t="shared" si="127"/>
        <v>162.48066820457143</v>
      </c>
      <c r="M120" s="96">
        <f t="shared" si="127"/>
        <v>155.02237651818297</v>
      </c>
      <c r="N120" s="96">
        <f t="shared" si="127"/>
        <v>155.99056985342685</v>
      </c>
      <c r="O120" s="96">
        <f t="shared" si="127"/>
        <v>162.67229896350352</v>
      </c>
      <c r="P120" s="96">
        <f t="shared" si="127"/>
        <v>158.47867630591395</v>
      </c>
      <c r="Q120" s="96" t="e">
        <f t="shared" si="127"/>
        <v>#DIV/0!</v>
      </c>
      <c r="R120" s="96" t="e">
        <f t="shared" si="127"/>
        <v>#DIV/0!</v>
      </c>
      <c r="S120" s="96" t="e">
        <f t="shared" si="127"/>
        <v>#DIV/0!</v>
      </c>
      <c r="T120" s="96" t="e">
        <f t="shared" si="127"/>
        <v>#DIV/0!</v>
      </c>
      <c r="U120" s="96" t="e">
        <f t="shared" si="127"/>
        <v>#DIV/0!</v>
      </c>
      <c r="V120" s="96" t="e">
        <f t="shared" si="127"/>
        <v>#DIV/0!</v>
      </c>
      <c r="W120" s="96" t="e">
        <f t="shared" si="127"/>
        <v>#DIV/0!</v>
      </c>
      <c r="X120" s="96" t="e">
        <f t="shared" si="127"/>
        <v>#DIV/0!</v>
      </c>
      <c r="Y120" s="96" t="e">
        <f t="shared" si="127"/>
        <v>#DIV/0!</v>
      </c>
      <c r="Z120" s="96" t="e">
        <f t="shared" si="127"/>
        <v>#DIV/0!</v>
      </c>
    </row>
    <row r="121" spans="1:28" outlineLevel="1" x14ac:dyDescent="0.25">
      <c r="A121" s="39" t="str">
        <f t="shared" si="99"/>
        <v>Estar ESDE240 (ГПБ К)</v>
      </c>
      <c r="B121" s="39"/>
      <c r="D121" s="31" t="s">
        <v>66</v>
      </c>
      <c r="E121" s="9" t="s">
        <v>11</v>
      </c>
      <c r="F121" s="89"/>
      <c r="G121" s="78">
        <f>IF($E119="г/ткм",G104*G119/1000,365*24*G102*G119*0.85/1000)</f>
        <v>948.92906406893826</v>
      </c>
      <c r="H121" s="78">
        <f t="shared" ref="H121:Z121" si="128">IF($E119="г/ткм",H104*H119/1000,365*24*H102*H119*0.85/1000)</f>
        <v>964.99469914821066</v>
      </c>
      <c r="I121" s="78">
        <f t="shared" si="128"/>
        <v>973.01458546206015</v>
      </c>
      <c r="J121" s="78">
        <f t="shared" si="128"/>
        <v>914.42176498982553</v>
      </c>
      <c r="K121" s="78">
        <f t="shared" si="128"/>
        <v>1077.1932253562736</v>
      </c>
      <c r="L121" s="78">
        <f t="shared" si="128"/>
        <v>1011.6792974173381</v>
      </c>
      <c r="M121" s="78">
        <f t="shared" si="128"/>
        <v>1044.341533546778</v>
      </c>
      <c r="N121" s="78">
        <f t="shared" si="128"/>
        <v>958.41836782732582</v>
      </c>
      <c r="O121" s="78">
        <f t="shared" si="128"/>
        <v>1054.8532873925772</v>
      </c>
      <c r="P121" s="78">
        <f t="shared" si="128"/>
        <v>1001.0156044758904</v>
      </c>
      <c r="Q121" s="78">
        <f t="shared" si="128"/>
        <v>0</v>
      </c>
      <c r="R121" s="78">
        <f t="shared" si="128"/>
        <v>0</v>
      </c>
      <c r="S121" s="78">
        <f t="shared" si="128"/>
        <v>0</v>
      </c>
      <c r="T121" s="78">
        <f t="shared" si="128"/>
        <v>0</v>
      </c>
      <c r="U121" s="78">
        <f t="shared" si="128"/>
        <v>0</v>
      </c>
      <c r="V121" s="78">
        <f t="shared" si="128"/>
        <v>0</v>
      </c>
      <c r="W121" s="78">
        <f t="shared" si="128"/>
        <v>0</v>
      </c>
      <c r="X121" s="78">
        <f t="shared" si="128"/>
        <v>0</v>
      </c>
      <c r="Y121" s="78">
        <f t="shared" si="128"/>
        <v>0</v>
      </c>
      <c r="Z121" s="78">
        <f t="shared" si="128"/>
        <v>0</v>
      </c>
    </row>
    <row r="122" spans="1:28" outlineLevel="1" x14ac:dyDescent="0.25">
      <c r="A122" s="39" t="str">
        <f t="shared" si="99"/>
        <v>Estar ESDE240 (ГПБ К)</v>
      </c>
      <c r="B122" s="39"/>
      <c r="D122" s="31" t="s">
        <v>68</v>
      </c>
      <c r="E122" s="9" t="s">
        <v>72</v>
      </c>
      <c r="F122" s="78">
        <f>'ФОТ, МТР, макро'!$G$2</f>
        <v>66.018919487352079</v>
      </c>
      <c r="G122" s="89">
        <f>F122</f>
        <v>66.018919487352079</v>
      </c>
      <c r="H122" s="89">
        <f t="shared" ref="H122:Z122" si="129">G122</f>
        <v>66.018919487352079</v>
      </c>
      <c r="I122" s="89">
        <f t="shared" si="129"/>
        <v>66.018919487352079</v>
      </c>
      <c r="J122" s="89">
        <f t="shared" si="129"/>
        <v>66.018919487352079</v>
      </c>
      <c r="K122" s="89">
        <f t="shared" si="129"/>
        <v>66.018919487352079</v>
      </c>
      <c r="L122" s="89">
        <f t="shared" si="129"/>
        <v>66.018919487352079</v>
      </c>
      <c r="M122" s="89">
        <f t="shared" si="129"/>
        <v>66.018919487352079</v>
      </c>
      <c r="N122" s="89">
        <f t="shared" si="129"/>
        <v>66.018919487352079</v>
      </c>
      <c r="O122" s="89">
        <f t="shared" si="129"/>
        <v>66.018919487352079</v>
      </c>
      <c r="P122" s="89">
        <f t="shared" si="129"/>
        <v>66.018919487352079</v>
      </c>
      <c r="Q122" s="89">
        <f t="shared" si="129"/>
        <v>66.018919487352079</v>
      </c>
      <c r="R122" s="89">
        <f t="shared" si="129"/>
        <v>66.018919487352079</v>
      </c>
      <c r="S122" s="89">
        <f t="shared" si="129"/>
        <v>66.018919487352079</v>
      </c>
      <c r="T122" s="89">
        <f t="shared" si="129"/>
        <v>66.018919487352079</v>
      </c>
      <c r="U122" s="89">
        <f t="shared" si="129"/>
        <v>66.018919487352079</v>
      </c>
      <c r="V122" s="89">
        <f t="shared" si="129"/>
        <v>66.018919487352079</v>
      </c>
      <c r="W122" s="89">
        <f t="shared" si="129"/>
        <v>66.018919487352079</v>
      </c>
      <c r="X122" s="89">
        <f t="shared" si="129"/>
        <v>66.018919487352079</v>
      </c>
      <c r="Y122" s="89">
        <f t="shared" si="129"/>
        <v>66.018919487352079</v>
      </c>
      <c r="Z122" s="89">
        <f t="shared" si="129"/>
        <v>66.018919487352079</v>
      </c>
      <c r="AB122" s="92"/>
    </row>
    <row r="123" spans="1:28" outlineLevel="1" x14ac:dyDescent="0.25">
      <c r="A123" s="39" t="str">
        <f t="shared" si="99"/>
        <v>Estar ESDE240 (ГПБ К)</v>
      </c>
      <c r="B123" s="39"/>
      <c r="C123" s="619" t="str">
        <f>C109</f>
        <v>ТО, ТР, ППР</v>
      </c>
      <c r="D123" s="218" t="s">
        <v>73</v>
      </c>
      <c r="E123" s="68" t="str">
        <f>E108</f>
        <v>тыс. руб.</v>
      </c>
      <c r="F123" s="30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8" outlineLevel="1" x14ac:dyDescent="0.25">
      <c r="A124" s="39" t="str">
        <f t="shared" si="99"/>
        <v>Estar ESDE240 (ГПБ К)</v>
      </c>
      <c r="B124" s="39"/>
      <c r="D124" s="67"/>
      <c r="E124" s="68"/>
      <c r="F124" s="30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8" outlineLevel="1" x14ac:dyDescent="0.25">
      <c r="A125" s="39" t="str">
        <f t="shared" si="99"/>
        <v>Estar ESDE240 (ГПБ К)</v>
      </c>
      <c r="B125" s="39"/>
      <c r="D125" s="67" t="s">
        <v>74</v>
      </c>
      <c r="E125" s="68" t="str">
        <f>E108</f>
        <v>тыс. руб.</v>
      </c>
      <c r="F125" s="74"/>
      <c r="G125" s="85">
        <f>G126+G127+G128</f>
        <v>18475.596240662097</v>
      </c>
      <c r="H125" s="85">
        <f t="shared" ref="H125:Z125" si="130">H126+H127+H128</f>
        <v>18475.596240662097</v>
      </c>
      <c r="I125" s="85">
        <f t="shared" si="130"/>
        <v>18475.596240662097</v>
      </c>
      <c r="J125" s="85">
        <f t="shared" si="130"/>
        <v>18475.596240662097</v>
      </c>
      <c r="K125" s="85">
        <f t="shared" si="130"/>
        <v>18475.596240662097</v>
      </c>
      <c r="L125" s="85">
        <f t="shared" si="130"/>
        <v>18475.596240662097</v>
      </c>
      <c r="M125" s="85">
        <f t="shared" si="130"/>
        <v>18475.596240662097</v>
      </c>
      <c r="N125" s="85">
        <f t="shared" si="130"/>
        <v>18475.596240662097</v>
      </c>
      <c r="O125" s="85">
        <f t="shared" si="130"/>
        <v>18475.596240662097</v>
      </c>
      <c r="P125" s="85">
        <f t="shared" si="130"/>
        <v>18475.596240662097</v>
      </c>
      <c r="Q125" s="85">
        <f t="shared" si="130"/>
        <v>0</v>
      </c>
      <c r="R125" s="85">
        <f t="shared" si="130"/>
        <v>0</v>
      </c>
      <c r="S125" s="85">
        <f t="shared" si="130"/>
        <v>0</v>
      </c>
      <c r="T125" s="85">
        <f t="shared" si="130"/>
        <v>0</v>
      </c>
      <c r="U125" s="85">
        <f t="shared" si="130"/>
        <v>0</v>
      </c>
      <c r="V125" s="85">
        <f t="shared" si="130"/>
        <v>0</v>
      </c>
      <c r="W125" s="85">
        <f t="shared" si="130"/>
        <v>0</v>
      </c>
      <c r="X125" s="85">
        <f t="shared" si="130"/>
        <v>0</v>
      </c>
      <c r="Y125" s="85">
        <f t="shared" si="130"/>
        <v>0</v>
      </c>
      <c r="Z125" s="85">
        <f t="shared" si="130"/>
        <v>0</v>
      </c>
    </row>
    <row r="126" spans="1:28" outlineLevel="1" x14ac:dyDescent="0.25">
      <c r="A126" s="39" t="str">
        <f t="shared" si="99"/>
        <v>Estar ESDE240 (ГПБ К)</v>
      </c>
      <c r="B126" s="39"/>
      <c r="D126" s="31" t="s">
        <v>257</v>
      </c>
      <c r="E126" s="9" t="str">
        <f>E125</f>
        <v>тыс. руб.</v>
      </c>
      <c r="F126" s="78">
        <f>'ФОТ, МТР, макро'!$B$4*'ФОТ, МТР, макро'!$B$7</f>
        <v>11107.5</v>
      </c>
      <c r="G126" s="89">
        <f>IF(G103=0,0,$F126)</f>
        <v>11107.5</v>
      </c>
      <c r="H126" s="89">
        <f t="shared" ref="H126:Z126" si="131">IF(H103=0,0,$F126)</f>
        <v>11107.5</v>
      </c>
      <c r="I126" s="89">
        <f t="shared" si="131"/>
        <v>11107.5</v>
      </c>
      <c r="J126" s="89">
        <f t="shared" si="131"/>
        <v>11107.5</v>
      </c>
      <c r="K126" s="89">
        <f t="shared" si="131"/>
        <v>11107.5</v>
      </c>
      <c r="L126" s="89">
        <f t="shared" si="131"/>
        <v>11107.5</v>
      </c>
      <c r="M126" s="89">
        <f t="shared" si="131"/>
        <v>11107.5</v>
      </c>
      <c r="N126" s="89">
        <f t="shared" si="131"/>
        <v>11107.5</v>
      </c>
      <c r="O126" s="89">
        <f t="shared" si="131"/>
        <v>11107.5</v>
      </c>
      <c r="P126" s="89">
        <f t="shared" si="131"/>
        <v>11107.5</v>
      </c>
      <c r="Q126" s="89">
        <f t="shared" si="131"/>
        <v>0</v>
      </c>
      <c r="R126" s="89">
        <f t="shared" si="131"/>
        <v>0</v>
      </c>
      <c r="S126" s="89">
        <f t="shared" si="131"/>
        <v>0</v>
      </c>
      <c r="T126" s="89">
        <f t="shared" si="131"/>
        <v>0</v>
      </c>
      <c r="U126" s="89">
        <f t="shared" si="131"/>
        <v>0</v>
      </c>
      <c r="V126" s="89">
        <f t="shared" si="131"/>
        <v>0</v>
      </c>
      <c r="W126" s="89">
        <f t="shared" si="131"/>
        <v>0</v>
      </c>
      <c r="X126" s="89">
        <f t="shared" si="131"/>
        <v>0</v>
      </c>
      <c r="Y126" s="89">
        <f t="shared" si="131"/>
        <v>0</v>
      </c>
      <c r="Z126" s="89">
        <f t="shared" si="131"/>
        <v>0</v>
      </c>
    </row>
    <row r="127" spans="1:28" outlineLevel="1" x14ac:dyDescent="0.25">
      <c r="A127" s="39" t="str">
        <f t="shared" si="99"/>
        <v>Estar ESDE240 (ГПБ К)</v>
      </c>
      <c r="B127" s="39"/>
      <c r="D127" s="31" t="s">
        <v>75</v>
      </c>
      <c r="E127" s="9" t="str">
        <f>E125</f>
        <v>тыс. руб.</v>
      </c>
      <c r="F127" s="97">
        <f>'ФОТ, МТР, макро'!$B$5</f>
        <v>0.377</v>
      </c>
      <c r="G127" s="89">
        <f>G126*$F127</f>
        <v>4187.5275000000001</v>
      </c>
      <c r="H127" s="89">
        <f t="shared" ref="H127:Z127" si="132">H126*$F127</f>
        <v>4187.5275000000001</v>
      </c>
      <c r="I127" s="89">
        <f t="shared" si="132"/>
        <v>4187.5275000000001</v>
      </c>
      <c r="J127" s="89">
        <f t="shared" si="132"/>
        <v>4187.5275000000001</v>
      </c>
      <c r="K127" s="89">
        <f t="shared" si="132"/>
        <v>4187.5275000000001</v>
      </c>
      <c r="L127" s="89">
        <f t="shared" si="132"/>
        <v>4187.5275000000001</v>
      </c>
      <c r="M127" s="89">
        <f t="shared" si="132"/>
        <v>4187.5275000000001</v>
      </c>
      <c r="N127" s="89">
        <f t="shared" si="132"/>
        <v>4187.5275000000001</v>
      </c>
      <c r="O127" s="89">
        <f t="shared" si="132"/>
        <v>4187.5275000000001</v>
      </c>
      <c r="P127" s="89">
        <f t="shared" si="132"/>
        <v>4187.5275000000001</v>
      </c>
      <c r="Q127" s="89">
        <f t="shared" si="132"/>
        <v>0</v>
      </c>
      <c r="R127" s="89">
        <f t="shared" si="132"/>
        <v>0</v>
      </c>
      <c r="S127" s="89">
        <f t="shared" si="132"/>
        <v>0</v>
      </c>
      <c r="T127" s="89">
        <f t="shared" si="132"/>
        <v>0</v>
      </c>
      <c r="U127" s="89">
        <f t="shared" si="132"/>
        <v>0</v>
      </c>
      <c r="V127" s="89">
        <f t="shared" si="132"/>
        <v>0</v>
      </c>
      <c r="W127" s="89">
        <f t="shared" si="132"/>
        <v>0</v>
      </c>
      <c r="X127" s="89">
        <f t="shared" si="132"/>
        <v>0</v>
      </c>
      <c r="Y127" s="89">
        <f t="shared" si="132"/>
        <v>0</v>
      </c>
      <c r="Z127" s="89">
        <f t="shared" si="132"/>
        <v>0</v>
      </c>
    </row>
    <row r="128" spans="1:28" outlineLevel="1" x14ac:dyDescent="0.25">
      <c r="A128" s="39" t="str">
        <f t="shared" si="99"/>
        <v>Estar ESDE240 (ГПБ К)</v>
      </c>
      <c r="B128" s="39"/>
      <c r="D128" s="31" t="s">
        <v>76</v>
      </c>
      <c r="E128" s="9"/>
      <c r="F128" s="78">
        <f>'ФОТ, МТР, макро'!$C$13*'ФОТ, МТР, макро'!$B$7</f>
        <v>3180.5687406620973</v>
      </c>
      <c r="G128" s="89">
        <f>IF(G103=0,0,$F128)</f>
        <v>3180.5687406620973</v>
      </c>
      <c r="H128" s="89">
        <f t="shared" ref="H128:Z128" si="133">IF(H103=0,0,$F128)</f>
        <v>3180.5687406620973</v>
      </c>
      <c r="I128" s="89">
        <f t="shared" si="133"/>
        <v>3180.5687406620973</v>
      </c>
      <c r="J128" s="89">
        <f t="shared" si="133"/>
        <v>3180.5687406620973</v>
      </c>
      <c r="K128" s="89">
        <f t="shared" si="133"/>
        <v>3180.5687406620973</v>
      </c>
      <c r="L128" s="89">
        <f t="shared" si="133"/>
        <v>3180.5687406620973</v>
      </c>
      <c r="M128" s="89">
        <f t="shared" si="133"/>
        <v>3180.5687406620973</v>
      </c>
      <c r="N128" s="89">
        <f t="shared" si="133"/>
        <v>3180.5687406620973</v>
      </c>
      <c r="O128" s="89">
        <f t="shared" si="133"/>
        <v>3180.5687406620973</v>
      </c>
      <c r="P128" s="89">
        <f t="shared" si="133"/>
        <v>3180.5687406620973</v>
      </c>
      <c r="Q128" s="89">
        <f t="shared" si="133"/>
        <v>0</v>
      </c>
      <c r="R128" s="89">
        <f t="shared" si="133"/>
        <v>0</v>
      </c>
      <c r="S128" s="89">
        <f t="shared" si="133"/>
        <v>0</v>
      </c>
      <c r="T128" s="89">
        <f t="shared" si="133"/>
        <v>0</v>
      </c>
      <c r="U128" s="89">
        <f t="shared" si="133"/>
        <v>0</v>
      </c>
      <c r="V128" s="89">
        <f t="shared" si="133"/>
        <v>0</v>
      </c>
      <c r="W128" s="89">
        <f t="shared" si="133"/>
        <v>0</v>
      </c>
      <c r="X128" s="89">
        <f t="shared" si="133"/>
        <v>0</v>
      </c>
      <c r="Y128" s="89">
        <f t="shared" si="133"/>
        <v>0</v>
      </c>
      <c r="Z128" s="89">
        <f t="shared" si="133"/>
        <v>0</v>
      </c>
    </row>
    <row r="129" spans="1:28" outlineLevel="1" x14ac:dyDescent="0.25">
      <c r="A129" s="39" t="str">
        <f t="shared" si="99"/>
        <v>Estar ESDE240 (ГПБ К)</v>
      </c>
      <c r="B129" s="39"/>
      <c r="D129" s="98" t="s">
        <v>77</v>
      </c>
      <c r="E129" s="68" t="str">
        <f>E108</f>
        <v>тыс. руб.</v>
      </c>
      <c r="F129" s="74"/>
      <c r="G129" s="85">
        <f>IF(G103=0,0,G130*G131/1000)</f>
        <v>158.44</v>
      </c>
      <c r="H129" s="85">
        <f t="shared" ref="H129:Z129" si="134">IF(H103=0,0,H130*H131/1000)</f>
        <v>158.44</v>
      </c>
      <c r="I129" s="85">
        <f t="shared" si="134"/>
        <v>158.44</v>
      </c>
      <c r="J129" s="85">
        <f t="shared" si="134"/>
        <v>158.44</v>
      </c>
      <c r="K129" s="85">
        <f t="shared" si="134"/>
        <v>158.44</v>
      </c>
      <c r="L129" s="85">
        <f t="shared" si="134"/>
        <v>158.44</v>
      </c>
      <c r="M129" s="85">
        <f t="shared" si="134"/>
        <v>158.44</v>
      </c>
      <c r="N129" s="85">
        <f t="shared" si="134"/>
        <v>158.44</v>
      </c>
      <c r="O129" s="85">
        <f t="shared" si="134"/>
        <v>158.44</v>
      </c>
      <c r="P129" s="85">
        <f t="shared" si="134"/>
        <v>158.44</v>
      </c>
      <c r="Q129" s="85">
        <f t="shared" si="134"/>
        <v>0</v>
      </c>
      <c r="R129" s="85">
        <f t="shared" si="134"/>
        <v>0</v>
      </c>
      <c r="S129" s="85">
        <f t="shared" si="134"/>
        <v>0</v>
      </c>
      <c r="T129" s="85">
        <f t="shared" si="134"/>
        <v>0</v>
      </c>
      <c r="U129" s="85">
        <f t="shared" si="134"/>
        <v>0</v>
      </c>
      <c r="V129" s="85">
        <f t="shared" si="134"/>
        <v>0</v>
      </c>
      <c r="W129" s="85">
        <f t="shared" si="134"/>
        <v>0</v>
      </c>
      <c r="X129" s="85">
        <f t="shared" si="134"/>
        <v>0</v>
      </c>
      <c r="Y129" s="85">
        <f t="shared" si="134"/>
        <v>0</v>
      </c>
      <c r="Z129" s="85">
        <f t="shared" si="134"/>
        <v>0</v>
      </c>
    </row>
    <row r="130" spans="1:28" outlineLevel="1" x14ac:dyDescent="0.25">
      <c r="A130" s="39" t="str">
        <f t="shared" si="99"/>
        <v>Estar ESDE240 (ГПБ К)</v>
      </c>
      <c r="B130" s="39"/>
      <c r="D130" s="31" t="s">
        <v>78</v>
      </c>
      <c r="E130" s="9" t="s">
        <v>13</v>
      </c>
      <c r="F130" s="78">
        <f>SUMIFS('ФОТ, МТР, макро'!$AC$4:$AC$20,'ФОТ, МТР, макро'!$W$4:$W$20,$A130)</f>
        <v>1864</v>
      </c>
      <c r="G130" s="89">
        <f>F130</f>
        <v>1864</v>
      </c>
      <c r="H130" s="89">
        <f t="shared" ref="H130:Z130" si="135">G130</f>
        <v>1864</v>
      </c>
      <c r="I130" s="89">
        <f t="shared" si="135"/>
        <v>1864</v>
      </c>
      <c r="J130" s="89">
        <f t="shared" si="135"/>
        <v>1864</v>
      </c>
      <c r="K130" s="89">
        <f t="shared" si="135"/>
        <v>1864</v>
      </c>
      <c r="L130" s="89">
        <f t="shared" si="135"/>
        <v>1864</v>
      </c>
      <c r="M130" s="89">
        <f t="shared" si="135"/>
        <v>1864</v>
      </c>
      <c r="N130" s="89">
        <f t="shared" si="135"/>
        <v>1864</v>
      </c>
      <c r="O130" s="89">
        <f t="shared" si="135"/>
        <v>1864</v>
      </c>
      <c r="P130" s="89">
        <f t="shared" si="135"/>
        <v>1864</v>
      </c>
      <c r="Q130" s="89">
        <f t="shared" si="135"/>
        <v>1864</v>
      </c>
      <c r="R130" s="89">
        <f t="shared" si="135"/>
        <v>1864</v>
      </c>
      <c r="S130" s="89">
        <f t="shared" si="135"/>
        <v>1864</v>
      </c>
      <c r="T130" s="89">
        <f t="shared" si="135"/>
        <v>1864</v>
      </c>
      <c r="U130" s="89">
        <f t="shared" si="135"/>
        <v>1864</v>
      </c>
      <c r="V130" s="89">
        <f t="shared" si="135"/>
        <v>1864</v>
      </c>
      <c r="W130" s="89">
        <f t="shared" si="135"/>
        <v>1864</v>
      </c>
      <c r="X130" s="89">
        <f t="shared" si="135"/>
        <v>1864</v>
      </c>
      <c r="Y130" s="89">
        <f t="shared" si="135"/>
        <v>1864</v>
      </c>
      <c r="Z130" s="89">
        <f t="shared" si="135"/>
        <v>1864</v>
      </c>
    </row>
    <row r="131" spans="1:28" outlineLevel="1" x14ac:dyDescent="0.25">
      <c r="A131" s="39" t="str">
        <f t="shared" si="99"/>
        <v>Estar ESDE240 (ГПБ К)</v>
      </c>
      <c r="B131" s="39"/>
      <c r="D131" s="31" t="s">
        <v>79</v>
      </c>
      <c r="E131" s="9" t="s">
        <v>80</v>
      </c>
      <c r="F131" s="78">
        <f>SUMIFS('ФОТ, МТР, макро'!$AD$4:$AD$20,'ФОТ, МТР, макро'!$W$4:$W$20,$A131)</f>
        <v>85</v>
      </c>
      <c r="G131" s="89">
        <f>F131</f>
        <v>85</v>
      </c>
      <c r="H131" s="89">
        <f t="shared" ref="H131:Z131" si="136">G131</f>
        <v>85</v>
      </c>
      <c r="I131" s="89">
        <f t="shared" si="136"/>
        <v>85</v>
      </c>
      <c r="J131" s="89">
        <f t="shared" si="136"/>
        <v>85</v>
      </c>
      <c r="K131" s="89">
        <f t="shared" si="136"/>
        <v>85</v>
      </c>
      <c r="L131" s="89">
        <f t="shared" si="136"/>
        <v>85</v>
      </c>
      <c r="M131" s="89">
        <f t="shared" si="136"/>
        <v>85</v>
      </c>
      <c r="N131" s="89">
        <f t="shared" si="136"/>
        <v>85</v>
      </c>
      <c r="O131" s="89">
        <f t="shared" si="136"/>
        <v>85</v>
      </c>
      <c r="P131" s="89">
        <f t="shared" si="136"/>
        <v>85</v>
      </c>
      <c r="Q131" s="89">
        <f t="shared" si="136"/>
        <v>85</v>
      </c>
      <c r="R131" s="89">
        <f t="shared" si="136"/>
        <v>85</v>
      </c>
      <c r="S131" s="89">
        <f t="shared" si="136"/>
        <v>85</v>
      </c>
      <c r="T131" s="89">
        <f t="shared" si="136"/>
        <v>85</v>
      </c>
      <c r="U131" s="89">
        <f t="shared" si="136"/>
        <v>85</v>
      </c>
      <c r="V131" s="89">
        <f t="shared" si="136"/>
        <v>85</v>
      </c>
      <c r="W131" s="89">
        <f t="shared" si="136"/>
        <v>85</v>
      </c>
      <c r="X131" s="89">
        <f t="shared" si="136"/>
        <v>85</v>
      </c>
      <c r="Y131" s="89">
        <f t="shared" si="136"/>
        <v>85</v>
      </c>
      <c r="Z131" s="89">
        <f t="shared" si="136"/>
        <v>85</v>
      </c>
    </row>
    <row r="132" spans="1:28" outlineLevel="1" x14ac:dyDescent="0.25">
      <c r="A132" s="39" t="str">
        <f t="shared" si="99"/>
        <v>Estar ESDE240 (ГПБ К)</v>
      </c>
      <c r="B132" s="39"/>
      <c r="C132" s="99">
        <f>SUMIFS('ФОТ, МТР, макро'!$AG$4:$AG$20,'ФОТ, МТР, макро'!$W$4:$W$20,$A132)</f>
        <v>14.117647058823531</v>
      </c>
      <c r="D132" s="98" t="s">
        <v>81</v>
      </c>
      <c r="E132" s="68" t="str">
        <f>E108</f>
        <v>тыс. руб.</v>
      </c>
      <c r="F132" s="85"/>
      <c r="G132" s="100">
        <f>IF(G100&lt;=$C133,$F137*$C132%,"ОШИБКА")</f>
        <v>0</v>
      </c>
      <c r="H132" s="75">
        <f>IF(H100&lt;=$C133,$F137*$C132%,$F137-SUM($G132:G132))</f>
        <v>0</v>
      </c>
      <c r="I132" s="75">
        <f>IF(I100&lt;=$C133,$F137*$C132%,$F137-SUM($G132:H132))</f>
        <v>0</v>
      </c>
      <c r="J132" s="75">
        <f>IF(J100&lt;=$C133,$F137*$C132%,$F137-SUM($G132:I132))</f>
        <v>0</v>
      </c>
      <c r="K132" s="75">
        <f>IF(K100&lt;=$C133,$F137*$C132%,$F137-SUM($G132:J132))</f>
        <v>0</v>
      </c>
      <c r="L132" s="75">
        <f>IF(L100&lt;=$C133,$F137*$C132%,$F137-SUM($G132:K132))</f>
        <v>0</v>
      </c>
      <c r="M132" s="75">
        <f>IF(M100&lt;=$C133,$F137*$C132%,$F137-SUM($G132:L132))</f>
        <v>0</v>
      </c>
      <c r="N132" s="75">
        <f>IF(N100&lt;=$C133,$F137*$C132%,$F137-SUM($G132:M132))</f>
        <v>0</v>
      </c>
      <c r="O132" s="75">
        <f>IF(O100&lt;=$C133,$F137*$C132%,$F137-SUM($G132:N132))</f>
        <v>0</v>
      </c>
      <c r="P132" s="75">
        <f>IF(P100&lt;=$C133,$F137*$C132%,$F137-SUM($G132:O132))</f>
        <v>0</v>
      </c>
      <c r="Q132" s="75">
        <f>IF(Q100&lt;=$C133,$F137*$C132%,$F137-SUM($G132:P132))</f>
        <v>0</v>
      </c>
      <c r="R132" s="75">
        <f>IF(R100&lt;=$C133,$F137*$C132%,$F137-SUM($G132:Q132))</f>
        <v>0</v>
      </c>
      <c r="S132" s="75">
        <f>IF(S100&lt;=$C133,$F137*$C132%,$F137-SUM($G132:R132))</f>
        <v>0</v>
      </c>
      <c r="T132" s="75">
        <f>IF(T100&lt;=$C133,$F137*$C132%,$F137-SUM($G132:S132))</f>
        <v>0</v>
      </c>
      <c r="U132" s="75">
        <f>IF(U100&lt;=$C133,$F137*$C132%,$F137-SUM($G132:T132))</f>
        <v>0</v>
      </c>
      <c r="V132" s="75">
        <f>IF(V100&lt;=$C133,$F137*$C132%,$F137-SUM($G132:U132))</f>
        <v>0</v>
      </c>
      <c r="W132" s="75">
        <f>IF(W100&lt;=$C133,$F137*$C132%,$F137-SUM($G132:V132))</f>
        <v>0</v>
      </c>
      <c r="X132" s="75">
        <f>IF(X100&lt;=$C133,$F137*$C132%,$F137-SUM($G132:W132))</f>
        <v>0</v>
      </c>
      <c r="Y132" s="75">
        <f>IF(Y100&lt;=$C133,$F137*$C132%,$F137-SUM($G132:X132))</f>
        <v>0</v>
      </c>
      <c r="Z132" s="75">
        <f>IF(Z100&lt;=$C133,$F137*$C132%,$F137-SUM($G132:Y132))</f>
        <v>0</v>
      </c>
      <c r="AA132" s="88">
        <f>F137-SUM(G132:Z132)</f>
        <v>0</v>
      </c>
    </row>
    <row r="133" spans="1:28" outlineLevel="1" x14ac:dyDescent="0.25">
      <c r="A133" s="39" t="str">
        <f t="shared" si="99"/>
        <v>Estar ESDE240 (ГПБ К)</v>
      </c>
      <c r="B133" s="39"/>
      <c r="C133" s="99">
        <f>SUMIFS('ФОТ, МТР, макро'!$AF$4:$AF$20,'ФОТ, МТР, макро'!$W$4:$W$20,$A133)/12</f>
        <v>7.083333333333333</v>
      </c>
      <c r="D133" s="98" t="s">
        <v>82</v>
      </c>
      <c r="E133" s="68" t="str">
        <f>E108</f>
        <v>тыс. руб.</v>
      </c>
      <c r="F133" s="69"/>
      <c r="G133" s="69">
        <f>SUM(G109,G114,G118,G123,G125,G129,G132)</f>
        <v>120965.07043399752</v>
      </c>
      <c r="H133" s="69">
        <f>SUM(H109,H114,H118,H123,H125,H129,H132)</f>
        <v>131457.50509224844</v>
      </c>
      <c r="I133" s="69">
        <f t="shared" ref="I133:Z133" si="137">SUM(I109,I114,I118,I123,I125,I129,I132)</f>
        <v>193443.07581858482</v>
      </c>
      <c r="J133" s="69">
        <f t="shared" si="137"/>
        <v>359641.99394610524</v>
      </c>
      <c r="K133" s="69">
        <f t="shared" si="137"/>
        <v>132850.19142123769</v>
      </c>
      <c r="L133" s="69">
        <f t="shared" si="137"/>
        <v>205968.209008404</v>
      </c>
      <c r="M133" s="69">
        <f t="shared" si="137"/>
        <v>129547.04870085439</v>
      </c>
      <c r="N133" s="69">
        <f t="shared" si="137"/>
        <v>363599.31620632258</v>
      </c>
      <c r="O133" s="69">
        <f t="shared" si="137"/>
        <v>130492.53982528389</v>
      </c>
      <c r="P133" s="69">
        <f t="shared" si="137"/>
        <v>125650.05092150127</v>
      </c>
      <c r="Q133" s="69">
        <f t="shared" si="137"/>
        <v>0</v>
      </c>
      <c r="R133" s="69">
        <f t="shared" si="137"/>
        <v>0</v>
      </c>
      <c r="S133" s="69">
        <f t="shared" si="137"/>
        <v>0</v>
      </c>
      <c r="T133" s="69">
        <f t="shared" si="137"/>
        <v>0</v>
      </c>
      <c r="U133" s="69">
        <f t="shared" si="137"/>
        <v>0</v>
      </c>
      <c r="V133" s="69">
        <f t="shared" si="137"/>
        <v>0</v>
      </c>
      <c r="W133" s="69">
        <f t="shared" si="137"/>
        <v>0</v>
      </c>
      <c r="X133" s="69">
        <f t="shared" si="137"/>
        <v>0</v>
      </c>
      <c r="Y133" s="69">
        <f t="shared" si="137"/>
        <v>0</v>
      </c>
      <c r="Z133" s="69">
        <f t="shared" si="137"/>
        <v>0</v>
      </c>
      <c r="AB133" s="42"/>
    </row>
    <row r="134" spans="1:28" outlineLevel="1" x14ac:dyDescent="0.25">
      <c r="A134" s="39" t="str">
        <f t="shared" si="99"/>
        <v>Estar ESDE240 (ГПБ К)</v>
      </c>
      <c r="B134" s="39"/>
      <c r="D134" s="98" t="s">
        <v>83</v>
      </c>
      <c r="E134" s="68" t="str">
        <f>E108</f>
        <v>тыс. руб.</v>
      </c>
      <c r="F134" s="69"/>
      <c r="G134" s="69">
        <f>-G133*'ФОТ, МТР, макро'!AK$11</f>
        <v>-30241.26760849938</v>
      </c>
      <c r="H134" s="69">
        <f>-H133*'ФОТ, МТР, макро'!AL$11</f>
        <v>-32864.376273062109</v>
      </c>
      <c r="I134" s="69">
        <f>-I133*'ФОТ, МТР, макро'!AM$11</f>
        <v>-48360.768954646206</v>
      </c>
      <c r="J134" s="69">
        <f>-J133*'ФОТ, МТР, макро'!AN$11</f>
        <v>-89910.49848652631</v>
      </c>
      <c r="K134" s="69">
        <f>-K133*'ФОТ, МТР, макро'!AO$11</f>
        <v>-33212.547855309422</v>
      </c>
      <c r="L134" s="69">
        <f>-L133*'ФОТ, МТР, макро'!AP$11</f>
        <v>-51492.052252100999</v>
      </c>
      <c r="M134" s="69">
        <f>-M133*'ФОТ, МТР, макро'!AQ$11</f>
        <v>-32386.762175213596</v>
      </c>
      <c r="N134" s="69">
        <f>-N133*'ФОТ, МТР, макро'!AR$11</f>
        <v>-90899.829051580644</v>
      </c>
      <c r="O134" s="69">
        <f>-O133*'ФОТ, МТР, макро'!AS$11</f>
        <v>-32623.134956320973</v>
      </c>
      <c r="P134" s="69">
        <f>-P133*'ФОТ, МТР, макро'!AT$11</f>
        <v>-31412.512730375318</v>
      </c>
      <c r="Q134" s="69">
        <f>-Q133*'ФОТ, МТР, макро'!AU$11</f>
        <v>0</v>
      </c>
      <c r="R134" s="69">
        <f>-R133*'ФОТ, МТР, макро'!AV$11</f>
        <v>0</v>
      </c>
      <c r="S134" s="69">
        <f>-S133*'ФОТ, МТР, макро'!AW$11</f>
        <v>0</v>
      </c>
      <c r="T134" s="69">
        <f>-T133*'ФОТ, МТР, макро'!AX$11</f>
        <v>0</v>
      </c>
      <c r="U134" s="69">
        <f>-U133*'ФОТ, МТР, макро'!AY$11</f>
        <v>0</v>
      </c>
      <c r="V134" s="69">
        <f>-V133*'ФОТ, МТР, макро'!AZ$11</f>
        <v>0</v>
      </c>
      <c r="W134" s="69">
        <f>-W133*'ФОТ, МТР, макро'!BA$11</f>
        <v>0</v>
      </c>
      <c r="X134" s="69">
        <f>-X133*'ФОТ, МТР, макро'!BB$11</f>
        <v>0</v>
      </c>
      <c r="Y134" s="69">
        <f>-Y133*'ФОТ, МТР, макро'!BC$11</f>
        <v>0</v>
      </c>
      <c r="Z134" s="69">
        <f>-Z133*'ФОТ, МТР, макро'!BD$11</f>
        <v>0</v>
      </c>
    </row>
    <row r="135" spans="1:28" outlineLevel="1" x14ac:dyDescent="0.25">
      <c r="A135" s="39" t="str">
        <f t="shared" si="99"/>
        <v>Estar ESDE240 (ГПБ К)</v>
      </c>
      <c r="B135" s="39"/>
      <c r="D135" s="101"/>
      <c r="E135" s="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8" outlineLevel="1" x14ac:dyDescent="0.25">
      <c r="A136" s="39" t="str">
        <f t="shared" si="99"/>
        <v>Estar ESDE240 (ГПБ К)</v>
      </c>
      <c r="B136" s="39"/>
      <c r="D136" s="71" t="s">
        <v>84</v>
      </c>
      <c r="E136" s="72" t="str">
        <f>E108</f>
        <v>тыс. руб.</v>
      </c>
      <c r="F136" s="73">
        <f>F137</f>
        <v>0</v>
      </c>
      <c r="G136" s="73">
        <f t="shared" ref="G136:Z136" si="138">G137</f>
        <v>0</v>
      </c>
      <c r="H136" s="73">
        <f t="shared" si="138"/>
        <v>0</v>
      </c>
      <c r="I136" s="73">
        <f t="shared" si="138"/>
        <v>0</v>
      </c>
      <c r="J136" s="73">
        <f t="shared" si="138"/>
        <v>0</v>
      </c>
      <c r="K136" s="73">
        <f t="shared" si="138"/>
        <v>0</v>
      </c>
      <c r="L136" s="73">
        <f t="shared" si="138"/>
        <v>0</v>
      </c>
      <c r="M136" s="73">
        <f t="shared" si="138"/>
        <v>0</v>
      </c>
      <c r="N136" s="73">
        <f t="shared" si="138"/>
        <v>0</v>
      </c>
      <c r="O136" s="73">
        <f t="shared" si="138"/>
        <v>0</v>
      </c>
      <c r="P136" s="73">
        <f t="shared" si="138"/>
        <v>0</v>
      </c>
      <c r="Q136" s="73">
        <f t="shared" si="138"/>
        <v>0</v>
      </c>
      <c r="R136" s="73">
        <f t="shared" si="138"/>
        <v>0</v>
      </c>
      <c r="S136" s="73">
        <f t="shared" si="138"/>
        <v>0</v>
      </c>
      <c r="T136" s="73">
        <f t="shared" si="138"/>
        <v>0</v>
      </c>
      <c r="U136" s="73">
        <f t="shared" si="138"/>
        <v>0</v>
      </c>
      <c r="V136" s="73">
        <f t="shared" si="138"/>
        <v>0</v>
      </c>
      <c r="W136" s="73">
        <f t="shared" si="138"/>
        <v>0</v>
      </c>
      <c r="X136" s="73">
        <f t="shared" si="138"/>
        <v>0</v>
      </c>
      <c r="Y136" s="73">
        <f t="shared" si="138"/>
        <v>0</v>
      </c>
      <c r="Z136" s="73">
        <f t="shared" si="138"/>
        <v>0</v>
      </c>
    </row>
    <row r="137" spans="1:28" outlineLevel="1" x14ac:dyDescent="0.25">
      <c r="A137" s="39" t="str">
        <f t="shared" si="99"/>
        <v>Estar ESDE240 (ГПБ К)</v>
      </c>
      <c r="B137" s="39"/>
      <c r="D137" s="101" t="s">
        <v>85</v>
      </c>
      <c r="E137" s="9" t="str">
        <f>E136</f>
        <v>тыс. руб.</v>
      </c>
      <c r="F137" s="78">
        <f>SUMIFS(Свод!$D$41:$U$41,Свод!$D$23:$U$23,$A137)</f>
        <v>0</v>
      </c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8" outlineLevel="1" x14ac:dyDescent="0.25">
      <c r="A138" s="39" t="str">
        <f t="shared" si="99"/>
        <v>Estar ESDE240 (ГПБ К)</v>
      </c>
      <c r="B138" s="39"/>
      <c r="D138" s="101"/>
      <c r="E138" s="9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8" outlineLevel="1" x14ac:dyDescent="0.25">
      <c r="A139" s="39" t="str">
        <f t="shared" si="99"/>
        <v>Estar ESDE240 (ГПБ К)</v>
      </c>
      <c r="B139" s="39"/>
      <c r="D139" s="71" t="s">
        <v>86</v>
      </c>
      <c r="E139" s="72" t="str">
        <f>E108</f>
        <v>тыс. руб.</v>
      </c>
      <c r="F139" s="73">
        <f>F108+F136</f>
        <v>0</v>
      </c>
      <c r="G139" s="73">
        <f t="shared" ref="G139:H139" si="139">G108+G136</f>
        <v>90723.802825498133</v>
      </c>
      <c r="H139" s="73">
        <f t="shared" si="139"/>
        <v>98593.128819186328</v>
      </c>
      <c r="I139" s="73">
        <f t="shared" ref="I139:Z139" si="140">I108+I136</f>
        <v>145082.30686393863</v>
      </c>
      <c r="J139" s="73">
        <f t="shared" si="140"/>
        <v>269731.49545957893</v>
      </c>
      <c r="K139" s="73">
        <f t="shared" si="140"/>
        <v>99637.643565928272</v>
      </c>
      <c r="L139" s="73">
        <f t="shared" si="140"/>
        <v>154476.15675630298</v>
      </c>
      <c r="M139" s="73">
        <f t="shared" si="140"/>
        <v>97160.286525640782</v>
      </c>
      <c r="N139" s="73">
        <f t="shared" si="140"/>
        <v>272699.48715474195</v>
      </c>
      <c r="O139" s="73">
        <f t="shared" si="140"/>
        <v>97869.404868962913</v>
      </c>
      <c r="P139" s="73">
        <f t="shared" si="140"/>
        <v>94237.538191125961</v>
      </c>
      <c r="Q139" s="73">
        <f t="shared" si="140"/>
        <v>0</v>
      </c>
      <c r="R139" s="73">
        <f t="shared" si="140"/>
        <v>0</v>
      </c>
      <c r="S139" s="73">
        <f t="shared" si="140"/>
        <v>0</v>
      </c>
      <c r="T139" s="73">
        <f t="shared" si="140"/>
        <v>0</v>
      </c>
      <c r="U139" s="73">
        <f t="shared" si="140"/>
        <v>0</v>
      </c>
      <c r="V139" s="73">
        <f t="shared" si="140"/>
        <v>0</v>
      </c>
      <c r="W139" s="73">
        <f t="shared" si="140"/>
        <v>0</v>
      </c>
      <c r="X139" s="73">
        <f t="shared" si="140"/>
        <v>0</v>
      </c>
      <c r="Y139" s="73">
        <f t="shared" si="140"/>
        <v>0</v>
      </c>
      <c r="Z139" s="73">
        <f t="shared" si="140"/>
        <v>0</v>
      </c>
    </row>
    <row r="140" spans="1:28" outlineLevel="1" x14ac:dyDescent="0.25">
      <c r="A140" s="39" t="str">
        <f t="shared" si="99"/>
        <v>Estar ESDE240 (ГПБ К)</v>
      </c>
      <c r="B140" s="39"/>
      <c r="D140" s="67" t="s">
        <v>87</v>
      </c>
      <c r="E140" s="68" t="str">
        <f>E139</f>
        <v>тыс. руб.</v>
      </c>
      <c r="F140" s="102"/>
      <c r="G140" s="69">
        <f>G108*'ФОТ, МТР, макро'!AK$13</f>
        <v>81003.395379909038</v>
      </c>
      <c r="H140" s="69">
        <f>H108*'ФОТ, МТР, макро'!AL$13</f>
        <v>78597.838663254384</v>
      </c>
      <c r="I140" s="69">
        <f>I108*'ФОТ, МТР, макро'!AM$13</f>
        <v>103266.72033295556</v>
      </c>
      <c r="J140" s="69">
        <f>J108*'ФОТ, МТР, макро'!AN$13</f>
        <v>171419.24167973304</v>
      </c>
      <c r="K140" s="69">
        <f>K108*'ФОТ, МТР, макро'!AO$13</f>
        <v>56537.074799825197</v>
      </c>
      <c r="L140" s="69">
        <f>L108*'ФОТ, МТР, макро'!AP$13</f>
        <v>78262.428492609324</v>
      </c>
      <c r="M140" s="69">
        <f>M108*'ФОТ, МТР, макро'!AQ$13</f>
        <v>43950.379371781346</v>
      </c>
      <c r="N140" s="69">
        <f>N108*'ФОТ, МТР, макро'!AR$13</f>
        <v>110138.74914037567</v>
      </c>
      <c r="O140" s="69">
        <f>O108*'ФОТ, МТР, макро'!AS$13</f>
        <v>35292.688534729037</v>
      </c>
      <c r="P140" s="69">
        <f>P108*'ФОТ, МТР, макро'!AT$13</f>
        <v>30341.965179736148</v>
      </c>
      <c r="Q140" s="69">
        <f>Q108*'ФОТ, МТР, макро'!AU$13</f>
        <v>0</v>
      </c>
      <c r="R140" s="69">
        <f>R108*'ФОТ, МТР, макро'!AV$13</f>
        <v>0</v>
      </c>
      <c r="S140" s="69">
        <f>S108*'ФОТ, МТР, макро'!AW$13</f>
        <v>0</v>
      </c>
      <c r="T140" s="69">
        <f>T108*'ФОТ, МТР, макро'!AX$13</f>
        <v>0</v>
      </c>
      <c r="U140" s="69">
        <f>U108*'ФОТ, МТР, макро'!AY$13</f>
        <v>0</v>
      </c>
      <c r="V140" s="69">
        <f>V108*'ФОТ, МТР, макро'!AZ$13</f>
        <v>0</v>
      </c>
      <c r="W140" s="69">
        <f>W108*'ФОТ, МТР, макро'!BA$13</f>
        <v>0</v>
      </c>
      <c r="X140" s="69">
        <f>X108*'ФОТ, МТР, макро'!BB$13</f>
        <v>0</v>
      </c>
      <c r="Y140" s="69">
        <f>Y108*'ФОТ, МТР, макро'!BC$13</f>
        <v>0</v>
      </c>
      <c r="Z140" s="69">
        <f>Z108*'ФОТ, МТР, макро'!BD$13</f>
        <v>0</v>
      </c>
    </row>
    <row r="141" spans="1:28" outlineLevel="1" x14ac:dyDescent="0.25">
      <c r="A141" s="39" t="str">
        <f t="shared" si="99"/>
        <v>Estar ESDE240 (ГПБ К)</v>
      </c>
      <c r="B141" s="39"/>
      <c r="D141" s="18" t="str">
        <f>D109</f>
        <v>ТО, ТР, ППР</v>
      </c>
      <c r="E141" s="9" t="str">
        <f>E140</f>
        <v>тыс. руб.</v>
      </c>
      <c r="F141" s="103"/>
      <c r="G141" s="74">
        <f>G109*'ФОТ, МТР, макро'!AK$13</f>
        <v>15159.444799852266</v>
      </c>
      <c r="H141" s="74">
        <f>H109*'ФОТ, МТР, макро'!AL$13</f>
        <v>20747.745396873968</v>
      </c>
      <c r="I141" s="74">
        <f>I109*'ФОТ, МТР, макро'!AM$13</f>
        <v>62131.429625724224</v>
      </c>
      <c r="J141" s="74">
        <f>J109*'ФОТ, МТР, макро'!AN$13</f>
        <v>164446.21196659369</v>
      </c>
      <c r="K141" s="74">
        <f>K109*'ФОТ, МТР, макро'!AO$13</f>
        <v>9831.7142109883298</v>
      </c>
      <c r="L141" s="74">
        <f>L109*'ФОТ, МТР, макро'!AP$13</f>
        <v>48807.61556463367</v>
      </c>
      <c r="M141" s="74">
        <f>M109*'ФОТ, МТР, макро'!AQ$13</f>
        <v>7680.2465153748581</v>
      </c>
      <c r="N141" s="74">
        <f>N109*'ФОТ, МТР, макро'!AR$13</f>
        <v>104508.54062996319</v>
      </c>
      <c r="O141" s="74">
        <f>O109*'ФОТ, МТР, макро'!AS$13</f>
        <v>6122.6455001393942</v>
      </c>
      <c r="P141" s="74">
        <f>P109*'ФОТ, МТР, макро'!AT$13</f>
        <v>5466.6477679816016</v>
      </c>
      <c r="Q141" s="74">
        <f>Q109*'ФОТ, МТР, макро'!AU$13</f>
        <v>0</v>
      </c>
      <c r="R141" s="74">
        <f>R109*'ФОТ, МТР, макро'!AV$13</f>
        <v>0</v>
      </c>
      <c r="S141" s="74">
        <f>S109*'ФОТ, МТР, макро'!AW$13</f>
        <v>0</v>
      </c>
      <c r="T141" s="74">
        <f>T109*'ФОТ, МТР, макро'!AX$13</f>
        <v>0</v>
      </c>
      <c r="U141" s="74">
        <f>U109*'ФОТ, МТР, макро'!AY$13</f>
        <v>0</v>
      </c>
      <c r="V141" s="74">
        <f>V109*'ФОТ, МТР, макро'!AZ$13</f>
        <v>0</v>
      </c>
      <c r="W141" s="74">
        <f>W109*'ФОТ, МТР, макро'!BA$13</f>
        <v>0</v>
      </c>
      <c r="X141" s="74">
        <f>X109*'ФОТ, МТР, макро'!BB$13</f>
        <v>0</v>
      </c>
      <c r="Y141" s="74">
        <f>Y109*'ФОТ, МТР, макро'!BC$13</f>
        <v>0</v>
      </c>
      <c r="Z141" s="74">
        <f>Z109*'ФОТ, МТР, макро'!BD$13</f>
        <v>0</v>
      </c>
    </row>
    <row r="142" spans="1:28" outlineLevel="1" x14ac:dyDescent="0.25">
      <c r="A142" s="39" t="str">
        <f t="shared" si="99"/>
        <v>Estar ESDE240 (ГПБ К)</v>
      </c>
      <c r="B142" s="39"/>
      <c r="D142" s="18" t="str">
        <f>D114</f>
        <v>Шины</v>
      </c>
      <c r="E142" s="9" t="str">
        <f t="shared" ref="E142:E147" si="141">E141</f>
        <v>тыс. руб.</v>
      </c>
      <c r="F142" s="103"/>
      <c r="G142" s="74">
        <f>G114*'ФОТ, МТР, макро'!AK$13</f>
        <v>20272.486194219004</v>
      </c>
      <c r="H142" s="74">
        <f>H114*'ФОТ, МТР, макро'!AL$13</f>
        <v>18406.879525638044</v>
      </c>
      <c r="I142" s="74">
        <f>I114*'ФОТ, МТР, макро'!AM$13</f>
        <v>16571.299624659921</v>
      </c>
      <c r="J142" s="74">
        <f>J114*'ФОТ, МТР, макро'!AN$13</f>
        <v>13904.832169969937</v>
      </c>
      <c r="K142" s="74">
        <f>K114*'ФОТ, МТР, макро'!AO$13</f>
        <v>14624.963386966039</v>
      </c>
      <c r="L142" s="74">
        <f>L114*'ФОТ, МТР, макро'!AP$13</f>
        <v>12263.826966329314</v>
      </c>
      <c r="M142" s="74">
        <f>M114*'ФОТ, МТР, макро'!AQ$13</f>
        <v>11303.363107918487</v>
      </c>
      <c r="N142" s="74">
        <f>N114*'ФОТ, МТР, макро'!AR$13</f>
        <v>9261.9457818783685</v>
      </c>
      <c r="O142" s="74">
        <f>O114*'ФОТ, МТР, макро'!AS$13</f>
        <v>9101.6712344136868</v>
      </c>
      <c r="P142" s="74">
        <f>P114*'ФОТ, МТР, макро'!AT$13</f>
        <v>7711.7316432848929</v>
      </c>
      <c r="Q142" s="74">
        <f>Q114*'ФОТ, МТР, макро'!AU$13</f>
        <v>0</v>
      </c>
      <c r="R142" s="74">
        <f>R114*'ФОТ, МТР, макро'!AV$13</f>
        <v>0</v>
      </c>
      <c r="S142" s="74">
        <f>S114*'ФОТ, МТР, макро'!AW$13</f>
        <v>0</v>
      </c>
      <c r="T142" s="74">
        <f>T114*'ФОТ, МТР, макро'!AX$13</f>
        <v>0</v>
      </c>
      <c r="U142" s="74">
        <f>U114*'ФОТ, МТР, макро'!AY$13</f>
        <v>0</v>
      </c>
      <c r="V142" s="74">
        <f>V114*'ФОТ, МТР, макро'!AZ$13</f>
        <v>0</v>
      </c>
      <c r="W142" s="74">
        <f>W114*'ФОТ, МТР, макро'!BA$13</f>
        <v>0</v>
      </c>
      <c r="X142" s="74">
        <f>X114*'ФОТ, МТР, макро'!BB$13</f>
        <v>0</v>
      </c>
      <c r="Y142" s="74">
        <f>Y114*'ФОТ, МТР, макро'!BC$13</f>
        <v>0</v>
      </c>
      <c r="Z142" s="74">
        <f>Z114*'ФОТ, МТР, макро'!BD$13</f>
        <v>0</v>
      </c>
    </row>
    <row r="143" spans="1:28" outlineLevel="1" x14ac:dyDescent="0.25">
      <c r="A143" s="39" t="str">
        <f t="shared" si="99"/>
        <v>Estar ESDE240 (ГПБ К)</v>
      </c>
      <c r="B143" s="39"/>
      <c r="D143" s="18" t="str">
        <f>D118</f>
        <v>Топливо</v>
      </c>
      <c r="E143" s="9" t="str">
        <f t="shared" si="141"/>
        <v>тыс. руб.</v>
      </c>
      <c r="F143" s="103"/>
      <c r="G143" s="74">
        <f>G118*'ФОТ, МТР, макро'!AK$13</f>
        <v>55935.06382140678</v>
      </c>
      <c r="H143" s="74">
        <f>H118*'ФОТ, МТР, макро'!AL$13</f>
        <v>50787.553690040855</v>
      </c>
      <c r="I143" s="74">
        <f>I118*'ФОТ, МТР, макро'!AM$13</f>
        <v>45722.892260414053</v>
      </c>
      <c r="J143" s="74">
        <f>J118*'ФОТ, МТР, макро'!AN$13</f>
        <v>38365.677865155507</v>
      </c>
      <c r="K143" s="74">
        <f>K118*'ФОТ, МТР, макро'!AO$13</f>
        <v>40352.636208427226</v>
      </c>
      <c r="L143" s="74">
        <f>L118*'ФОТ, МТР, макро'!AP$13</f>
        <v>33837.879453183996</v>
      </c>
      <c r="M143" s="74">
        <f>M118*'ФОТ, МТР, макро'!AQ$13</f>
        <v>31187.804533725721</v>
      </c>
      <c r="N143" s="74">
        <f>N118*'ФОТ, МТР, макро'!AR$13</f>
        <v>25555.204401496176</v>
      </c>
      <c r="O143" s="74">
        <f>O118*'ФОТ, МТР, макро'!AS$13</f>
        <v>25112.981037499481</v>
      </c>
      <c r="P143" s="74">
        <f>P118*'ФОТ, МТР, макро'!AT$13</f>
        <v>21277.913202560729</v>
      </c>
      <c r="Q143" s="74">
        <f>Q118*'ФОТ, МТР, макро'!AU$13</f>
        <v>0</v>
      </c>
      <c r="R143" s="74">
        <f>R118*'ФОТ, МТР, макро'!AV$13</f>
        <v>0</v>
      </c>
      <c r="S143" s="74">
        <f>S118*'ФОТ, МТР, макро'!AW$13</f>
        <v>0</v>
      </c>
      <c r="T143" s="74">
        <f>T118*'ФОТ, МТР, макро'!AX$13</f>
        <v>0</v>
      </c>
      <c r="U143" s="74">
        <f>U118*'ФОТ, МТР, макро'!AY$13</f>
        <v>0</v>
      </c>
      <c r="V143" s="74">
        <f>V118*'ФОТ, МТР, макро'!AZ$13</f>
        <v>0</v>
      </c>
      <c r="W143" s="74">
        <f>W118*'ФОТ, МТР, макро'!BA$13</f>
        <v>0</v>
      </c>
      <c r="X143" s="74">
        <f>X118*'ФОТ, МТР, макро'!BB$13</f>
        <v>0</v>
      </c>
      <c r="Y143" s="74">
        <f>Y118*'ФОТ, МТР, макро'!BC$13</f>
        <v>0</v>
      </c>
      <c r="Z143" s="74">
        <f>Z118*'ФОТ, МТР, макро'!BD$13</f>
        <v>0</v>
      </c>
    </row>
    <row r="144" spans="1:28" outlineLevel="1" x14ac:dyDescent="0.25">
      <c r="A144" s="39" t="str">
        <f t="shared" si="99"/>
        <v>Estar ESDE240 (ГПБ К)</v>
      </c>
      <c r="B144" s="39"/>
      <c r="D144" s="18" t="str">
        <f>D123</f>
        <v>Смазочные</v>
      </c>
      <c r="E144" s="9" t="str">
        <f t="shared" si="141"/>
        <v>тыс. руб.</v>
      </c>
      <c r="F144" s="103"/>
      <c r="G144" s="74">
        <f>G123*'ФОТ, МТР, макро'!AK$13</f>
        <v>0</v>
      </c>
      <c r="H144" s="74">
        <f>H123*'ФОТ, МТР, макро'!AL$13</f>
        <v>0</v>
      </c>
      <c r="I144" s="74">
        <f>I123*'ФОТ, МТР, макро'!AM$13</f>
        <v>0</v>
      </c>
      <c r="J144" s="74">
        <f>J123*'ФОТ, МТР, макро'!AN$13</f>
        <v>0</v>
      </c>
      <c r="K144" s="74">
        <f>K123*'ФОТ, МТР, макро'!AO$13</f>
        <v>0</v>
      </c>
      <c r="L144" s="74">
        <f>L123*'ФОТ, МТР, макро'!AP$13</f>
        <v>0</v>
      </c>
      <c r="M144" s="74">
        <f>M123*'ФОТ, МТР, макро'!AQ$13</f>
        <v>0</v>
      </c>
      <c r="N144" s="74">
        <f>N123*'ФОТ, МТР, макро'!AR$13</f>
        <v>0</v>
      </c>
      <c r="O144" s="74">
        <f>O123*'ФОТ, МТР, макро'!AS$13</f>
        <v>0</v>
      </c>
      <c r="P144" s="74">
        <f>P123*'ФОТ, МТР, макро'!AT$13</f>
        <v>0</v>
      </c>
      <c r="Q144" s="74">
        <f>Q123*'ФОТ, МТР, макро'!AU$13</f>
        <v>0</v>
      </c>
      <c r="R144" s="74">
        <f>R123*'ФОТ, МТР, макро'!AV$13</f>
        <v>0</v>
      </c>
      <c r="S144" s="74">
        <f>S123*'ФОТ, МТР, макро'!AW$13</f>
        <v>0</v>
      </c>
      <c r="T144" s="74">
        <f>T123*'ФОТ, МТР, макро'!AX$13</f>
        <v>0</v>
      </c>
      <c r="U144" s="74">
        <f>U123*'ФОТ, МТР, макро'!AY$13</f>
        <v>0</v>
      </c>
      <c r="V144" s="74">
        <f>V123*'ФОТ, МТР, макро'!AZ$13</f>
        <v>0</v>
      </c>
      <c r="W144" s="74">
        <f>W123*'ФОТ, МТР, макро'!BA$13</f>
        <v>0</v>
      </c>
      <c r="X144" s="74">
        <f>X123*'ФОТ, МТР, макро'!BB$13</f>
        <v>0</v>
      </c>
      <c r="Y144" s="74">
        <f>Y123*'ФОТ, МТР, макро'!BC$13</f>
        <v>0</v>
      </c>
      <c r="Z144" s="74">
        <f>Z123*'ФОТ, МТР, макро'!BD$13</f>
        <v>0</v>
      </c>
    </row>
    <row r="145" spans="1:26" outlineLevel="1" x14ac:dyDescent="0.25">
      <c r="A145" s="39" t="str">
        <f t="shared" si="99"/>
        <v>Estar ESDE240 (ГПБ К)</v>
      </c>
      <c r="B145" s="39"/>
      <c r="D145" s="18" t="str">
        <f>D125</f>
        <v>Затраты на персонал</v>
      </c>
      <c r="E145" s="9" t="str">
        <f t="shared" si="141"/>
        <v>тыс. руб.</v>
      </c>
      <c r="F145" s="103"/>
      <c r="G145" s="74">
        <f>G125*'ФОТ, МТР, макро'!AK$13</f>
        <v>16496.068072019727</v>
      </c>
      <c r="H145" s="74">
        <f>H125*'ФОТ, МТР, макро'!AL$13</f>
        <v>14728.632207160468</v>
      </c>
      <c r="I145" s="74">
        <f>I125*'ФОТ, МТР, макро'!AM$13</f>
        <v>13150.56447067899</v>
      </c>
      <c r="J145" s="74">
        <f>J125*'ФОТ, МТР, макро'!AN$13</f>
        <v>11741.575420249097</v>
      </c>
      <c r="K145" s="74">
        <f>K125*'ФОТ, МТР, макро'!AO$13</f>
        <v>10483.549482365264</v>
      </c>
      <c r="L145" s="74">
        <f>L125*'ФОТ, МТР, макро'!AP$13</f>
        <v>9360.3120378261283</v>
      </c>
      <c r="M145" s="74">
        <f>M125*'ФОТ, МТР, макро'!AQ$13</f>
        <v>8357.4214623447569</v>
      </c>
      <c r="N145" s="74">
        <f>N125*'ФОТ, МТР, макро'!AR$13</f>
        <v>7461.9834485221045</v>
      </c>
      <c r="O145" s="74">
        <f>O125*'ФОТ, МТР, макро'!AS$13</f>
        <v>6662.4852218947353</v>
      </c>
      <c r="P145" s="74">
        <f>P125*'ФОТ, МТР, макро'!AT$13</f>
        <v>5948.6475195488702</v>
      </c>
      <c r="Q145" s="74">
        <f>Q125*'ФОТ, МТР, макро'!AU$13</f>
        <v>0</v>
      </c>
      <c r="R145" s="74">
        <f>R125*'ФОТ, МТР, макро'!AV$13</f>
        <v>0</v>
      </c>
      <c r="S145" s="74">
        <f>S125*'ФОТ, МТР, макро'!AW$13</f>
        <v>0</v>
      </c>
      <c r="T145" s="74">
        <f>T125*'ФОТ, МТР, макро'!AX$13</f>
        <v>0</v>
      </c>
      <c r="U145" s="74">
        <f>U125*'ФОТ, МТР, макро'!AY$13</f>
        <v>0</v>
      </c>
      <c r="V145" s="74">
        <f>V125*'ФОТ, МТР, макро'!AZ$13</f>
        <v>0</v>
      </c>
      <c r="W145" s="74">
        <f>W125*'ФОТ, МТР, макро'!BA$13</f>
        <v>0</v>
      </c>
      <c r="X145" s="74">
        <f>X125*'ФОТ, МТР, макро'!BB$13</f>
        <v>0</v>
      </c>
      <c r="Y145" s="74">
        <f>Y125*'ФОТ, МТР, макро'!BC$13</f>
        <v>0</v>
      </c>
      <c r="Z145" s="74">
        <f>Z125*'ФОТ, МТР, макро'!BD$13</f>
        <v>0</v>
      </c>
    </row>
    <row r="146" spans="1:26" outlineLevel="1" x14ac:dyDescent="0.25">
      <c r="A146" s="39" t="str">
        <f t="shared" si="99"/>
        <v>Estar ESDE240 (ГПБ К)</v>
      </c>
      <c r="B146" s="39"/>
      <c r="D146" s="18" t="str">
        <f>D129</f>
        <v>Транспортный налог</v>
      </c>
      <c r="E146" s="9" t="str">
        <f t="shared" si="141"/>
        <v>тыс. руб.</v>
      </c>
      <c r="F146" s="103"/>
      <c r="G146" s="74">
        <f>G129*'ФОТ, МТР, макро'!AK$13</f>
        <v>141.46428571428569</v>
      </c>
      <c r="H146" s="74">
        <f>H129*'ФОТ, МТР, макро'!AL$13</f>
        <v>126.30739795918365</v>
      </c>
      <c r="I146" s="74">
        <f>I129*'ФОТ, МТР, макро'!AM$13</f>
        <v>112.77446246355682</v>
      </c>
      <c r="J146" s="74">
        <f>J129*'ФОТ, МТР, макро'!AN$13</f>
        <v>100.69148434246144</v>
      </c>
      <c r="K146" s="74">
        <f>K129*'ФОТ, МТР, макро'!AO$13</f>
        <v>89.903111020054851</v>
      </c>
      <c r="L146" s="74">
        <f>L129*'ФОТ, МТР, макро'!AP$13</f>
        <v>80.27063483933469</v>
      </c>
      <c r="M146" s="74">
        <f>M129*'ФОТ, МТР, макро'!AQ$13</f>
        <v>71.670209677977397</v>
      </c>
      <c r="N146" s="74">
        <f>N129*'ФОТ, МТР, макро'!AR$13</f>
        <v>63.991258641051239</v>
      </c>
      <c r="O146" s="74">
        <f>O129*'ФОТ, МТР, макро'!AS$13</f>
        <v>57.13505235808146</v>
      </c>
      <c r="P146" s="74">
        <f>P129*'ФОТ, МТР, макро'!AT$13</f>
        <v>51.013439605429873</v>
      </c>
      <c r="Q146" s="74">
        <f>Q129*'ФОТ, МТР, макро'!AU$13</f>
        <v>0</v>
      </c>
      <c r="R146" s="74">
        <f>R129*'ФОТ, МТР, макро'!AV$13</f>
        <v>0</v>
      </c>
      <c r="S146" s="74">
        <f>S129*'ФОТ, МТР, макро'!AW$13</f>
        <v>0</v>
      </c>
      <c r="T146" s="74">
        <f>T129*'ФОТ, МТР, макро'!AX$13</f>
        <v>0</v>
      </c>
      <c r="U146" s="74">
        <f>U129*'ФОТ, МТР, макро'!AY$13</f>
        <v>0</v>
      </c>
      <c r="V146" s="74">
        <f>V129*'ФОТ, МТР, макро'!AZ$13</f>
        <v>0</v>
      </c>
      <c r="W146" s="74">
        <f>W129*'ФОТ, МТР, макро'!BA$13</f>
        <v>0</v>
      </c>
      <c r="X146" s="74">
        <f>X129*'ФОТ, МТР, макро'!BB$13</f>
        <v>0</v>
      </c>
      <c r="Y146" s="74">
        <f>Y129*'ФОТ, МТР, макро'!BC$13</f>
        <v>0</v>
      </c>
      <c r="Z146" s="74">
        <f>Z129*'ФОТ, МТР, макро'!BD$13</f>
        <v>0</v>
      </c>
    </row>
    <row r="147" spans="1:26" outlineLevel="1" x14ac:dyDescent="0.25">
      <c r="A147" s="39" t="str">
        <f t="shared" si="99"/>
        <v>Estar ESDE240 (ГПБ К)</v>
      </c>
      <c r="B147" s="39"/>
      <c r="D147" s="18" t="str">
        <f>D134</f>
        <v>Налог на прибыль</v>
      </c>
      <c r="E147" s="9" t="str">
        <f t="shared" si="141"/>
        <v>тыс. руб.</v>
      </c>
      <c r="F147" s="103"/>
      <c r="G147" s="74">
        <f>G134*'ФОТ, МТР, макро'!AK$13</f>
        <v>-27001.131793303015</v>
      </c>
      <c r="H147" s="74">
        <f>H134*'ФОТ, МТР, макро'!AL$13</f>
        <v>-26199.279554418128</v>
      </c>
      <c r="I147" s="74">
        <f>I134*'ФОТ, МТР, макро'!AM$13</f>
        <v>-34422.240110985185</v>
      </c>
      <c r="J147" s="74">
        <f>J134*'ФОТ, МТР, макро'!AN$13</f>
        <v>-57139.747226577674</v>
      </c>
      <c r="K147" s="74">
        <f>K134*'ФОТ, МТР, макро'!AO$13</f>
        <v>-18845.691599941729</v>
      </c>
      <c r="L147" s="74">
        <f>L134*'ФОТ, МТР, макро'!AP$13</f>
        <v>-26087.476164203108</v>
      </c>
      <c r="M147" s="74">
        <f>M134*'ФОТ, МТР, макро'!AQ$13</f>
        <v>-14650.12645726045</v>
      </c>
      <c r="N147" s="74">
        <f>N134*'ФОТ, МТР, макро'!AR$13</f>
        <v>-36712.916380125222</v>
      </c>
      <c r="O147" s="74">
        <f>O134*'ФОТ, МТР, макро'!AS$13</f>
        <v>-11764.229511576346</v>
      </c>
      <c r="P147" s="74">
        <f>P134*'ФОТ, МТР, макро'!AT$13</f>
        <v>-10113.988393245381</v>
      </c>
      <c r="Q147" s="74">
        <f>Q134*'ФОТ, МТР, макро'!AU$13</f>
        <v>0</v>
      </c>
      <c r="R147" s="74">
        <f>R134*'ФОТ, МТР, макро'!AV$13</f>
        <v>0</v>
      </c>
      <c r="S147" s="74">
        <f>S134*'ФОТ, МТР, макро'!AW$13</f>
        <v>0</v>
      </c>
      <c r="T147" s="74">
        <f>T134*'ФОТ, МТР, макро'!AX$13</f>
        <v>0</v>
      </c>
      <c r="U147" s="74">
        <f>U134*'ФОТ, МТР, макро'!AY$13</f>
        <v>0</v>
      </c>
      <c r="V147" s="74">
        <f>V134*'ФОТ, МТР, макро'!AZ$13</f>
        <v>0</v>
      </c>
      <c r="W147" s="74">
        <f>W134*'ФОТ, МТР, макро'!BA$13</f>
        <v>0</v>
      </c>
      <c r="X147" s="74">
        <f>X134*'ФОТ, МТР, макро'!BB$13</f>
        <v>0</v>
      </c>
      <c r="Y147" s="74">
        <f>Y134*'ФОТ, МТР, макро'!BC$13</f>
        <v>0</v>
      </c>
      <c r="Z147" s="74">
        <f>Z134*'ФОТ, МТР, макро'!BD$13</f>
        <v>0</v>
      </c>
    </row>
    <row r="148" spans="1:26" outlineLevel="1" x14ac:dyDescent="0.25">
      <c r="A148" s="39" t="str">
        <f t="shared" si="99"/>
        <v>Estar ESDE240 (ГПБ К)</v>
      </c>
      <c r="B148" s="39"/>
      <c r="D148" s="104" t="s">
        <v>88</v>
      </c>
      <c r="E148" s="9"/>
      <c r="F148" s="105"/>
      <c r="G148" s="106">
        <f>G140-SUM(G141:G147)</f>
        <v>0</v>
      </c>
      <c r="H148" s="106">
        <f t="shared" ref="H148" si="142">H140-SUM(H141:H147)</f>
        <v>0</v>
      </c>
      <c r="I148" s="106">
        <f t="shared" ref="I148:Z148" si="143">I140-SUM(I141:I147)</f>
        <v>0</v>
      </c>
      <c r="J148" s="106">
        <f t="shared" si="143"/>
        <v>0</v>
      </c>
      <c r="K148" s="106">
        <f t="shared" si="143"/>
        <v>0</v>
      </c>
      <c r="L148" s="106">
        <f t="shared" si="143"/>
        <v>0</v>
      </c>
      <c r="M148" s="106">
        <f t="shared" si="143"/>
        <v>0</v>
      </c>
      <c r="N148" s="106">
        <f t="shared" si="143"/>
        <v>0</v>
      </c>
      <c r="O148" s="106">
        <f t="shared" si="143"/>
        <v>0</v>
      </c>
      <c r="P148" s="106">
        <f t="shared" si="143"/>
        <v>0</v>
      </c>
      <c r="Q148" s="106">
        <f t="shared" si="143"/>
        <v>0</v>
      </c>
      <c r="R148" s="106">
        <f t="shared" si="143"/>
        <v>0</v>
      </c>
      <c r="S148" s="106">
        <f t="shared" si="143"/>
        <v>0</v>
      </c>
      <c r="T148" s="106">
        <f t="shared" si="143"/>
        <v>0</v>
      </c>
      <c r="U148" s="106">
        <f t="shared" si="143"/>
        <v>0</v>
      </c>
      <c r="V148" s="106">
        <f t="shared" si="143"/>
        <v>0</v>
      </c>
      <c r="W148" s="106">
        <f t="shared" si="143"/>
        <v>0</v>
      </c>
      <c r="X148" s="106">
        <f t="shared" si="143"/>
        <v>0</v>
      </c>
      <c r="Y148" s="106">
        <f t="shared" si="143"/>
        <v>0</v>
      </c>
      <c r="Z148" s="106">
        <f t="shared" si="143"/>
        <v>0</v>
      </c>
    </row>
    <row r="149" spans="1:26" ht="27.2" outlineLevel="1" x14ac:dyDescent="0.25">
      <c r="A149" s="39" t="str">
        <f t="shared" si="99"/>
        <v>Estar ESDE240 (ГПБ К)</v>
      </c>
      <c r="B149" s="39"/>
      <c r="D149" s="107" t="s">
        <v>89</v>
      </c>
      <c r="E149" s="68" t="str">
        <f>E140</f>
        <v>тыс. руб.</v>
      </c>
      <c r="F149" s="69">
        <f>F140</f>
        <v>0</v>
      </c>
      <c r="G149" s="69">
        <f>F149+G140</f>
        <v>81003.395379909038</v>
      </c>
      <c r="H149" s="69">
        <f t="shared" ref="H149:H156" si="144">G149+H140</f>
        <v>159601.23404316342</v>
      </c>
      <c r="I149" s="69">
        <f t="shared" ref="I149:I156" si="145">H149+I140</f>
        <v>262867.95437611896</v>
      </c>
      <c r="J149" s="69">
        <f t="shared" ref="J149:J156" si="146">I149+J140</f>
        <v>434287.19605585199</v>
      </c>
      <c r="K149" s="69">
        <f t="shared" ref="K149:K156" si="147">J149+K140</f>
        <v>490824.2708556772</v>
      </c>
      <c r="L149" s="69">
        <f t="shared" ref="L149:L156" si="148">K149+L140</f>
        <v>569086.69934828649</v>
      </c>
      <c r="M149" s="69">
        <f t="shared" ref="M149:M156" si="149">L149+M140</f>
        <v>613037.07872006786</v>
      </c>
      <c r="N149" s="69">
        <f t="shared" ref="N149:N156" si="150">M149+N140</f>
        <v>723175.8278604435</v>
      </c>
      <c r="O149" s="69">
        <f t="shared" ref="O149:O156" si="151">N149+O140</f>
        <v>758468.51639517257</v>
      </c>
      <c r="P149" s="69">
        <f t="shared" ref="P149:P156" si="152">O149+P140</f>
        <v>788810.48157490871</v>
      </c>
      <c r="Q149" s="69">
        <f t="shared" ref="Q149:Q156" si="153">P149+Q140</f>
        <v>788810.48157490871</v>
      </c>
      <c r="R149" s="69">
        <f t="shared" ref="R149:R156" si="154">Q149+R140</f>
        <v>788810.48157490871</v>
      </c>
      <c r="S149" s="69">
        <f t="shared" ref="S149:S156" si="155">R149+S140</f>
        <v>788810.48157490871</v>
      </c>
      <c r="T149" s="69">
        <f t="shared" ref="T149:T156" si="156">S149+T140</f>
        <v>788810.48157490871</v>
      </c>
      <c r="U149" s="69">
        <f t="shared" ref="U149:U156" si="157">T149+U140</f>
        <v>788810.48157490871</v>
      </c>
      <c r="V149" s="69">
        <f t="shared" ref="V149:V156" si="158">U149+V140</f>
        <v>788810.48157490871</v>
      </c>
      <c r="W149" s="69">
        <f t="shared" ref="W149:W156" si="159">V149+W140</f>
        <v>788810.48157490871</v>
      </c>
      <c r="X149" s="69">
        <f t="shared" ref="X149:X156" si="160">W149+X140</f>
        <v>788810.48157490871</v>
      </c>
      <c r="Y149" s="69">
        <f t="shared" ref="Y149:Y156" si="161">X149+Y140</f>
        <v>788810.48157490871</v>
      </c>
      <c r="Z149" s="69">
        <f t="shared" ref="Z149:Z156" si="162">Y149+Z140</f>
        <v>788810.48157490871</v>
      </c>
    </row>
    <row r="150" spans="1:26" outlineLevel="1" x14ac:dyDescent="0.25">
      <c r="A150" s="39" t="str">
        <f t="shared" si="99"/>
        <v>Estar ESDE240 (ГПБ К)</v>
      </c>
      <c r="B150" s="39"/>
      <c r="D150" s="101" t="str">
        <f>D141</f>
        <v>ТО, ТР, ППР</v>
      </c>
      <c r="E150" s="9" t="str">
        <f>E141</f>
        <v>тыс. руб.</v>
      </c>
      <c r="F150" s="74">
        <f>F141</f>
        <v>0</v>
      </c>
      <c r="G150" s="74">
        <f>F150+G141</f>
        <v>15159.444799852266</v>
      </c>
      <c r="H150" s="74">
        <f t="shared" si="144"/>
        <v>35907.190196726238</v>
      </c>
      <c r="I150" s="74">
        <f t="shared" si="145"/>
        <v>98038.619822450462</v>
      </c>
      <c r="J150" s="74">
        <f t="shared" si="146"/>
        <v>262484.83178904414</v>
      </c>
      <c r="K150" s="74">
        <f t="shared" si="147"/>
        <v>272316.54600003245</v>
      </c>
      <c r="L150" s="74">
        <f t="shared" si="148"/>
        <v>321124.16156466614</v>
      </c>
      <c r="M150" s="74">
        <f t="shared" si="149"/>
        <v>328804.408080041</v>
      </c>
      <c r="N150" s="74">
        <f t="shared" si="150"/>
        <v>433312.94871000422</v>
      </c>
      <c r="O150" s="74">
        <f t="shared" si="151"/>
        <v>439435.59421014361</v>
      </c>
      <c r="P150" s="74">
        <f t="shared" si="152"/>
        <v>444902.24197812518</v>
      </c>
      <c r="Q150" s="74">
        <f t="shared" si="153"/>
        <v>444902.24197812518</v>
      </c>
      <c r="R150" s="74">
        <f t="shared" si="154"/>
        <v>444902.24197812518</v>
      </c>
      <c r="S150" s="74">
        <f t="shared" si="155"/>
        <v>444902.24197812518</v>
      </c>
      <c r="T150" s="74">
        <f t="shared" si="156"/>
        <v>444902.24197812518</v>
      </c>
      <c r="U150" s="74">
        <f t="shared" si="157"/>
        <v>444902.24197812518</v>
      </c>
      <c r="V150" s="74">
        <f t="shared" si="158"/>
        <v>444902.24197812518</v>
      </c>
      <c r="W150" s="74">
        <f t="shared" si="159"/>
        <v>444902.24197812518</v>
      </c>
      <c r="X150" s="74">
        <f t="shared" si="160"/>
        <v>444902.24197812518</v>
      </c>
      <c r="Y150" s="74">
        <f t="shared" si="161"/>
        <v>444902.24197812518</v>
      </c>
      <c r="Z150" s="74">
        <f t="shared" si="162"/>
        <v>444902.24197812518</v>
      </c>
    </row>
    <row r="151" spans="1:26" outlineLevel="1" x14ac:dyDescent="0.25">
      <c r="A151" s="39" t="str">
        <f t="shared" si="99"/>
        <v>Estar ESDE240 (ГПБ К)</v>
      </c>
      <c r="B151" s="39"/>
      <c r="D151" s="101" t="str">
        <f t="shared" ref="D151:F156" si="163">D142</f>
        <v>Шины</v>
      </c>
      <c r="E151" s="9" t="str">
        <f t="shared" si="163"/>
        <v>тыс. руб.</v>
      </c>
      <c r="F151" s="74">
        <f t="shared" si="163"/>
        <v>0</v>
      </c>
      <c r="G151" s="74">
        <f t="shared" ref="G151:G156" si="164">F151+G142</f>
        <v>20272.486194219004</v>
      </c>
      <c r="H151" s="74">
        <f t="shared" si="144"/>
        <v>38679.365719857044</v>
      </c>
      <c r="I151" s="74">
        <f t="shared" si="145"/>
        <v>55250.665344516965</v>
      </c>
      <c r="J151" s="74">
        <f t="shared" si="146"/>
        <v>69155.497514486895</v>
      </c>
      <c r="K151" s="74">
        <f t="shared" si="147"/>
        <v>83780.460901452927</v>
      </c>
      <c r="L151" s="74">
        <f t="shared" si="148"/>
        <v>96044.287867782245</v>
      </c>
      <c r="M151" s="74">
        <f t="shared" si="149"/>
        <v>107347.65097570073</v>
      </c>
      <c r="N151" s="74">
        <f t="shared" si="150"/>
        <v>116609.5967575791</v>
      </c>
      <c r="O151" s="74">
        <f t="shared" si="151"/>
        <v>125711.26799199279</v>
      </c>
      <c r="P151" s="74">
        <f t="shared" si="152"/>
        <v>133422.99963527769</v>
      </c>
      <c r="Q151" s="74">
        <f t="shared" si="153"/>
        <v>133422.99963527769</v>
      </c>
      <c r="R151" s="74">
        <f t="shared" si="154"/>
        <v>133422.99963527769</v>
      </c>
      <c r="S151" s="74">
        <f t="shared" si="155"/>
        <v>133422.99963527769</v>
      </c>
      <c r="T151" s="74">
        <f t="shared" si="156"/>
        <v>133422.99963527769</v>
      </c>
      <c r="U151" s="74">
        <f t="shared" si="157"/>
        <v>133422.99963527769</v>
      </c>
      <c r="V151" s="74">
        <f t="shared" si="158"/>
        <v>133422.99963527769</v>
      </c>
      <c r="W151" s="74">
        <f t="shared" si="159"/>
        <v>133422.99963527769</v>
      </c>
      <c r="X151" s="74">
        <f t="shared" si="160"/>
        <v>133422.99963527769</v>
      </c>
      <c r="Y151" s="74">
        <f t="shared" si="161"/>
        <v>133422.99963527769</v>
      </c>
      <c r="Z151" s="74">
        <f t="shared" si="162"/>
        <v>133422.99963527769</v>
      </c>
    </row>
    <row r="152" spans="1:26" outlineLevel="1" x14ac:dyDescent="0.25">
      <c r="A152" s="39" t="str">
        <f t="shared" si="99"/>
        <v>Estar ESDE240 (ГПБ К)</v>
      </c>
      <c r="B152" s="39"/>
      <c r="D152" s="101" t="str">
        <f t="shared" si="163"/>
        <v>Топливо</v>
      </c>
      <c r="E152" s="9" t="str">
        <f t="shared" si="163"/>
        <v>тыс. руб.</v>
      </c>
      <c r="F152" s="74">
        <f t="shared" si="163"/>
        <v>0</v>
      </c>
      <c r="G152" s="74">
        <f t="shared" si="164"/>
        <v>55935.06382140678</v>
      </c>
      <c r="H152" s="74">
        <f t="shared" si="144"/>
        <v>106722.61751144764</v>
      </c>
      <c r="I152" s="74">
        <f t="shared" si="145"/>
        <v>152445.50977186169</v>
      </c>
      <c r="J152" s="74">
        <f t="shared" si="146"/>
        <v>190811.1876370172</v>
      </c>
      <c r="K152" s="74">
        <f t="shared" si="147"/>
        <v>231163.82384544442</v>
      </c>
      <c r="L152" s="74">
        <f t="shared" si="148"/>
        <v>265001.70329862845</v>
      </c>
      <c r="M152" s="74">
        <f t="shared" si="149"/>
        <v>296189.50783235417</v>
      </c>
      <c r="N152" s="74">
        <f t="shared" si="150"/>
        <v>321744.71223385032</v>
      </c>
      <c r="O152" s="74">
        <f t="shared" si="151"/>
        <v>346857.69327134982</v>
      </c>
      <c r="P152" s="74">
        <f t="shared" si="152"/>
        <v>368135.60647391056</v>
      </c>
      <c r="Q152" s="74">
        <f t="shared" si="153"/>
        <v>368135.60647391056</v>
      </c>
      <c r="R152" s="74">
        <f t="shared" si="154"/>
        <v>368135.60647391056</v>
      </c>
      <c r="S152" s="74">
        <f t="shared" si="155"/>
        <v>368135.60647391056</v>
      </c>
      <c r="T152" s="74">
        <f t="shared" si="156"/>
        <v>368135.60647391056</v>
      </c>
      <c r="U152" s="74">
        <f t="shared" si="157"/>
        <v>368135.60647391056</v>
      </c>
      <c r="V152" s="74">
        <f t="shared" si="158"/>
        <v>368135.60647391056</v>
      </c>
      <c r="W152" s="74">
        <f t="shared" si="159"/>
        <v>368135.60647391056</v>
      </c>
      <c r="X152" s="74">
        <f t="shared" si="160"/>
        <v>368135.60647391056</v>
      </c>
      <c r="Y152" s="74">
        <f t="shared" si="161"/>
        <v>368135.60647391056</v>
      </c>
      <c r="Z152" s="74">
        <f t="shared" si="162"/>
        <v>368135.60647391056</v>
      </c>
    </row>
    <row r="153" spans="1:26" outlineLevel="1" x14ac:dyDescent="0.25">
      <c r="A153" s="39" t="str">
        <f t="shared" si="99"/>
        <v>Estar ESDE240 (ГПБ К)</v>
      </c>
      <c r="B153" s="39"/>
      <c r="D153" s="101" t="str">
        <f t="shared" si="163"/>
        <v>Смазочные</v>
      </c>
      <c r="E153" s="9" t="str">
        <f t="shared" si="163"/>
        <v>тыс. руб.</v>
      </c>
      <c r="F153" s="74">
        <f t="shared" si="163"/>
        <v>0</v>
      </c>
      <c r="G153" s="74">
        <f t="shared" si="164"/>
        <v>0</v>
      </c>
      <c r="H153" s="74">
        <f t="shared" si="144"/>
        <v>0</v>
      </c>
      <c r="I153" s="74">
        <f t="shared" si="145"/>
        <v>0</v>
      </c>
      <c r="J153" s="74">
        <f t="shared" si="146"/>
        <v>0</v>
      </c>
      <c r="K153" s="74">
        <f t="shared" si="147"/>
        <v>0</v>
      </c>
      <c r="L153" s="74">
        <f t="shared" si="148"/>
        <v>0</v>
      </c>
      <c r="M153" s="74">
        <f t="shared" si="149"/>
        <v>0</v>
      </c>
      <c r="N153" s="74">
        <f t="shared" si="150"/>
        <v>0</v>
      </c>
      <c r="O153" s="74">
        <f t="shared" si="151"/>
        <v>0</v>
      </c>
      <c r="P153" s="74">
        <f t="shared" si="152"/>
        <v>0</v>
      </c>
      <c r="Q153" s="74">
        <f t="shared" si="153"/>
        <v>0</v>
      </c>
      <c r="R153" s="74">
        <f t="shared" si="154"/>
        <v>0</v>
      </c>
      <c r="S153" s="74">
        <f t="shared" si="155"/>
        <v>0</v>
      </c>
      <c r="T153" s="74">
        <f t="shared" si="156"/>
        <v>0</v>
      </c>
      <c r="U153" s="74">
        <f t="shared" si="157"/>
        <v>0</v>
      </c>
      <c r="V153" s="74">
        <f t="shared" si="158"/>
        <v>0</v>
      </c>
      <c r="W153" s="74">
        <f t="shared" si="159"/>
        <v>0</v>
      </c>
      <c r="X153" s="74">
        <f t="shared" si="160"/>
        <v>0</v>
      </c>
      <c r="Y153" s="74">
        <f t="shared" si="161"/>
        <v>0</v>
      </c>
      <c r="Z153" s="74">
        <f t="shared" si="162"/>
        <v>0</v>
      </c>
    </row>
    <row r="154" spans="1:26" outlineLevel="1" x14ac:dyDescent="0.25">
      <c r="A154" s="39" t="str">
        <f t="shared" si="99"/>
        <v>Estar ESDE240 (ГПБ К)</v>
      </c>
      <c r="B154" s="39"/>
      <c r="D154" s="101" t="str">
        <f t="shared" si="163"/>
        <v>Затраты на персонал</v>
      </c>
      <c r="E154" s="9" t="str">
        <f t="shared" si="163"/>
        <v>тыс. руб.</v>
      </c>
      <c r="F154" s="74">
        <f t="shared" si="163"/>
        <v>0</v>
      </c>
      <c r="G154" s="74">
        <f t="shared" si="164"/>
        <v>16496.068072019727</v>
      </c>
      <c r="H154" s="74">
        <f t="shared" si="144"/>
        <v>31224.700279180193</v>
      </c>
      <c r="I154" s="74">
        <f t="shared" si="145"/>
        <v>44375.264749859183</v>
      </c>
      <c r="J154" s="74">
        <f t="shared" si="146"/>
        <v>56116.840170108277</v>
      </c>
      <c r="K154" s="74">
        <f t="shared" si="147"/>
        <v>66600.389652473546</v>
      </c>
      <c r="L154" s="74">
        <f t="shared" si="148"/>
        <v>75960.701690299669</v>
      </c>
      <c r="M154" s="74">
        <f t="shared" si="149"/>
        <v>84318.123152644432</v>
      </c>
      <c r="N154" s="74">
        <f t="shared" si="150"/>
        <v>91780.106601166539</v>
      </c>
      <c r="O154" s="74">
        <f t="shared" si="151"/>
        <v>98442.591823061273</v>
      </c>
      <c r="P154" s="74">
        <f t="shared" si="152"/>
        <v>104391.23934261015</v>
      </c>
      <c r="Q154" s="74">
        <f t="shared" si="153"/>
        <v>104391.23934261015</v>
      </c>
      <c r="R154" s="74">
        <f t="shared" si="154"/>
        <v>104391.23934261015</v>
      </c>
      <c r="S154" s="74">
        <f t="shared" si="155"/>
        <v>104391.23934261015</v>
      </c>
      <c r="T154" s="74">
        <f t="shared" si="156"/>
        <v>104391.23934261015</v>
      </c>
      <c r="U154" s="74">
        <f t="shared" si="157"/>
        <v>104391.23934261015</v>
      </c>
      <c r="V154" s="74">
        <f t="shared" si="158"/>
        <v>104391.23934261015</v>
      </c>
      <c r="W154" s="74">
        <f t="shared" si="159"/>
        <v>104391.23934261015</v>
      </c>
      <c r="X154" s="74">
        <f t="shared" si="160"/>
        <v>104391.23934261015</v>
      </c>
      <c r="Y154" s="74">
        <f t="shared" si="161"/>
        <v>104391.23934261015</v>
      </c>
      <c r="Z154" s="74">
        <f t="shared" si="162"/>
        <v>104391.23934261015</v>
      </c>
    </row>
    <row r="155" spans="1:26" outlineLevel="1" x14ac:dyDescent="0.25">
      <c r="A155" s="39" t="str">
        <f t="shared" si="99"/>
        <v>Estar ESDE240 (ГПБ К)</v>
      </c>
      <c r="B155" s="39"/>
      <c r="D155" s="101" t="str">
        <f t="shared" si="163"/>
        <v>Транспортный налог</v>
      </c>
      <c r="E155" s="9" t="str">
        <f t="shared" si="163"/>
        <v>тыс. руб.</v>
      </c>
      <c r="F155" s="74">
        <f t="shared" si="163"/>
        <v>0</v>
      </c>
      <c r="G155" s="74">
        <f t="shared" si="164"/>
        <v>141.46428571428569</v>
      </c>
      <c r="H155" s="74">
        <f t="shared" si="144"/>
        <v>267.77168367346934</v>
      </c>
      <c r="I155" s="74">
        <f t="shared" si="145"/>
        <v>380.54614613702614</v>
      </c>
      <c r="J155" s="74">
        <f t="shared" si="146"/>
        <v>481.23763047948756</v>
      </c>
      <c r="K155" s="74">
        <f t="shared" si="147"/>
        <v>571.1407414995424</v>
      </c>
      <c r="L155" s="74">
        <f t="shared" si="148"/>
        <v>651.41137633887706</v>
      </c>
      <c r="M155" s="74">
        <f t="shared" si="149"/>
        <v>723.08158601685443</v>
      </c>
      <c r="N155" s="74">
        <f t="shared" si="150"/>
        <v>787.07284465790565</v>
      </c>
      <c r="O155" s="74">
        <f t="shared" si="151"/>
        <v>844.2078970159871</v>
      </c>
      <c r="P155" s="74">
        <f t="shared" si="152"/>
        <v>895.22133662141698</v>
      </c>
      <c r="Q155" s="74">
        <f t="shared" si="153"/>
        <v>895.22133662141698</v>
      </c>
      <c r="R155" s="74">
        <f t="shared" si="154"/>
        <v>895.22133662141698</v>
      </c>
      <c r="S155" s="74">
        <f t="shared" si="155"/>
        <v>895.22133662141698</v>
      </c>
      <c r="T155" s="74">
        <f t="shared" si="156"/>
        <v>895.22133662141698</v>
      </c>
      <c r="U155" s="74">
        <f t="shared" si="157"/>
        <v>895.22133662141698</v>
      </c>
      <c r="V155" s="74">
        <f t="shared" si="158"/>
        <v>895.22133662141698</v>
      </c>
      <c r="W155" s="74">
        <f t="shared" si="159"/>
        <v>895.22133662141698</v>
      </c>
      <c r="X155" s="74">
        <f t="shared" si="160"/>
        <v>895.22133662141698</v>
      </c>
      <c r="Y155" s="74">
        <f t="shared" si="161"/>
        <v>895.22133662141698</v>
      </c>
      <c r="Z155" s="74">
        <f t="shared" si="162"/>
        <v>895.22133662141698</v>
      </c>
    </row>
    <row r="156" spans="1:26" outlineLevel="1" x14ac:dyDescent="0.25">
      <c r="A156" s="39" t="str">
        <f t="shared" si="99"/>
        <v>Estar ESDE240 (ГПБ К)</v>
      </c>
      <c r="B156" s="39"/>
      <c r="D156" s="101" t="str">
        <f t="shared" si="163"/>
        <v>Налог на прибыль</v>
      </c>
      <c r="E156" s="9" t="str">
        <f t="shared" si="163"/>
        <v>тыс. руб.</v>
      </c>
      <c r="F156" s="74">
        <f t="shared" si="163"/>
        <v>0</v>
      </c>
      <c r="G156" s="74">
        <f t="shared" si="164"/>
        <v>-27001.131793303015</v>
      </c>
      <c r="H156" s="74">
        <f t="shared" si="144"/>
        <v>-53200.411347721143</v>
      </c>
      <c r="I156" s="74">
        <f t="shared" si="145"/>
        <v>-87622.651458706328</v>
      </c>
      <c r="J156" s="74">
        <f t="shared" si="146"/>
        <v>-144762.39868528402</v>
      </c>
      <c r="K156" s="74">
        <f t="shared" si="147"/>
        <v>-163608.09028522574</v>
      </c>
      <c r="L156" s="74">
        <f t="shared" si="148"/>
        <v>-189695.56644942885</v>
      </c>
      <c r="M156" s="74">
        <f t="shared" si="149"/>
        <v>-204345.69290668931</v>
      </c>
      <c r="N156" s="74">
        <f t="shared" si="150"/>
        <v>-241058.60928681452</v>
      </c>
      <c r="O156" s="74">
        <f t="shared" si="151"/>
        <v>-252822.83879839088</v>
      </c>
      <c r="P156" s="74">
        <f t="shared" si="152"/>
        <v>-262936.82719163626</v>
      </c>
      <c r="Q156" s="74">
        <f t="shared" si="153"/>
        <v>-262936.82719163626</v>
      </c>
      <c r="R156" s="74">
        <f t="shared" si="154"/>
        <v>-262936.82719163626</v>
      </c>
      <c r="S156" s="74">
        <f t="shared" si="155"/>
        <v>-262936.82719163626</v>
      </c>
      <c r="T156" s="74">
        <f t="shared" si="156"/>
        <v>-262936.82719163626</v>
      </c>
      <c r="U156" s="74">
        <f t="shared" si="157"/>
        <v>-262936.82719163626</v>
      </c>
      <c r="V156" s="74">
        <f t="shared" si="158"/>
        <v>-262936.82719163626</v>
      </c>
      <c r="W156" s="74">
        <f t="shared" si="159"/>
        <v>-262936.82719163626</v>
      </c>
      <c r="X156" s="74">
        <f t="shared" si="160"/>
        <v>-262936.82719163626</v>
      </c>
      <c r="Y156" s="74">
        <f t="shared" si="161"/>
        <v>-262936.82719163626</v>
      </c>
      <c r="Z156" s="74">
        <f t="shared" si="162"/>
        <v>-262936.82719163626</v>
      </c>
    </row>
    <row r="157" spans="1:26" outlineLevel="1" x14ac:dyDescent="0.25">
      <c r="A157" s="39" t="str">
        <f t="shared" si="99"/>
        <v>Estar ESDE240 (ГПБ К)</v>
      </c>
      <c r="B157" s="39"/>
      <c r="D157" s="101"/>
      <c r="E157" s="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outlineLevel="1" x14ac:dyDescent="0.25">
      <c r="A158" s="39" t="str">
        <f t="shared" si="99"/>
        <v>Estar ESDE240 (ГПБ К)</v>
      </c>
      <c r="B158" s="39"/>
      <c r="D158" s="67" t="s">
        <v>90</v>
      </c>
      <c r="E158" s="68" t="str">
        <f>E139</f>
        <v>тыс. руб.</v>
      </c>
      <c r="F158" s="69">
        <f>F136*'ФОТ, МТР, макро'!AJ$13</f>
        <v>0</v>
      </c>
      <c r="G158" s="69">
        <f>G136*'ФОТ, МТР, макро'!AK$13</f>
        <v>0</v>
      </c>
      <c r="H158" s="69">
        <f>H136*'ФОТ, МТР, макро'!AL$13</f>
        <v>0</v>
      </c>
      <c r="I158" s="69">
        <f>I136*'ФОТ, МТР, макро'!AM$13</f>
        <v>0</v>
      </c>
      <c r="J158" s="69">
        <f>J136*'ФОТ, МТР, макро'!AN$13</f>
        <v>0</v>
      </c>
      <c r="K158" s="69">
        <f>K136*'ФОТ, МТР, макро'!AO$13</f>
        <v>0</v>
      </c>
      <c r="L158" s="69">
        <f>L136*'ФОТ, МТР, макро'!AP$13</f>
        <v>0</v>
      </c>
      <c r="M158" s="69">
        <f>M136*'ФОТ, МТР, макро'!AQ$13</f>
        <v>0</v>
      </c>
      <c r="N158" s="69">
        <f>N136*'ФОТ, МТР, макро'!AR$13</f>
        <v>0</v>
      </c>
      <c r="O158" s="69">
        <f>O136*'ФОТ, МТР, макро'!AS$13</f>
        <v>0</v>
      </c>
      <c r="P158" s="69">
        <f>P136*'ФОТ, МТР, макро'!AT$13</f>
        <v>0</v>
      </c>
      <c r="Q158" s="69">
        <f>Q136*'ФОТ, МТР, макро'!AU$13</f>
        <v>0</v>
      </c>
      <c r="R158" s="69">
        <f>R136*'ФОТ, МТР, макро'!AV$13</f>
        <v>0</v>
      </c>
      <c r="S158" s="69">
        <f>S136*'ФОТ, МТР, макро'!AW$13</f>
        <v>0</v>
      </c>
      <c r="T158" s="69">
        <f>T136*'ФОТ, МТР, макро'!AX$13</f>
        <v>0</v>
      </c>
      <c r="U158" s="69">
        <f>U136*'ФОТ, МТР, макро'!AY$13</f>
        <v>0</v>
      </c>
      <c r="V158" s="69">
        <f>V136*'ФОТ, МТР, макро'!AZ$13</f>
        <v>0</v>
      </c>
      <c r="W158" s="69">
        <f>W136*'ФОТ, МТР, макро'!BA$13</f>
        <v>0</v>
      </c>
      <c r="X158" s="69">
        <f>X136*'ФОТ, МТР, макро'!BB$13</f>
        <v>0</v>
      </c>
      <c r="Y158" s="69">
        <f>Y136*'ФОТ, МТР, макро'!BC$13</f>
        <v>0</v>
      </c>
      <c r="Z158" s="69">
        <f>Z136*'ФОТ, МТР, макро'!BD$13</f>
        <v>0</v>
      </c>
    </row>
    <row r="159" spans="1:26" outlineLevel="1" x14ac:dyDescent="0.25">
      <c r="A159" s="39" t="str">
        <f t="shared" si="99"/>
        <v>Estar ESDE240 (ГПБ К)</v>
      </c>
      <c r="B159" s="39"/>
      <c r="D159" s="101" t="str">
        <f>D137</f>
        <v>Самосвал</v>
      </c>
      <c r="E159" s="9" t="str">
        <f>E158</f>
        <v>тыс. руб.</v>
      </c>
      <c r="F159" s="74">
        <f>F137*'ФОТ, МТР, макро'!AJ$13</f>
        <v>0</v>
      </c>
      <c r="G159" s="74">
        <f>G137*'ФОТ, МТР, макро'!AK$13</f>
        <v>0</v>
      </c>
      <c r="H159" s="74">
        <f>H137*'ФОТ, МТР, макро'!AL$13</f>
        <v>0</v>
      </c>
      <c r="I159" s="74">
        <f>I137*'ФОТ, МТР, макро'!AM$13</f>
        <v>0</v>
      </c>
      <c r="J159" s="74">
        <f>J137*'ФОТ, МТР, макро'!AN$13</f>
        <v>0</v>
      </c>
      <c r="K159" s="74">
        <f>K137*'ФОТ, МТР, макро'!AO$13</f>
        <v>0</v>
      </c>
      <c r="L159" s="74">
        <f>L137*'ФОТ, МТР, макро'!AP$13</f>
        <v>0</v>
      </c>
      <c r="M159" s="74">
        <f>M137*'ФОТ, МТР, макро'!AQ$13</f>
        <v>0</v>
      </c>
      <c r="N159" s="74">
        <f>N137*'ФОТ, МТР, макро'!AR$13</f>
        <v>0</v>
      </c>
      <c r="O159" s="74">
        <f>O137*'ФОТ, МТР, макро'!AS$13</f>
        <v>0</v>
      </c>
      <c r="P159" s="74">
        <f>P137*'ФОТ, МТР, макро'!AT$13</f>
        <v>0</v>
      </c>
      <c r="Q159" s="74">
        <f>Q137*'ФОТ, МТР, макро'!AU$13</f>
        <v>0</v>
      </c>
      <c r="R159" s="74">
        <f>R137*'ФОТ, МТР, макро'!AV$13</f>
        <v>0</v>
      </c>
      <c r="S159" s="74">
        <f>S137*'ФОТ, МТР, макро'!AW$13</f>
        <v>0</v>
      </c>
      <c r="T159" s="74">
        <f>T137*'ФОТ, МТР, макро'!AX$13</f>
        <v>0</v>
      </c>
      <c r="U159" s="74">
        <f>U137*'ФОТ, МТР, макро'!AY$13</f>
        <v>0</v>
      </c>
      <c r="V159" s="74">
        <f>V137*'ФОТ, МТР, макро'!AZ$13</f>
        <v>0</v>
      </c>
      <c r="W159" s="74">
        <f>W137*'ФОТ, МТР, макро'!BA$13</f>
        <v>0</v>
      </c>
      <c r="X159" s="74">
        <f>X137*'ФОТ, МТР, макро'!BB$13</f>
        <v>0</v>
      </c>
      <c r="Y159" s="74">
        <f>Y137*'ФОТ, МТР, макро'!BC$13</f>
        <v>0</v>
      </c>
      <c r="Z159" s="74">
        <f>Z137*'ФОТ, МТР, макро'!BD$13</f>
        <v>0</v>
      </c>
    </row>
    <row r="160" spans="1:26" outlineLevel="1" x14ac:dyDescent="0.25">
      <c r="A160" s="39" t="str">
        <f t="shared" si="99"/>
        <v>Estar ESDE240 (ГПБ К)</v>
      </c>
      <c r="B160" s="39"/>
      <c r="D160" s="104" t="s">
        <v>88</v>
      </c>
      <c r="E160" s="9"/>
      <c r="F160" s="106">
        <f>F158-F159</f>
        <v>0</v>
      </c>
      <c r="G160" s="106">
        <f t="shared" ref="G160:H160" si="165">G158-G159</f>
        <v>0</v>
      </c>
      <c r="H160" s="106">
        <f t="shared" si="165"/>
        <v>0</v>
      </c>
      <c r="I160" s="106">
        <f t="shared" ref="I160:Z160" si="166">I158-I159</f>
        <v>0</v>
      </c>
      <c r="J160" s="106">
        <f t="shared" si="166"/>
        <v>0</v>
      </c>
      <c r="K160" s="106">
        <f t="shared" si="166"/>
        <v>0</v>
      </c>
      <c r="L160" s="106">
        <f t="shared" si="166"/>
        <v>0</v>
      </c>
      <c r="M160" s="106">
        <f t="shared" si="166"/>
        <v>0</v>
      </c>
      <c r="N160" s="106">
        <f t="shared" si="166"/>
        <v>0</v>
      </c>
      <c r="O160" s="106">
        <f t="shared" si="166"/>
        <v>0</v>
      </c>
      <c r="P160" s="106">
        <f t="shared" si="166"/>
        <v>0</v>
      </c>
      <c r="Q160" s="106">
        <f t="shared" si="166"/>
        <v>0</v>
      </c>
      <c r="R160" s="106">
        <f t="shared" si="166"/>
        <v>0</v>
      </c>
      <c r="S160" s="106">
        <f t="shared" si="166"/>
        <v>0</v>
      </c>
      <c r="T160" s="106">
        <f t="shared" si="166"/>
        <v>0</v>
      </c>
      <c r="U160" s="106">
        <f t="shared" si="166"/>
        <v>0</v>
      </c>
      <c r="V160" s="106">
        <f t="shared" si="166"/>
        <v>0</v>
      </c>
      <c r="W160" s="106">
        <f t="shared" si="166"/>
        <v>0</v>
      </c>
      <c r="X160" s="106">
        <f t="shared" si="166"/>
        <v>0</v>
      </c>
      <c r="Y160" s="106">
        <f t="shared" si="166"/>
        <v>0</v>
      </c>
      <c r="Z160" s="106">
        <f t="shared" si="166"/>
        <v>0</v>
      </c>
    </row>
    <row r="161" spans="1:29" outlineLevel="1" x14ac:dyDescent="0.25">
      <c r="A161" s="39" t="str">
        <f t="shared" si="99"/>
        <v>Estar ESDE240 (ГПБ К)</v>
      </c>
      <c r="B161" s="39"/>
      <c r="D161" s="107" t="s">
        <v>91</v>
      </c>
      <c r="E161" s="68" t="str">
        <f>E158</f>
        <v>тыс. руб.</v>
      </c>
      <c r="F161" s="69">
        <f>F158</f>
        <v>0</v>
      </c>
      <c r="G161" s="69">
        <f>F161+G158</f>
        <v>0</v>
      </c>
      <c r="H161" s="69">
        <f t="shared" ref="H161:H162" si="167">G161+H158</f>
        <v>0</v>
      </c>
      <c r="I161" s="69">
        <f t="shared" ref="I161:I162" si="168">H161+I158</f>
        <v>0</v>
      </c>
      <c r="J161" s="69">
        <f t="shared" ref="J161:J162" si="169">I161+J158</f>
        <v>0</v>
      </c>
      <c r="K161" s="69">
        <f t="shared" ref="K161:K162" si="170">J161+K158</f>
        <v>0</v>
      </c>
      <c r="L161" s="69">
        <f t="shared" ref="L161:L162" si="171">K161+L158</f>
        <v>0</v>
      </c>
      <c r="M161" s="69">
        <f t="shared" ref="M161:M162" si="172">L161+M158</f>
        <v>0</v>
      </c>
      <c r="N161" s="69">
        <f t="shared" ref="N161:N162" si="173">M161+N158</f>
        <v>0</v>
      </c>
      <c r="O161" s="69">
        <f t="shared" ref="O161:O162" si="174">N161+O158</f>
        <v>0</v>
      </c>
      <c r="P161" s="69">
        <f t="shared" ref="P161:P162" si="175">O161+P158</f>
        <v>0</v>
      </c>
      <c r="Q161" s="69">
        <f t="shared" ref="Q161:Q162" si="176">P161+Q158</f>
        <v>0</v>
      </c>
      <c r="R161" s="69">
        <f t="shared" ref="R161:R162" si="177">Q161+R158</f>
        <v>0</v>
      </c>
      <c r="S161" s="69">
        <f t="shared" ref="S161:S162" si="178">R161+S158</f>
        <v>0</v>
      </c>
      <c r="T161" s="69">
        <f t="shared" ref="T161:T162" si="179">S161+T158</f>
        <v>0</v>
      </c>
      <c r="U161" s="69">
        <f t="shared" ref="U161:U162" si="180">T161+U158</f>
        <v>0</v>
      </c>
      <c r="V161" s="69">
        <f t="shared" ref="V161:V162" si="181">U161+V158</f>
        <v>0</v>
      </c>
      <c r="W161" s="69">
        <f t="shared" ref="W161:W162" si="182">V161+W158</f>
        <v>0</v>
      </c>
      <c r="X161" s="69">
        <f t="shared" ref="X161:X162" si="183">W161+X158</f>
        <v>0</v>
      </c>
      <c r="Y161" s="69">
        <f t="shared" ref="Y161:Y162" si="184">X161+Y158</f>
        <v>0</v>
      </c>
      <c r="Z161" s="69">
        <f t="shared" ref="Z161:Z162" si="185">Y161+Z158</f>
        <v>0</v>
      </c>
    </row>
    <row r="162" spans="1:29" outlineLevel="1" x14ac:dyDescent="0.25">
      <c r="A162" s="39" t="str">
        <f t="shared" si="99"/>
        <v>Estar ESDE240 (ГПБ К)</v>
      </c>
      <c r="B162" s="39"/>
      <c r="D162" s="101" t="str">
        <f>D159</f>
        <v>Самосвал</v>
      </c>
      <c r="E162" s="9" t="str">
        <f>E159</f>
        <v>тыс. руб.</v>
      </c>
      <c r="F162" s="74">
        <f>F159</f>
        <v>0</v>
      </c>
      <c r="G162" s="74">
        <f>F162+G159</f>
        <v>0</v>
      </c>
      <c r="H162" s="74">
        <f t="shared" si="167"/>
        <v>0</v>
      </c>
      <c r="I162" s="74">
        <f t="shared" si="168"/>
        <v>0</v>
      </c>
      <c r="J162" s="74">
        <f t="shared" si="169"/>
        <v>0</v>
      </c>
      <c r="K162" s="74">
        <f t="shared" si="170"/>
        <v>0</v>
      </c>
      <c r="L162" s="74">
        <f t="shared" si="171"/>
        <v>0</v>
      </c>
      <c r="M162" s="74">
        <f t="shared" si="172"/>
        <v>0</v>
      </c>
      <c r="N162" s="74">
        <f t="shared" si="173"/>
        <v>0</v>
      </c>
      <c r="O162" s="74">
        <f t="shared" si="174"/>
        <v>0</v>
      </c>
      <c r="P162" s="74">
        <f t="shared" si="175"/>
        <v>0</v>
      </c>
      <c r="Q162" s="74">
        <f t="shared" si="176"/>
        <v>0</v>
      </c>
      <c r="R162" s="74">
        <f t="shared" si="177"/>
        <v>0</v>
      </c>
      <c r="S162" s="74">
        <f t="shared" si="178"/>
        <v>0</v>
      </c>
      <c r="T162" s="74">
        <f t="shared" si="179"/>
        <v>0</v>
      </c>
      <c r="U162" s="74">
        <f t="shared" si="180"/>
        <v>0</v>
      </c>
      <c r="V162" s="74">
        <f t="shared" si="181"/>
        <v>0</v>
      </c>
      <c r="W162" s="74">
        <f t="shared" si="182"/>
        <v>0</v>
      </c>
      <c r="X162" s="74">
        <f t="shared" si="183"/>
        <v>0</v>
      </c>
      <c r="Y162" s="74">
        <f t="shared" si="184"/>
        <v>0</v>
      </c>
      <c r="Z162" s="74">
        <f t="shared" si="185"/>
        <v>0</v>
      </c>
    </row>
    <row r="163" spans="1:29" outlineLevel="1" x14ac:dyDescent="0.25">
      <c r="A163" s="39" t="str">
        <f t="shared" si="99"/>
        <v>Estar ESDE240 (ГПБ К)</v>
      </c>
      <c r="B163" s="39"/>
      <c r="D163" s="101"/>
      <c r="E163" s="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9" outlineLevel="1" x14ac:dyDescent="0.25">
      <c r="A164" s="39" t="str">
        <f t="shared" si="99"/>
        <v>Estar ESDE240 (ГПБ К)</v>
      </c>
      <c r="B164" s="39"/>
      <c r="D164" s="67" t="s">
        <v>92</v>
      </c>
      <c r="E164" s="68" t="str">
        <f>E139</f>
        <v>тыс. руб.</v>
      </c>
      <c r="F164" s="69">
        <f>F139*'ФОТ, МТР, макро'!AJ$13</f>
        <v>0</v>
      </c>
      <c r="G164" s="69">
        <f>G139*'ФОТ, МТР, макро'!AK$13</f>
        <v>81003.395379909038</v>
      </c>
      <c r="H164" s="69">
        <f>H139*'ФОТ, МТР, макро'!AL$13</f>
        <v>78597.838663254384</v>
      </c>
      <c r="I164" s="69">
        <f>I139*'ФОТ, МТР, макро'!AM$13</f>
        <v>103266.72033295556</v>
      </c>
      <c r="J164" s="69">
        <f>J139*'ФОТ, МТР, макро'!AN$13</f>
        <v>171419.24167973304</v>
      </c>
      <c r="K164" s="69">
        <f>K139*'ФОТ, МТР, макро'!AO$13</f>
        <v>56537.074799825197</v>
      </c>
      <c r="L164" s="69">
        <f>L139*'ФОТ, МТР, макро'!AP$13</f>
        <v>78262.428492609324</v>
      </c>
      <c r="M164" s="69">
        <f>M139*'ФОТ, МТР, макро'!AQ$13</f>
        <v>43950.379371781346</v>
      </c>
      <c r="N164" s="69">
        <f>N139*'ФОТ, МТР, макро'!AR$13</f>
        <v>110138.74914037567</v>
      </c>
      <c r="O164" s="69">
        <f>O139*'ФОТ, МТР, макро'!AS$13</f>
        <v>35292.688534729037</v>
      </c>
      <c r="P164" s="69">
        <f>P139*'ФОТ, МТР, макро'!AT$13</f>
        <v>30341.965179736148</v>
      </c>
      <c r="Q164" s="69">
        <f>Q139*'ФОТ, МТР, макро'!AU$13</f>
        <v>0</v>
      </c>
      <c r="R164" s="69">
        <f>R139*'ФОТ, МТР, макро'!AV$13</f>
        <v>0</v>
      </c>
      <c r="S164" s="69">
        <f>S139*'ФОТ, МТР, макро'!AW$13</f>
        <v>0</v>
      </c>
      <c r="T164" s="69">
        <f>T139*'ФОТ, МТР, макро'!AX$13</f>
        <v>0</v>
      </c>
      <c r="U164" s="69">
        <f>U139*'ФОТ, МТР, макро'!AY$13</f>
        <v>0</v>
      </c>
      <c r="V164" s="69">
        <f>V139*'ФОТ, МТР, макро'!AZ$13</f>
        <v>0</v>
      </c>
      <c r="W164" s="69">
        <f>W139*'ФОТ, МТР, макро'!BA$13</f>
        <v>0</v>
      </c>
      <c r="X164" s="69">
        <f>X139*'ФОТ, МТР, макро'!BB$13</f>
        <v>0</v>
      </c>
      <c r="Y164" s="69">
        <f>Y139*'ФОТ, МТР, макро'!BC$13</f>
        <v>0</v>
      </c>
      <c r="Z164" s="69">
        <f>Z139*'ФОТ, МТР, макро'!BD$13</f>
        <v>0</v>
      </c>
    </row>
    <row r="165" spans="1:29" outlineLevel="1" x14ac:dyDescent="0.25">
      <c r="A165" s="39" t="str">
        <f t="shared" si="99"/>
        <v>Estar ESDE240 (ГПБ К)</v>
      </c>
      <c r="B165" s="39"/>
      <c r="D165" s="107" t="s">
        <v>93</v>
      </c>
      <c r="E165" s="68" t="str">
        <f>E164</f>
        <v>тыс. руб.</v>
      </c>
      <c r="F165" s="69">
        <f>F164</f>
        <v>0</v>
      </c>
      <c r="G165" s="69">
        <f>F165+G164</f>
        <v>81003.395379909038</v>
      </c>
      <c r="H165" s="69">
        <f t="shared" ref="H165" si="186">G165+H164</f>
        <v>159601.23404316342</v>
      </c>
      <c r="I165" s="69">
        <f t="shared" ref="I165" si="187">H165+I164</f>
        <v>262867.95437611896</v>
      </c>
      <c r="J165" s="69">
        <f t="shared" ref="J165" si="188">I165+J164</f>
        <v>434287.19605585199</v>
      </c>
      <c r="K165" s="69">
        <f t="shared" ref="K165" si="189">J165+K164</f>
        <v>490824.2708556772</v>
      </c>
      <c r="L165" s="69">
        <f t="shared" ref="L165" si="190">K165+L164</f>
        <v>569086.69934828649</v>
      </c>
      <c r="M165" s="69">
        <f t="shared" ref="M165" si="191">L165+M164</f>
        <v>613037.07872006786</v>
      </c>
      <c r="N165" s="69">
        <f t="shared" ref="N165" si="192">M165+N164</f>
        <v>723175.8278604435</v>
      </c>
      <c r="O165" s="69">
        <f t="shared" ref="O165" si="193">N165+O164</f>
        <v>758468.51639517257</v>
      </c>
      <c r="P165" s="69">
        <f t="shared" ref="P165" si="194">O165+P164</f>
        <v>788810.48157490871</v>
      </c>
      <c r="Q165" s="69">
        <f t="shared" ref="Q165" si="195">P165+Q164</f>
        <v>788810.48157490871</v>
      </c>
      <c r="R165" s="69">
        <f t="shared" ref="R165" si="196">Q165+R164</f>
        <v>788810.48157490871</v>
      </c>
      <c r="S165" s="69">
        <f t="shared" ref="S165" si="197">R165+S164</f>
        <v>788810.48157490871</v>
      </c>
      <c r="T165" s="69">
        <f t="shared" ref="T165" si="198">S165+T164</f>
        <v>788810.48157490871</v>
      </c>
      <c r="U165" s="69">
        <f t="shared" ref="U165" si="199">T165+U164</f>
        <v>788810.48157490871</v>
      </c>
      <c r="V165" s="69">
        <f t="shared" ref="V165" si="200">U165+V164</f>
        <v>788810.48157490871</v>
      </c>
      <c r="W165" s="69">
        <f t="shared" ref="W165" si="201">V165+W164</f>
        <v>788810.48157490871</v>
      </c>
      <c r="X165" s="69">
        <f t="shared" ref="X165" si="202">W165+X164</f>
        <v>788810.48157490871</v>
      </c>
      <c r="Y165" s="69">
        <f t="shared" ref="Y165" si="203">X165+Y164</f>
        <v>788810.48157490871</v>
      </c>
      <c r="Z165" s="69">
        <f t="shared" ref="Z165" si="204">Y165+Z164</f>
        <v>788810.48157490871</v>
      </c>
    </row>
    <row r="166" spans="1:29" outlineLevel="1" x14ac:dyDescent="0.25">
      <c r="A166" s="39" t="str">
        <f t="shared" ref="A166:A188" si="205">A165</f>
        <v>Estar ESDE240 (ГПБ К)</v>
      </c>
      <c r="B166" s="39"/>
      <c r="D166" s="101"/>
      <c r="E166" s="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9" outlineLevel="1" x14ac:dyDescent="0.25">
      <c r="A167" s="39" t="str">
        <f t="shared" si="205"/>
        <v>Estar ESDE240 (ГПБ К)</v>
      </c>
      <c r="B167" s="39" t="str">
        <f>D167</f>
        <v>Аннуитет операционный</v>
      </c>
      <c r="C167" s="61">
        <f>E98</f>
        <v>10</v>
      </c>
      <c r="D167" s="108" t="s">
        <v>94</v>
      </c>
      <c r="E167" s="109" t="s">
        <v>95</v>
      </c>
      <c r="F167" s="110"/>
      <c r="G167" s="111">
        <f>G149/'ФОТ, МТР, макро'!AK$14/(G105/G100)</f>
        <v>8.6045865423104448</v>
      </c>
      <c r="H167" s="111">
        <f>H149/'ФОТ, МТР, макро'!AL$14/(H105/H100)</f>
        <v>8.8814586847678285</v>
      </c>
      <c r="I167" s="111">
        <f>I149/'ФОТ, МТР, макро'!AM$14/(I105/I100)</f>
        <v>10.235790908596842</v>
      </c>
      <c r="J167" s="111">
        <f>J149/'ФОТ, МТР, макро'!AN$14/(J105/J100)</f>
        <v>13.540844994577462</v>
      </c>
      <c r="K167" s="111">
        <f>K149/'ФОТ, МТР, макро'!AO$14/(K105/K100)</f>
        <v>12.559408286790804</v>
      </c>
      <c r="L167" s="111">
        <f>L149/'ФОТ, МТР, макро'!AP$14/(L105/L100)</f>
        <v>12.689638272823984</v>
      </c>
      <c r="M167" s="111">
        <f>M149/'ФОТ, МТР, макро'!AQ$14/(M105/M100)</f>
        <v>12.203517455370701</v>
      </c>
      <c r="N167" s="111">
        <f>N149/'ФОТ, МТР, макро'!AR$14/(N105/N100)</f>
        <v>13.27958828686338</v>
      </c>
      <c r="O167" s="111">
        <f>O149/'ФОТ, МТР, макро'!AS$14/(O105/O100)</f>
        <v>12.886040974868163</v>
      </c>
      <c r="P167" s="111">
        <f>P149/'ФОТ, МТР, макро'!AT$14/(P105/P100)</f>
        <v>12.629210716610499</v>
      </c>
      <c r="Q167" s="111" t="e">
        <f>Q149/'ФОТ, МТР, макро'!AU$14/(Q105/Q100)</f>
        <v>#DIV/0!</v>
      </c>
      <c r="R167" s="111" t="e">
        <f>R149/'ФОТ, МТР, макро'!AV$14/(R105/R100)</f>
        <v>#DIV/0!</v>
      </c>
      <c r="S167" s="111" t="e">
        <f>S149/'ФОТ, МТР, макро'!AW$14/(S105/S100)</f>
        <v>#DIV/0!</v>
      </c>
      <c r="T167" s="111" t="e">
        <f>T149/'ФОТ, МТР, макро'!AX$14/(T105/T100)</f>
        <v>#DIV/0!</v>
      </c>
      <c r="U167" s="111" t="e">
        <f>U149/'ФОТ, МТР, макро'!AY$14/(U105/U100)</f>
        <v>#DIV/0!</v>
      </c>
      <c r="V167" s="111" t="e">
        <f>V149/'ФОТ, МТР, макро'!AZ$14/(V105/V100)</f>
        <v>#DIV/0!</v>
      </c>
      <c r="W167" s="111" t="e">
        <f>W149/'ФОТ, МТР, макро'!BA$14/(W105/W100)</f>
        <v>#DIV/0!</v>
      </c>
      <c r="X167" s="111" t="e">
        <f>X149/'ФОТ, МТР, макро'!BB$14/(X105/X100)</f>
        <v>#DIV/0!</v>
      </c>
      <c r="Y167" s="111" t="e">
        <f>Y149/'ФОТ, МТР, макро'!BC$14/(Y105/Y100)</f>
        <v>#DIV/0!</v>
      </c>
      <c r="Z167" s="111" t="e">
        <f>Z149/'ФОТ, МТР, макро'!BD$14/(Z105/Z100)</f>
        <v>#DIV/0!</v>
      </c>
      <c r="AC167" s="112" cm="1">
        <f t="array" ref="AC167">INDEX(G167:Z167,1,$C167)</f>
        <v>12.629210716610499</v>
      </c>
    </row>
    <row r="168" spans="1:29" outlineLevel="1" x14ac:dyDescent="0.25">
      <c r="A168" s="39" t="str">
        <f t="shared" si="205"/>
        <v>Estar ESDE240 (ГПБ К)</v>
      </c>
      <c r="B168" s="39" t="str">
        <f t="shared" ref="B168:B177" si="206">D168</f>
        <v>ТО, ТР, ППР</v>
      </c>
      <c r="C168" s="39">
        <f>C167</f>
        <v>10</v>
      </c>
      <c r="D168" s="113" t="str">
        <f>D150</f>
        <v>ТО, ТР, ППР</v>
      </c>
      <c r="E168" s="114" t="str">
        <f>E167</f>
        <v>руб/ткм</v>
      </c>
      <c r="F168" s="115"/>
      <c r="G168" s="116">
        <f>G150/'ФОТ, МТР, макро'!AK$14/(G105/G100)</f>
        <v>1.6103121863217549</v>
      </c>
      <c r="H168" s="116">
        <f>H150/'ФОТ, МТР, макро'!AL$14/(H105/H100)</f>
        <v>1.9981563935281177</v>
      </c>
      <c r="I168" s="116">
        <f>I150/'ФОТ, МТР, макро'!AM$14/(I105/I100)</f>
        <v>3.8175167294609831</v>
      </c>
      <c r="J168" s="116">
        <f>J150/'ФОТ, МТР, макро'!AN$14/(J105/J100)</f>
        <v>8.1841381762175764</v>
      </c>
      <c r="K168" s="116">
        <f>K150/'ФОТ, МТР, макро'!AO$14/(K105/K100)</f>
        <v>6.9681449910791367</v>
      </c>
      <c r="L168" s="116">
        <f>L150/'ФОТ, МТР, макро'!AP$14/(L105/L100)</f>
        <v>7.1605072752290635</v>
      </c>
      <c r="M168" s="116">
        <f>M150/'ФОТ, МТР, макро'!AQ$14/(M105/M100)</f>
        <v>6.545395821383714</v>
      </c>
      <c r="N168" s="116">
        <f>N150/'ФОТ, МТР, макро'!AR$14/(N105/N100)</f>
        <v>7.9568720863635356</v>
      </c>
      <c r="O168" s="116">
        <f>O150/'ФОТ, МТР, макро'!AS$14/(O105/O100)</f>
        <v>7.4658142696817809</v>
      </c>
      <c r="P168" s="116">
        <f>P150/'ФОТ, МТР, макро'!AT$14/(P105/P100)</f>
        <v>7.1230850672977457</v>
      </c>
      <c r="Q168" s="116" t="e">
        <f>Q150/'ФОТ, МТР, макро'!AU$14/(Q105/Q100)</f>
        <v>#DIV/0!</v>
      </c>
      <c r="R168" s="116" t="e">
        <f>R150/'ФОТ, МТР, макро'!AV$14/(R105/R100)</f>
        <v>#DIV/0!</v>
      </c>
      <c r="S168" s="116" t="e">
        <f>S150/'ФОТ, МТР, макро'!AW$14/(S105/S100)</f>
        <v>#DIV/0!</v>
      </c>
      <c r="T168" s="116" t="e">
        <f>T150/'ФОТ, МТР, макро'!AX$14/(T105/T100)</f>
        <v>#DIV/0!</v>
      </c>
      <c r="U168" s="116" t="e">
        <f>U150/'ФОТ, МТР, макро'!AY$14/(U105/U100)</f>
        <v>#DIV/0!</v>
      </c>
      <c r="V168" s="116" t="e">
        <f>V150/'ФОТ, МТР, макро'!AZ$14/(V105/V100)</f>
        <v>#DIV/0!</v>
      </c>
      <c r="W168" s="116" t="e">
        <f>W150/'ФОТ, МТР, макро'!BA$14/(W105/W100)</f>
        <v>#DIV/0!</v>
      </c>
      <c r="X168" s="116" t="e">
        <f>X150/'ФОТ, МТР, макро'!BB$14/(X105/X100)</f>
        <v>#DIV/0!</v>
      </c>
      <c r="Y168" s="116" t="e">
        <f>Y150/'ФОТ, МТР, макро'!BC$14/(Y105/Y100)</f>
        <v>#DIV/0!</v>
      </c>
      <c r="Z168" s="116" t="e">
        <f>Z150/'ФОТ, МТР, макро'!BD$14/(Z105/Z100)</f>
        <v>#DIV/0!</v>
      </c>
      <c r="AC168" s="117" cm="1">
        <f t="array" ref="AC168">INDEX(G168:Z168,1,$C168)</f>
        <v>7.1230850672977457</v>
      </c>
    </row>
    <row r="169" spans="1:29" outlineLevel="1" x14ac:dyDescent="0.25">
      <c r="A169" s="39" t="str">
        <f t="shared" si="205"/>
        <v>Estar ESDE240 (ГПБ К)</v>
      </c>
      <c r="B169" s="39" t="str">
        <f t="shared" si="206"/>
        <v>Шины</v>
      </c>
      <c r="C169" s="39">
        <f t="shared" ref="C169:C177" si="207">C168</f>
        <v>10</v>
      </c>
      <c r="D169" s="113" t="str">
        <f t="shared" ref="D169:D174" si="208">D151</f>
        <v>Шины</v>
      </c>
      <c r="E169" s="114" t="str">
        <f t="shared" ref="E169:E174" si="209">E168</f>
        <v>руб/ткм</v>
      </c>
      <c r="F169" s="115"/>
      <c r="G169" s="116">
        <f>G151/'ФОТ, МТР, макро'!AK$14/(G105/G100)</f>
        <v>2.1534450632326938</v>
      </c>
      <c r="H169" s="116">
        <f>H151/'ФОТ, МТР, макро'!AL$14/(H105/H100)</f>
        <v>2.1524218822833756</v>
      </c>
      <c r="I169" s="116">
        <f>I151/'ФОТ, МТР, макро'!AM$14/(I105/I100)</f>
        <v>2.1514005363246023</v>
      </c>
      <c r="J169" s="116">
        <f>J151/'ФОТ, МТР, макро'!AN$14/(J105/J100)</f>
        <v>2.1562318227915798</v>
      </c>
      <c r="K169" s="116">
        <f>K151/'ФОТ, МТР, макро'!AO$14/(K105/K100)</f>
        <v>2.143808033540096</v>
      </c>
      <c r="L169" s="116">
        <f>L151/'ФОТ, МТР, макро'!AP$14/(L105/L100)</f>
        <v>2.1416196734326358</v>
      </c>
      <c r="M169" s="116">
        <f>M151/'ФОТ, МТР, макро'!AQ$14/(M105/M100)</f>
        <v>2.1369326227544572</v>
      </c>
      <c r="N169" s="116">
        <f>N151/'ФОТ, МТР, макро'!AR$14/(N105/N100)</f>
        <v>2.141287603347052</v>
      </c>
      <c r="O169" s="116">
        <f>O151/'ФОТ, МТР, макро'!AS$14/(O105/O100)</f>
        <v>2.135778236447524</v>
      </c>
      <c r="P169" s="116">
        <f>P151/'ФОТ, МТР, макро'!AT$14/(P105/P100)</f>
        <v>2.1361622546798662</v>
      </c>
      <c r="Q169" s="116" t="e">
        <f>Q151/'ФОТ, МТР, макро'!AU$14/(Q105/Q100)</f>
        <v>#DIV/0!</v>
      </c>
      <c r="R169" s="116" t="e">
        <f>R151/'ФОТ, МТР, макро'!AV$14/(R105/R100)</f>
        <v>#DIV/0!</v>
      </c>
      <c r="S169" s="116" t="e">
        <f>S151/'ФОТ, МТР, макро'!AW$14/(S105/S100)</f>
        <v>#DIV/0!</v>
      </c>
      <c r="T169" s="116" t="e">
        <f>T151/'ФОТ, МТР, макро'!AX$14/(T105/T100)</f>
        <v>#DIV/0!</v>
      </c>
      <c r="U169" s="116" t="e">
        <f>U151/'ФОТ, МТР, макро'!AY$14/(U105/U100)</f>
        <v>#DIV/0!</v>
      </c>
      <c r="V169" s="116" t="e">
        <f>V151/'ФОТ, МТР, макро'!AZ$14/(V105/V100)</f>
        <v>#DIV/0!</v>
      </c>
      <c r="W169" s="116" t="e">
        <f>W151/'ФОТ, МТР, макро'!BA$14/(W105/W100)</f>
        <v>#DIV/0!</v>
      </c>
      <c r="X169" s="116" t="e">
        <f>X151/'ФОТ, МТР, макро'!BB$14/(X105/X100)</f>
        <v>#DIV/0!</v>
      </c>
      <c r="Y169" s="116" t="e">
        <f>Y151/'ФОТ, МТР, макро'!BC$14/(Y105/Y100)</f>
        <v>#DIV/0!</v>
      </c>
      <c r="Z169" s="116" t="e">
        <f>Z151/'ФОТ, МТР, макро'!BD$14/(Z105/Z100)</f>
        <v>#DIV/0!</v>
      </c>
      <c r="AC169" s="117" cm="1">
        <f t="array" ref="AC169">INDEX(G169:Z169,1,$C169)</f>
        <v>2.1361622546798662</v>
      </c>
    </row>
    <row r="170" spans="1:29" outlineLevel="1" x14ac:dyDescent="0.25">
      <c r="A170" s="39" t="str">
        <f t="shared" si="205"/>
        <v>Estar ESDE240 (ГПБ К)</v>
      </c>
      <c r="B170" s="39" t="str">
        <f t="shared" si="206"/>
        <v>Топливо</v>
      </c>
      <c r="C170" s="39">
        <f t="shared" si="207"/>
        <v>10</v>
      </c>
      <c r="D170" s="113" t="str">
        <f t="shared" si="208"/>
        <v>Топливо</v>
      </c>
      <c r="E170" s="114" t="str">
        <f t="shared" si="209"/>
        <v>руб/ткм</v>
      </c>
      <c r="F170" s="115"/>
      <c r="G170" s="116">
        <f>G152/'ФОТ, МТР, макро'!AK$14/(G105/G100)</f>
        <v>5.9417027538616871</v>
      </c>
      <c r="H170" s="116">
        <f>H152/'ФОТ, МТР, макро'!AL$14/(H105/H100)</f>
        <v>5.9388796323583524</v>
      </c>
      <c r="I170" s="116">
        <f>I152/'ФОТ, МТР, макро'!AM$14/(I105/I100)</f>
        <v>5.936061573890318</v>
      </c>
      <c r="J170" s="116">
        <f>J152/'ФОТ, МТР, макро'!AN$14/(J105/J100)</f>
        <v>5.9493918736020017</v>
      </c>
      <c r="K170" s="116">
        <f>K152/'ФОТ, МТР, макро'!AO$14/(K105/K100)</f>
        <v>5.9151126323669718</v>
      </c>
      <c r="L170" s="116">
        <f>L152/'ФОТ, МТР, макро'!AP$14/(L105/L100)</f>
        <v>5.9090745933666087</v>
      </c>
      <c r="M170" s="116">
        <f>M152/'ФОТ, МТР, макро'!AQ$14/(M105/M100)</f>
        <v>5.8961422634931848</v>
      </c>
      <c r="N170" s="116">
        <f>N152/'ФОТ, МТР, макро'!AR$14/(N105/N100)</f>
        <v>5.9081583583645294</v>
      </c>
      <c r="O170" s="116">
        <f>O152/'ФОТ, МТР, макро'!AS$14/(O105/O100)</f>
        <v>5.8929571252159025</v>
      </c>
      <c r="P170" s="116">
        <f>P152/'ФОТ, МТР, макро'!AT$14/(P105/P100)</f>
        <v>5.8940166935455505</v>
      </c>
      <c r="Q170" s="116" t="e">
        <f>Q152/'ФОТ, МТР, макро'!AU$14/(Q105/Q100)</f>
        <v>#DIV/0!</v>
      </c>
      <c r="R170" s="116" t="e">
        <f>R152/'ФОТ, МТР, макро'!AV$14/(R105/R100)</f>
        <v>#DIV/0!</v>
      </c>
      <c r="S170" s="116" t="e">
        <f>S152/'ФОТ, МТР, макро'!AW$14/(S105/S100)</f>
        <v>#DIV/0!</v>
      </c>
      <c r="T170" s="116" t="e">
        <f>T152/'ФОТ, МТР, макро'!AX$14/(T105/T100)</f>
        <v>#DIV/0!</v>
      </c>
      <c r="U170" s="116" t="e">
        <f>U152/'ФОТ, МТР, макро'!AY$14/(U105/U100)</f>
        <v>#DIV/0!</v>
      </c>
      <c r="V170" s="116" t="e">
        <f>V152/'ФОТ, МТР, макро'!AZ$14/(V105/V100)</f>
        <v>#DIV/0!</v>
      </c>
      <c r="W170" s="116" t="e">
        <f>W152/'ФОТ, МТР, макро'!BA$14/(W105/W100)</f>
        <v>#DIV/0!</v>
      </c>
      <c r="X170" s="116" t="e">
        <f>X152/'ФОТ, МТР, макро'!BB$14/(X105/X100)</f>
        <v>#DIV/0!</v>
      </c>
      <c r="Y170" s="116" t="e">
        <f>Y152/'ФОТ, МТР, макро'!BC$14/(Y105/Y100)</f>
        <v>#DIV/0!</v>
      </c>
      <c r="Z170" s="116" t="e">
        <f>Z152/'ФОТ, МТР, макро'!BD$14/(Z105/Z100)</f>
        <v>#DIV/0!</v>
      </c>
      <c r="AC170" s="117" cm="1">
        <f t="array" ref="AC170">INDEX(G170:Z170,1,$C170)</f>
        <v>5.8940166935455505</v>
      </c>
    </row>
    <row r="171" spans="1:29" outlineLevel="1" x14ac:dyDescent="0.25">
      <c r="A171" s="39" t="str">
        <f t="shared" si="205"/>
        <v>Estar ESDE240 (ГПБ К)</v>
      </c>
      <c r="B171" s="39" t="str">
        <f t="shared" si="206"/>
        <v>Смазочные</v>
      </c>
      <c r="C171" s="39">
        <f t="shared" si="207"/>
        <v>10</v>
      </c>
      <c r="D171" s="113" t="str">
        <f t="shared" si="208"/>
        <v>Смазочные</v>
      </c>
      <c r="E171" s="114" t="str">
        <f t="shared" si="209"/>
        <v>руб/ткм</v>
      </c>
      <c r="F171" s="115"/>
      <c r="G171" s="116">
        <f>G153/'ФОТ, МТР, макро'!AK$14/(G105/G100)</f>
        <v>0</v>
      </c>
      <c r="H171" s="116">
        <f>H153/'ФОТ, МТР, макро'!AL$14/(H105/H100)</f>
        <v>0</v>
      </c>
      <c r="I171" s="116">
        <f>I153/'ФОТ, МТР, макро'!AM$14/(I105/I100)</f>
        <v>0</v>
      </c>
      <c r="J171" s="116">
        <f>J153/'ФОТ, МТР, макро'!AN$14/(J105/J100)</f>
        <v>0</v>
      </c>
      <c r="K171" s="116">
        <f>K153/'ФОТ, МТР, макро'!AO$14/(K105/K100)</f>
        <v>0</v>
      </c>
      <c r="L171" s="116">
        <f>L153/'ФОТ, МТР, макро'!AP$14/(L105/L100)</f>
        <v>0</v>
      </c>
      <c r="M171" s="116">
        <f>M153/'ФОТ, МТР, макро'!AQ$14/(M105/M100)</f>
        <v>0</v>
      </c>
      <c r="N171" s="116">
        <f>N153/'ФОТ, МТР, макро'!AR$14/(N105/N100)</f>
        <v>0</v>
      </c>
      <c r="O171" s="116">
        <f>O153/'ФОТ, МТР, макро'!AS$14/(O105/O100)</f>
        <v>0</v>
      </c>
      <c r="P171" s="116">
        <f>P153/'ФОТ, МТР, макро'!AT$14/(P105/P100)</f>
        <v>0</v>
      </c>
      <c r="Q171" s="116" t="e">
        <f>Q153/'ФОТ, МТР, макро'!AU$14/(Q105/Q100)</f>
        <v>#DIV/0!</v>
      </c>
      <c r="R171" s="116" t="e">
        <f>R153/'ФОТ, МТР, макро'!AV$14/(R105/R100)</f>
        <v>#DIV/0!</v>
      </c>
      <c r="S171" s="116" t="e">
        <f>S153/'ФОТ, МТР, макро'!AW$14/(S105/S100)</f>
        <v>#DIV/0!</v>
      </c>
      <c r="T171" s="116" t="e">
        <f>T153/'ФОТ, МТР, макро'!AX$14/(T105/T100)</f>
        <v>#DIV/0!</v>
      </c>
      <c r="U171" s="116" t="e">
        <f>U153/'ФОТ, МТР, макро'!AY$14/(U105/U100)</f>
        <v>#DIV/0!</v>
      </c>
      <c r="V171" s="116" t="e">
        <f>V153/'ФОТ, МТР, макро'!AZ$14/(V105/V100)</f>
        <v>#DIV/0!</v>
      </c>
      <c r="W171" s="116" t="e">
        <f>W153/'ФОТ, МТР, макро'!BA$14/(W105/W100)</f>
        <v>#DIV/0!</v>
      </c>
      <c r="X171" s="116" t="e">
        <f>X153/'ФОТ, МТР, макро'!BB$14/(X105/X100)</f>
        <v>#DIV/0!</v>
      </c>
      <c r="Y171" s="116" t="e">
        <f>Y153/'ФОТ, МТР, макро'!BC$14/(Y105/Y100)</f>
        <v>#DIV/0!</v>
      </c>
      <c r="Z171" s="116" t="e">
        <f>Z153/'ФОТ, МТР, макро'!BD$14/(Z105/Z100)</f>
        <v>#DIV/0!</v>
      </c>
      <c r="AC171" s="117" cm="1">
        <f t="array" ref="AC171">INDEX(G171:Z171,1,$C171)</f>
        <v>0</v>
      </c>
    </row>
    <row r="172" spans="1:29" outlineLevel="1" x14ac:dyDescent="0.25">
      <c r="A172" s="39" t="str">
        <f t="shared" si="205"/>
        <v>Estar ESDE240 (ГПБ К)</v>
      </c>
      <c r="B172" s="39" t="str">
        <f t="shared" si="206"/>
        <v>Затраты на персонал</v>
      </c>
      <c r="C172" s="39">
        <f t="shared" si="207"/>
        <v>10</v>
      </c>
      <c r="D172" s="113" t="str">
        <f t="shared" si="208"/>
        <v>Затраты на персонал</v>
      </c>
      <c r="E172" s="114" t="str">
        <f t="shared" si="209"/>
        <v>руб/ткм</v>
      </c>
      <c r="F172" s="115"/>
      <c r="G172" s="116">
        <f>G154/'ФОТ, МТР, макро'!AK$14/(G105/G100)</f>
        <v>1.7522950077317776</v>
      </c>
      <c r="H172" s="116">
        <f>H154/'ФОТ, МТР, макро'!AL$14/(H105/H100)</f>
        <v>1.7375860978543387</v>
      </c>
      <c r="I172" s="116">
        <f>I154/'ФОТ, МТР, макро'!AM$14/(I105/I100)</f>
        <v>1.7279243206772992</v>
      </c>
      <c r="J172" s="116">
        <f>J154/'ФОТ, МТР, макро'!AN$14/(J105/J100)</f>
        <v>1.7496933854600452</v>
      </c>
      <c r="K172" s="116">
        <f>K154/'ФОТ, МТР, макро'!AO$14/(K105/K100)</f>
        <v>1.7041974803864728</v>
      </c>
      <c r="L172" s="116">
        <f>L154/'ФОТ, МТР, макро'!AP$14/(L105/L100)</f>
        <v>1.6937908204561072</v>
      </c>
      <c r="M172" s="116">
        <f>M154/'ФОТ, МТР, макро'!AQ$14/(M105/M100)</f>
        <v>1.6784917640638446</v>
      </c>
      <c r="N172" s="116">
        <f>N154/'ФОТ, МТР, макро'!AR$14/(N105/N100)</f>
        <v>1.6853467464389928</v>
      </c>
      <c r="O172" s="116">
        <f>O154/'ФОТ, МТР, макро'!AS$14/(O105/O100)</f>
        <v>1.672495620428976</v>
      </c>
      <c r="P172" s="116">
        <f>P154/'ФОТ, МТР, макро'!AT$14/(P105/P100)</f>
        <v>1.6713507102412217</v>
      </c>
      <c r="Q172" s="116" t="e">
        <f>Q154/'ФОТ, МТР, макро'!AU$14/(Q105/Q100)</f>
        <v>#DIV/0!</v>
      </c>
      <c r="R172" s="116" t="e">
        <f>R154/'ФОТ, МТР, макро'!AV$14/(R105/R100)</f>
        <v>#DIV/0!</v>
      </c>
      <c r="S172" s="116" t="e">
        <f>S154/'ФОТ, МТР, макро'!AW$14/(S105/S100)</f>
        <v>#DIV/0!</v>
      </c>
      <c r="T172" s="116" t="e">
        <f>T154/'ФОТ, МТР, макро'!AX$14/(T105/T100)</f>
        <v>#DIV/0!</v>
      </c>
      <c r="U172" s="116" t="e">
        <f>U154/'ФОТ, МТР, макро'!AY$14/(U105/U100)</f>
        <v>#DIV/0!</v>
      </c>
      <c r="V172" s="116" t="e">
        <f>V154/'ФОТ, МТР, макро'!AZ$14/(V105/V100)</f>
        <v>#DIV/0!</v>
      </c>
      <c r="W172" s="116" t="e">
        <f>W154/'ФОТ, МТР, макро'!BA$14/(W105/W100)</f>
        <v>#DIV/0!</v>
      </c>
      <c r="X172" s="116" t="e">
        <f>X154/'ФОТ, МТР, макро'!BB$14/(X105/X100)</f>
        <v>#DIV/0!</v>
      </c>
      <c r="Y172" s="116" t="e">
        <f>Y154/'ФОТ, МТР, макро'!BC$14/(Y105/Y100)</f>
        <v>#DIV/0!</v>
      </c>
      <c r="Z172" s="116" t="e">
        <f>Z154/'ФОТ, МТР, макро'!BD$14/(Z105/Z100)</f>
        <v>#DIV/0!</v>
      </c>
      <c r="AC172" s="117" cm="1">
        <f t="array" ref="AC172">INDEX(G172:Z172,1,$C172)</f>
        <v>1.6713507102412217</v>
      </c>
    </row>
    <row r="173" spans="1:29" outlineLevel="1" x14ac:dyDescent="0.25">
      <c r="A173" s="39" t="str">
        <f t="shared" si="205"/>
        <v>Estar ESDE240 (ГПБ К)</v>
      </c>
      <c r="B173" s="39" t="str">
        <f t="shared" si="206"/>
        <v>Транспортный налог</v>
      </c>
      <c r="C173" s="39">
        <f t="shared" si="207"/>
        <v>10</v>
      </c>
      <c r="D173" s="113" t="str">
        <f t="shared" si="208"/>
        <v>Транспортный налог</v>
      </c>
      <c r="E173" s="114" t="str">
        <f t="shared" si="209"/>
        <v>руб/ткм</v>
      </c>
      <c r="F173" s="115"/>
      <c r="G173" s="116">
        <f>G155/'ФОТ, МТР, макро'!AK$14/(G105/G100)</f>
        <v>1.5027045266013754E-2</v>
      </c>
      <c r="H173" s="116">
        <f>H155/'ФОТ, МТР, макро'!AL$14/(H105/H100)</f>
        <v>1.4900906999587885E-2</v>
      </c>
      <c r="I173" s="116">
        <f>I155/'ФОТ, МТР, макро'!AM$14/(I105/I100)</f>
        <v>1.4818051109256124E-2</v>
      </c>
      <c r="J173" s="116">
        <f>J155/'ФОТ, МТР, макро'!AN$14/(J105/J100)</f>
        <v>1.5004734698746316E-2</v>
      </c>
      <c r="K173" s="116">
        <f>K155/'ФОТ, МТР, макро'!AO$14/(K105/K100)</f>
        <v>1.4614578348393074E-2</v>
      </c>
      <c r="L173" s="116">
        <f>L155/'ФОТ, МТР, макро'!AP$14/(L105/L100)</f>
        <v>1.4525334614232102E-2</v>
      </c>
      <c r="M173" s="116">
        <f>M155/'ФОТ, МТР, макро'!AQ$14/(M105/M100)</f>
        <v>1.4394135465732887E-2</v>
      </c>
      <c r="N173" s="116">
        <f>N155/'ФОТ, МТР, макро'!AR$14/(N105/N100)</f>
        <v>1.4452921303730803E-2</v>
      </c>
      <c r="O173" s="116">
        <f>O155/'ФОТ, МТР, макро'!AS$14/(O105/O100)</f>
        <v>1.4342714716700837E-2</v>
      </c>
      <c r="P173" s="116">
        <f>P155/'ФОТ, МТР, макро'!AT$14/(P105/P100)</f>
        <v>1.433289638294939E-2</v>
      </c>
      <c r="Q173" s="116" t="e">
        <f>Q155/'ФОТ, МТР, макро'!AU$14/(Q105/Q100)</f>
        <v>#DIV/0!</v>
      </c>
      <c r="R173" s="116" t="e">
        <f>R155/'ФОТ, МТР, макро'!AV$14/(R105/R100)</f>
        <v>#DIV/0!</v>
      </c>
      <c r="S173" s="116" t="e">
        <f>S155/'ФОТ, МТР, макро'!AW$14/(S105/S100)</f>
        <v>#DIV/0!</v>
      </c>
      <c r="T173" s="116" t="e">
        <f>T155/'ФОТ, МТР, макро'!AX$14/(T105/T100)</f>
        <v>#DIV/0!</v>
      </c>
      <c r="U173" s="116" t="e">
        <f>U155/'ФОТ, МТР, макро'!AY$14/(U105/U100)</f>
        <v>#DIV/0!</v>
      </c>
      <c r="V173" s="116" t="e">
        <f>V155/'ФОТ, МТР, макро'!AZ$14/(V105/V100)</f>
        <v>#DIV/0!</v>
      </c>
      <c r="W173" s="116" t="e">
        <f>W155/'ФОТ, МТР, макро'!BA$14/(W105/W100)</f>
        <v>#DIV/0!</v>
      </c>
      <c r="X173" s="116" t="e">
        <f>X155/'ФОТ, МТР, макро'!BB$14/(X105/X100)</f>
        <v>#DIV/0!</v>
      </c>
      <c r="Y173" s="116" t="e">
        <f>Y155/'ФОТ, МТР, макро'!BC$14/(Y105/Y100)</f>
        <v>#DIV/0!</v>
      </c>
      <c r="Z173" s="116" t="e">
        <f>Z155/'ФОТ, МТР, макро'!BD$14/(Z105/Z100)</f>
        <v>#DIV/0!</v>
      </c>
      <c r="AC173" s="117" cm="1">
        <f t="array" ref="AC173">INDEX(G173:Z173,1,$C173)</f>
        <v>1.433289638294939E-2</v>
      </c>
    </row>
    <row r="174" spans="1:29" outlineLevel="1" x14ac:dyDescent="0.25">
      <c r="A174" s="39" t="str">
        <f t="shared" si="205"/>
        <v>Estar ESDE240 (ГПБ К)</v>
      </c>
      <c r="B174" s="39" t="str">
        <f t="shared" si="206"/>
        <v>Налог на прибыль</v>
      </c>
      <c r="C174" s="39">
        <f t="shared" si="207"/>
        <v>10</v>
      </c>
      <c r="D174" s="113" t="str">
        <f t="shared" si="208"/>
        <v>Налог на прибыль</v>
      </c>
      <c r="E174" s="114" t="str">
        <f t="shared" si="209"/>
        <v>руб/ткм</v>
      </c>
      <c r="F174" s="30"/>
      <c r="G174" s="116">
        <f>G156/'ФОТ, МТР, макро'!AK$14/(G105/G100)</f>
        <v>-2.8681955141034821</v>
      </c>
      <c r="H174" s="116">
        <f>H156/'ФОТ, МТР, макро'!AL$14/(H105/H100)</f>
        <v>-2.960486228255943</v>
      </c>
      <c r="I174" s="116">
        <f>I156/'ФОТ, МТР, макро'!AM$14/(I105/I100)</f>
        <v>-3.4119303028656143</v>
      </c>
      <c r="J174" s="116">
        <f>J156/'ФОТ, МТР, макро'!AN$14/(J105/J100)</f>
        <v>-4.5136149981924873</v>
      </c>
      <c r="K174" s="116">
        <f>K156/'ФОТ, МТР, макро'!AO$14/(K105/K100)</f>
        <v>-4.186469428930268</v>
      </c>
      <c r="L174" s="116">
        <f>L156/'ФОТ, МТР, макро'!AP$14/(L105/L100)</f>
        <v>-4.229879424274662</v>
      </c>
      <c r="M174" s="116">
        <f>M156/'ФОТ, МТР, макро'!AQ$14/(M105/M100)</f>
        <v>-4.0678391517902339</v>
      </c>
      <c r="N174" s="116">
        <f>N156/'ФОТ, МТР, макро'!AR$14/(N105/N100)</f>
        <v>-4.4265294289544608</v>
      </c>
      <c r="O174" s="116">
        <f>O156/'ФОТ, МТР, макро'!AS$14/(O105/O100)</f>
        <v>-4.2953469916227212</v>
      </c>
      <c r="P174" s="116">
        <f>P156/'ФОТ, МТР, макро'!AT$14/(P105/P100)</f>
        <v>-4.2097369055368334</v>
      </c>
      <c r="Q174" s="116" t="e">
        <f>Q156/'ФОТ, МТР, макро'!AU$14/(Q105/Q100)</f>
        <v>#DIV/0!</v>
      </c>
      <c r="R174" s="116" t="e">
        <f>R156/'ФОТ, МТР, макро'!AV$14/(R105/R100)</f>
        <v>#DIV/0!</v>
      </c>
      <c r="S174" s="116" t="e">
        <f>S156/'ФОТ, МТР, макро'!AW$14/(S105/S100)</f>
        <v>#DIV/0!</v>
      </c>
      <c r="T174" s="116" t="e">
        <f>T156/'ФОТ, МТР, макро'!AX$14/(T105/T100)</f>
        <v>#DIV/0!</v>
      </c>
      <c r="U174" s="116" t="e">
        <f>U156/'ФОТ, МТР, макро'!AY$14/(U105/U100)</f>
        <v>#DIV/0!</v>
      </c>
      <c r="V174" s="116" t="e">
        <f>V156/'ФОТ, МТР, макро'!AZ$14/(V105/V100)</f>
        <v>#DIV/0!</v>
      </c>
      <c r="W174" s="116" t="e">
        <f>W156/'ФОТ, МТР, макро'!BA$14/(W105/W100)</f>
        <v>#DIV/0!</v>
      </c>
      <c r="X174" s="116" t="e">
        <f>X156/'ФОТ, МТР, макро'!BB$14/(X105/X100)</f>
        <v>#DIV/0!</v>
      </c>
      <c r="Y174" s="116" t="e">
        <f>Y156/'ФОТ, МТР, макро'!BC$14/(Y105/Y100)</f>
        <v>#DIV/0!</v>
      </c>
      <c r="Z174" s="116" t="e">
        <f>Z156/'ФОТ, МТР, макро'!BD$14/(Z105/Z100)</f>
        <v>#DIV/0!</v>
      </c>
      <c r="AC174" s="117" cm="1">
        <f t="array" ref="AC174">INDEX(G174:Z174,1,$C174)</f>
        <v>-4.2097369055368334</v>
      </c>
    </row>
    <row r="175" spans="1:29" outlineLevel="1" x14ac:dyDescent="0.25">
      <c r="A175" s="39" t="str">
        <f t="shared" si="205"/>
        <v>Estar ESDE240 (ГПБ К)</v>
      </c>
      <c r="B175" s="39" t="str">
        <f t="shared" si="206"/>
        <v>Аннуитет инвестиционный</v>
      </c>
      <c r="C175" s="39">
        <f t="shared" si="207"/>
        <v>10</v>
      </c>
      <c r="D175" s="108" t="s">
        <v>96</v>
      </c>
      <c r="E175" s="118" t="str">
        <f>E167</f>
        <v>руб/ткм</v>
      </c>
      <c r="F175" s="119"/>
      <c r="G175" s="111">
        <f>G161/'ФОТ, МТР, макро'!AK$14/(G105/G100)</f>
        <v>0</v>
      </c>
      <c r="H175" s="111">
        <f>H161/'ФОТ, МТР, макро'!AL$14/(H105/H100)</f>
        <v>0</v>
      </c>
      <c r="I175" s="111">
        <f>I161/'ФОТ, МТР, макро'!AM$14/(I105/I100)</f>
        <v>0</v>
      </c>
      <c r="J175" s="111">
        <f>J161/'ФОТ, МТР, макро'!AN$14/(J105/J100)</f>
        <v>0</v>
      </c>
      <c r="K175" s="111">
        <f>K161/'ФОТ, МТР, макро'!AO$14/(K105/K100)</f>
        <v>0</v>
      </c>
      <c r="L175" s="111">
        <f>L161/'ФОТ, МТР, макро'!AP$14/(L105/L100)</f>
        <v>0</v>
      </c>
      <c r="M175" s="111">
        <f>M161/'ФОТ, МТР, макро'!AQ$14/(M105/M100)</f>
        <v>0</v>
      </c>
      <c r="N175" s="111">
        <f>N161/'ФОТ, МТР, макро'!AR$14/(N105/N100)</f>
        <v>0</v>
      </c>
      <c r="O175" s="111">
        <f>O161/'ФОТ, МТР, макро'!AS$14/(O105/O100)</f>
        <v>0</v>
      </c>
      <c r="P175" s="111">
        <f>P161/'ФОТ, МТР, макро'!AT$14/(P105/P100)</f>
        <v>0</v>
      </c>
      <c r="Q175" s="111" t="e">
        <f>Q161/'ФОТ, МТР, макро'!AU$14/(Q105/Q100)</f>
        <v>#DIV/0!</v>
      </c>
      <c r="R175" s="111" t="e">
        <f>R161/'ФОТ, МТР, макро'!AV$14/(R105/R100)</f>
        <v>#DIV/0!</v>
      </c>
      <c r="S175" s="111" t="e">
        <f>S161/'ФОТ, МТР, макро'!AW$14/(S105/S100)</f>
        <v>#DIV/0!</v>
      </c>
      <c r="T175" s="111" t="e">
        <f>T161/'ФОТ, МТР, макро'!AX$14/(T105/T100)</f>
        <v>#DIV/0!</v>
      </c>
      <c r="U175" s="111" t="e">
        <f>U161/'ФОТ, МТР, макро'!AY$14/(U105/U100)</f>
        <v>#DIV/0!</v>
      </c>
      <c r="V175" s="111" t="e">
        <f>V161/'ФОТ, МТР, макро'!AZ$14/(V105/V100)</f>
        <v>#DIV/0!</v>
      </c>
      <c r="W175" s="111" t="e">
        <f>W161/'ФОТ, МТР, макро'!BA$14/(W105/W100)</f>
        <v>#DIV/0!</v>
      </c>
      <c r="X175" s="111" t="e">
        <f>X161/'ФОТ, МТР, макро'!BB$14/(X105/X100)</f>
        <v>#DIV/0!</v>
      </c>
      <c r="Y175" s="111" t="e">
        <f>Y161/'ФОТ, МТР, макро'!BC$14/(Y105/Y100)</f>
        <v>#DIV/0!</v>
      </c>
      <c r="Z175" s="111" t="e">
        <f>Z161/'ФОТ, МТР, макро'!BD$14/(Z105/Z100)</f>
        <v>#DIV/0!</v>
      </c>
      <c r="AC175" s="112" cm="1">
        <f t="array" ref="AC175">INDEX(G175:Z175,1,$C175)</f>
        <v>0</v>
      </c>
    </row>
    <row r="176" spans="1:29" outlineLevel="1" x14ac:dyDescent="0.25">
      <c r="A176" s="39" t="str">
        <f t="shared" si="205"/>
        <v>Estar ESDE240 (ГПБ К)</v>
      </c>
      <c r="B176" s="39" t="str">
        <f t="shared" si="206"/>
        <v>Самосвал</v>
      </c>
      <c r="C176" s="39">
        <f t="shared" si="207"/>
        <v>10</v>
      </c>
      <c r="D176" s="101" t="str">
        <f>D162</f>
        <v>Самосвал</v>
      </c>
      <c r="E176" s="9" t="str">
        <f>E175</f>
        <v>руб/ткм</v>
      </c>
      <c r="F176" s="30"/>
      <c r="G176" s="120">
        <f>G162/'ФОТ, МТР, макро'!AK$14/(G105/G100)</f>
        <v>0</v>
      </c>
      <c r="H176" s="120">
        <f>H162/'ФОТ, МТР, макро'!AL$14/(H105/H100)</f>
        <v>0</v>
      </c>
      <c r="I176" s="120">
        <f>I162/'ФОТ, МТР, макро'!AM$14/(I105/I100)</f>
        <v>0</v>
      </c>
      <c r="J176" s="120">
        <f>J162/'ФОТ, МТР, макро'!AN$14/(J105/J100)</f>
        <v>0</v>
      </c>
      <c r="K176" s="120">
        <f>K162/'ФОТ, МТР, макро'!AO$14/(K105/K100)</f>
        <v>0</v>
      </c>
      <c r="L176" s="120">
        <f>L162/'ФОТ, МТР, макро'!AP$14/(L105/L100)</f>
        <v>0</v>
      </c>
      <c r="M176" s="120">
        <f>M162/'ФОТ, МТР, макро'!AQ$14/(M105/M100)</f>
        <v>0</v>
      </c>
      <c r="N176" s="120">
        <f>N162/'ФОТ, МТР, макро'!AR$14/(N105/N100)</f>
        <v>0</v>
      </c>
      <c r="O176" s="120">
        <f>O162/'ФОТ, МТР, макро'!AS$14/(O105/O100)</f>
        <v>0</v>
      </c>
      <c r="P176" s="120">
        <f>P162/'ФОТ, МТР, макро'!AT$14/(P105/P100)</f>
        <v>0</v>
      </c>
      <c r="Q176" s="120" t="e">
        <f>Q162/'ФОТ, МТР, макро'!AU$14/(Q105/Q100)</f>
        <v>#DIV/0!</v>
      </c>
      <c r="R176" s="120" t="e">
        <f>R162/'ФОТ, МТР, макро'!AV$14/(R105/R100)</f>
        <v>#DIV/0!</v>
      </c>
      <c r="S176" s="120" t="e">
        <f>S162/'ФОТ, МТР, макро'!AW$14/(S105/S100)</f>
        <v>#DIV/0!</v>
      </c>
      <c r="T176" s="120" t="e">
        <f>T162/'ФОТ, МТР, макро'!AX$14/(T105/T100)</f>
        <v>#DIV/0!</v>
      </c>
      <c r="U176" s="120" t="e">
        <f>U162/'ФОТ, МТР, макро'!AY$14/(U105/U100)</f>
        <v>#DIV/0!</v>
      </c>
      <c r="V176" s="120" t="e">
        <f>V162/'ФОТ, МТР, макро'!AZ$14/(V105/V100)</f>
        <v>#DIV/0!</v>
      </c>
      <c r="W176" s="120" t="e">
        <f>W162/'ФОТ, МТР, макро'!BA$14/(W105/W100)</f>
        <v>#DIV/0!</v>
      </c>
      <c r="X176" s="120" t="e">
        <f>X162/'ФОТ, МТР, макро'!BB$14/(X105/X100)</f>
        <v>#DIV/0!</v>
      </c>
      <c r="Y176" s="120" t="e">
        <f>Y162/'ФОТ, МТР, макро'!BC$14/(Y105/Y100)</f>
        <v>#DIV/0!</v>
      </c>
      <c r="Z176" s="120" t="e">
        <f>Z162/'ФОТ, МТР, макро'!BD$14/(Z105/Z100)</f>
        <v>#DIV/0!</v>
      </c>
      <c r="AC176" s="117" cm="1">
        <f t="array" ref="AC176">INDEX(G176:Z176,1,$C176)</f>
        <v>0</v>
      </c>
    </row>
    <row r="177" spans="1:29" outlineLevel="1" x14ac:dyDescent="0.25">
      <c r="A177" s="39" t="str">
        <f t="shared" si="205"/>
        <v>Estar ESDE240 (ГПБ К)</v>
      </c>
      <c r="B177" s="39" t="str">
        <f t="shared" si="206"/>
        <v>Аннуитет общий</v>
      </c>
      <c r="C177" s="39">
        <f t="shared" si="207"/>
        <v>10</v>
      </c>
      <c r="D177" s="108" t="s">
        <v>97</v>
      </c>
      <c r="E177" s="118" t="str">
        <f>E167</f>
        <v>руб/ткм</v>
      </c>
      <c r="F177" s="119"/>
      <c r="G177" s="111">
        <f>G165/'ФОТ, МТР, макро'!AK$14/(G105/G100)</f>
        <v>8.6045865423104448</v>
      </c>
      <c r="H177" s="111">
        <f>H165/'ФОТ, МТР, макро'!AL$14/(H105/H100)</f>
        <v>8.8814586847678285</v>
      </c>
      <c r="I177" s="111">
        <f>I165/'ФОТ, МТР, макро'!AM$14/(I105/I100)</f>
        <v>10.235790908596842</v>
      </c>
      <c r="J177" s="111">
        <f>J165/'ФОТ, МТР, макро'!AN$14/(J105/J100)</f>
        <v>13.540844994577462</v>
      </c>
      <c r="K177" s="111">
        <f>K165/'ФОТ, МТР, макро'!AO$14/(K105/K100)</f>
        <v>12.559408286790804</v>
      </c>
      <c r="L177" s="111">
        <f>L165/'ФОТ, МТР, макро'!AP$14/(L105/L100)</f>
        <v>12.689638272823984</v>
      </c>
      <c r="M177" s="111">
        <f>M165/'ФОТ, МТР, макро'!AQ$14/(M105/M100)</f>
        <v>12.203517455370701</v>
      </c>
      <c r="N177" s="111">
        <f>N165/'ФОТ, МТР, макро'!AR$14/(N105/N100)</f>
        <v>13.27958828686338</v>
      </c>
      <c r="O177" s="111">
        <f>O165/'ФОТ, МТР, макро'!AS$14/(O105/O100)</f>
        <v>12.886040974868163</v>
      </c>
      <c r="P177" s="111">
        <f>P165/'ФОТ, МТР, макро'!AT$14/(P105/P100)</f>
        <v>12.629210716610499</v>
      </c>
      <c r="Q177" s="111" t="e">
        <f>Q165/'ФОТ, МТР, макро'!AU$14/(Q105/Q100)</f>
        <v>#DIV/0!</v>
      </c>
      <c r="R177" s="111" t="e">
        <f>R165/'ФОТ, МТР, макро'!AV$14/(R105/R100)</f>
        <v>#DIV/0!</v>
      </c>
      <c r="S177" s="111" t="e">
        <f>S165/'ФОТ, МТР, макро'!AW$14/(S105/S100)</f>
        <v>#DIV/0!</v>
      </c>
      <c r="T177" s="111" t="e">
        <f>T165/'ФОТ, МТР, макро'!AX$14/(T105/T100)</f>
        <v>#DIV/0!</v>
      </c>
      <c r="U177" s="111" t="e">
        <f>U165/'ФОТ, МТР, макро'!AY$14/(U105/U100)</f>
        <v>#DIV/0!</v>
      </c>
      <c r="V177" s="111" t="e">
        <f>V165/'ФОТ, МТР, макро'!AZ$14/(V105/V100)</f>
        <v>#DIV/0!</v>
      </c>
      <c r="W177" s="111" t="e">
        <f>W165/'ФОТ, МТР, макро'!BA$14/(W105/W100)</f>
        <v>#DIV/0!</v>
      </c>
      <c r="X177" s="111" t="e">
        <f>X165/'ФОТ, МТР, макро'!BB$14/(X105/X100)</f>
        <v>#DIV/0!</v>
      </c>
      <c r="Y177" s="111" t="e">
        <f>Y165/'ФОТ, МТР, макро'!BC$14/(Y105/Y100)</f>
        <v>#DIV/0!</v>
      </c>
      <c r="Z177" s="111" t="e">
        <f>Z165/'ФОТ, МТР, макро'!BD$14/(Z105/Z100)</f>
        <v>#DIV/0!</v>
      </c>
      <c r="AC177" s="112" cm="1">
        <f t="array" ref="AC177">INDEX(G177:Z177,1,$C177)</f>
        <v>12.629210716610499</v>
      </c>
    </row>
    <row r="178" spans="1:29" outlineLevel="1" x14ac:dyDescent="0.25">
      <c r="A178" s="39" t="str">
        <f t="shared" si="205"/>
        <v>Estar ESDE240 (ГПБ К)</v>
      </c>
      <c r="B178" s="39"/>
      <c r="D178" s="121"/>
      <c r="E178" s="1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9" outlineLevel="1" x14ac:dyDescent="0.25">
      <c r="A179" s="39" t="str">
        <f t="shared" si="205"/>
        <v>Estar ESDE240 (ГПБ К)</v>
      </c>
      <c r="B179" s="39"/>
      <c r="D179" s="123" t="s">
        <v>88</v>
      </c>
      <c r="E179" s="124"/>
      <c r="F179" s="125"/>
      <c r="G179" s="126">
        <f>G177-G167-G175+G167-SUM(G168:G174)+G175-G176</f>
        <v>0</v>
      </c>
      <c r="H179" s="126">
        <f t="shared" ref="H179" si="210">H177-H167-H175+H167-SUM(H168:H174)+H175-H176</f>
        <v>1.7763568394002505E-15</v>
      </c>
      <c r="I179" s="126">
        <f t="shared" ref="I179:Z179" si="211">I177-I167-I175+I167-SUM(I168:I174)+I175-I176</f>
        <v>-1.7763568394002505E-15</v>
      </c>
      <c r="J179" s="126">
        <f t="shared" si="211"/>
        <v>0</v>
      </c>
      <c r="K179" s="126">
        <f t="shared" si="211"/>
        <v>0</v>
      </c>
      <c r="L179" s="126">
        <f t="shared" si="211"/>
        <v>-1.7763568394002505E-15</v>
      </c>
      <c r="M179" s="126">
        <f t="shared" si="211"/>
        <v>0</v>
      </c>
      <c r="N179" s="126">
        <f t="shared" si="211"/>
        <v>0</v>
      </c>
      <c r="O179" s="126">
        <f t="shared" si="211"/>
        <v>0</v>
      </c>
      <c r="P179" s="126">
        <f t="shared" si="211"/>
        <v>-1.7763568394002505E-15</v>
      </c>
      <c r="Q179" s="126" t="e">
        <f t="shared" si="211"/>
        <v>#DIV/0!</v>
      </c>
      <c r="R179" s="126" t="e">
        <f t="shared" si="211"/>
        <v>#DIV/0!</v>
      </c>
      <c r="S179" s="126" t="e">
        <f t="shared" si="211"/>
        <v>#DIV/0!</v>
      </c>
      <c r="T179" s="126" t="e">
        <f t="shared" si="211"/>
        <v>#DIV/0!</v>
      </c>
      <c r="U179" s="126" t="e">
        <f t="shared" si="211"/>
        <v>#DIV/0!</v>
      </c>
      <c r="V179" s="126" t="e">
        <f t="shared" si="211"/>
        <v>#DIV/0!</v>
      </c>
      <c r="W179" s="126" t="e">
        <f t="shared" si="211"/>
        <v>#DIV/0!</v>
      </c>
      <c r="X179" s="126" t="e">
        <f t="shared" si="211"/>
        <v>#DIV/0!</v>
      </c>
      <c r="Y179" s="126" t="e">
        <f t="shared" si="211"/>
        <v>#DIV/0!</v>
      </c>
      <c r="Z179" s="126" t="e">
        <f t="shared" si="211"/>
        <v>#DIV/0!</v>
      </c>
    </row>
    <row r="180" spans="1:29" outlineLevel="1" x14ac:dyDescent="0.25">
      <c r="A180" s="39" t="str">
        <f t="shared" si="205"/>
        <v>Estar ESDE240 (ГПБ К)</v>
      </c>
      <c r="B180" s="39"/>
      <c r="D180" s="125"/>
      <c r="E180" s="124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9" outlineLevel="1" x14ac:dyDescent="0.25">
      <c r="A181" s="39" t="str">
        <f t="shared" si="205"/>
        <v>Estar ESDE240 (ГПБ К)</v>
      </c>
      <c r="B181" s="39"/>
      <c r="D181" s="127" t="s">
        <v>98</v>
      </c>
      <c r="E181" s="128" t="str">
        <f>E177</f>
        <v>руб/ткм</v>
      </c>
      <c r="F181" s="129"/>
      <c r="G181" s="130">
        <f>SUM(G182:G187)</f>
        <v>11.472782056413926</v>
      </c>
      <c r="H181" s="130">
        <f t="shared" ref="H181" si="212">SUM(H182:H187)</f>
        <v>12.260352796492661</v>
      </c>
      <c r="I181" s="130">
        <f t="shared" ref="I181:Z181" si="213">SUM(I182:I187)</f>
        <v>17.892719270395236</v>
      </c>
      <c r="J181" s="130">
        <f t="shared" si="213"/>
        <v>35.396991513549132</v>
      </c>
      <c r="K181" s="130">
        <f t="shared" si="213"/>
        <v>11.0996959008509</v>
      </c>
      <c r="L181" s="130">
        <f t="shared" si="213"/>
        <v>18.323137438987661</v>
      </c>
      <c r="M181" s="130">
        <f t="shared" si="213"/>
        <v>11.16419677715964</v>
      </c>
      <c r="N181" s="130">
        <f t="shared" si="213"/>
        <v>34.143688765848815</v>
      </c>
      <c r="O181" s="130">
        <f t="shared" si="213"/>
        <v>11.133613294513767</v>
      </c>
      <c r="P181" s="130">
        <f t="shared" si="213"/>
        <v>11.297031267415653</v>
      </c>
      <c r="Q181" s="130" t="e">
        <f t="shared" si="213"/>
        <v>#DIV/0!</v>
      </c>
      <c r="R181" s="130" t="e">
        <f t="shared" si="213"/>
        <v>#DIV/0!</v>
      </c>
      <c r="S181" s="130" t="e">
        <f t="shared" si="213"/>
        <v>#DIV/0!</v>
      </c>
      <c r="T181" s="130" t="e">
        <f t="shared" si="213"/>
        <v>#DIV/0!</v>
      </c>
      <c r="U181" s="130" t="e">
        <f t="shared" si="213"/>
        <v>#DIV/0!</v>
      </c>
      <c r="V181" s="130" t="e">
        <f t="shared" si="213"/>
        <v>#DIV/0!</v>
      </c>
      <c r="W181" s="130" t="e">
        <f t="shared" si="213"/>
        <v>#DIV/0!</v>
      </c>
      <c r="X181" s="130" t="e">
        <f t="shared" si="213"/>
        <v>#DIV/0!</v>
      </c>
      <c r="Y181" s="130" t="e">
        <f t="shared" si="213"/>
        <v>#DIV/0!</v>
      </c>
      <c r="Z181" s="130" t="e">
        <f t="shared" si="213"/>
        <v>#DIV/0!</v>
      </c>
    </row>
    <row r="182" spans="1:29" outlineLevel="1" x14ac:dyDescent="0.25">
      <c r="A182" s="39" t="str">
        <f t="shared" si="205"/>
        <v>Estar ESDE240 (ГПБ К)</v>
      </c>
      <c r="B182" s="39"/>
      <c r="D182" s="113" t="str">
        <f>D168</f>
        <v>ТО, ТР, ППР</v>
      </c>
      <c r="E182" s="114" t="str">
        <f>E181</f>
        <v>руб/ткм</v>
      </c>
      <c r="F182" s="115"/>
      <c r="G182" s="116">
        <f>G109/G104</f>
        <v>1.6103121863217549</v>
      </c>
      <c r="H182" s="116">
        <f t="shared" ref="H182" si="214">H109/H104</f>
        <v>2.4273060426062831</v>
      </c>
      <c r="I182" s="116">
        <f t="shared" ref="I182:Z182" si="215">I109/I104</f>
        <v>8.0739968155546027</v>
      </c>
      <c r="J182" s="116">
        <f t="shared" si="215"/>
        <v>25.467828665460548</v>
      </c>
      <c r="K182" s="116">
        <f t="shared" si="215"/>
        <v>1.4476656023382839</v>
      </c>
      <c r="L182" s="116">
        <f t="shared" si="215"/>
        <v>8.5702871603119526</v>
      </c>
      <c r="M182" s="116">
        <f t="shared" si="215"/>
        <v>1.4631918646723665</v>
      </c>
      <c r="N182" s="116">
        <f t="shared" si="215"/>
        <v>24.298717157854664</v>
      </c>
      <c r="O182" s="116">
        <f t="shared" si="215"/>
        <v>1.4486109623853474</v>
      </c>
      <c r="P182" s="116">
        <f t="shared" si="215"/>
        <v>1.5265216935605848</v>
      </c>
      <c r="Q182" s="116" t="e">
        <f t="shared" si="215"/>
        <v>#DIV/0!</v>
      </c>
      <c r="R182" s="116" t="e">
        <f t="shared" si="215"/>
        <v>#DIV/0!</v>
      </c>
      <c r="S182" s="116" t="e">
        <f t="shared" si="215"/>
        <v>#DIV/0!</v>
      </c>
      <c r="T182" s="116" t="e">
        <f t="shared" si="215"/>
        <v>#DIV/0!</v>
      </c>
      <c r="U182" s="116" t="e">
        <f t="shared" si="215"/>
        <v>#DIV/0!</v>
      </c>
      <c r="V182" s="116" t="e">
        <f t="shared" si="215"/>
        <v>#DIV/0!</v>
      </c>
      <c r="W182" s="116" t="e">
        <f t="shared" si="215"/>
        <v>#DIV/0!</v>
      </c>
      <c r="X182" s="116" t="e">
        <f t="shared" si="215"/>
        <v>#DIV/0!</v>
      </c>
      <c r="Y182" s="116" t="e">
        <f t="shared" si="215"/>
        <v>#DIV/0!</v>
      </c>
      <c r="Z182" s="116" t="e">
        <f t="shared" si="215"/>
        <v>#DIV/0!</v>
      </c>
    </row>
    <row r="183" spans="1:29" outlineLevel="1" x14ac:dyDescent="0.25">
      <c r="A183" s="39" t="str">
        <f t="shared" si="205"/>
        <v>Estar ESDE240 (ГПБ К)</v>
      </c>
      <c r="B183" s="39"/>
      <c r="D183" s="113" t="str">
        <f t="shared" ref="D183:D187" si="216">D169</f>
        <v>Шины</v>
      </c>
      <c r="E183" s="114" t="str">
        <f t="shared" ref="E183:E187" si="217">E182</f>
        <v>руб/ткм</v>
      </c>
      <c r="F183" s="115"/>
      <c r="G183" s="116">
        <f>G114/G104</f>
        <v>2.1534450632326938</v>
      </c>
      <c r="H183" s="116">
        <f t="shared" ref="H183" si="218">H114/H104</f>
        <v>2.1534450632326938</v>
      </c>
      <c r="I183" s="116">
        <f t="shared" ref="I183:Z183" si="219">I114/I104</f>
        <v>2.1534450632326942</v>
      </c>
      <c r="J183" s="116">
        <f t="shared" si="219"/>
        <v>2.1534450632326938</v>
      </c>
      <c r="K183" s="116">
        <f t="shared" si="219"/>
        <v>2.1534450632326938</v>
      </c>
      <c r="L183" s="116">
        <f t="shared" si="219"/>
        <v>2.1534450632326942</v>
      </c>
      <c r="M183" s="116">
        <f t="shared" si="219"/>
        <v>2.1534450632326938</v>
      </c>
      <c r="N183" s="116">
        <f t="shared" si="219"/>
        <v>2.1534450632326934</v>
      </c>
      <c r="O183" s="116">
        <f t="shared" si="219"/>
        <v>2.1534450632326934</v>
      </c>
      <c r="P183" s="116">
        <f t="shared" si="219"/>
        <v>2.1534450632326938</v>
      </c>
      <c r="Q183" s="116" t="e">
        <f t="shared" si="219"/>
        <v>#DIV/0!</v>
      </c>
      <c r="R183" s="116" t="e">
        <f t="shared" si="219"/>
        <v>#DIV/0!</v>
      </c>
      <c r="S183" s="116" t="e">
        <f t="shared" si="219"/>
        <v>#DIV/0!</v>
      </c>
      <c r="T183" s="116" t="e">
        <f t="shared" si="219"/>
        <v>#DIV/0!</v>
      </c>
      <c r="U183" s="116" t="e">
        <f t="shared" si="219"/>
        <v>#DIV/0!</v>
      </c>
      <c r="V183" s="116" t="e">
        <f t="shared" si="219"/>
        <v>#DIV/0!</v>
      </c>
      <c r="W183" s="116" t="e">
        <f t="shared" si="219"/>
        <v>#DIV/0!</v>
      </c>
      <c r="X183" s="116" t="e">
        <f t="shared" si="219"/>
        <v>#DIV/0!</v>
      </c>
      <c r="Y183" s="116" t="e">
        <f t="shared" si="219"/>
        <v>#DIV/0!</v>
      </c>
      <c r="Z183" s="116" t="e">
        <f t="shared" si="219"/>
        <v>#DIV/0!</v>
      </c>
    </row>
    <row r="184" spans="1:29" outlineLevel="1" x14ac:dyDescent="0.25">
      <c r="A184" s="39" t="str">
        <f t="shared" si="205"/>
        <v>Estar ESDE240 (ГПБ К)</v>
      </c>
      <c r="B184" s="39"/>
      <c r="D184" s="113" t="str">
        <f t="shared" si="216"/>
        <v>Топливо</v>
      </c>
      <c r="E184" s="114" t="str">
        <f t="shared" si="217"/>
        <v>руб/ткм</v>
      </c>
      <c r="F184" s="115"/>
      <c r="G184" s="116">
        <f>G118/G104</f>
        <v>5.9417027538616871</v>
      </c>
      <c r="H184" s="116">
        <f t="shared" ref="H184" si="220">H118/H104</f>
        <v>5.9417027538616862</v>
      </c>
      <c r="I184" s="116">
        <f t="shared" ref="I184:Z184" si="221">I118/I104</f>
        <v>5.9417027538616871</v>
      </c>
      <c r="J184" s="116">
        <f t="shared" si="221"/>
        <v>5.941702753861688</v>
      </c>
      <c r="K184" s="116">
        <f t="shared" si="221"/>
        <v>5.9417027538616871</v>
      </c>
      <c r="L184" s="116">
        <f t="shared" si="221"/>
        <v>5.9417027538616871</v>
      </c>
      <c r="M184" s="116">
        <f t="shared" si="221"/>
        <v>5.941702753861688</v>
      </c>
      <c r="N184" s="116">
        <f t="shared" si="221"/>
        <v>5.9417027538616871</v>
      </c>
      <c r="O184" s="116">
        <f t="shared" si="221"/>
        <v>5.9417027538616871</v>
      </c>
      <c r="P184" s="116">
        <f t="shared" si="221"/>
        <v>5.9417027538616871</v>
      </c>
      <c r="Q184" s="116" t="e">
        <f t="shared" si="221"/>
        <v>#DIV/0!</v>
      </c>
      <c r="R184" s="116" t="e">
        <f t="shared" si="221"/>
        <v>#DIV/0!</v>
      </c>
      <c r="S184" s="116" t="e">
        <f t="shared" si="221"/>
        <v>#DIV/0!</v>
      </c>
      <c r="T184" s="116" t="e">
        <f t="shared" si="221"/>
        <v>#DIV/0!</v>
      </c>
      <c r="U184" s="116" t="e">
        <f t="shared" si="221"/>
        <v>#DIV/0!</v>
      </c>
      <c r="V184" s="116" t="e">
        <f t="shared" si="221"/>
        <v>#DIV/0!</v>
      </c>
      <c r="W184" s="116" t="e">
        <f t="shared" si="221"/>
        <v>#DIV/0!</v>
      </c>
      <c r="X184" s="116" t="e">
        <f t="shared" si="221"/>
        <v>#DIV/0!</v>
      </c>
      <c r="Y184" s="116" t="e">
        <f t="shared" si="221"/>
        <v>#DIV/0!</v>
      </c>
      <c r="Z184" s="116" t="e">
        <f t="shared" si="221"/>
        <v>#DIV/0!</v>
      </c>
    </row>
    <row r="185" spans="1:29" outlineLevel="1" x14ac:dyDescent="0.25">
      <c r="A185" s="39" t="str">
        <f t="shared" si="205"/>
        <v>Estar ESDE240 (ГПБ К)</v>
      </c>
      <c r="B185" s="39"/>
      <c r="D185" s="113" t="str">
        <f t="shared" si="216"/>
        <v>Смазочные</v>
      </c>
      <c r="E185" s="114" t="str">
        <f t="shared" si="217"/>
        <v>руб/ткм</v>
      </c>
      <c r="F185" s="115"/>
      <c r="G185" s="116">
        <f>G123/G104</f>
        <v>0</v>
      </c>
      <c r="H185" s="116">
        <f t="shared" ref="H185" si="222">H123/H104</f>
        <v>0</v>
      </c>
      <c r="I185" s="116">
        <f t="shared" ref="I185:Z185" si="223">I123/I104</f>
        <v>0</v>
      </c>
      <c r="J185" s="116">
        <f t="shared" si="223"/>
        <v>0</v>
      </c>
      <c r="K185" s="116">
        <f t="shared" si="223"/>
        <v>0</v>
      </c>
      <c r="L185" s="116">
        <f t="shared" si="223"/>
        <v>0</v>
      </c>
      <c r="M185" s="116">
        <f t="shared" si="223"/>
        <v>0</v>
      </c>
      <c r="N185" s="116">
        <f t="shared" si="223"/>
        <v>0</v>
      </c>
      <c r="O185" s="116">
        <f t="shared" si="223"/>
        <v>0</v>
      </c>
      <c r="P185" s="116">
        <f t="shared" si="223"/>
        <v>0</v>
      </c>
      <c r="Q185" s="116" t="e">
        <f t="shared" si="223"/>
        <v>#DIV/0!</v>
      </c>
      <c r="R185" s="116" t="e">
        <f t="shared" si="223"/>
        <v>#DIV/0!</v>
      </c>
      <c r="S185" s="116" t="e">
        <f t="shared" si="223"/>
        <v>#DIV/0!</v>
      </c>
      <c r="T185" s="116" t="e">
        <f t="shared" si="223"/>
        <v>#DIV/0!</v>
      </c>
      <c r="U185" s="116" t="e">
        <f t="shared" si="223"/>
        <v>#DIV/0!</v>
      </c>
      <c r="V185" s="116" t="e">
        <f t="shared" si="223"/>
        <v>#DIV/0!</v>
      </c>
      <c r="W185" s="116" t="e">
        <f t="shared" si="223"/>
        <v>#DIV/0!</v>
      </c>
      <c r="X185" s="116" t="e">
        <f t="shared" si="223"/>
        <v>#DIV/0!</v>
      </c>
      <c r="Y185" s="116" t="e">
        <f t="shared" si="223"/>
        <v>#DIV/0!</v>
      </c>
      <c r="Z185" s="116" t="e">
        <f t="shared" si="223"/>
        <v>#DIV/0!</v>
      </c>
    </row>
    <row r="186" spans="1:29" outlineLevel="1" x14ac:dyDescent="0.25">
      <c r="A186" s="39" t="str">
        <f t="shared" si="205"/>
        <v>Estar ESDE240 (ГПБ К)</v>
      </c>
      <c r="B186" s="39"/>
      <c r="D186" s="113" t="str">
        <f t="shared" si="216"/>
        <v>Затраты на персонал</v>
      </c>
      <c r="E186" s="114" t="str">
        <f t="shared" si="217"/>
        <v>руб/ткм</v>
      </c>
      <c r="F186" s="115"/>
      <c r="G186" s="116">
        <f>G125/G104</f>
        <v>1.7522950077317776</v>
      </c>
      <c r="H186" s="116">
        <f t="shared" ref="H186" si="224">H125/H104</f>
        <v>1.7231220680562551</v>
      </c>
      <c r="I186" s="116">
        <f t="shared" ref="I186:Z186" si="225">I125/I104</f>
        <v>1.7089195645201607</v>
      </c>
      <c r="J186" s="116">
        <f t="shared" si="225"/>
        <v>1.8184209139839209</v>
      </c>
      <c r="K186" s="116">
        <f t="shared" si="225"/>
        <v>1.5436447449895805</v>
      </c>
      <c r="L186" s="116">
        <f t="shared" si="225"/>
        <v>1.6436074810510317</v>
      </c>
      <c r="M186" s="116">
        <f t="shared" si="225"/>
        <v>1.5922029415151178</v>
      </c>
      <c r="N186" s="116">
        <f t="shared" si="225"/>
        <v>1.734945528463796</v>
      </c>
      <c r="O186" s="116">
        <f t="shared" si="225"/>
        <v>1.5763364266226674</v>
      </c>
      <c r="P186" s="116">
        <f t="shared" si="225"/>
        <v>1.6611166241810944</v>
      </c>
      <c r="Q186" s="116" t="e">
        <f t="shared" si="225"/>
        <v>#DIV/0!</v>
      </c>
      <c r="R186" s="116" t="e">
        <f t="shared" si="225"/>
        <v>#DIV/0!</v>
      </c>
      <c r="S186" s="116" t="e">
        <f t="shared" si="225"/>
        <v>#DIV/0!</v>
      </c>
      <c r="T186" s="116" t="e">
        <f t="shared" si="225"/>
        <v>#DIV/0!</v>
      </c>
      <c r="U186" s="116" t="e">
        <f t="shared" si="225"/>
        <v>#DIV/0!</v>
      </c>
      <c r="V186" s="116" t="e">
        <f t="shared" si="225"/>
        <v>#DIV/0!</v>
      </c>
      <c r="W186" s="116" t="e">
        <f t="shared" si="225"/>
        <v>#DIV/0!</v>
      </c>
      <c r="X186" s="116" t="e">
        <f t="shared" si="225"/>
        <v>#DIV/0!</v>
      </c>
      <c r="Y186" s="116" t="e">
        <f t="shared" si="225"/>
        <v>#DIV/0!</v>
      </c>
      <c r="Z186" s="116" t="e">
        <f t="shared" si="225"/>
        <v>#DIV/0!</v>
      </c>
    </row>
    <row r="187" spans="1:29" outlineLevel="1" x14ac:dyDescent="0.25">
      <c r="A187" s="39" t="str">
        <f t="shared" si="205"/>
        <v>Estar ESDE240 (ГПБ К)</v>
      </c>
      <c r="B187" s="39"/>
      <c r="D187" s="113" t="str">
        <f t="shared" si="216"/>
        <v>Транспортный налог</v>
      </c>
      <c r="E187" s="114" t="str">
        <f t="shared" si="217"/>
        <v>руб/ткм</v>
      </c>
      <c r="F187" s="115"/>
      <c r="G187" s="116">
        <f>G129/G104</f>
        <v>1.5027045266013754E-2</v>
      </c>
      <c r="H187" s="116">
        <f t="shared" ref="H187" si="226">H129/H104</f>
        <v>1.4776868735742049E-2</v>
      </c>
      <c r="I187" s="116">
        <f t="shared" ref="I187:Z187" si="227">I129/I104</f>
        <v>1.4655073226089898E-2</v>
      </c>
      <c r="J187" s="116">
        <f t="shared" si="227"/>
        <v>1.559411701028208E-2</v>
      </c>
      <c r="K187" s="116">
        <f t="shared" si="227"/>
        <v>1.3237736428655819E-2</v>
      </c>
      <c r="L187" s="116">
        <f t="shared" si="227"/>
        <v>1.4094980530295094E-2</v>
      </c>
      <c r="M187" s="116">
        <f t="shared" si="227"/>
        <v>1.365415387777574E-2</v>
      </c>
      <c r="N187" s="116">
        <f t="shared" si="227"/>
        <v>1.4878262435981499E-2</v>
      </c>
      <c r="O187" s="116">
        <f t="shared" si="227"/>
        <v>1.3518088411372706E-2</v>
      </c>
      <c r="P187" s="116">
        <f t="shared" si="227"/>
        <v>1.4245132579592513E-2</v>
      </c>
      <c r="Q187" s="116" t="e">
        <f t="shared" si="227"/>
        <v>#DIV/0!</v>
      </c>
      <c r="R187" s="116" t="e">
        <f t="shared" si="227"/>
        <v>#DIV/0!</v>
      </c>
      <c r="S187" s="116" t="e">
        <f t="shared" si="227"/>
        <v>#DIV/0!</v>
      </c>
      <c r="T187" s="116" t="e">
        <f t="shared" si="227"/>
        <v>#DIV/0!</v>
      </c>
      <c r="U187" s="116" t="e">
        <f t="shared" si="227"/>
        <v>#DIV/0!</v>
      </c>
      <c r="V187" s="116" t="e">
        <f t="shared" si="227"/>
        <v>#DIV/0!</v>
      </c>
      <c r="W187" s="116" t="e">
        <f t="shared" si="227"/>
        <v>#DIV/0!</v>
      </c>
      <c r="X187" s="116" t="e">
        <f t="shared" si="227"/>
        <v>#DIV/0!</v>
      </c>
      <c r="Y187" s="116" t="e">
        <f t="shared" si="227"/>
        <v>#DIV/0!</v>
      </c>
      <c r="Z187" s="116" t="e">
        <f t="shared" si="227"/>
        <v>#DIV/0!</v>
      </c>
    </row>
    <row r="188" spans="1:29" outlineLevel="1" x14ac:dyDescent="0.25">
      <c r="A188" s="39" t="str">
        <f t="shared" si="205"/>
        <v>Estar ESDE240 (ГПБ К)</v>
      </c>
      <c r="B188" s="39"/>
      <c r="D188" s="121"/>
      <c r="E188" s="12"/>
      <c r="F188" s="122"/>
      <c r="G188" s="131">
        <f>G181-(G108-G134)/G104</f>
        <v>0</v>
      </c>
      <c r="H188" s="131">
        <f t="shared" ref="H188" si="228">H181-(H108-H134)/H104</f>
        <v>0</v>
      </c>
      <c r="I188" s="131">
        <f t="shared" ref="I188:Z188" si="229">I181-(I108-I134)/I104</f>
        <v>0</v>
      </c>
      <c r="J188" s="131">
        <f t="shared" si="229"/>
        <v>0</v>
      </c>
      <c r="K188" s="131">
        <f t="shared" si="229"/>
        <v>0</v>
      </c>
      <c r="L188" s="131">
        <f t="shared" si="229"/>
        <v>0</v>
      </c>
      <c r="M188" s="131">
        <f t="shared" si="229"/>
        <v>0</v>
      </c>
      <c r="N188" s="131">
        <f t="shared" si="229"/>
        <v>0</v>
      </c>
      <c r="O188" s="131">
        <f t="shared" si="229"/>
        <v>0</v>
      </c>
      <c r="P188" s="131">
        <f t="shared" si="229"/>
        <v>0</v>
      </c>
      <c r="Q188" s="131" t="e">
        <f t="shared" si="229"/>
        <v>#DIV/0!</v>
      </c>
      <c r="R188" s="131" t="e">
        <f t="shared" si="229"/>
        <v>#DIV/0!</v>
      </c>
      <c r="S188" s="131" t="e">
        <f t="shared" si="229"/>
        <v>#DIV/0!</v>
      </c>
      <c r="T188" s="131" t="e">
        <f t="shared" si="229"/>
        <v>#DIV/0!</v>
      </c>
      <c r="U188" s="131" t="e">
        <f t="shared" si="229"/>
        <v>#DIV/0!</v>
      </c>
      <c r="V188" s="131" t="e">
        <f t="shared" si="229"/>
        <v>#DIV/0!</v>
      </c>
      <c r="W188" s="131" t="e">
        <f t="shared" si="229"/>
        <v>#DIV/0!</v>
      </c>
      <c r="X188" s="131" t="e">
        <f t="shared" si="229"/>
        <v>#DIV/0!</v>
      </c>
      <c r="Y188" s="131" t="e">
        <f t="shared" si="229"/>
        <v>#DIV/0!</v>
      </c>
      <c r="Z188" s="131" t="e">
        <f t="shared" si="229"/>
        <v>#DIV/0!</v>
      </c>
    </row>
    <row r="189" spans="1:29" outlineLevel="1" x14ac:dyDescent="0.25">
      <c r="A189" s="2" t="s">
        <v>45</v>
      </c>
    </row>
    <row r="190" spans="1:29" x14ac:dyDescent="0.25">
      <c r="A190" s="2" t="s">
        <v>45</v>
      </c>
    </row>
    <row r="191" spans="1:29" ht="14.3" x14ac:dyDescent="0.25">
      <c r="A191" s="2" t="s">
        <v>45</v>
      </c>
      <c r="C191" s="57" t="e">
        <f>SUM(F241:Z241,F253:Z253,F272:Z272,AA225)</f>
        <v>#DIV/0!</v>
      </c>
      <c r="D191" s="58" t="str">
        <f>Свод!H23</f>
        <v>SANY SET240S</v>
      </c>
      <c r="E191" s="59">
        <f>SUMIFS(Производительность!$Y$55:$Y$71,Производительность!$C$55:$C$71,$D191)</f>
        <v>12</v>
      </c>
      <c r="F191" s="60" t="str">
        <f>$F$2</f>
        <v>лет</v>
      </c>
    </row>
    <row r="192" spans="1:29" outlineLevel="1" x14ac:dyDescent="0.25">
      <c r="A192" s="2" t="s">
        <v>45</v>
      </c>
    </row>
    <row r="193" spans="1:28" outlineLevel="1" x14ac:dyDescent="0.25">
      <c r="A193" s="61" t="str">
        <f>D191</f>
        <v>SANY SET240S</v>
      </c>
      <c r="D193" s="62" t="str">
        <f>D$1</f>
        <v>Показатель</v>
      </c>
      <c r="E193" s="62" t="str">
        <f t="shared" ref="E193:Z193" si="230">E$1</f>
        <v>Ед. изм.</v>
      </c>
      <c r="F193" s="62">
        <f t="shared" si="230"/>
        <v>0</v>
      </c>
      <c r="G193" s="62">
        <f t="shared" si="230"/>
        <v>1</v>
      </c>
      <c r="H193" s="62">
        <f t="shared" si="230"/>
        <v>2</v>
      </c>
      <c r="I193" s="62">
        <f t="shared" si="230"/>
        <v>3</v>
      </c>
      <c r="J193" s="62">
        <f t="shared" si="230"/>
        <v>4</v>
      </c>
      <c r="K193" s="62">
        <f t="shared" si="230"/>
        <v>5</v>
      </c>
      <c r="L193" s="62">
        <f t="shared" si="230"/>
        <v>6</v>
      </c>
      <c r="M193" s="62">
        <f t="shared" si="230"/>
        <v>7</v>
      </c>
      <c r="N193" s="62">
        <f t="shared" si="230"/>
        <v>8</v>
      </c>
      <c r="O193" s="62">
        <f t="shared" si="230"/>
        <v>9</v>
      </c>
      <c r="P193" s="62">
        <f t="shared" si="230"/>
        <v>10</v>
      </c>
      <c r="Q193" s="62">
        <f t="shared" si="230"/>
        <v>11</v>
      </c>
      <c r="R193" s="62">
        <f t="shared" si="230"/>
        <v>12</v>
      </c>
      <c r="S193" s="62">
        <f t="shared" si="230"/>
        <v>13</v>
      </c>
      <c r="T193" s="62">
        <f t="shared" si="230"/>
        <v>14</v>
      </c>
      <c r="U193" s="62">
        <f t="shared" si="230"/>
        <v>15</v>
      </c>
      <c r="V193" s="62">
        <f t="shared" si="230"/>
        <v>16</v>
      </c>
      <c r="W193" s="62">
        <f t="shared" si="230"/>
        <v>17</v>
      </c>
      <c r="X193" s="62">
        <f t="shared" si="230"/>
        <v>18</v>
      </c>
      <c r="Y193" s="62">
        <f t="shared" si="230"/>
        <v>19</v>
      </c>
      <c r="Z193" s="62">
        <f t="shared" si="230"/>
        <v>20</v>
      </c>
    </row>
    <row r="194" spans="1:28" outlineLevel="1" x14ac:dyDescent="0.25">
      <c r="A194" s="39" t="str">
        <f>A193</f>
        <v>SANY SET240S</v>
      </c>
      <c r="B194" s="39"/>
      <c r="D194" s="63" t="s">
        <v>50</v>
      </c>
      <c r="E194" s="64" t="s">
        <v>51</v>
      </c>
      <c r="F194" s="65"/>
      <c r="G194" s="66">
        <f>SUMIFS(Производительность!E$55:E$71,Производительность!$C$55:$C$71,$A194)</f>
        <v>0.93570839675291717</v>
      </c>
      <c r="H194" s="66">
        <f>SUMIFS(Производительность!F$55:F$71,Производительность!$C$55:$C$71,$A194)</f>
        <v>0.90263508371385082</v>
      </c>
      <c r="I194" s="66">
        <f>SUMIFS(Производительность!G$55:G$71,Производительность!$C$55:$C$71,$A194)</f>
        <v>0.86578830542871643</v>
      </c>
      <c r="J194" s="66">
        <f>SUMIFS(Производительность!H$55:H$71,Производительность!$C$55:$C$71,$A194)</f>
        <v>0.90352295788939629</v>
      </c>
      <c r="K194" s="66">
        <f>SUMIFS(Производительность!I$55:I$71,Производительность!$C$55:$C$71,$A194)</f>
        <v>0.85025050735667174</v>
      </c>
      <c r="L194" s="66">
        <f>SUMIFS(Производительность!J$55:J$71,Производительность!$C$55:$C$71,$A194)</f>
        <v>0.90352295788939629</v>
      </c>
      <c r="M194" s="66">
        <f>SUMIFS(Производительность!K$55:K$71,Производительность!$C$55:$C$71,$A194)</f>
        <v>0.86578830542871643</v>
      </c>
      <c r="N194" s="66">
        <f>SUMIFS(Производительность!L$55:L$71,Производительность!$C$55:$C$71,$A194)</f>
        <v>0.90352295788939629</v>
      </c>
      <c r="O194" s="66">
        <f>SUMIFS(Производительность!M$55:M$71,Производительность!$C$55:$C$71,$A194)</f>
        <v>0.85025050735667174</v>
      </c>
      <c r="P194" s="66">
        <f>SUMIFS(Производительность!N$55:N$71,Производительность!$C$55:$C$71,$A194)</f>
        <v>0.88465563165905625</v>
      </c>
      <c r="Q194" s="66">
        <f>SUMIFS(Производительность!O$55:O$71,Производительность!$C$55:$C$71,$A194)</f>
        <v>0.8635686199898529</v>
      </c>
      <c r="R194" s="66">
        <f>SUMIFS(Производительность!P$55:P$71,Производительность!$C$55:$C$71,$A194)</f>
        <v>0.8713375190258752</v>
      </c>
      <c r="S194" s="66">
        <f>SUMIFS(Производительность!Q$55:Q$71,Производительность!$C$55:$C$71,$A194)</f>
        <v>0</v>
      </c>
      <c r="T194" s="66">
        <f>SUMIFS(Производительность!R$55:R$71,Производительность!$C$55:$C$71,$A194)</f>
        <v>0</v>
      </c>
      <c r="U194" s="66">
        <f>SUMIFS(Производительность!S$55:S$71,Производительность!$C$55:$C$71,$A194)</f>
        <v>0</v>
      </c>
      <c r="V194" s="66">
        <f>SUMIFS(Производительность!T$55:T$71,Производительность!$C$55:$C$71,$A194)</f>
        <v>0</v>
      </c>
      <c r="W194" s="66">
        <f>SUMIFS(Производительность!U$55:U$71,Производительность!$C$55:$C$71,$A194)</f>
        <v>0</v>
      </c>
      <c r="X194" s="66">
        <f>SUMIFS(Производительность!V$55:V$71,Производительность!$C$55:$C$71,$A194)</f>
        <v>0</v>
      </c>
      <c r="Y194" s="66">
        <f>SUMIFS(Производительность!W$55:W$71,Производительность!$C$55:$C$71,$A194)</f>
        <v>0</v>
      </c>
      <c r="Z194" s="66">
        <f>SUMIFS(Производительность!X$55:X$71,Производительность!$C$55:$C$71,$A194)</f>
        <v>0</v>
      </c>
    </row>
    <row r="195" spans="1:28" outlineLevel="1" x14ac:dyDescent="0.25">
      <c r="A195" s="39" t="str">
        <f t="shared" ref="A195:A258" si="231">A194</f>
        <v>SANY SET240S</v>
      </c>
      <c r="B195" s="39"/>
      <c r="D195" s="63" t="s">
        <v>52</v>
      </c>
      <c r="E195" s="64" t="str">
        <f>E194</f>
        <v>%</v>
      </c>
      <c r="F195" s="65"/>
      <c r="G195" s="66">
        <f>SUMIFS(Производительность!E$119:E$135,Производительность!$C$119:$C$135,$A195)</f>
        <v>0.80265564806627443</v>
      </c>
      <c r="H195" s="66">
        <f>SUMIFS(Производительность!F$119:F$135,Производительность!$C$119:$C$135,$A195)</f>
        <v>0.77428518393108892</v>
      </c>
      <c r="I195" s="66">
        <f>SUMIFS(Производительность!G$119:G$135,Производительность!$C$119:$C$135,$A195)</f>
        <v>0.74859167574857644</v>
      </c>
      <c r="J195" s="66">
        <f>SUMIFS(Производительность!H$119:H$135,Производительность!$C$119:$C$135,$A195)</f>
        <v>0.78121841203296505</v>
      </c>
      <c r="K195" s="66">
        <f>SUMIFS(Производительность!I$119:I$135,Производительность!$C$119:$C$135,$A195)</f>
        <v>0.73515713727853393</v>
      </c>
      <c r="L195" s="66">
        <f>SUMIFS(Производительность!J$119:J$135,Производительность!$C$119:$C$135,$A195)</f>
        <v>0.78121841203296505</v>
      </c>
      <c r="M195" s="66">
        <f>SUMIFS(Производительность!K$119:K$135,Производительность!$C$119:$C$135,$A195)</f>
        <v>0.74859167574857644</v>
      </c>
      <c r="N195" s="66">
        <f>SUMIFS(Производительность!L$119:L$135,Производительность!$C$119:$C$135,$A195)</f>
        <v>0.78121841203296505</v>
      </c>
      <c r="O195" s="66">
        <f>SUMIFS(Производительность!M$119:M$135,Производительность!$C$119:$C$135,$A195)</f>
        <v>0.73515713727853393</v>
      </c>
      <c r="P195" s="66">
        <f>SUMIFS(Производительность!N$119:N$135,Производительность!$C$119:$C$135,$A195)</f>
        <v>0.76490504389077063</v>
      </c>
      <c r="Q195" s="66">
        <f>SUMIFS(Производительность!O$119:O$135,Производительность!$C$119:$C$135,$A195)</f>
        <v>0.74667245596714182</v>
      </c>
      <c r="R195" s="66">
        <f>SUMIFS(Производительность!P$119:P$135,Производительность!$C$119:$C$135,$A195)</f>
        <v>0.75338972520216296</v>
      </c>
      <c r="S195" s="66">
        <f>SUMIFS(Производительность!Q$119:Q$135,Производительность!$C$119:$C$135,$A195)</f>
        <v>0</v>
      </c>
      <c r="T195" s="66">
        <f>SUMIFS(Производительность!R$119:R$135,Производительность!$C$119:$C$135,$A195)</f>
        <v>0</v>
      </c>
      <c r="U195" s="66">
        <f>SUMIFS(Производительность!S$119:S$135,Производительность!$C$119:$C$135,$A195)</f>
        <v>0</v>
      </c>
      <c r="V195" s="66">
        <f>SUMIFS(Производительность!T$119:T$135,Производительность!$C$119:$C$135,$A195)</f>
        <v>0</v>
      </c>
      <c r="W195" s="66">
        <f>SUMIFS(Производительность!U$119:U$135,Производительность!$C$119:$C$135,$A195)</f>
        <v>0</v>
      </c>
      <c r="X195" s="66">
        <f>SUMIFS(Производительность!V$119:V$135,Производительность!$C$119:$C$135,$A195)</f>
        <v>0</v>
      </c>
      <c r="Y195" s="66">
        <f>SUMIFS(Производительность!W$119:W$135,Производительность!$C$119:$C$135,$A195)</f>
        <v>0</v>
      </c>
      <c r="Z195" s="66">
        <f>SUMIFS(Производительность!X$119:X$135,Производительность!$C$119:$C$135,$A195)</f>
        <v>0</v>
      </c>
    </row>
    <row r="196" spans="1:28" outlineLevel="1" x14ac:dyDescent="0.25">
      <c r="A196" s="39" t="str">
        <f t="shared" si="231"/>
        <v>SANY SET240S</v>
      </c>
      <c r="B196" s="39"/>
      <c r="D196" s="67" t="s">
        <v>53</v>
      </c>
      <c r="E196" s="68" t="s">
        <v>23</v>
      </c>
      <c r="F196" s="69"/>
      <c r="G196" s="69">
        <f>SUMIFS(Производительность!E$247:E$263,Производительность!$C$247:$C$263,$A196)</f>
        <v>3644.1303572092447</v>
      </c>
      <c r="H196" s="69">
        <f>SUMIFS(Производительность!F$247:F$263,Производительность!$C$247:$C$263,$A196)</f>
        <v>3280.4225602034121</v>
      </c>
      <c r="I196" s="69">
        <f>SUMIFS(Производительность!G$247:G$263,Производительность!$C$247:$C$263,$A196)</f>
        <v>2789.5033075486581</v>
      </c>
      <c r="J196" s="69">
        <f>SUMIFS(Производительность!H$247:H$263,Производительность!$C$247:$C$263,$A196)</f>
        <v>2985.9024819106344</v>
      </c>
      <c r="K196" s="69">
        <f>SUMIFS(Производительность!I$247:I$263,Производительность!$C$247:$C$263,$A196)</f>
        <v>2417.4152462721759</v>
      </c>
      <c r="L196" s="69">
        <f>SUMIFS(Производительность!J$247:J$263,Производительность!$C$247:$C$263,$A196)</f>
        <v>2360.9073034317075</v>
      </c>
      <c r="M196" s="69">
        <f>SUMIFS(Производительность!K$247:K$263,Производительность!$C$247:$C$263,$A196)</f>
        <v>2616.0844012997773</v>
      </c>
      <c r="N196" s="69">
        <f>SUMIFS(Производительность!L$247:L$263,Производительность!$C$247:$C$263,$A196)</f>
        <v>2682.1771700085524</v>
      </c>
      <c r="O196" s="69">
        <f>SUMIFS(Производительность!M$247:M$263,Производительность!$C$247:$C$263,$A196)</f>
        <v>2212.7795687724229</v>
      </c>
      <c r="P196" s="69">
        <f>SUMIFS(Производительность!N$247:N$263,Производительность!$C$247:$C$263,$A196)</f>
        <v>2505.5748914002793</v>
      </c>
      <c r="Q196" s="69">
        <f>SUMIFS(Производительность!O$247:O$263,Производительность!$C$247:$C$263,$A196)</f>
        <v>2476.8455502693701</v>
      </c>
      <c r="R196" s="69">
        <f>SUMIFS(Производительность!P$247:P$263,Производительность!$C$247:$C$263,$A196)</f>
        <v>2158.2123005531425</v>
      </c>
      <c r="S196" s="69">
        <f>SUMIFS(Производительность!Q$247:Q$263,Производительность!$C$247:$C$263,$A196)</f>
        <v>0</v>
      </c>
      <c r="T196" s="69">
        <f>SUMIFS(Производительность!R$247:R$263,Производительность!$C$247:$C$263,$A196)</f>
        <v>0</v>
      </c>
      <c r="U196" s="69">
        <f>SUMIFS(Производительность!S$247:S$263,Производительность!$C$247:$C$263,$A196)</f>
        <v>0</v>
      </c>
      <c r="V196" s="69">
        <f>SUMIFS(Производительность!T$247:T$263,Производительность!$C$247:$C$263,$A196)</f>
        <v>0</v>
      </c>
      <c r="W196" s="69">
        <f>SUMIFS(Производительность!U$247:U$263,Производительность!$C$247:$C$263,$A196)</f>
        <v>0</v>
      </c>
      <c r="X196" s="69">
        <f>SUMIFS(Производительность!V$247:V$263,Производительность!$C$247:$C$263,$A196)</f>
        <v>0</v>
      </c>
      <c r="Y196" s="69">
        <f>SUMIFS(Производительность!W$247:W$263,Производительность!$C$247:$C$263,$A196)</f>
        <v>0</v>
      </c>
      <c r="Z196" s="69">
        <f>SUMIFS(Производительность!X$247:X$263,Производительность!$C$247:$C$263,$A196)</f>
        <v>0</v>
      </c>
    </row>
    <row r="197" spans="1:28" outlineLevel="1" x14ac:dyDescent="0.25">
      <c r="A197" s="39" t="str">
        <f t="shared" si="231"/>
        <v>SANY SET240S</v>
      </c>
      <c r="B197" s="39"/>
      <c r="D197" s="67" t="s">
        <v>54</v>
      </c>
      <c r="E197" s="68" t="s">
        <v>24</v>
      </c>
      <c r="F197" s="69"/>
      <c r="G197" s="69">
        <f>SUMIFS(Производительность!E$263:E$279,Производительность!$C$263:$C$279,$A197)</f>
        <v>11076.640726864678</v>
      </c>
      <c r="H197" s="69">
        <f>SUMIFS(Производительность!F$263:F$279,Производительность!$C$263:$C$279,$A197)</f>
        <v>11054.443520478939</v>
      </c>
      <c r="I197" s="69">
        <f>SUMIFS(Производительность!G$263:G$279,Производительность!$C$263:$C$279,$A197)</f>
        <v>11288.298063342279</v>
      </c>
      <c r="J197" s="69">
        <f>SUMIFS(Производительность!H$263:H$279,Производительность!$C$263:$C$279,$A197)</f>
        <v>11662.655386471255</v>
      </c>
      <c r="K197" s="69">
        <f>SUMIFS(Производительность!I$263:I$279,Производительность!$C$263:$C$279,$A197)</f>
        <v>11592.003575903154</v>
      </c>
      <c r="L197" s="69">
        <f>SUMIFS(Производительность!J$263:J$279,Производительность!$C$263:$C$279,$A197)</f>
        <v>12645.272806075822</v>
      </c>
      <c r="M197" s="69">
        <f>SUMIFS(Производительность!K$263:K$279,Производительность!$C$263:$C$279,$A197)</f>
        <v>11560.947267746767</v>
      </c>
      <c r="N197" s="69">
        <f>SUMIFS(Производительность!L$263:L$279,Производительность!$C$263:$C$279,$A197)</f>
        <v>12140.172321843706</v>
      </c>
      <c r="O197" s="69">
        <f>SUMIFS(Производительность!M$263:M$279,Производительность!$C$263:$C$279,$A197)</f>
        <v>11913.731788068266</v>
      </c>
      <c r="P197" s="69">
        <f>SUMIFS(Производительность!N$263:N$279,Производительность!$C$263:$C$279,$A197)</f>
        <v>12076.258371741191</v>
      </c>
      <c r="Q197" s="69">
        <f>SUMIFS(Производительность!O$263:O$279,Производительность!$C$263:$C$279,$A197)</f>
        <v>11739.674112568489</v>
      </c>
      <c r="R197" s="69">
        <f>SUMIFS(Производительность!P$263:P$279,Производительность!$C$263:$C$279,$A197)</f>
        <v>12381.274976461345</v>
      </c>
      <c r="S197" s="69">
        <f>SUMIFS(Производительность!Q$263:Q$279,Производительность!$C$263:$C$279,$A197)</f>
        <v>0</v>
      </c>
      <c r="T197" s="69">
        <f>SUMIFS(Производительность!R$263:R$279,Производительность!$C$263:$C$279,$A197)</f>
        <v>0</v>
      </c>
      <c r="U197" s="69">
        <f>SUMIFS(Производительность!S$263:S$279,Производительность!$C$263:$C$279,$A197)</f>
        <v>0</v>
      </c>
      <c r="V197" s="69">
        <f>SUMIFS(Производительность!T$263:T$279,Производительность!$C$263:$C$279,$A197)</f>
        <v>0</v>
      </c>
      <c r="W197" s="69">
        <f>SUMIFS(Производительность!U$263:U$279,Производительность!$C$263:$C$279,$A197)</f>
        <v>0</v>
      </c>
      <c r="X197" s="69">
        <f>SUMIFS(Производительность!V$263:V$279,Производительность!$C$263:$C$279,$A197)</f>
        <v>0</v>
      </c>
      <c r="Y197" s="69">
        <f>SUMIFS(Производительность!W$263:W$279,Производительность!$C$263:$C$279,$A197)</f>
        <v>0</v>
      </c>
      <c r="Z197" s="69">
        <f>SUMIFS(Производительность!X$263:X$279,Производительность!$C$263:$C$279,$A197)</f>
        <v>0</v>
      </c>
    </row>
    <row r="198" spans="1:28" outlineLevel="1" x14ac:dyDescent="0.25">
      <c r="A198" s="39" t="str">
        <f t="shared" si="231"/>
        <v>SANY SET240S</v>
      </c>
      <c r="B198" s="39"/>
      <c r="D198" s="70" t="s">
        <v>55</v>
      </c>
      <c r="E198" s="64" t="str">
        <f>E197</f>
        <v>тыс. ткм</v>
      </c>
      <c r="F198" s="65"/>
      <c r="G198" s="530">
        <f>G197</f>
        <v>11076.640726864678</v>
      </c>
      <c r="H198" s="65">
        <f>IF(H193&gt;$E191,0,G198+H197)</f>
        <v>22131.084247343617</v>
      </c>
      <c r="I198" s="65">
        <f t="shared" ref="I198" si="232">IF(I193&gt;$E191,0,H198+I197)</f>
        <v>33419.382310685898</v>
      </c>
      <c r="J198" s="65">
        <f t="shared" ref="J198" si="233">IF(J193&gt;$E191,0,I198+J197)</f>
        <v>45082.037697157153</v>
      </c>
      <c r="K198" s="65">
        <f t="shared" ref="K198" si="234">IF(K193&gt;$E191,0,J198+K197)</f>
        <v>56674.041273060306</v>
      </c>
      <c r="L198" s="65">
        <f t="shared" ref="L198" si="235">IF(L193&gt;$E191,0,K198+L197)</f>
        <v>69319.314079136122</v>
      </c>
      <c r="M198" s="65">
        <f t="shared" ref="M198" si="236">IF(M193&gt;$E191,0,L198+M197)</f>
        <v>80880.261346882893</v>
      </c>
      <c r="N198" s="65">
        <f t="shared" ref="N198" si="237">IF(N193&gt;$E191,0,M198+N197)</f>
        <v>93020.433668726604</v>
      </c>
      <c r="O198" s="65">
        <f t="shared" ref="O198" si="238">IF(O193&gt;$E191,0,N198+O197)</f>
        <v>104934.16545679487</v>
      </c>
      <c r="P198" s="65">
        <f t="shared" ref="P198" si="239">IF(P193&gt;$E191,0,O198+P197)</f>
        <v>117010.42382853606</v>
      </c>
      <c r="Q198" s="65">
        <f t="shared" ref="Q198" si="240">IF(Q193&gt;$E191,0,P198+Q197)</f>
        <v>128750.09794110456</v>
      </c>
      <c r="R198" s="65">
        <f t="shared" ref="R198" si="241">IF(R193&gt;$E191,0,Q198+R197)</f>
        <v>141131.3729175659</v>
      </c>
      <c r="S198" s="65">
        <f t="shared" ref="S198" si="242">IF(S193&gt;$E191,0,R198+S197)</f>
        <v>0</v>
      </c>
      <c r="T198" s="65">
        <f t="shared" ref="T198" si="243">IF(T193&gt;$E191,0,S198+T197)</f>
        <v>0</v>
      </c>
      <c r="U198" s="65">
        <f t="shared" ref="U198" si="244">IF(U193&gt;$E191,0,T198+U197)</f>
        <v>0</v>
      </c>
      <c r="V198" s="65">
        <f t="shared" ref="V198" si="245">IF(V193&gt;$E191,0,U198+V197)</f>
        <v>0</v>
      </c>
      <c r="W198" s="65">
        <f t="shared" ref="W198" si="246">IF(W193&gt;$E191,0,V198+W197)</f>
        <v>0</v>
      </c>
      <c r="X198" s="65">
        <f t="shared" ref="X198" si="247">IF(X193&gt;$E191,0,W198+X197)</f>
        <v>0</v>
      </c>
      <c r="Y198" s="65">
        <f t="shared" ref="Y198" si="248">IF(Y193&gt;$E191,0,X198+Y197)</f>
        <v>0</v>
      </c>
      <c r="Z198" s="65">
        <f t="shared" ref="Z198" si="249">IF(Z193&gt;$E191,0,Y198+Z197)</f>
        <v>0</v>
      </c>
    </row>
    <row r="199" spans="1:28" outlineLevel="1" x14ac:dyDescent="0.25">
      <c r="A199" s="39" t="str">
        <f t="shared" si="231"/>
        <v>SANY SET240S</v>
      </c>
      <c r="B199" s="39"/>
      <c r="D199" s="63" t="s">
        <v>56</v>
      </c>
      <c r="E199" s="64" t="s">
        <v>57</v>
      </c>
      <c r="F199" s="65"/>
      <c r="G199" s="65">
        <f>SUMIFS(Производительность!E$279:E$295,Производительность!$C$279:$C$295,$A199)/1000</f>
        <v>104.08504181104711</v>
      </c>
      <c r="H199" s="65">
        <f>SUMIFS(Производительность!F$279:F$295,Производительность!$C$279:$C$295,$A199)/1000</f>
        <v>103.87645897336921</v>
      </c>
      <c r="I199" s="65">
        <f>SUMIFS(Производительность!G$279:G$295,Производительность!$C$279:$C$295,$A199)/1000</f>
        <v>106.07394469777293</v>
      </c>
      <c r="J199" s="65">
        <f>SUMIFS(Производительность!H$279:H$295,Производительность!$C$279:$C$295,$A199)/1000</f>
        <v>109.59170776249412</v>
      </c>
      <c r="K199" s="65">
        <f>SUMIFS(Производительность!I$279:I$295,Производительность!$C$279:$C$295,$A199)/1000</f>
        <v>108.92780641926726</v>
      </c>
      <c r="L199" s="65">
        <f>SUMIFS(Производительность!J$279:J$295,Производительность!$C$279:$C$295,$A199)/1000</f>
        <v>118.82517282882516</v>
      </c>
      <c r="M199" s="65">
        <f>SUMIFS(Производительность!K$279:K$295,Производительность!$C$279:$C$295,$A199)/1000</f>
        <v>108.63597632270069</v>
      </c>
      <c r="N199" s="65">
        <f>SUMIFS(Производительность!L$279:L$295,Производительность!$C$279:$C$295,$A199)/1000</f>
        <v>114.07884166972462</v>
      </c>
      <c r="O199" s="65">
        <f>SUMIFS(Производительность!M$279:M$295,Производительность!$C$279:$C$295,$A199)/1000</f>
        <v>111.95102394890884</v>
      </c>
      <c r="P199" s="65">
        <f>SUMIFS(Производительность!N$279:N$295,Производительность!$C$279:$C$295,$A199)/1000</f>
        <v>113.47825469279084</v>
      </c>
      <c r="Q199" s="65">
        <f>SUMIFS(Производительность!O$279:O$295,Производительность!$C$279:$C$295,$A199)/1000</f>
        <v>110.31543777448427</v>
      </c>
      <c r="R199" s="65">
        <f>SUMIFS(Производительность!P$279:P$295,Производительность!$C$279:$C$295,$A199)/1000</f>
        <v>116.34443649268992</v>
      </c>
      <c r="S199" s="65">
        <f>SUMIFS(Производительность!Q$279:Q$295,Производительность!$C$279:$C$295,$A199)/1000</f>
        <v>0</v>
      </c>
      <c r="T199" s="65">
        <f>SUMIFS(Производительность!R$279:R$295,Производительность!$C$279:$C$295,$A199)/1000</f>
        <v>0</v>
      </c>
      <c r="U199" s="65">
        <f>SUMIFS(Производительность!S$279:S$295,Производительность!$C$279:$C$295,$A199)/1000</f>
        <v>0</v>
      </c>
      <c r="V199" s="65">
        <f>SUMIFS(Производительность!T$279:T$295,Производительность!$C$279:$C$295,$A199)/1000</f>
        <v>0</v>
      </c>
      <c r="W199" s="65">
        <f>SUMIFS(Производительность!U$279:U$295,Производительность!$C$279:$C$295,$A199)/1000</f>
        <v>0</v>
      </c>
      <c r="X199" s="65">
        <f>SUMIFS(Производительность!V$279:V$295,Производительность!$C$279:$C$295,$A199)/1000</f>
        <v>0</v>
      </c>
      <c r="Y199" s="65">
        <f>SUMIFS(Производительность!W$279:W$295,Производительность!$C$279:$C$295,$A199)/1000</f>
        <v>0</v>
      </c>
      <c r="Z199" s="65">
        <f>SUMIFS(Производительность!X$279:X$295,Производительность!$C$279:$C$295,$A199)/1000</f>
        <v>0</v>
      </c>
    </row>
    <row r="200" spans="1:28" outlineLevel="1" x14ac:dyDescent="0.25">
      <c r="A200" s="39" t="str">
        <f t="shared" si="231"/>
        <v>SANY SET240S</v>
      </c>
      <c r="B200" s="39"/>
      <c r="D200" s="31"/>
      <c r="E200" s="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8" outlineLevel="1" x14ac:dyDescent="0.25">
      <c r="A201" s="39" t="str">
        <f t="shared" si="231"/>
        <v>SANY SET240S</v>
      </c>
      <c r="B201" s="39"/>
      <c r="D201" s="71" t="s">
        <v>58</v>
      </c>
      <c r="E201" s="72" t="s">
        <v>33</v>
      </c>
      <c r="F201" s="73">
        <f>F226+F227-F225</f>
        <v>0</v>
      </c>
      <c r="G201" s="73">
        <f t="shared" ref="G201:H201" si="250">G226+G227-G225</f>
        <v>90424.217991647572</v>
      </c>
      <c r="H201" s="73">
        <f t="shared" si="250"/>
        <v>95645.344467083807</v>
      </c>
      <c r="I201" s="73">
        <f t="shared" ref="I201:Z201" si="251">I226+I227-I225</f>
        <v>124332.45305836329</v>
      </c>
      <c r="J201" s="73">
        <f t="shared" si="251"/>
        <v>105937.05590861087</v>
      </c>
      <c r="K201" s="73">
        <f t="shared" si="251"/>
        <v>152685.10134933365</v>
      </c>
      <c r="L201" s="73">
        <f t="shared" si="251"/>
        <v>142628.55382006362</v>
      </c>
      <c r="M201" s="73">
        <f t="shared" si="251"/>
        <v>102659.42665804707</v>
      </c>
      <c r="N201" s="73">
        <f t="shared" si="251"/>
        <v>106264.46620133477</v>
      </c>
      <c r="O201" s="73">
        <f t="shared" si="251"/>
        <v>181106.12609839198</v>
      </c>
      <c r="P201" s="73">
        <f t="shared" si="251"/>
        <v>100734.4338333178</v>
      </c>
      <c r="Q201" s="73">
        <f t="shared" si="251"/>
        <v>103132.85009078209</v>
      </c>
      <c r="R201" s="73">
        <f t="shared" si="251"/>
        <v>108710.78270992349</v>
      </c>
      <c r="S201" s="73">
        <f t="shared" si="251"/>
        <v>0</v>
      </c>
      <c r="T201" s="73">
        <f t="shared" si="251"/>
        <v>0</v>
      </c>
      <c r="U201" s="73">
        <f t="shared" si="251"/>
        <v>0</v>
      </c>
      <c r="V201" s="73">
        <f t="shared" si="251"/>
        <v>0</v>
      </c>
      <c r="W201" s="73">
        <f t="shared" si="251"/>
        <v>0</v>
      </c>
      <c r="X201" s="73">
        <f t="shared" si="251"/>
        <v>0</v>
      </c>
      <c r="Y201" s="73">
        <f t="shared" si="251"/>
        <v>0</v>
      </c>
      <c r="Z201" s="73">
        <f t="shared" si="251"/>
        <v>0</v>
      </c>
    </row>
    <row r="202" spans="1:28" outlineLevel="1" x14ac:dyDescent="0.25">
      <c r="A202" s="39" t="str">
        <f t="shared" si="231"/>
        <v>SANY SET240S</v>
      </c>
      <c r="B202" s="39"/>
      <c r="C202" s="619" t="str">
        <f>D202</f>
        <v>ТО, ТР, ППР</v>
      </c>
      <c r="D202" s="430" t="s">
        <v>59</v>
      </c>
      <c r="E202" s="68" t="str">
        <f>E201</f>
        <v>тыс. руб.</v>
      </c>
      <c r="F202" s="74"/>
      <c r="G202" s="455">
        <f>(G203+G204+G205)*'ФОТ, МТР, макро'!AK$7</f>
        <v>12729.248892019543</v>
      </c>
      <c r="H202" s="455">
        <f>(H203+H204+H205)*'ФОТ, МТР, макро'!AL$7</f>
        <v>19869.342512994954</v>
      </c>
      <c r="I202" s="455">
        <f>(I203+I204+I205)*'ФОТ, МТР, макро'!AM$7</f>
        <v>56237.301455404791</v>
      </c>
      <c r="J202" s="455">
        <f>(J203+J204+J205)*'ФОТ, МТР, макро'!AN$7</f>
        <v>28698.145450494958</v>
      </c>
      <c r="K202" s="455">
        <f>(K203+K204+K205)*'ФОТ, МТР, макро'!AO$7</f>
        <v>91597.314673069559</v>
      </c>
      <c r="L202" s="455">
        <f>(L203+L204+L205)*'ФОТ, МТР, макро'!AP$7</f>
        <v>69714.315828880222</v>
      </c>
      <c r="M202" s="455">
        <f>(M203+M204+M205)*'ФОТ, МТР, макро'!AQ$7</f>
        <v>25146.284250019544</v>
      </c>
      <c r="N202" s="455">
        <f>(N203+N204+N205)*'ФОТ, МТР, макро'!AR$7</f>
        <v>25292.743313994957</v>
      </c>
      <c r="O202" s="455">
        <f>(O203+O204+O205)*'ФОТ, МТР, макро'!AS$7</f>
        <v>126903.4915999548</v>
      </c>
      <c r="P202" s="455">
        <f>(P203+P204+P205)*'ФОТ, МТР, макро'!AT$7</f>
        <v>18433.598111994957</v>
      </c>
      <c r="Q202" s="455">
        <f>(Q203+Q204+Q205)*'ФОТ, МТР, макро'!AU$7</f>
        <v>24339.536217019544</v>
      </c>
      <c r="R202" s="455">
        <f>(R203+R204+R205)*'ФОТ, МТР, макро'!AV$7</f>
        <v>26614.663480519543</v>
      </c>
      <c r="S202" s="455"/>
      <c r="T202" s="455"/>
      <c r="U202" s="455"/>
      <c r="V202" s="455"/>
      <c r="W202" s="455"/>
      <c r="X202" s="455"/>
      <c r="Y202" s="455"/>
      <c r="Z202" s="455"/>
      <c r="AB202" s="76">
        <f>SUM(F202:Z202,F216:Z216)/E191</f>
        <v>43797.998815530613</v>
      </c>
    </row>
    <row r="203" spans="1:28" outlineLevel="1" x14ac:dyDescent="0.25">
      <c r="A203" s="39" t="str">
        <f t="shared" si="231"/>
        <v>SANY SET240S</v>
      </c>
      <c r="B203" s="39"/>
      <c r="D203" s="427" t="s">
        <v>60</v>
      </c>
      <c r="E203" s="428" t="s">
        <v>35</v>
      </c>
      <c r="F203" s="30"/>
      <c r="G203" s="456">
        <f>SANY!E19</f>
        <v>93.68070774674284</v>
      </c>
      <c r="H203" s="456">
        <f>SANY!F19</f>
        <v>93.68070774674284</v>
      </c>
      <c r="I203" s="456">
        <f>SANY!G19</f>
        <v>93.68070774674284</v>
      </c>
      <c r="J203" s="456">
        <f>SANY!H19</f>
        <v>93.68070774674284</v>
      </c>
      <c r="K203" s="456">
        <f>SANY!I19</f>
        <v>93.68070774674284</v>
      </c>
      <c r="L203" s="456">
        <f>SANY!J19</f>
        <v>93.68070774674284</v>
      </c>
      <c r="M203" s="456">
        <f>SANY!K19</f>
        <v>93.68070774674284</v>
      </c>
      <c r="N203" s="456">
        <f>SANY!L19</f>
        <v>93.68070774674284</v>
      </c>
      <c r="O203" s="456">
        <f>SANY!M19</f>
        <v>93.68070774674284</v>
      </c>
      <c r="P203" s="456">
        <f>SANY!N19</f>
        <v>93.68070774674284</v>
      </c>
      <c r="Q203" s="456">
        <f>SANY!O19</f>
        <v>93.68070774674284</v>
      </c>
      <c r="R203" s="456">
        <f>SANY!P19</f>
        <v>93.68070774674284</v>
      </c>
      <c r="S203" s="456"/>
      <c r="T203" s="456"/>
      <c r="U203" s="456"/>
      <c r="V203" s="456"/>
      <c r="W203" s="456"/>
      <c r="X203" s="456"/>
      <c r="Y203" s="456"/>
      <c r="Z203" s="456"/>
    </row>
    <row r="204" spans="1:28" outlineLevel="1" x14ac:dyDescent="0.25">
      <c r="A204" s="39" t="str">
        <f t="shared" si="231"/>
        <v>SANY SET240S</v>
      </c>
      <c r="B204" s="39"/>
      <c r="D204" s="427" t="s">
        <v>61</v>
      </c>
      <c r="E204" s="428" t="s">
        <v>35</v>
      </c>
      <c r="F204" s="30"/>
      <c r="G204" s="456">
        <f>SANY!E20+SANY!E21</f>
        <v>17.931000000000001</v>
      </c>
      <c r="H204" s="456">
        <f>SANY!F20+SANY!F21</f>
        <v>80.142271662763463</v>
      </c>
      <c r="I204" s="456">
        <f>SANY!G20+SANY!G21</f>
        <v>451.56393442622948</v>
      </c>
      <c r="J204" s="456">
        <f>SANY!H20+SANY!H21</f>
        <v>174.38527166276347</v>
      </c>
      <c r="K204" s="456">
        <f>SANY!I20+SANY!I21</f>
        <v>821.10030000000006</v>
      </c>
      <c r="L204" s="456">
        <f>SANY!J20+SANY!J21</f>
        <v>610.50249180327876</v>
      </c>
      <c r="M204" s="456">
        <f>SANY!K20+SANY!K21</f>
        <v>120.979</v>
      </c>
      <c r="N204" s="456">
        <f>SANY!L20+SANY!L21</f>
        <v>138.17627166276347</v>
      </c>
      <c r="O204" s="456">
        <f>SANY!M20+SANY!M21</f>
        <v>1196.5042344262295</v>
      </c>
      <c r="P204" s="456">
        <f>SANY!N20+SANY!N21</f>
        <v>57.424271662763459</v>
      </c>
      <c r="Q204" s="456">
        <f>SANY!O20+SANY!O21</f>
        <v>111.48099999999999</v>
      </c>
      <c r="R204" s="456">
        <f>SANY!P20+SANY!P21</f>
        <v>138.892</v>
      </c>
      <c r="S204" s="456"/>
      <c r="T204" s="456"/>
      <c r="U204" s="456"/>
      <c r="V204" s="456"/>
      <c r="W204" s="456"/>
      <c r="X204" s="456"/>
      <c r="Y204" s="456"/>
      <c r="Z204" s="456"/>
    </row>
    <row r="205" spans="1:28" outlineLevel="1" x14ac:dyDescent="0.25">
      <c r="A205" s="39" t="str">
        <f t="shared" si="231"/>
        <v>SANY SET240S</v>
      </c>
      <c r="B205" s="39"/>
      <c r="D205" s="427" t="s">
        <v>62</v>
      </c>
      <c r="E205" s="428" t="s">
        <v>33</v>
      </c>
      <c r="F205" s="30"/>
      <c r="G205" s="456">
        <f>SANY!E22+SANY!E23</f>
        <v>23.736000000000001</v>
      </c>
      <c r="H205" s="456">
        <f>SANY!F22+SANY!F23</f>
        <v>37.444000000000003</v>
      </c>
      <c r="I205" s="456">
        <f>SANY!G22+SANY!G23</f>
        <v>52.716000000000001</v>
      </c>
      <c r="J205" s="456">
        <f>SANY!H22+SANY!H23</f>
        <v>37.076000000000001</v>
      </c>
      <c r="K205" s="456">
        <f>SANY!I22+SANY!I23</f>
        <v>59.155999999999999</v>
      </c>
      <c r="L205" s="456">
        <f>SANY!J22+SANY!J23</f>
        <v>37.076000000000001</v>
      </c>
      <c r="M205" s="456">
        <f>SANY!K22+SANY!K23</f>
        <v>52.716000000000001</v>
      </c>
      <c r="N205" s="456">
        <f>SANY!L22+SANY!L23</f>
        <v>37.076000000000001</v>
      </c>
      <c r="O205" s="456">
        <f>SANY!M22+SANY!M23</f>
        <v>59.155999999999999</v>
      </c>
      <c r="P205" s="456">
        <f>SANY!N22+SANY!N23</f>
        <v>44.896000000000001</v>
      </c>
      <c r="Q205" s="456">
        <f>SANY!O22+SANY!O23</f>
        <v>53.636000000000003</v>
      </c>
      <c r="R205" s="456">
        <f>SANY!P22+SANY!P23</f>
        <v>50.416000000000004</v>
      </c>
      <c r="S205" s="456"/>
      <c r="T205" s="456"/>
      <c r="U205" s="456"/>
      <c r="V205" s="456"/>
      <c r="W205" s="456"/>
      <c r="X205" s="456"/>
      <c r="Y205" s="456"/>
      <c r="Z205" s="456"/>
    </row>
    <row r="206" spans="1:28" outlineLevel="1" x14ac:dyDescent="0.25">
      <c r="A206" s="39" t="str">
        <f t="shared" si="231"/>
        <v>SANY SET240S</v>
      </c>
      <c r="B206" s="39"/>
      <c r="D206" s="80" t="s">
        <v>63</v>
      </c>
      <c r="E206" s="81"/>
      <c r="F206" s="82"/>
      <c r="G206" s="83" t="e">
        <f>G202/$F230</f>
        <v>#DIV/0!</v>
      </c>
      <c r="H206" s="83" t="e">
        <f t="shared" ref="H206:Z206" si="252">H202/$F230</f>
        <v>#DIV/0!</v>
      </c>
      <c r="I206" s="83" t="e">
        <f t="shared" si="252"/>
        <v>#DIV/0!</v>
      </c>
      <c r="J206" s="83" t="e">
        <f t="shared" si="252"/>
        <v>#DIV/0!</v>
      </c>
      <c r="K206" s="83" t="e">
        <f t="shared" si="252"/>
        <v>#DIV/0!</v>
      </c>
      <c r="L206" s="83" t="e">
        <f t="shared" si="252"/>
        <v>#DIV/0!</v>
      </c>
      <c r="M206" s="83" t="e">
        <f t="shared" si="252"/>
        <v>#DIV/0!</v>
      </c>
      <c r="N206" s="83" t="e">
        <f t="shared" si="252"/>
        <v>#DIV/0!</v>
      </c>
      <c r="O206" s="83" t="e">
        <f t="shared" si="252"/>
        <v>#DIV/0!</v>
      </c>
      <c r="P206" s="83" t="e">
        <f t="shared" si="252"/>
        <v>#DIV/0!</v>
      </c>
      <c r="Q206" s="83" t="e">
        <f t="shared" si="252"/>
        <v>#DIV/0!</v>
      </c>
      <c r="R206" s="83" t="e">
        <f t="shared" si="252"/>
        <v>#DIV/0!</v>
      </c>
      <c r="S206" s="83" t="e">
        <f t="shared" si="252"/>
        <v>#DIV/0!</v>
      </c>
      <c r="T206" s="83" t="e">
        <f t="shared" si="252"/>
        <v>#DIV/0!</v>
      </c>
      <c r="U206" s="83" t="e">
        <f t="shared" si="252"/>
        <v>#DIV/0!</v>
      </c>
      <c r="V206" s="83" t="e">
        <f t="shared" si="252"/>
        <v>#DIV/0!</v>
      </c>
      <c r="W206" s="83" t="e">
        <f t="shared" si="252"/>
        <v>#DIV/0!</v>
      </c>
      <c r="X206" s="83" t="e">
        <f t="shared" si="252"/>
        <v>#DIV/0!</v>
      </c>
      <c r="Y206" s="83" t="e">
        <f t="shared" si="252"/>
        <v>#DIV/0!</v>
      </c>
      <c r="Z206" s="83" t="e">
        <f t="shared" si="252"/>
        <v>#DIV/0!</v>
      </c>
      <c r="AA206" s="84" t="e">
        <f>SUM(F202:Z202)/$F230</f>
        <v>#DIV/0!</v>
      </c>
    </row>
    <row r="207" spans="1:28" outlineLevel="1" x14ac:dyDescent="0.25">
      <c r="A207" s="39" t="str">
        <f t="shared" si="231"/>
        <v>SANY SET240S</v>
      </c>
      <c r="B207" s="39"/>
      <c r="D207" s="67" t="s">
        <v>39</v>
      </c>
      <c r="E207" s="68" t="str">
        <f>E201</f>
        <v>тыс. руб.</v>
      </c>
      <c r="F207" s="74"/>
      <c r="G207" s="85">
        <f>G209*G210</f>
        <v>23305.017145833415</v>
      </c>
      <c r="H207" s="85">
        <f t="shared" ref="H207" si="253">H209*H210</f>
        <v>23258.31469441648</v>
      </c>
      <c r="I207" s="85">
        <f t="shared" ref="I207:Z207" si="254">I209*I210</f>
        <v>23750.339692378457</v>
      </c>
      <c r="J207" s="85">
        <f t="shared" si="254"/>
        <v>24537.979559854652</v>
      </c>
      <c r="K207" s="85">
        <f t="shared" si="254"/>
        <v>24389.329648994913</v>
      </c>
      <c r="L207" s="85">
        <f t="shared" si="254"/>
        <v>26605.38576868282</v>
      </c>
      <c r="M207" s="85">
        <f t="shared" si="254"/>
        <v>24323.98783536044</v>
      </c>
      <c r="N207" s="85">
        <f t="shared" si="254"/>
        <v>25542.665063401793</v>
      </c>
      <c r="O207" s="85">
        <f t="shared" si="254"/>
        <v>25066.238983304305</v>
      </c>
      <c r="P207" s="85">
        <f t="shared" si="254"/>
        <v>25408.191468046803</v>
      </c>
      <c r="Q207" s="85">
        <f t="shared" si="254"/>
        <v>24700.025325940842</v>
      </c>
      <c r="R207" s="85">
        <f t="shared" si="254"/>
        <v>26049.939934757167</v>
      </c>
      <c r="S207" s="85">
        <f t="shared" si="254"/>
        <v>0</v>
      </c>
      <c r="T207" s="85">
        <f t="shared" si="254"/>
        <v>0</v>
      </c>
      <c r="U207" s="85">
        <f t="shared" si="254"/>
        <v>0</v>
      </c>
      <c r="V207" s="85">
        <f t="shared" si="254"/>
        <v>0</v>
      </c>
      <c r="W207" s="85">
        <f t="shared" si="254"/>
        <v>0</v>
      </c>
      <c r="X207" s="85">
        <f t="shared" si="254"/>
        <v>0</v>
      </c>
      <c r="Y207" s="85">
        <f t="shared" si="254"/>
        <v>0</v>
      </c>
      <c r="Z207" s="85">
        <f t="shared" si="254"/>
        <v>0</v>
      </c>
    </row>
    <row r="208" spans="1:28" outlineLevel="1" x14ac:dyDescent="0.25">
      <c r="A208" s="39" t="str">
        <f t="shared" si="231"/>
        <v>SANY SET240S</v>
      </c>
      <c r="B208" s="39"/>
      <c r="D208" s="31" t="s">
        <v>64</v>
      </c>
      <c r="E208" s="9" t="s">
        <v>65</v>
      </c>
      <c r="F208" s="86">
        <f>SUMIFS('ФОТ, МТР, макро'!$Z$4:$Z$20,'ФОТ, МТР, макро'!$W$4:$W$20,$A208)</f>
        <v>7.4999999999999997E-2</v>
      </c>
      <c r="G208" s="87">
        <f>F208</f>
        <v>7.4999999999999997E-2</v>
      </c>
      <c r="H208" s="87">
        <f t="shared" ref="H208" si="255">G208</f>
        <v>7.4999999999999997E-2</v>
      </c>
      <c r="I208" s="87">
        <f t="shared" ref="I208" si="256">H208</f>
        <v>7.4999999999999997E-2</v>
      </c>
      <c r="J208" s="87">
        <f t="shared" ref="J208" si="257">I208</f>
        <v>7.4999999999999997E-2</v>
      </c>
      <c r="K208" s="87">
        <f t="shared" ref="K208" si="258">J208</f>
        <v>7.4999999999999997E-2</v>
      </c>
      <c r="L208" s="87">
        <f t="shared" ref="L208" si="259">K208</f>
        <v>7.4999999999999997E-2</v>
      </c>
      <c r="M208" s="87">
        <f t="shared" ref="M208" si="260">L208</f>
        <v>7.4999999999999997E-2</v>
      </c>
      <c r="N208" s="87">
        <f t="shared" ref="N208" si="261">M208</f>
        <v>7.4999999999999997E-2</v>
      </c>
      <c r="O208" s="87">
        <f t="shared" ref="O208" si="262">N208</f>
        <v>7.4999999999999997E-2</v>
      </c>
      <c r="P208" s="87">
        <f t="shared" ref="P208" si="263">O208</f>
        <v>7.4999999999999997E-2</v>
      </c>
      <c r="Q208" s="87">
        <f t="shared" ref="Q208" si="264">P208</f>
        <v>7.4999999999999997E-2</v>
      </c>
      <c r="R208" s="87">
        <f t="shared" ref="R208" si="265">Q208</f>
        <v>7.4999999999999997E-2</v>
      </c>
      <c r="S208" s="87">
        <f t="shared" ref="S208" si="266">R208</f>
        <v>7.4999999999999997E-2</v>
      </c>
      <c r="T208" s="87">
        <f t="shared" ref="T208" si="267">S208</f>
        <v>7.4999999999999997E-2</v>
      </c>
      <c r="U208" s="87">
        <f t="shared" ref="U208" si="268">T208</f>
        <v>7.4999999999999997E-2</v>
      </c>
      <c r="V208" s="87">
        <f t="shared" ref="V208" si="269">U208</f>
        <v>7.4999999999999997E-2</v>
      </c>
      <c r="W208" s="87">
        <f t="shared" ref="W208" si="270">V208</f>
        <v>7.4999999999999997E-2</v>
      </c>
      <c r="X208" s="87">
        <f t="shared" ref="X208" si="271">W208</f>
        <v>7.4999999999999997E-2</v>
      </c>
      <c r="Y208" s="87">
        <f t="shared" ref="Y208" si="272">X208</f>
        <v>7.4999999999999997E-2</v>
      </c>
      <c r="Z208" s="87">
        <f t="shared" ref="Z208" si="273">Y208</f>
        <v>7.4999999999999997E-2</v>
      </c>
    </row>
    <row r="209" spans="1:28" outlineLevel="1" x14ac:dyDescent="0.25">
      <c r="A209" s="39" t="str">
        <f t="shared" si="231"/>
        <v>SANY SET240S</v>
      </c>
      <c r="B209" s="39"/>
      <c r="D209" s="31" t="s">
        <v>66</v>
      </c>
      <c r="E209" s="9" t="s">
        <v>67</v>
      </c>
      <c r="F209" s="74"/>
      <c r="G209" s="78">
        <f>G199*G208</f>
        <v>7.8063781358285329</v>
      </c>
      <c r="H209" s="78">
        <f t="shared" ref="H209" si="274">H199*H208</f>
        <v>7.7907344230026903</v>
      </c>
      <c r="I209" s="78">
        <f t="shared" ref="I209:Z209" si="275">I199*I208</f>
        <v>7.9555458523329694</v>
      </c>
      <c r="J209" s="78">
        <f t="shared" si="275"/>
        <v>8.2193780821870597</v>
      </c>
      <c r="K209" s="78">
        <f t="shared" si="275"/>
        <v>8.1695854814450435</v>
      </c>
      <c r="L209" s="78">
        <f t="shared" si="275"/>
        <v>8.9118879621618863</v>
      </c>
      <c r="M209" s="78">
        <f t="shared" si="275"/>
        <v>8.1476982242025517</v>
      </c>
      <c r="N209" s="78">
        <f t="shared" si="275"/>
        <v>8.5559131252293472</v>
      </c>
      <c r="O209" s="78">
        <f t="shared" si="275"/>
        <v>8.3963267961681627</v>
      </c>
      <c r="P209" s="78">
        <f t="shared" si="275"/>
        <v>8.5108691019593135</v>
      </c>
      <c r="Q209" s="78">
        <f t="shared" si="275"/>
        <v>8.27365783308632</v>
      </c>
      <c r="R209" s="78">
        <f t="shared" si="275"/>
        <v>8.7258327369517446</v>
      </c>
      <c r="S209" s="78">
        <f t="shared" si="275"/>
        <v>0</v>
      </c>
      <c r="T209" s="78">
        <f t="shared" si="275"/>
        <v>0</v>
      </c>
      <c r="U209" s="78">
        <f t="shared" si="275"/>
        <v>0</v>
      </c>
      <c r="V209" s="78">
        <f t="shared" si="275"/>
        <v>0</v>
      </c>
      <c r="W209" s="78">
        <f t="shared" si="275"/>
        <v>0</v>
      </c>
      <c r="X209" s="78">
        <f t="shared" si="275"/>
        <v>0</v>
      </c>
      <c r="Y209" s="78">
        <f t="shared" si="275"/>
        <v>0</v>
      </c>
      <c r="Z209" s="78">
        <f t="shared" si="275"/>
        <v>0</v>
      </c>
      <c r="AA209" s="88">
        <f>SUM(F199:Z199)*F208-SUM(F209:Z209)</f>
        <v>0</v>
      </c>
    </row>
    <row r="210" spans="1:28" outlineLevel="1" x14ac:dyDescent="0.25">
      <c r="A210" s="39" t="str">
        <f t="shared" si="231"/>
        <v>SANY SET240S</v>
      </c>
      <c r="B210" s="39"/>
      <c r="D210" s="31" t="s">
        <v>68</v>
      </c>
      <c r="E210" s="9" t="s">
        <v>69</v>
      </c>
      <c r="F210" s="78">
        <f>SUMIFS('ФОТ, МТР, макро'!$AA$4:$AA$20,'ФОТ, МТР, макро'!$W$4:$W$20,$A210)</f>
        <v>2985.3815355000002</v>
      </c>
      <c r="G210" s="89">
        <f>F210</f>
        <v>2985.3815355000002</v>
      </c>
      <c r="H210" s="89">
        <f t="shared" ref="H210" si="276">G210</f>
        <v>2985.3815355000002</v>
      </c>
      <c r="I210" s="89">
        <f t="shared" ref="I210" si="277">H210</f>
        <v>2985.3815355000002</v>
      </c>
      <c r="J210" s="89">
        <f t="shared" ref="J210" si="278">I210</f>
        <v>2985.3815355000002</v>
      </c>
      <c r="K210" s="89">
        <f t="shared" ref="K210" si="279">J210</f>
        <v>2985.3815355000002</v>
      </c>
      <c r="L210" s="89">
        <f t="shared" ref="L210" si="280">K210</f>
        <v>2985.3815355000002</v>
      </c>
      <c r="M210" s="89">
        <f t="shared" ref="M210" si="281">L210</f>
        <v>2985.3815355000002</v>
      </c>
      <c r="N210" s="89">
        <f t="shared" ref="N210" si="282">M210</f>
        <v>2985.3815355000002</v>
      </c>
      <c r="O210" s="89">
        <f t="shared" ref="O210" si="283">N210</f>
        <v>2985.3815355000002</v>
      </c>
      <c r="P210" s="89">
        <f t="shared" ref="P210" si="284">O210</f>
        <v>2985.3815355000002</v>
      </c>
      <c r="Q210" s="89">
        <f t="shared" ref="Q210" si="285">P210</f>
        <v>2985.3815355000002</v>
      </c>
      <c r="R210" s="89">
        <f t="shared" ref="R210" si="286">Q210</f>
        <v>2985.3815355000002</v>
      </c>
      <c r="S210" s="89">
        <f t="shared" ref="S210" si="287">R210</f>
        <v>2985.3815355000002</v>
      </c>
      <c r="T210" s="89">
        <f t="shared" ref="T210" si="288">S210</f>
        <v>2985.3815355000002</v>
      </c>
      <c r="U210" s="89">
        <f t="shared" ref="U210" si="289">T210</f>
        <v>2985.3815355000002</v>
      </c>
      <c r="V210" s="89">
        <f t="shared" ref="V210" si="290">U210</f>
        <v>2985.3815355000002</v>
      </c>
      <c r="W210" s="89">
        <f t="shared" ref="W210" si="291">V210</f>
        <v>2985.3815355000002</v>
      </c>
      <c r="X210" s="89">
        <f t="shared" ref="X210" si="292">W210</f>
        <v>2985.3815355000002</v>
      </c>
      <c r="Y210" s="89">
        <f t="shared" ref="Y210" si="293">X210</f>
        <v>2985.3815355000002</v>
      </c>
      <c r="Z210" s="89">
        <f t="shared" ref="Z210" si="294">Y210</f>
        <v>2985.3815355000002</v>
      </c>
    </row>
    <row r="211" spans="1:28" outlineLevel="1" x14ac:dyDescent="0.25">
      <c r="A211" s="39" t="str">
        <f t="shared" si="231"/>
        <v>SANY SET240S</v>
      </c>
      <c r="B211" s="39"/>
      <c r="D211" s="67" t="s">
        <v>70</v>
      </c>
      <c r="E211" s="68" t="str">
        <f>E201</f>
        <v>тыс. руб.</v>
      </c>
      <c r="F211" s="89"/>
      <c r="G211" s="85">
        <f>G214*G215</f>
        <v>65814.10671034838</v>
      </c>
      <c r="H211" s="85">
        <f t="shared" ref="H211" si="295">H214*H215</f>
        <v>65682.2175080382</v>
      </c>
      <c r="I211" s="85">
        <f t="shared" ref="I211:Z211" si="296">I214*I215</f>
        <v>67071.711689372372</v>
      </c>
      <c r="J211" s="85">
        <f t="shared" si="296"/>
        <v>69296.031627136093</v>
      </c>
      <c r="K211" s="85">
        <f t="shared" si="296"/>
        <v>68876.239569718295</v>
      </c>
      <c r="L211" s="85">
        <f t="shared" si="296"/>
        <v>75134.452255193013</v>
      </c>
      <c r="M211" s="85">
        <f t="shared" si="296"/>
        <v>68691.712218020708</v>
      </c>
      <c r="N211" s="85">
        <f t="shared" si="296"/>
        <v>72133.295317054173</v>
      </c>
      <c r="O211" s="85">
        <f t="shared" si="296"/>
        <v>70787.852973934743</v>
      </c>
      <c r="P211" s="85">
        <f t="shared" si="296"/>
        <v>71753.53762371988</v>
      </c>
      <c r="Q211" s="85">
        <f t="shared" si="296"/>
        <v>69753.654004086959</v>
      </c>
      <c r="R211" s="85">
        <f t="shared" si="296"/>
        <v>73565.855623959171</v>
      </c>
      <c r="S211" s="85">
        <f t="shared" si="296"/>
        <v>0</v>
      </c>
      <c r="T211" s="85">
        <f t="shared" si="296"/>
        <v>0</v>
      </c>
      <c r="U211" s="85">
        <f t="shared" si="296"/>
        <v>0</v>
      </c>
      <c r="V211" s="85">
        <f t="shared" si="296"/>
        <v>0</v>
      </c>
      <c r="W211" s="85">
        <f t="shared" si="296"/>
        <v>0</v>
      </c>
      <c r="X211" s="85">
        <f t="shared" si="296"/>
        <v>0</v>
      </c>
      <c r="Y211" s="85">
        <f t="shared" si="296"/>
        <v>0</v>
      </c>
      <c r="Z211" s="85">
        <f t="shared" si="296"/>
        <v>0</v>
      </c>
    </row>
    <row r="212" spans="1:28" outlineLevel="1" x14ac:dyDescent="0.25">
      <c r="A212" s="39" t="str">
        <f t="shared" si="231"/>
        <v>SANY SET240S</v>
      </c>
      <c r="B212" s="39"/>
      <c r="D212" s="31" t="s">
        <v>64</v>
      </c>
      <c r="E212" s="77" t="str">
        <f>VLOOKUP($A212,'ФОТ, МТР, макро'!$N$4:$Q$20,4,FALSE)</f>
        <v>г/ткм</v>
      </c>
      <c r="F212" s="90">
        <f>IF($E212="г/ткм",SUMIFS('ФОТ, МТР, макро'!$O$4:$O$20,'ФОТ, МТР, макро'!$N$4:$N$20,$A212),SUMIFS('ФОТ, МТР, макро'!$P$4:$P$20,'ФОТ, МТР, макро'!$N$4:$N$20,$A212))</f>
        <v>90</v>
      </c>
      <c r="G212" s="91">
        <f>F212</f>
        <v>90</v>
      </c>
      <c r="H212" s="91">
        <f t="shared" ref="H212" si="297">G212</f>
        <v>90</v>
      </c>
      <c r="I212" s="91">
        <f t="shared" ref="I212" si="298">H212</f>
        <v>90</v>
      </c>
      <c r="J212" s="91">
        <f t="shared" ref="J212" si="299">I212</f>
        <v>90</v>
      </c>
      <c r="K212" s="91">
        <f t="shared" ref="K212" si="300">J212</f>
        <v>90</v>
      </c>
      <c r="L212" s="91">
        <f t="shared" ref="L212" si="301">K212</f>
        <v>90</v>
      </c>
      <c r="M212" s="91">
        <f t="shared" ref="M212" si="302">L212</f>
        <v>90</v>
      </c>
      <c r="N212" s="91">
        <f t="shared" ref="N212" si="303">M212</f>
        <v>90</v>
      </c>
      <c r="O212" s="91">
        <f t="shared" ref="O212" si="304">N212</f>
        <v>90</v>
      </c>
      <c r="P212" s="91">
        <f t="shared" ref="P212" si="305">O212</f>
        <v>90</v>
      </c>
      <c r="Q212" s="91">
        <f t="shared" ref="Q212" si="306">P212</f>
        <v>90</v>
      </c>
      <c r="R212" s="91">
        <f t="shared" ref="R212" si="307">Q212</f>
        <v>90</v>
      </c>
      <c r="S212" s="91">
        <f t="shared" ref="S212" si="308">R212</f>
        <v>90</v>
      </c>
      <c r="T212" s="91">
        <f t="shared" ref="T212" si="309">S212</f>
        <v>90</v>
      </c>
      <c r="U212" s="91">
        <f t="shared" ref="U212" si="310">T212</f>
        <v>90</v>
      </c>
      <c r="V212" s="91">
        <f t="shared" ref="V212" si="311">U212</f>
        <v>90</v>
      </c>
      <c r="W212" s="91">
        <f t="shared" ref="W212" si="312">V212</f>
        <v>90</v>
      </c>
      <c r="X212" s="91">
        <f t="shared" ref="X212" si="313">W212</f>
        <v>90</v>
      </c>
      <c r="Y212" s="91">
        <f t="shared" ref="Y212" si="314">X212</f>
        <v>90</v>
      </c>
      <c r="Z212" s="91">
        <f t="shared" ref="Z212" si="315">Y212</f>
        <v>90</v>
      </c>
    </row>
    <row r="213" spans="1:28" outlineLevel="1" x14ac:dyDescent="0.25">
      <c r="A213" s="39" t="str">
        <f t="shared" si="231"/>
        <v>SANY SET240S</v>
      </c>
      <c r="B213" s="39"/>
      <c r="D213" s="93" t="s">
        <v>71</v>
      </c>
      <c r="E213" s="94" t="str">
        <f>IF(E212='ФОТ, МТР, макро'!$O$4,'ФОТ, МТР, макро'!$P$4,'ФОТ, МТР, макро'!$O$4)</f>
        <v>л/час</v>
      </c>
      <c r="F213" s="95"/>
      <c r="G213" s="96">
        <f>IF($E212="г/ткм",G214*1000/(365*24*G195),G214/G197*1000)</f>
        <v>141.78072954742643</v>
      </c>
      <c r="H213" s="96">
        <f t="shared" ref="H213" si="316">IF($E212="г/ткм",H214*1000/(365*24*H195),H214/H197*1000)</f>
        <v>146.6811611857502</v>
      </c>
      <c r="I213" s="96">
        <f t="shared" ref="I213:Z213" si="317">IF($E212="г/ткм",I214*1000/(365*24*I195),I214/I197*1000)</f>
        <v>154.92513314199653</v>
      </c>
      <c r="J213" s="96">
        <f t="shared" si="317"/>
        <v>153.3781079275746</v>
      </c>
      <c r="K213" s="96">
        <f t="shared" si="317"/>
        <v>162.00064055770332</v>
      </c>
      <c r="L213" s="96">
        <f t="shared" si="317"/>
        <v>166.30072251588274</v>
      </c>
      <c r="M213" s="96">
        <f t="shared" si="317"/>
        <v>158.66708025009032</v>
      </c>
      <c r="N213" s="96">
        <f t="shared" si="317"/>
        <v>159.658036607947</v>
      </c>
      <c r="O213" s="96">
        <f t="shared" si="317"/>
        <v>166.49685867176404</v>
      </c>
      <c r="P213" s="96">
        <f t="shared" si="317"/>
        <v>162.20464049207231</v>
      </c>
      <c r="Q213" s="96">
        <f t="shared" si="317"/>
        <v>161.53413619817414</v>
      </c>
      <c r="R213" s="96">
        <f t="shared" si="317"/>
        <v>168.84339623959821</v>
      </c>
      <c r="S213" s="96" t="e">
        <f t="shared" si="317"/>
        <v>#DIV/0!</v>
      </c>
      <c r="T213" s="96" t="e">
        <f t="shared" si="317"/>
        <v>#DIV/0!</v>
      </c>
      <c r="U213" s="96" t="e">
        <f t="shared" si="317"/>
        <v>#DIV/0!</v>
      </c>
      <c r="V213" s="96" t="e">
        <f t="shared" si="317"/>
        <v>#DIV/0!</v>
      </c>
      <c r="W213" s="96" t="e">
        <f t="shared" si="317"/>
        <v>#DIV/0!</v>
      </c>
      <c r="X213" s="96" t="e">
        <f t="shared" si="317"/>
        <v>#DIV/0!</v>
      </c>
      <c r="Y213" s="96" t="e">
        <f t="shared" si="317"/>
        <v>#DIV/0!</v>
      </c>
      <c r="Z213" s="96" t="e">
        <f t="shared" si="317"/>
        <v>#DIV/0!</v>
      </c>
    </row>
    <row r="214" spans="1:28" outlineLevel="1" x14ac:dyDescent="0.25">
      <c r="A214" s="39" t="str">
        <f t="shared" si="231"/>
        <v>SANY SET240S</v>
      </c>
      <c r="B214" s="39"/>
      <c r="D214" s="31" t="s">
        <v>66</v>
      </c>
      <c r="E214" s="9" t="s">
        <v>11</v>
      </c>
      <c r="F214" s="89"/>
      <c r="G214" s="78">
        <f>IF($E212="г/ткм",G197*G212/1000,365*24*G195*G212*0.85/1000)</f>
        <v>996.89766541782103</v>
      </c>
      <c r="H214" s="78">
        <f t="shared" ref="H214" si="318">IF($E212="г/ткм",H197*H212/1000,365*24*H195*H212*0.85/1000)</f>
        <v>994.89991684310451</v>
      </c>
      <c r="I214" s="78">
        <f t="shared" ref="I214:Z214" si="319">IF($E212="г/ткм",I197*I212/1000,365*24*I195*I212*0.85/1000)</f>
        <v>1015.9468257008052</v>
      </c>
      <c r="J214" s="78">
        <f t="shared" si="319"/>
        <v>1049.638984782413</v>
      </c>
      <c r="K214" s="78">
        <f t="shared" si="319"/>
        <v>1043.2803218312838</v>
      </c>
      <c r="L214" s="78">
        <f t="shared" si="319"/>
        <v>1138.074552546824</v>
      </c>
      <c r="M214" s="78">
        <f t="shared" si="319"/>
        <v>1040.485254097209</v>
      </c>
      <c r="N214" s="78">
        <f t="shared" si="319"/>
        <v>1092.6155089659335</v>
      </c>
      <c r="O214" s="78">
        <f t="shared" si="319"/>
        <v>1072.2358609261439</v>
      </c>
      <c r="P214" s="78">
        <f t="shared" si="319"/>
        <v>1086.8632534567071</v>
      </c>
      <c r="Q214" s="78">
        <f t="shared" si="319"/>
        <v>1056.5706701311642</v>
      </c>
      <c r="R214" s="78">
        <f t="shared" si="319"/>
        <v>1114.314747881521</v>
      </c>
      <c r="S214" s="78">
        <f t="shared" si="319"/>
        <v>0</v>
      </c>
      <c r="T214" s="78">
        <f t="shared" si="319"/>
        <v>0</v>
      </c>
      <c r="U214" s="78">
        <f t="shared" si="319"/>
        <v>0</v>
      </c>
      <c r="V214" s="78">
        <f t="shared" si="319"/>
        <v>0</v>
      </c>
      <c r="W214" s="78">
        <f t="shared" si="319"/>
        <v>0</v>
      </c>
      <c r="X214" s="78">
        <f t="shared" si="319"/>
        <v>0</v>
      </c>
      <c r="Y214" s="78">
        <f t="shared" si="319"/>
        <v>0</v>
      </c>
      <c r="Z214" s="78">
        <f t="shared" si="319"/>
        <v>0</v>
      </c>
    </row>
    <row r="215" spans="1:28" outlineLevel="1" x14ac:dyDescent="0.25">
      <c r="A215" s="39" t="str">
        <f t="shared" si="231"/>
        <v>SANY SET240S</v>
      </c>
      <c r="B215" s="39"/>
      <c r="D215" s="31" t="s">
        <v>68</v>
      </c>
      <c r="E215" s="9" t="s">
        <v>72</v>
      </c>
      <c r="F215" s="78">
        <f>'ФОТ, МТР, макро'!$G$2</f>
        <v>66.018919487352079</v>
      </c>
      <c r="G215" s="89">
        <f>F215</f>
        <v>66.018919487352079</v>
      </c>
      <c r="H215" s="89">
        <f t="shared" ref="H215" si="320">G215</f>
        <v>66.018919487352079</v>
      </c>
      <c r="I215" s="89">
        <f t="shared" ref="I215" si="321">H215</f>
        <v>66.018919487352079</v>
      </c>
      <c r="J215" s="89">
        <f t="shared" ref="J215" si="322">I215</f>
        <v>66.018919487352079</v>
      </c>
      <c r="K215" s="89">
        <f t="shared" ref="K215" si="323">J215</f>
        <v>66.018919487352079</v>
      </c>
      <c r="L215" s="89">
        <f t="shared" ref="L215" si="324">K215</f>
        <v>66.018919487352079</v>
      </c>
      <c r="M215" s="89">
        <f t="shared" ref="M215" si="325">L215</f>
        <v>66.018919487352079</v>
      </c>
      <c r="N215" s="89">
        <f t="shared" ref="N215" si="326">M215</f>
        <v>66.018919487352079</v>
      </c>
      <c r="O215" s="89">
        <f t="shared" ref="O215" si="327">N215</f>
        <v>66.018919487352079</v>
      </c>
      <c r="P215" s="89">
        <f t="shared" ref="P215" si="328">O215</f>
        <v>66.018919487352079</v>
      </c>
      <c r="Q215" s="89">
        <f t="shared" ref="Q215" si="329">P215</f>
        <v>66.018919487352079</v>
      </c>
      <c r="R215" s="89">
        <f t="shared" ref="R215" si="330">Q215</f>
        <v>66.018919487352079</v>
      </c>
      <c r="S215" s="89">
        <f t="shared" ref="S215" si="331">R215</f>
        <v>66.018919487352079</v>
      </c>
      <c r="T215" s="89">
        <f t="shared" ref="T215" si="332">S215</f>
        <v>66.018919487352079</v>
      </c>
      <c r="U215" s="89">
        <f t="shared" ref="U215" si="333">T215</f>
        <v>66.018919487352079</v>
      </c>
      <c r="V215" s="89">
        <f t="shared" ref="V215" si="334">U215</f>
        <v>66.018919487352079</v>
      </c>
      <c r="W215" s="89">
        <f t="shared" ref="W215" si="335">V215</f>
        <v>66.018919487352079</v>
      </c>
      <c r="X215" s="89">
        <f t="shared" ref="X215" si="336">W215</f>
        <v>66.018919487352079</v>
      </c>
      <c r="Y215" s="89">
        <f t="shared" ref="Y215" si="337">X215</f>
        <v>66.018919487352079</v>
      </c>
      <c r="Z215" s="89">
        <f t="shared" ref="Z215" si="338">Y215</f>
        <v>66.018919487352079</v>
      </c>
      <c r="AB215" s="92"/>
    </row>
    <row r="216" spans="1:28" outlineLevel="1" x14ac:dyDescent="0.25">
      <c r="A216" s="39" t="str">
        <f t="shared" si="231"/>
        <v>SANY SET240S</v>
      </c>
      <c r="B216" s="39"/>
      <c r="C216" s="619" t="str">
        <f>C202</f>
        <v>ТО, ТР, ППР</v>
      </c>
      <c r="D216" s="218" t="s">
        <v>73</v>
      </c>
      <c r="E216" s="68" t="str">
        <f>E201</f>
        <v>тыс. руб.</v>
      </c>
      <c r="F216" s="30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8" outlineLevel="1" x14ac:dyDescent="0.25">
      <c r="A217" s="39" t="str">
        <f t="shared" si="231"/>
        <v>SANY SET240S</v>
      </c>
      <c r="B217" s="39"/>
      <c r="D217" s="67"/>
      <c r="E217" s="68"/>
      <c r="F217" s="30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8" outlineLevel="1" x14ac:dyDescent="0.25">
      <c r="A218" s="39" t="str">
        <f t="shared" si="231"/>
        <v>SANY SET240S</v>
      </c>
      <c r="B218" s="39"/>
      <c r="D218" s="67" t="s">
        <v>74</v>
      </c>
      <c r="E218" s="68" t="str">
        <f>E201</f>
        <v>тыс. руб.</v>
      </c>
      <c r="F218" s="74"/>
      <c r="G218" s="85">
        <f>G219+G220+G221</f>
        <v>18475.596240662097</v>
      </c>
      <c r="H218" s="85">
        <f t="shared" ref="H218:I218" si="339">H219+H220+H221</f>
        <v>18475.596240662097</v>
      </c>
      <c r="I218" s="85">
        <f t="shared" si="339"/>
        <v>18475.596240662097</v>
      </c>
      <c r="J218" s="85">
        <f t="shared" ref="J218:Z218" si="340">J219+J220+J221</f>
        <v>18475.596240662097</v>
      </c>
      <c r="K218" s="85">
        <f t="shared" si="340"/>
        <v>18475.596240662097</v>
      </c>
      <c r="L218" s="85">
        <f t="shared" si="340"/>
        <v>18475.596240662097</v>
      </c>
      <c r="M218" s="85">
        <f t="shared" si="340"/>
        <v>18475.596240662097</v>
      </c>
      <c r="N218" s="85">
        <f t="shared" si="340"/>
        <v>18475.596240662097</v>
      </c>
      <c r="O218" s="85">
        <f t="shared" si="340"/>
        <v>18475.596240662097</v>
      </c>
      <c r="P218" s="85">
        <f t="shared" si="340"/>
        <v>18475.596240662097</v>
      </c>
      <c r="Q218" s="85">
        <f t="shared" si="340"/>
        <v>18475.596240662097</v>
      </c>
      <c r="R218" s="85">
        <f t="shared" si="340"/>
        <v>18475.596240662097</v>
      </c>
      <c r="S218" s="85">
        <f t="shared" si="340"/>
        <v>0</v>
      </c>
      <c r="T218" s="85">
        <f t="shared" si="340"/>
        <v>0</v>
      </c>
      <c r="U218" s="85">
        <f t="shared" si="340"/>
        <v>0</v>
      </c>
      <c r="V218" s="85">
        <f t="shared" si="340"/>
        <v>0</v>
      </c>
      <c r="W218" s="85">
        <f t="shared" si="340"/>
        <v>0</v>
      </c>
      <c r="X218" s="85">
        <f t="shared" si="340"/>
        <v>0</v>
      </c>
      <c r="Y218" s="85">
        <f t="shared" si="340"/>
        <v>0</v>
      </c>
      <c r="Z218" s="85">
        <f t="shared" si="340"/>
        <v>0</v>
      </c>
    </row>
    <row r="219" spans="1:28" outlineLevel="1" x14ac:dyDescent="0.25">
      <c r="A219" s="39" t="str">
        <f t="shared" si="231"/>
        <v>SANY SET240S</v>
      </c>
      <c r="B219" s="39"/>
      <c r="D219" s="31" t="s">
        <v>257</v>
      </c>
      <c r="E219" s="9" t="str">
        <f>E218</f>
        <v>тыс. руб.</v>
      </c>
      <c r="F219" s="78">
        <f>'ФОТ, МТР, макро'!$B$4*'ФОТ, МТР, макро'!$B$7</f>
        <v>11107.5</v>
      </c>
      <c r="G219" s="89">
        <f>IF(G196=0,0,$F219)</f>
        <v>11107.5</v>
      </c>
      <c r="H219" s="89">
        <f t="shared" ref="H219:I219" si="341">IF(H196=0,0,$F219)</f>
        <v>11107.5</v>
      </c>
      <c r="I219" s="89">
        <f t="shared" si="341"/>
        <v>11107.5</v>
      </c>
      <c r="J219" s="89">
        <f t="shared" ref="J219:Z219" si="342">IF(J196=0,0,$F219)</f>
        <v>11107.5</v>
      </c>
      <c r="K219" s="89">
        <f t="shared" si="342"/>
        <v>11107.5</v>
      </c>
      <c r="L219" s="89">
        <f t="shared" si="342"/>
        <v>11107.5</v>
      </c>
      <c r="M219" s="89">
        <f t="shared" si="342"/>
        <v>11107.5</v>
      </c>
      <c r="N219" s="89">
        <f t="shared" si="342"/>
        <v>11107.5</v>
      </c>
      <c r="O219" s="89">
        <f t="shared" si="342"/>
        <v>11107.5</v>
      </c>
      <c r="P219" s="89">
        <f t="shared" si="342"/>
        <v>11107.5</v>
      </c>
      <c r="Q219" s="89">
        <f t="shared" si="342"/>
        <v>11107.5</v>
      </c>
      <c r="R219" s="89">
        <f t="shared" si="342"/>
        <v>11107.5</v>
      </c>
      <c r="S219" s="89">
        <f t="shared" si="342"/>
        <v>0</v>
      </c>
      <c r="T219" s="89">
        <f t="shared" si="342"/>
        <v>0</v>
      </c>
      <c r="U219" s="89">
        <f t="shared" si="342"/>
        <v>0</v>
      </c>
      <c r="V219" s="89">
        <f t="shared" si="342"/>
        <v>0</v>
      </c>
      <c r="W219" s="89">
        <f t="shared" si="342"/>
        <v>0</v>
      </c>
      <c r="X219" s="89">
        <f t="shared" si="342"/>
        <v>0</v>
      </c>
      <c r="Y219" s="89">
        <f t="shared" si="342"/>
        <v>0</v>
      </c>
      <c r="Z219" s="89">
        <f t="shared" si="342"/>
        <v>0</v>
      </c>
    </row>
    <row r="220" spans="1:28" outlineLevel="1" x14ac:dyDescent="0.25">
      <c r="A220" s="39" t="str">
        <f t="shared" si="231"/>
        <v>SANY SET240S</v>
      </c>
      <c r="B220" s="39"/>
      <c r="D220" s="31" t="s">
        <v>75</v>
      </c>
      <c r="E220" s="9" t="str">
        <f>E218</f>
        <v>тыс. руб.</v>
      </c>
      <c r="F220" s="97">
        <f>'ФОТ, МТР, макро'!$B$5</f>
        <v>0.377</v>
      </c>
      <c r="G220" s="89">
        <f>G219*$F220</f>
        <v>4187.5275000000001</v>
      </c>
      <c r="H220" s="89">
        <f t="shared" ref="H220:I220" si="343">H219*$F220</f>
        <v>4187.5275000000001</v>
      </c>
      <c r="I220" s="89">
        <f t="shared" si="343"/>
        <v>4187.5275000000001</v>
      </c>
      <c r="J220" s="89">
        <f t="shared" ref="J220:Z220" si="344">J219*$F220</f>
        <v>4187.5275000000001</v>
      </c>
      <c r="K220" s="89">
        <f t="shared" si="344"/>
        <v>4187.5275000000001</v>
      </c>
      <c r="L220" s="89">
        <f t="shared" si="344"/>
        <v>4187.5275000000001</v>
      </c>
      <c r="M220" s="89">
        <f t="shared" si="344"/>
        <v>4187.5275000000001</v>
      </c>
      <c r="N220" s="89">
        <f t="shared" si="344"/>
        <v>4187.5275000000001</v>
      </c>
      <c r="O220" s="89">
        <f t="shared" si="344"/>
        <v>4187.5275000000001</v>
      </c>
      <c r="P220" s="89">
        <f t="shared" si="344"/>
        <v>4187.5275000000001</v>
      </c>
      <c r="Q220" s="89">
        <f t="shared" si="344"/>
        <v>4187.5275000000001</v>
      </c>
      <c r="R220" s="89">
        <f t="shared" si="344"/>
        <v>4187.5275000000001</v>
      </c>
      <c r="S220" s="89">
        <f t="shared" si="344"/>
        <v>0</v>
      </c>
      <c r="T220" s="89">
        <f t="shared" si="344"/>
        <v>0</v>
      </c>
      <c r="U220" s="89">
        <f t="shared" si="344"/>
        <v>0</v>
      </c>
      <c r="V220" s="89">
        <f t="shared" si="344"/>
        <v>0</v>
      </c>
      <c r="W220" s="89">
        <f t="shared" si="344"/>
        <v>0</v>
      </c>
      <c r="X220" s="89">
        <f t="shared" si="344"/>
        <v>0</v>
      </c>
      <c r="Y220" s="89">
        <f t="shared" si="344"/>
        <v>0</v>
      </c>
      <c r="Z220" s="89">
        <f t="shared" si="344"/>
        <v>0</v>
      </c>
    </row>
    <row r="221" spans="1:28" outlineLevel="1" x14ac:dyDescent="0.25">
      <c r="A221" s="39" t="str">
        <f t="shared" si="231"/>
        <v>SANY SET240S</v>
      </c>
      <c r="B221" s="39"/>
      <c r="D221" s="31" t="s">
        <v>76</v>
      </c>
      <c r="E221" s="9"/>
      <c r="F221" s="78">
        <f>'ФОТ, МТР, макро'!$C$13*'ФОТ, МТР, макро'!$B$7</f>
        <v>3180.5687406620973</v>
      </c>
      <c r="G221" s="89">
        <f>IF(G196=0,0,$F221)</f>
        <v>3180.5687406620973</v>
      </c>
      <c r="H221" s="89">
        <f t="shared" ref="H221:I221" si="345">IF(H196=0,0,$F221)</f>
        <v>3180.5687406620973</v>
      </c>
      <c r="I221" s="89">
        <f t="shared" si="345"/>
        <v>3180.5687406620973</v>
      </c>
      <c r="J221" s="89">
        <f t="shared" ref="J221:Z221" si="346">IF(J196=0,0,$F221)</f>
        <v>3180.5687406620973</v>
      </c>
      <c r="K221" s="89">
        <f t="shared" si="346"/>
        <v>3180.5687406620973</v>
      </c>
      <c r="L221" s="89">
        <f t="shared" si="346"/>
        <v>3180.5687406620973</v>
      </c>
      <c r="M221" s="89">
        <f t="shared" si="346"/>
        <v>3180.5687406620973</v>
      </c>
      <c r="N221" s="89">
        <f t="shared" si="346"/>
        <v>3180.5687406620973</v>
      </c>
      <c r="O221" s="89">
        <f t="shared" si="346"/>
        <v>3180.5687406620973</v>
      </c>
      <c r="P221" s="89">
        <f t="shared" si="346"/>
        <v>3180.5687406620973</v>
      </c>
      <c r="Q221" s="89">
        <f t="shared" si="346"/>
        <v>3180.5687406620973</v>
      </c>
      <c r="R221" s="89">
        <f t="shared" si="346"/>
        <v>3180.5687406620973</v>
      </c>
      <c r="S221" s="89">
        <f t="shared" si="346"/>
        <v>0</v>
      </c>
      <c r="T221" s="89">
        <f t="shared" si="346"/>
        <v>0</v>
      </c>
      <c r="U221" s="89">
        <f t="shared" si="346"/>
        <v>0</v>
      </c>
      <c r="V221" s="89">
        <f t="shared" si="346"/>
        <v>0</v>
      </c>
      <c r="W221" s="89">
        <f t="shared" si="346"/>
        <v>0</v>
      </c>
      <c r="X221" s="89">
        <f t="shared" si="346"/>
        <v>0</v>
      </c>
      <c r="Y221" s="89">
        <f t="shared" si="346"/>
        <v>0</v>
      </c>
      <c r="Z221" s="89">
        <f t="shared" si="346"/>
        <v>0</v>
      </c>
    </row>
    <row r="222" spans="1:28" outlineLevel="1" x14ac:dyDescent="0.25">
      <c r="A222" s="39" t="str">
        <f t="shared" si="231"/>
        <v>SANY SET240S</v>
      </c>
      <c r="B222" s="39"/>
      <c r="D222" s="98" t="s">
        <v>77</v>
      </c>
      <c r="E222" s="68" t="str">
        <f>E201</f>
        <v>тыс. руб.</v>
      </c>
      <c r="F222" s="74"/>
      <c r="G222" s="85">
        <f>IF(G196=0,0,G223*G224/1000)</f>
        <v>241.655</v>
      </c>
      <c r="H222" s="85">
        <f t="shared" ref="H222:I222" si="347">IF(H196=0,0,H223*H224/1000)</f>
        <v>241.655</v>
      </c>
      <c r="I222" s="85">
        <f t="shared" si="347"/>
        <v>241.655</v>
      </c>
      <c r="J222" s="85">
        <f t="shared" ref="J222:Z222" si="348">IF(J196=0,0,J223*J224/1000)</f>
        <v>241.655</v>
      </c>
      <c r="K222" s="85">
        <f t="shared" si="348"/>
        <v>241.655</v>
      </c>
      <c r="L222" s="85">
        <f t="shared" si="348"/>
        <v>241.655</v>
      </c>
      <c r="M222" s="85">
        <f t="shared" si="348"/>
        <v>241.655</v>
      </c>
      <c r="N222" s="85">
        <f t="shared" si="348"/>
        <v>241.655</v>
      </c>
      <c r="O222" s="85">
        <f t="shared" si="348"/>
        <v>241.655</v>
      </c>
      <c r="P222" s="85">
        <f t="shared" si="348"/>
        <v>241.655</v>
      </c>
      <c r="Q222" s="85">
        <f t="shared" si="348"/>
        <v>241.655</v>
      </c>
      <c r="R222" s="85">
        <f t="shared" si="348"/>
        <v>241.655</v>
      </c>
      <c r="S222" s="85">
        <f t="shared" si="348"/>
        <v>0</v>
      </c>
      <c r="T222" s="85">
        <f t="shared" si="348"/>
        <v>0</v>
      </c>
      <c r="U222" s="85">
        <f t="shared" si="348"/>
        <v>0</v>
      </c>
      <c r="V222" s="85">
        <f t="shared" si="348"/>
        <v>0</v>
      </c>
      <c r="W222" s="85">
        <f t="shared" si="348"/>
        <v>0</v>
      </c>
      <c r="X222" s="85">
        <f t="shared" si="348"/>
        <v>0</v>
      </c>
      <c r="Y222" s="85">
        <f t="shared" si="348"/>
        <v>0</v>
      </c>
      <c r="Z222" s="85">
        <f t="shared" si="348"/>
        <v>0</v>
      </c>
    </row>
    <row r="223" spans="1:28" outlineLevel="1" x14ac:dyDescent="0.25">
      <c r="A223" s="39" t="str">
        <f t="shared" si="231"/>
        <v>SANY SET240S</v>
      </c>
      <c r="B223" s="39"/>
      <c r="D223" s="31" t="s">
        <v>78</v>
      </c>
      <c r="E223" s="9" t="s">
        <v>13</v>
      </c>
      <c r="F223" s="78">
        <f>SUMIFS('ФОТ, МТР, макро'!$AC$4:$AC$20,'ФОТ, МТР, макро'!$W$4:$W$20,$A223)</f>
        <v>2843</v>
      </c>
      <c r="G223" s="89">
        <f>F223</f>
        <v>2843</v>
      </c>
      <c r="H223" s="89">
        <f t="shared" ref="H223:I224" si="349">G223</f>
        <v>2843</v>
      </c>
      <c r="I223" s="89">
        <f t="shared" si="349"/>
        <v>2843</v>
      </c>
      <c r="J223" s="89">
        <f t="shared" ref="J223:J224" si="350">I223</f>
        <v>2843</v>
      </c>
      <c r="K223" s="89">
        <f t="shared" ref="K223:K224" si="351">J223</f>
        <v>2843</v>
      </c>
      <c r="L223" s="89">
        <f t="shared" ref="L223:L224" si="352">K223</f>
        <v>2843</v>
      </c>
      <c r="M223" s="89">
        <f t="shared" ref="M223:M224" si="353">L223</f>
        <v>2843</v>
      </c>
      <c r="N223" s="89">
        <f t="shared" ref="N223:N224" si="354">M223</f>
        <v>2843</v>
      </c>
      <c r="O223" s="89">
        <f t="shared" ref="O223:O224" si="355">N223</f>
        <v>2843</v>
      </c>
      <c r="P223" s="89">
        <f t="shared" ref="P223:P224" si="356">O223</f>
        <v>2843</v>
      </c>
      <c r="Q223" s="89">
        <f t="shared" ref="Q223:Q224" si="357">P223</f>
        <v>2843</v>
      </c>
      <c r="R223" s="89">
        <f t="shared" ref="R223:R224" si="358">Q223</f>
        <v>2843</v>
      </c>
      <c r="S223" s="89">
        <f t="shared" ref="S223:S224" si="359">R223</f>
        <v>2843</v>
      </c>
      <c r="T223" s="89">
        <f t="shared" ref="T223:T224" si="360">S223</f>
        <v>2843</v>
      </c>
      <c r="U223" s="89">
        <f t="shared" ref="U223:U224" si="361">T223</f>
        <v>2843</v>
      </c>
      <c r="V223" s="89">
        <f t="shared" ref="V223:V224" si="362">U223</f>
        <v>2843</v>
      </c>
      <c r="W223" s="89">
        <f t="shared" ref="W223:W224" si="363">V223</f>
        <v>2843</v>
      </c>
      <c r="X223" s="89">
        <f t="shared" ref="X223:X224" si="364">W223</f>
        <v>2843</v>
      </c>
      <c r="Y223" s="89">
        <f t="shared" ref="Y223:Y224" si="365">X223</f>
        <v>2843</v>
      </c>
      <c r="Z223" s="89">
        <f t="shared" ref="Z223:Z224" si="366">Y223</f>
        <v>2843</v>
      </c>
    </row>
    <row r="224" spans="1:28" outlineLevel="1" x14ac:dyDescent="0.25">
      <c r="A224" s="39" t="str">
        <f t="shared" si="231"/>
        <v>SANY SET240S</v>
      </c>
      <c r="B224" s="39"/>
      <c r="D224" s="31" t="s">
        <v>79</v>
      </c>
      <c r="E224" s="9" t="s">
        <v>80</v>
      </c>
      <c r="F224" s="78">
        <f>SUMIFS('ФОТ, МТР, макро'!$AD$4:$AD$20,'ФОТ, МТР, макро'!$W$4:$W$20,$A224)</f>
        <v>85</v>
      </c>
      <c r="G224" s="89">
        <f>F224</f>
        <v>85</v>
      </c>
      <c r="H224" s="89">
        <f t="shared" si="349"/>
        <v>85</v>
      </c>
      <c r="I224" s="89">
        <f t="shared" si="349"/>
        <v>85</v>
      </c>
      <c r="J224" s="89">
        <f t="shared" si="350"/>
        <v>85</v>
      </c>
      <c r="K224" s="89">
        <f t="shared" si="351"/>
        <v>85</v>
      </c>
      <c r="L224" s="89">
        <f t="shared" si="352"/>
        <v>85</v>
      </c>
      <c r="M224" s="89">
        <f t="shared" si="353"/>
        <v>85</v>
      </c>
      <c r="N224" s="89">
        <f t="shared" si="354"/>
        <v>85</v>
      </c>
      <c r="O224" s="89">
        <f t="shared" si="355"/>
        <v>85</v>
      </c>
      <c r="P224" s="89">
        <f t="shared" si="356"/>
        <v>85</v>
      </c>
      <c r="Q224" s="89">
        <f t="shared" si="357"/>
        <v>85</v>
      </c>
      <c r="R224" s="89">
        <f t="shared" si="358"/>
        <v>85</v>
      </c>
      <c r="S224" s="89">
        <f t="shared" si="359"/>
        <v>85</v>
      </c>
      <c r="T224" s="89">
        <f t="shared" si="360"/>
        <v>85</v>
      </c>
      <c r="U224" s="89">
        <f t="shared" si="361"/>
        <v>85</v>
      </c>
      <c r="V224" s="89">
        <f t="shared" si="362"/>
        <v>85</v>
      </c>
      <c r="W224" s="89">
        <f t="shared" si="363"/>
        <v>85</v>
      </c>
      <c r="X224" s="89">
        <f t="shared" si="364"/>
        <v>85</v>
      </c>
      <c r="Y224" s="89">
        <f t="shared" si="365"/>
        <v>85</v>
      </c>
      <c r="Z224" s="89">
        <f t="shared" si="366"/>
        <v>85</v>
      </c>
    </row>
    <row r="225" spans="1:28" outlineLevel="1" x14ac:dyDescent="0.25">
      <c r="A225" s="39" t="str">
        <f t="shared" si="231"/>
        <v>SANY SET240S</v>
      </c>
      <c r="B225" s="39"/>
      <c r="C225" s="99">
        <f>SUMIFS('ФОТ, МТР, макро'!$AG$4:$AG$20,'ФОТ, МТР, макро'!$W$4:$W$20,$A225)</f>
        <v>14.117647058823531</v>
      </c>
      <c r="D225" s="98" t="s">
        <v>81</v>
      </c>
      <c r="E225" s="68" t="str">
        <f>E201</f>
        <v>тыс. руб.</v>
      </c>
      <c r="F225" s="85"/>
      <c r="G225" s="100">
        <f>IF(G193&lt;=$C226,$F230*$C225%,"ОШИБКА")</f>
        <v>0</v>
      </c>
      <c r="H225" s="75">
        <f>IF(H193&lt;=$C226,$F230*$C225%,$F230-SUM($G225:G225))</f>
        <v>0</v>
      </c>
      <c r="I225" s="75">
        <f>IF(I193&lt;=$C226,$F230*$C225%,$F230-SUM($G225:H225))</f>
        <v>0</v>
      </c>
      <c r="J225" s="75">
        <f>IF(J193&lt;=$C226,$F230*$C225%,$F230-SUM($G225:I225))</f>
        <v>0</v>
      </c>
      <c r="K225" s="75">
        <f>IF(K193&lt;=$C226,$F230*$C225%,$F230-SUM($G225:J225))</f>
        <v>0</v>
      </c>
      <c r="L225" s="75">
        <f>IF(L193&lt;=$C226,$F230*$C225%,$F230-SUM($G225:K225))</f>
        <v>0</v>
      </c>
      <c r="M225" s="75">
        <f>IF(M193&lt;=$C226,$F230*$C225%,$F230-SUM($G225:L225))</f>
        <v>0</v>
      </c>
      <c r="N225" s="75">
        <f>IF(N193&lt;=$C226,$F230*$C225%,$F230-SUM($G225:M225))</f>
        <v>0</v>
      </c>
      <c r="O225" s="75">
        <f>IF(O193&lt;=$C226,$F230*$C225%,$F230-SUM($G225:N225))</f>
        <v>0</v>
      </c>
      <c r="P225" s="75">
        <f>IF(P193&lt;=$C226,$F230*$C225%,$F230-SUM($G225:O225))</f>
        <v>0</v>
      </c>
      <c r="Q225" s="75">
        <f>IF(Q193&lt;=$C226,$F230*$C225%,$F230-SUM($G225:P225))</f>
        <v>0</v>
      </c>
      <c r="R225" s="75">
        <f>IF(R193&lt;=$C226,$F230*$C225%,$F230-SUM($G225:Q225))</f>
        <v>0</v>
      </c>
      <c r="S225" s="75">
        <f>IF(S193&lt;=$C226,$F230*$C225%,$F230-SUM($G225:R225))</f>
        <v>0</v>
      </c>
      <c r="T225" s="75">
        <f>IF(T193&lt;=$C226,$F230*$C225%,$F230-SUM($G225:S225))</f>
        <v>0</v>
      </c>
      <c r="U225" s="75">
        <f>IF(U193&lt;=$C226,$F230*$C225%,$F230-SUM($G225:T225))</f>
        <v>0</v>
      </c>
      <c r="V225" s="75">
        <f>IF(V193&lt;=$C226,$F230*$C225%,$F230-SUM($G225:U225))</f>
        <v>0</v>
      </c>
      <c r="W225" s="75">
        <f>IF(W193&lt;=$C226,$F230*$C225%,$F230-SUM($G225:V225))</f>
        <v>0</v>
      </c>
      <c r="X225" s="75">
        <f>IF(X193&lt;=$C226,$F230*$C225%,$F230-SUM($G225:W225))</f>
        <v>0</v>
      </c>
      <c r="Y225" s="75">
        <f>IF(Y193&lt;=$C226,$F230*$C225%,$F230-SUM($G225:X225))</f>
        <v>0</v>
      </c>
      <c r="Z225" s="75">
        <f>IF(Z193&lt;=$C226,$F230*$C225%,$F230-SUM($G225:Y225))</f>
        <v>0</v>
      </c>
      <c r="AA225" s="88">
        <f>F230-SUM(G225:Z225)</f>
        <v>0</v>
      </c>
    </row>
    <row r="226" spans="1:28" outlineLevel="1" x14ac:dyDescent="0.25">
      <c r="A226" s="39" t="str">
        <f t="shared" si="231"/>
        <v>SANY SET240S</v>
      </c>
      <c r="B226" s="39"/>
      <c r="C226" s="99">
        <f>SUMIFS('ФОТ, МТР, макро'!$AF$4:$AF$20,'ФОТ, МТР, макро'!$W$4:$W$20,$A226)/12</f>
        <v>7.083333333333333</v>
      </c>
      <c r="D226" s="98" t="s">
        <v>82</v>
      </c>
      <c r="E226" s="68" t="str">
        <f>E201</f>
        <v>тыс. руб.</v>
      </c>
      <c r="F226" s="69"/>
      <c r="G226" s="69">
        <f>SUM(G202,G207,G211,G216,G218,G222,G225)</f>
        <v>120565.62398886343</v>
      </c>
      <c r="H226" s="69">
        <f>SUM(H202,H207,H211,H216,H218,H222,H225)</f>
        <v>127527.12595611173</v>
      </c>
      <c r="I226" s="69">
        <f>SUM(I202,I207,I211,I216,I218,I222,I225)</f>
        <v>165776.60407781773</v>
      </c>
      <c r="J226" s="69">
        <f t="shared" ref="J226:Z226" si="367">SUM(J202,J207,J211,J216,J218,J222,J225)</f>
        <v>141249.40787814782</v>
      </c>
      <c r="K226" s="69">
        <f t="shared" si="367"/>
        <v>203580.13513244488</v>
      </c>
      <c r="L226" s="69">
        <f t="shared" si="367"/>
        <v>190171.40509341817</v>
      </c>
      <c r="M226" s="69">
        <f t="shared" si="367"/>
        <v>136879.23554406277</v>
      </c>
      <c r="N226" s="69">
        <f t="shared" si="367"/>
        <v>141685.95493511303</v>
      </c>
      <c r="O226" s="69">
        <f t="shared" si="367"/>
        <v>241474.83479785596</v>
      </c>
      <c r="P226" s="69">
        <f t="shared" si="367"/>
        <v>134312.57844442374</v>
      </c>
      <c r="Q226" s="69">
        <f t="shared" si="367"/>
        <v>137510.46678770945</v>
      </c>
      <c r="R226" s="69">
        <f t="shared" si="367"/>
        <v>144947.71027989799</v>
      </c>
      <c r="S226" s="69">
        <f t="shared" si="367"/>
        <v>0</v>
      </c>
      <c r="T226" s="69">
        <f t="shared" si="367"/>
        <v>0</v>
      </c>
      <c r="U226" s="69">
        <f t="shared" si="367"/>
        <v>0</v>
      </c>
      <c r="V226" s="69">
        <f t="shared" si="367"/>
        <v>0</v>
      </c>
      <c r="W226" s="69">
        <f t="shared" si="367"/>
        <v>0</v>
      </c>
      <c r="X226" s="69">
        <f t="shared" si="367"/>
        <v>0</v>
      </c>
      <c r="Y226" s="69">
        <f t="shared" si="367"/>
        <v>0</v>
      </c>
      <c r="Z226" s="69">
        <f t="shared" si="367"/>
        <v>0</v>
      </c>
      <c r="AB226" s="42"/>
    </row>
    <row r="227" spans="1:28" outlineLevel="1" x14ac:dyDescent="0.25">
      <c r="A227" s="39" t="str">
        <f t="shared" si="231"/>
        <v>SANY SET240S</v>
      </c>
      <c r="B227" s="39"/>
      <c r="D227" s="98" t="s">
        <v>83</v>
      </c>
      <c r="E227" s="68" t="str">
        <f>E201</f>
        <v>тыс. руб.</v>
      </c>
      <c r="F227" s="69"/>
      <c r="G227" s="69">
        <f>-G226*'ФОТ, МТР, макро'!AK$11</f>
        <v>-30141.405997215857</v>
      </c>
      <c r="H227" s="69">
        <f>-H226*'ФОТ, МТР, макро'!AL$11</f>
        <v>-31881.781489027933</v>
      </c>
      <c r="I227" s="69">
        <f>-I226*'ФОТ, МТР, макро'!AM$11</f>
        <v>-41444.151019454432</v>
      </c>
      <c r="J227" s="69">
        <f>-J226*'ФОТ, МТР, макро'!AN$11</f>
        <v>-35312.351969536954</v>
      </c>
      <c r="K227" s="69">
        <f>-K226*'ФОТ, МТР, макро'!AO$11</f>
        <v>-50895.033783111219</v>
      </c>
      <c r="L227" s="69">
        <f>-L226*'ФОТ, МТР, макро'!AP$11</f>
        <v>-47542.851273354543</v>
      </c>
      <c r="M227" s="69">
        <f>-M226*'ФОТ, МТР, макро'!AQ$11</f>
        <v>-34219.808886015693</v>
      </c>
      <c r="N227" s="69">
        <f>-N226*'ФОТ, МТР, макро'!AR$11</f>
        <v>-35421.488733778257</v>
      </c>
      <c r="O227" s="69">
        <f>-O226*'ФОТ, МТР, макро'!AS$11</f>
        <v>-60368.70869946399</v>
      </c>
      <c r="P227" s="69">
        <f>-P226*'ФОТ, МТР, макро'!AT$11</f>
        <v>-33578.144611105934</v>
      </c>
      <c r="Q227" s="69">
        <f>-Q226*'ФОТ, МТР, макро'!AU$11</f>
        <v>-34377.616696927362</v>
      </c>
      <c r="R227" s="69">
        <f>-R226*'ФОТ, МТР, макро'!AV$11</f>
        <v>-36236.927569974498</v>
      </c>
      <c r="S227" s="69">
        <f>-S226*'ФОТ, МТР, макро'!AW$11</f>
        <v>0</v>
      </c>
      <c r="T227" s="69">
        <f>-T226*'ФОТ, МТР, макро'!AX$11</f>
        <v>0</v>
      </c>
      <c r="U227" s="69">
        <f>-U226*'ФОТ, МТР, макро'!AY$11</f>
        <v>0</v>
      </c>
      <c r="V227" s="69">
        <f>-V226*'ФОТ, МТР, макро'!AZ$11</f>
        <v>0</v>
      </c>
      <c r="W227" s="69">
        <f>-W226*'ФОТ, МТР, макро'!BA$11</f>
        <v>0</v>
      </c>
      <c r="X227" s="69">
        <f>-X226*'ФОТ, МТР, макро'!BB$11</f>
        <v>0</v>
      </c>
      <c r="Y227" s="69">
        <f>-Y226*'ФОТ, МТР, макро'!BC$11</f>
        <v>0</v>
      </c>
      <c r="Z227" s="69">
        <f>-Z226*'ФОТ, МТР, макро'!BD$11</f>
        <v>0</v>
      </c>
    </row>
    <row r="228" spans="1:28" outlineLevel="1" x14ac:dyDescent="0.25">
      <c r="A228" s="39" t="str">
        <f t="shared" si="231"/>
        <v>SANY SET240S</v>
      </c>
      <c r="B228" s="39"/>
      <c r="D228" s="101"/>
      <c r="E228" s="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8" outlineLevel="1" x14ac:dyDescent="0.25">
      <c r="A229" s="39" t="str">
        <f t="shared" si="231"/>
        <v>SANY SET240S</v>
      </c>
      <c r="B229" s="39"/>
      <c r="D229" s="71" t="s">
        <v>84</v>
      </c>
      <c r="E229" s="72" t="str">
        <f>E201</f>
        <v>тыс. руб.</v>
      </c>
      <c r="F229" s="73">
        <f>F230</f>
        <v>0</v>
      </c>
      <c r="G229" s="73">
        <f t="shared" ref="G229:Z229" si="368">G230</f>
        <v>0</v>
      </c>
      <c r="H229" s="73">
        <f t="shared" si="368"/>
        <v>0</v>
      </c>
      <c r="I229" s="73">
        <f t="shared" si="368"/>
        <v>0</v>
      </c>
      <c r="J229" s="73">
        <f t="shared" si="368"/>
        <v>0</v>
      </c>
      <c r="K229" s="73">
        <f t="shared" si="368"/>
        <v>0</v>
      </c>
      <c r="L229" s="73">
        <f t="shared" si="368"/>
        <v>0</v>
      </c>
      <c r="M229" s="73">
        <f t="shared" si="368"/>
        <v>0</v>
      </c>
      <c r="N229" s="73">
        <f t="shared" si="368"/>
        <v>0</v>
      </c>
      <c r="O229" s="73">
        <f t="shared" si="368"/>
        <v>0</v>
      </c>
      <c r="P229" s="73">
        <f t="shared" si="368"/>
        <v>0</v>
      </c>
      <c r="Q229" s="73">
        <f t="shared" si="368"/>
        <v>0</v>
      </c>
      <c r="R229" s="73">
        <f t="shared" si="368"/>
        <v>0</v>
      </c>
      <c r="S229" s="73">
        <f t="shared" si="368"/>
        <v>0</v>
      </c>
      <c r="T229" s="73">
        <f t="shared" si="368"/>
        <v>0</v>
      </c>
      <c r="U229" s="73">
        <f t="shared" si="368"/>
        <v>0</v>
      </c>
      <c r="V229" s="73">
        <f t="shared" si="368"/>
        <v>0</v>
      </c>
      <c r="W229" s="73">
        <f t="shared" si="368"/>
        <v>0</v>
      </c>
      <c r="X229" s="73">
        <f t="shared" si="368"/>
        <v>0</v>
      </c>
      <c r="Y229" s="73">
        <f t="shared" si="368"/>
        <v>0</v>
      </c>
      <c r="Z229" s="73">
        <f t="shared" si="368"/>
        <v>0</v>
      </c>
    </row>
    <row r="230" spans="1:28" outlineLevel="1" x14ac:dyDescent="0.25">
      <c r="A230" s="39" t="str">
        <f t="shared" si="231"/>
        <v>SANY SET240S</v>
      </c>
      <c r="B230" s="39"/>
      <c r="D230" s="101" t="s">
        <v>85</v>
      </c>
      <c r="E230" s="9" t="str">
        <f>E229</f>
        <v>тыс. руб.</v>
      </c>
      <c r="F230" s="78">
        <f>SUMIFS(Свод!$D$41:$U$41,Свод!$D$23:$U$23,$A230)</f>
        <v>0</v>
      </c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8" outlineLevel="1" x14ac:dyDescent="0.25">
      <c r="A231" s="39" t="str">
        <f t="shared" si="231"/>
        <v>SANY SET240S</v>
      </c>
      <c r="B231" s="39"/>
      <c r="D231" s="101"/>
      <c r="E231" s="9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8" outlineLevel="1" x14ac:dyDescent="0.25">
      <c r="A232" s="39" t="str">
        <f t="shared" si="231"/>
        <v>SANY SET240S</v>
      </c>
      <c r="B232" s="39"/>
      <c r="D232" s="71" t="s">
        <v>86</v>
      </c>
      <c r="E232" s="72" t="str">
        <f>E201</f>
        <v>тыс. руб.</v>
      </c>
      <c r="F232" s="73">
        <f>F201+F229</f>
        <v>0</v>
      </c>
      <c r="G232" s="73">
        <f t="shared" ref="G232:I232" si="369">G201+G229</f>
        <v>90424.217991647572</v>
      </c>
      <c r="H232" s="73">
        <f t="shared" si="369"/>
        <v>95645.344467083807</v>
      </c>
      <c r="I232" s="73">
        <f t="shared" si="369"/>
        <v>124332.45305836329</v>
      </c>
      <c r="J232" s="73">
        <f t="shared" ref="J232:Z232" si="370">J201+J229</f>
        <v>105937.05590861087</v>
      </c>
      <c r="K232" s="73">
        <f t="shared" si="370"/>
        <v>152685.10134933365</v>
      </c>
      <c r="L232" s="73">
        <f t="shared" si="370"/>
        <v>142628.55382006362</v>
      </c>
      <c r="M232" s="73">
        <f t="shared" si="370"/>
        <v>102659.42665804707</v>
      </c>
      <c r="N232" s="73">
        <f t="shared" si="370"/>
        <v>106264.46620133477</v>
      </c>
      <c r="O232" s="73">
        <f t="shared" si="370"/>
        <v>181106.12609839198</v>
      </c>
      <c r="P232" s="73">
        <f t="shared" si="370"/>
        <v>100734.4338333178</v>
      </c>
      <c r="Q232" s="73">
        <f t="shared" si="370"/>
        <v>103132.85009078209</v>
      </c>
      <c r="R232" s="73">
        <f t="shared" si="370"/>
        <v>108710.78270992349</v>
      </c>
      <c r="S232" s="73">
        <f t="shared" si="370"/>
        <v>0</v>
      </c>
      <c r="T232" s="73">
        <f t="shared" si="370"/>
        <v>0</v>
      </c>
      <c r="U232" s="73">
        <f t="shared" si="370"/>
        <v>0</v>
      </c>
      <c r="V232" s="73">
        <f t="shared" si="370"/>
        <v>0</v>
      </c>
      <c r="W232" s="73">
        <f t="shared" si="370"/>
        <v>0</v>
      </c>
      <c r="X232" s="73">
        <f t="shared" si="370"/>
        <v>0</v>
      </c>
      <c r="Y232" s="73">
        <f t="shared" si="370"/>
        <v>0</v>
      </c>
      <c r="Z232" s="73">
        <f t="shared" si="370"/>
        <v>0</v>
      </c>
    </row>
    <row r="233" spans="1:28" outlineLevel="1" x14ac:dyDescent="0.25">
      <c r="A233" s="39" t="str">
        <f t="shared" si="231"/>
        <v>SANY SET240S</v>
      </c>
      <c r="B233" s="39"/>
      <c r="D233" s="67" t="s">
        <v>87</v>
      </c>
      <c r="E233" s="68" t="str">
        <f>E232</f>
        <v>тыс. руб.</v>
      </c>
      <c r="F233" s="102"/>
      <c r="G233" s="69">
        <f>G201*'ФОТ, МТР, макро'!AK$13</f>
        <v>80735.908921113893</v>
      </c>
      <c r="H233" s="69">
        <f>H201*'ФОТ, МТР, макро'!AL$13</f>
        <v>76247.883025417555</v>
      </c>
      <c r="I233" s="69">
        <f>I201*'ФОТ, МТР, макро'!AM$13</f>
        <v>88497.384249131093</v>
      </c>
      <c r="J233" s="69">
        <f>J201*'ФОТ, МТР, макро'!AN$13</f>
        <v>67324.914202905537</v>
      </c>
      <c r="K233" s="69">
        <f>K201*'ФОТ, МТР, макро'!AO$13</f>
        <v>86637.626973728038</v>
      </c>
      <c r="L233" s="69">
        <f>L201*'ФОТ, МТР, макро'!AP$13</f>
        <v>72260.064133758657</v>
      </c>
      <c r="M233" s="69">
        <f>M201*'ФОТ, МТР, макро'!AQ$13</f>
        <v>46437.911095702955</v>
      </c>
      <c r="N233" s="69">
        <f>N201*'ФОТ, МТР, макро'!AR$13</f>
        <v>42918.43562889965</v>
      </c>
      <c r="O233" s="69">
        <f>O201*'ФОТ, МТР, макро'!AS$13</f>
        <v>65308.684656658224</v>
      </c>
      <c r="P233" s="69">
        <f>P201*'ФОТ, МТР, макро'!AT$13</f>
        <v>32433.791697444642</v>
      </c>
      <c r="Q233" s="69">
        <f>Q201*'ФОТ, МТР, макро'!AU$13</f>
        <v>29648.229948707285</v>
      </c>
      <c r="R233" s="69">
        <f>R201*'ФОТ, МТР, макро'!AV$13</f>
        <v>27903.350256235597</v>
      </c>
      <c r="S233" s="69">
        <f>S201*'ФОТ, МТР, макро'!AW$13</f>
        <v>0</v>
      </c>
      <c r="T233" s="69">
        <f>T201*'ФОТ, МТР, макро'!AX$13</f>
        <v>0</v>
      </c>
      <c r="U233" s="69">
        <f>U201*'ФОТ, МТР, макро'!AY$13</f>
        <v>0</v>
      </c>
      <c r="V233" s="69">
        <f>V201*'ФОТ, МТР, макро'!AZ$13</f>
        <v>0</v>
      </c>
      <c r="W233" s="69">
        <f>W201*'ФОТ, МТР, макро'!BA$13</f>
        <v>0</v>
      </c>
      <c r="X233" s="69">
        <f>X201*'ФОТ, МТР, макро'!BB$13</f>
        <v>0</v>
      </c>
      <c r="Y233" s="69">
        <f>Y201*'ФОТ, МТР, макро'!BC$13</f>
        <v>0</v>
      </c>
      <c r="Z233" s="69">
        <f>Z201*'ФОТ, МТР, макро'!BD$13</f>
        <v>0</v>
      </c>
    </row>
    <row r="234" spans="1:28" outlineLevel="1" x14ac:dyDescent="0.25">
      <c r="A234" s="39" t="str">
        <f t="shared" si="231"/>
        <v>SANY SET240S</v>
      </c>
      <c r="B234" s="39"/>
      <c r="D234" s="18" t="str">
        <f>D202</f>
        <v>ТО, ТР, ППР</v>
      </c>
      <c r="E234" s="9" t="str">
        <f>E233</f>
        <v>тыс. руб.</v>
      </c>
      <c r="F234" s="103"/>
      <c r="G234" s="74">
        <f>G202*'ФОТ, МТР, макро'!AK$13</f>
        <v>11365.40079644602</v>
      </c>
      <c r="H234" s="74">
        <f>H202*'ФОТ, МТР, макро'!AL$13</f>
        <v>15839.71820232378</v>
      </c>
      <c r="I234" s="74">
        <f>I202*'ФОТ, МТР, макро'!AM$13</f>
        <v>40028.600366285515</v>
      </c>
      <c r="J234" s="74">
        <f>J202*'ФОТ, МТР, макро'!AN$13</f>
        <v>18238.1902504809</v>
      </c>
      <c r="K234" s="74">
        <f>K202*'ФОТ, МТР, макро'!AO$13</f>
        <v>51974.77625720697</v>
      </c>
      <c r="L234" s="74">
        <f>L202*'ФОТ, МТР, макро'!AP$13</f>
        <v>35319.441990495419</v>
      </c>
      <c r="M234" s="74">
        <f>M202*'ФОТ, МТР, макро'!AQ$13</f>
        <v>11374.901949134823</v>
      </c>
      <c r="N234" s="74">
        <f>N202*'ФОТ, МТР, макро'!AR$13</f>
        <v>10215.314814109888</v>
      </c>
      <c r="O234" s="74">
        <f>O202*'ФОТ, МТР, макро'!AS$13</f>
        <v>45762.671276109366</v>
      </c>
      <c r="P234" s="74">
        <f>P202*'ФОТ, МТР, макро'!AT$13</f>
        <v>5935.1252461311597</v>
      </c>
      <c r="Q234" s="74">
        <f>Q202*'ФОТ, МТР, макро'!AU$13</f>
        <v>6997.0350472412911</v>
      </c>
      <c r="R234" s="74">
        <f>R202*'ФОТ, МТР, макро'!AV$13</f>
        <v>6831.3212225726038</v>
      </c>
      <c r="S234" s="74">
        <f>S202*'ФОТ, МТР, макро'!AW$13</f>
        <v>0</v>
      </c>
      <c r="T234" s="74">
        <f>T202*'ФОТ, МТР, макро'!AX$13</f>
        <v>0</v>
      </c>
      <c r="U234" s="74">
        <f>U202*'ФОТ, МТР, макро'!AY$13</f>
        <v>0</v>
      </c>
      <c r="V234" s="74">
        <f>V202*'ФОТ, МТР, макро'!AZ$13</f>
        <v>0</v>
      </c>
      <c r="W234" s="74">
        <f>W202*'ФОТ, МТР, макро'!BA$13</f>
        <v>0</v>
      </c>
      <c r="X234" s="74">
        <f>X202*'ФОТ, МТР, макро'!BB$13</f>
        <v>0</v>
      </c>
      <c r="Y234" s="74">
        <f>Y202*'ФОТ, МТР, макро'!BC$13</f>
        <v>0</v>
      </c>
      <c r="Z234" s="74">
        <f>Z202*'ФОТ, МТР, макро'!BD$13</f>
        <v>0</v>
      </c>
    </row>
    <row r="235" spans="1:28" outlineLevel="1" x14ac:dyDescent="0.25">
      <c r="A235" s="39" t="str">
        <f t="shared" si="231"/>
        <v>SANY SET240S</v>
      </c>
      <c r="B235" s="39"/>
      <c r="D235" s="18" t="str">
        <f>D207</f>
        <v>Шины</v>
      </c>
      <c r="E235" s="9" t="str">
        <f t="shared" ref="E235:E240" si="371">E234</f>
        <v>тыс. руб.</v>
      </c>
      <c r="F235" s="103"/>
      <c r="G235" s="74">
        <f>G207*'ФОТ, МТР, макро'!AK$13</f>
        <v>20808.051023065549</v>
      </c>
      <c r="H235" s="74">
        <f>H207*'ФОТ, МТР, макро'!AL$13</f>
        <v>18541.386076543746</v>
      </c>
      <c r="I235" s="74">
        <f>I207*'ФОТ, МТР, макро'!AM$13</f>
        <v>16905.022671893825</v>
      </c>
      <c r="J235" s="74">
        <f>J207*'ФОТ, МТР, макро'!AN$13</f>
        <v>15594.329617815851</v>
      </c>
      <c r="K235" s="74">
        <f>K207*'ФОТ, МТР, макро'!AO$13</f>
        <v>13839.16063581359</v>
      </c>
      <c r="L235" s="74">
        <f>L207*'ФОТ, МТР, макро'!AP$13</f>
        <v>13479.116421342909</v>
      </c>
      <c r="M235" s="74">
        <f>M207*'ФОТ, МТР, макро'!AQ$13</f>
        <v>11002.936811189436</v>
      </c>
      <c r="N235" s="74">
        <f>N207*'ФОТ, МТР, макро'!AR$13</f>
        <v>10316.254017002573</v>
      </c>
      <c r="O235" s="74">
        <f>O207*'ФОТ, МТР, макро'!AS$13</f>
        <v>9039.1370659636086</v>
      </c>
      <c r="P235" s="74">
        <f>P207*'ФОТ, МТР, макро'!AT$13</f>
        <v>8180.7576428831371</v>
      </c>
      <c r="Q235" s="74">
        <f>Q207*'ФОТ, МТР, макро'!AU$13</f>
        <v>7100.6670518440469</v>
      </c>
      <c r="R235" s="74">
        <f>R207*'ФОТ, МТР, макро'!AV$13</f>
        <v>6686.370753975596</v>
      </c>
      <c r="S235" s="74">
        <f>S207*'ФОТ, МТР, макро'!AW$13</f>
        <v>0</v>
      </c>
      <c r="T235" s="74">
        <f>T207*'ФОТ, МТР, макро'!AX$13</f>
        <v>0</v>
      </c>
      <c r="U235" s="74">
        <f>U207*'ФОТ, МТР, макро'!AY$13</f>
        <v>0</v>
      </c>
      <c r="V235" s="74">
        <f>V207*'ФОТ, МТР, макро'!AZ$13</f>
        <v>0</v>
      </c>
      <c r="W235" s="74">
        <f>W207*'ФОТ, МТР, макро'!BA$13</f>
        <v>0</v>
      </c>
      <c r="X235" s="74">
        <f>X207*'ФОТ, МТР, макро'!BB$13</f>
        <v>0</v>
      </c>
      <c r="Y235" s="74">
        <f>Y207*'ФОТ, МТР, макро'!BC$13</f>
        <v>0</v>
      </c>
      <c r="Z235" s="74">
        <f>Z207*'ФОТ, МТР, макро'!BD$13</f>
        <v>0</v>
      </c>
    </row>
    <row r="236" spans="1:28" outlineLevel="1" x14ac:dyDescent="0.25">
      <c r="A236" s="39" t="str">
        <f t="shared" si="231"/>
        <v>SANY SET240S</v>
      </c>
      <c r="B236" s="39"/>
      <c r="D236" s="18" t="str">
        <f>D211</f>
        <v>Топливо</v>
      </c>
      <c r="E236" s="9" t="str">
        <f t="shared" si="371"/>
        <v>тыс. руб.</v>
      </c>
      <c r="F236" s="103"/>
      <c r="G236" s="74">
        <f>G211*'ФОТ, МТР, макро'!AK$13</f>
        <v>58762.595277096763</v>
      </c>
      <c r="H236" s="74">
        <f>H211*'ФОТ, МТР, макро'!AL$13</f>
        <v>52361.461661382484</v>
      </c>
      <c r="I236" s="74">
        <f>I211*'ФОТ, МТР, макро'!AM$13</f>
        <v>47740.319567531114</v>
      </c>
      <c r="J236" s="74">
        <f>J211*'ФОТ, МТР, макро'!AN$13</f>
        <v>44038.880860757934</v>
      </c>
      <c r="K236" s="74">
        <f>K211*'ФОТ, МТР, макро'!AO$13</f>
        <v>39082.228052766215</v>
      </c>
      <c r="L236" s="74">
        <f>L211*'ФОТ, МТР, макро'!AP$13</f>
        <v>38065.451785092308</v>
      </c>
      <c r="M236" s="74">
        <f>M211*'ФОТ, МТР, макро'!AQ$13</f>
        <v>31072.642121969362</v>
      </c>
      <c r="N236" s="74">
        <f>N211*'ФОТ, МТР, макро'!AR$13</f>
        <v>29133.428157440947</v>
      </c>
      <c r="O236" s="74">
        <f>O211*'ФОТ, МТР, макро'!AS$13</f>
        <v>25526.809429322984</v>
      </c>
      <c r="P236" s="74">
        <f>P211*'ФОТ, МТР, макро'!AT$13</f>
        <v>23102.718745541366</v>
      </c>
      <c r="Q236" s="74">
        <f>Q211*'ФОТ, МТР, макро'!AU$13</f>
        <v>20052.508699753067</v>
      </c>
      <c r="R236" s="74">
        <f>R211*'ФОТ, МТР, макро'!AV$13</f>
        <v>18882.522829886788</v>
      </c>
      <c r="S236" s="74">
        <f>S211*'ФОТ, МТР, макро'!AW$13</f>
        <v>0</v>
      </c>
      <c r="T236" s="74">
        <f>T211*'ФОТ, МТР, макро'!AX$13</f>
        <v>0</v>
      </c>
      <c r="U236" s="74">
        <f>U211*'ФОТ, МТР, макро'!AY$13</f>
        <v>0</v>
      </c>
      <c r="V236" s="74">
        <f>V211*'ФОТ, МТР, макро'!AZ$13</f>
        <v>0</v>
      </c>
      <c r="W236" s="74">
        <f>W211*'ФОТ, МТР, макро'!BA$13</f>
        <v>0</v>
      </c>
      <c r="X236" s="74">
        <f>X211*'ФОТ, МТР, макро'!BB$13</f>
        <v>0</v>
      </c>
      <c r="Y236" s="74">
        <f>Y211*'ФОТ, МТР, макро'!BC$13</f>
        <v>0</v>
      </c>
      <c r="Z236" s="74">
        <f>Z211*'ФОТ, МТР, макро'!BD$13</f>
        <v>0</v>
      </c>
    </row>
    <row r="237" spans="1:28" outlineLevel="1" x14ac:dyDescent="0.25">
      <c r="A237" s="39" t="str">
        <f t="shared" si="231"/>
        <v>SANY SET240S</v>
      </c>
      <c r="B237" s="39"/>
      <c r="D237" s="18" t="str">
        <f>D216</f>
        <v>Смазочные</v>
      </c>
      <c r="E237" s="9" t="str">
        <f t="shared" si="371"/>
        <v>тыс. руб.</v>
      </c>
      <c r="F237" s="103"/>
      <c r="G237" s="74">
        <f>G216*'ФОТ, МТР, макро'!AK$13</f>
        <v>0</v>
      </c>
      <c r="H237" s="74">
        <f>H216*'ФОТ, МТР, макро'!AL$13</f>
        <v>0</v>
      </c>
      <c r="I237" s="74">
        <f>I216*'ФОТ, МТР, макро'!AM$13</f>
        <v>0</v>
      </c>
      <c r="J237" s="74">
        <f>J216*'ФОТ, МТР, макро'!AN$13</f>
        <v>0</v>
      </c>
      <c r="K237" s="74">
        <f>K216*'ФОТ, МТР, макро'!AO$13</f>
        <v>0</v>
      </c>
      <c r="L237" s="74">
        <f>L216*'ФОТ, МТР, макро'!AP$13</f>
        <v>0</v>
      </c>
      <c r="M237" s="74">
        <f>M216*'ФОТ, МТР, макро'!AQ$13</f>
        <v>0</v>
      </c>
      <c r="N237" s="74">
        <f>N216*'ФОТ, МТР, макро'!AR$13</f>
        <v>0</v>
      </c>
      <c r="O237" s="74">
        <f>O216*'ФОТ, МТР, макро'!AS$13</f>
        <v>0</v>
      </c>
      <c r="P237" s="74">
        <f>P216*'ФОТ, МТР, макро'!AT$13</f>
        <v>0</v>
      </c>
      <c r="Q237" s="74">
        <f>Q216*'ФОТ, МТР, макро'!AU$13</f>
        <v>0</v>
      </c>
      <c r="R237" s="74">
        <f>R216*'ФОТ, МТР, макро'!AV$13</f>
        <v>0</v>
      </c>
      <c r="S237" s="74">
        <f>S216*'ФОТ, МТР, макро'!AW$13</f>
        <v>0</v>
      </c>
      <c r="T237" s="74">
        <f>T216*'ФОТ, МТР, макро'!AX$13</f>
        <v>0</v>
      </c>
      <c r="U237" s="74">
        <f>U216*'ФОТ, МТР, макро'!AY$13</f>
        <v>0</v>
      </c>
      <c r="V237" s="74">
        <f>V216*'ФОТ, МТР, макро'!AZ$13</f>
        <v>0</v>
      </c>
      <c r="W237" s="74">
        <f>W216*'ФОТ, МТР, макро'!BA$13</f>
        <v>0</v>
      </c>
      <c r="X237" s="74">
        <f>X216*'ФОТ, МТР, макро'!BB$13</f>
        <v>0</v>
      </c>
      <c r="Y237" s="74">
        <f>Y216*'ФОТ, МТР, макро'!BC$13</f>
        <v>0</v>
      </c>
      <c r="Z237" s="74">
        <f>Z216*'ФОТ, МТР, макро'!BD$13</f>
        <v>0</v>
      </c>
    </row>
    <row r="238" spans="1:28" outlineLevel="1" x14ac:dyDescent="0.25">
      <c r="A238" s="39" t="str">
        <f t="shared" si="231"/>
        <v>SANY SET240S</v>
      </c>
      <c r="B238" s="39"/>
      <c r="D238" s="18" t="str">
        <f>D218</f>
        <v>Затраты на персонал</v>
      </c>
      <c r="E238" s="9" t="str">
        <f t="shared" si="371"/>
        <v>тыс. руб.</v>
      </c>
      <c r="F238" s="103"/>
      <c r="G238" s="74">
        <f>G218*'ФОТ, МТР, макро'!AK$13</f>
        <v>16496.068072019727</v>
      </c>
      <c r="H238" s="74">
        <f>H218*'ФОТ, МТР, макро'!AL$13</f>
        <v>14728.632207160468</v>
      </c>
      <c r="I238" s="74">
        <f>I218*'ФОТ, МТР, макро'!AM$13</f>
        <v>13150.56447067899</v>
      </c>
      <c r="J238" s="74">
        <f>J218*'ФОТ, МТР, макро'!AN$13</f>
        <v>11741.575420249097</v>
      </c>
      <c r="K238" s="74">
        <f>K218*'ФОТ, МТР, макро'!AO$13</f>
        <v>10483.549482365264</v>
      </c>
      <c r="L238" s="74">
        <f>L218*'ФОТ, МТР, макро'!AP$13</f>
        <v>9360.3120378261283</v>
      </c>
      <c r="M238" s="74">
        <f>M218*'ФОТ, МТР, макро'!AQ$13</f>
        <v>8357.4214623447569</v>
      </c>
      <c r="N238" s="74">
        <f>N218*'ФОТ, МТР, макро'!AR$13</f>
        <v>7461.9834485221045</v>
      </c>
      <c r="O238" s="74">
        <f>O218*'ФОТ, МТР, макро'!AS$13</f>
        <v>6662.4852218947353</v>
      </c>
      <c r="P238" s="74">
        <f>P218*'ФОТ, МТР, макро'!AT$13</f>
        <v>5948.6475195488702</v>
      </c>
      <c r="Q238" s="74">
        <f>Q218*'ФОТ, МТР, макро'!AU$13</f>
        <v>5311.2924281686337</v>
      </c>
      <c r="R238" s="74">
        <f>R218*'ФОТ, МТР, макро'!AV$13</f>
        <v>4742.2253822934226</v>
      </c>
      <c r="S238" s="74">
        <f>S218*'ФОТ, МТР, макро'!AW$13</f>
        <v>0</v>
      </c>
      <c r="T238" s="74">
        <f>T218*'ФОТ, МТР, макро'!AX$13</f>
        <v>0</v>
      </c>
      <c r="U238" s="74">
        <f>U218*'ФОТ, МТР, макро'!AY$13</f>
        <v>0</v>
      </c>
      <c r="V238" s="74">
        <f>V218*'ФОТ, МТР, макро'!AZ$13</f>
        <v>0</v>
      </c>
      <c r="W238" s="74">
        <f>W218*'ФОТ, МТР, макро'!BA$13</f>
        <v>0</v>
      </c>
      <c r="X238" s="74">
        <f>X218*'ФОТ, МТР, макро'!BB$13</f>
        <v>0</v>
      </c>
      <c r="Y238" s="74">
        <f>Y218*'ФОТ, МТР, макро'!BC$13</f>
        <v>0</v>
      </c>
      <c r="Z238" s="74">
        <f>Z218*'ФОТ, МТР, макро'!BD$13</f>
        <v>0</v>
      </c>
    </row>
    <row r="239" spans="1:28" outlineLevel="1" x14ac:dyDescent="0.25">
      <c r="A239" s="39" t="str">
        <f t="shared" si="231"/>
        <v>SANY SET240S</v>
      </c>
      <c r="B239" s="39"/>
      <c r="D239" s="18" t="str">
        <f>D222</f>
        <v>Транспортный налог</v>
      </c>
      <c r="E239" s="9" t="str">
        <f t="shared" si="371"/>
        <v>тыс. руб.</v>
      </c>
      <c r="F239" s="103"/>
      <c r="G239" s="74">
        <f>G222*'ФОТ, МТР, макро'!AK$13</f>
        <v>215.76339285714283</v>
      </c>
      <c r="H239" s="74">
        <f>H222*'ФОТ, МТР, макро'!AL$13</f>
        <v>192.64588647959178</v>
      </c>
      <c r="I239" s="74">
        <f>I222*'ФОТ, МТР, макро'!AM$13</f>
        <v>172.00525578534982</v>
      </c>
      <c r="J239" s="74">
        <f>J222*'ФОТ, МТР, макро'!AN$13</f>
        <v>153.57612123691945</v>
      </c>
      <c r="K239" s="74">
        <f>K222*'ФОТ, МТР, макро'!AO$13</f>
        <v>137.12153681867809</v>
      </c>
      <c r="L239" s="74">
        <f>L222*'ФОТ, МТР, макро'!AP$13</f>
        <v>122.42994358810543</v>
      </c>
      <c r="M239" s="74">
        <f>M222*'ФОТ, МТР, макро'!AQ$13</f>
        <v>109.31244963223698</v>
      </c>
      <c r="N239" s="74">
        <f>N222*'ФОТ, МТР, макро'!AR$13</f>
        <v>97.600401457354437</v>
      </c>
      <c r="O239" s="74">
        <f>O222*'ФОТ, МТР, макро'!AS$13</f>
        <v>87.143215586923603</v>
      </c>
      <c r="P239" s="74">
        <f>P222*'ФОТ, МТР, макро'!AT$13</f>
        <v>77.806442488324635</v>
      </c>
      <c r="Q239" s="74">
        <f>Q222*'ФОТ, МТР, макро'!AU$13</f>
        <v>69.470037936004132</v>
      </c>
      <c r="R239" s="74">
        <f>R222*'ФОТ, МТР, макро'!AV$13</f>
        <v>62.026819585717973</v>
      </c>
      <c r="S239" s="74">
        <f>S222*'ФОТ, МТР, макро'!AW$13</f>
        <v>0</v>
      </c>
      <c r="T239" s="74">
        <f>T222*'ФОТ, МТР, макро'!AX$13</f>
        <v>0</v>
      </c>
      <c r="U239" s="74">
        <f>U222*'ФОТ, МТР, макро'!AY$13</f>
        <v>0</v>
      </c>
      <c r="V239" s="74">
        <f>V222*'ФОТ, МТР, макро'!AZ$13</f>
        <v>0</v>
      </c>
      <c r="W239" s="74">
        <f>W222*'ФОТ, МТР, макро'!BA$13</f>
        <v>0</v>
      </c>
      <c r="X239" s="74">
        <f>X222*'ФОТ, МТР, макро'!BB$13</f>
        <v>0</v>
      </c>
      <c r="Y239" s="74">
        <f>Y222*'ФОТ, МТР, макро'!BC$13</f>
        <v>0</v>
      </c>
      <c r="Z239" s="74">
        <f>Z222*'ФОТ, МТР, макро'!BD$13</f>
        <v>0</v>
      </c>
    </row>
    <row r="240" spans="1:28" outlineLevel="1" x14ac:dyDescent="0.25">
      <c r="A240" s="39" t="str">
        <f t="shared" si="231"/>
        <v>SANY SET240S</v>
      </c>
      <c r="B240" s="39"/>
      <c r="D240" s="18" t="str">
        <f>D227</f>
        <v>Налог на прибыль</v>
      </c>
      <c r="E240" s="9" t="str">
        <f t="shared" si="371"/>
        <v>тыс. руб.</v>
      </c>
      <c r="F240" s="103"/>
      <c r="G240" s="74">
        <f>G227*'ФОТ, МТР, макро'!AK$13</f>
        <v>-26911.969640371299</v>
      </c>
      <c r="H240" s="74">
        <f>H227*'ФОТ, МТР, макро'!AL$13</f>
        <v>-25415.961008472517</v>
      </c>
      <c r="I240" s="74">
        <f>I227*'ФОТ, МТР, макро'!AM$13</f>
        <v>-29499.128083043699</v>
      </c>
      <c r="J240" s="74">
        <f>J227*'ФОТ, МТР, макро'!AN$13</f>
        <v>-22441.638067635176</v>
      </c>
      <c r="K240" s="74">
        <f>K227*'ФОТ, МТР, макро'!AO$13</f>
        <v>-28879.208991242682</v>
      </c>
      <c r="L240" s="74">
        <f>L227*'ФОТ, МТР, макро'!AP$13</f>
        <v>-24086.688044586219</v>
      </c>
      <c r="M240" s="74">
        <f>M227*'ФОТ, МТР, макро'!AQ$13</f>
        <v>-15479.303698567652</v>
      </c>
      <c r="N240" s="74">
        <f>N227*'ФОТ, МТР, макро'!AR$13</f>
        <v>-14306.145209633218</v>
      </c>
      <c r="O240" s="74">
        <f>O227*'ФОТ, МТР, макро'!AS$13</f>
        <v>-21769.561552219406</v>
      </c>
      <c r="P240" s="74">
        <f>P227*'ФОТ, МТР, макро'!AT$13</f>
        <v>-10811.263899148214</v>
      </c>
      <c r="Q240" s="74">
        <f>Q227*'ФОТ, МТР, макро'!AU$13</f>
        <v>-9882.7433162357611</v>
      </c>
      <c r="R240" s="74">
        <f>R227*'ФОТ, МТР, макро'!AV$13</f>
        <v>-9301.116752078533</v>
      </c>
      <c r="S240" s="74">
        <f>S227*'ФОТ, МТР, макро'!AW$13</f>
        <v>0</v>
      </c>
      <c r="T240" s="74">
        <f>T227*'ФОТ, МТР, макро'!AX$13</f>
        <v>0</v>
      </c>
      <c r="U240" s="74">
        <f>U227*'ФОТ, МТР, макро'!AY$13</f>
        <v>0</v>
      </c>
      <c r="V240" s="74">
        <f>V227*'ФОТ, МТР, макро'!AZ$13</f>
        <v>0</v>
      </c>
      <c r="W240" s="74">
        <f>W227*'ФОТ, МТР, макро'!BA$13</f>
        <v>0</v>
      </c>
      <c r="X240" s="74">
        <f>X227*'ФОТ, МТР, макро'!BB$13</f>
        <v>0</v>
      </c>
      <c r="Y240" s="74">
        <f>Y227*'ФОТ, МТР, макро'!BC$13</f>
        <v>0</v>
      </c>
      <c r="Z240" s="74">
        <f>Z227*'ФОТ, МТР, макро'!BD$13</f>
        <v>0</v>
      </c>
    </row>
    <row r="241" spans="1:26" outlineLevel="1" x14ac:dyDescent="0.25">
      <c r="A241" s="39" t="str">
        <f t="shared" si="231"/>
        <v>SANY SET240S</v>
      </c>
      <c r="B241" s="39"/>
      <c r="D241" s="104" t="s">
        <v>88</v>
      </c>
      <c r="E241" s="9"/>
      <c r="F241" s="105"/>
      <c r="G241" s="106">
        <f>G233-SUM(G234:G240)</f>
        <v>0</v>
      </c>
      <c r="H241" s="106">
        <f t="shared" ref="H241:I241" si="372">H233-SUM(H234:H240)</f>
        <v>0</v>
      </c>
      <c r="I241" s="106">
        <f t="shared" si="372"/>
        <v>0</v>
      </c>
      <c r="J241" s="106">
        <f t="shared" ref="J241:Z241" si="373">J233-SUM(J234:J240)</f>
        <v>0</v>
      </c>
      <c r="K241" s="106">
        <f t="shared" si="373"/>
        <v>0</v>
      </c>
      <c r="L241" s="106">
        <f t="shared" si="373"/>
        <v>0</v>
      </c>
      <c r="M241" s="106">
        <f t="shared" si="373"/>
        <v>0</v>
      </c>
      <c r="N241" s="106">
        <f t="shared" si="373"/>
        <v>0</v>
      </c>
      <c r="O241" s="106">
        <f t="shared" si="373"/>
        <v>0</v>
      </c>
      <c r="P241" s="106">
        <f t="shared" si="373"/>
        <v>0</v>
      </c>
      <c r="Q241" s="106">
        <f t="shared" si="373"/>
        <v>0</v>
      </c>
      <c r="R241" s="106">
        <f t="shared" si="373"/>
        <v>0</v>
      </c>
      <c r="S241" s="106">
        <f t="shared" si="373"/>
        <v>0</v>
      </c>
      <c r="T241" s="106">
        <f t="shared" si="373"/>
        <v>0</v>
      </c>
      <c r="U241" s="106">
        <f t="shared" si="373"/>
        <v>0</v>
      </c>
      <c r="V241" s="106">
        <f t="shared" si="373"/>
        <v>0</v>
      </c>
      <c r="W241" s="106">
        <f t="shared" si="373"/>
        <v>0</v>
      </c>
      <c r="X241" s="106">
        <f t="shared" si="373"/>
        <v>0</v>
      </c>
      <c r="Y241" s="106">
        <f t="shared" si="373"/>
        <v>0</v>
      </c>
      <c r="Z241" s="106">
        <f t="shared" si="373"/>
        <v>0</v>
      </c>
    </row>
    <row r="242" spans="1:26" ht="27.2" outlineLevel="1" x14ac:dyDescent="0.25">
      <c r="A242" s="39" t="str">
        <f t="shared" si="231"/>
        <v>SANY SET240S</v>
      </c>
      <c r="B242" s="39"/>
      <c r="D242" s="107" t="s">
        <v>89</v>
      </c>
      <c r="E242" s="68" t="str">
        <f>E233</f>
        <v>тыс. руб.</v>
      </c>
      <c r="F242" s="69">
        <f>F233</f>
        <v>0</v>
      </c>
      <c r="G242" s="69">
        <f>F242+G233</f>
        <v>80735.908921113893</v>
      </c>
      <c r="H242" s="69">
        <f t="shared" ref="H242:I249" si="374">G242+H233</f>
        <v>156983.79194653145</v>
      </c>
      <c r="I242" s="69">
        <f t="shared" si="374"/>
        <v>245481.17619566253</v>
      </c>
      <c r="J242" s="69">
        <f t="shared" ref="J242:J249" si="375">I242+J233</f>
        <v>312806.09039856808</v>
      </c>
      <c r="K242" s="69">
        <f t="shared" ref="K242:K249" si="376">J242+K233</f>
        <v>399443.71737229615</v>
      </c>
      <c r="L242" s="69">
        <f t="shared" ref="L242:L249" si="377">K242+L233</f>
        <v>471703.7815060548</v>
      </c>
      <c r="M242" s="69">
        <f t="shared" ref="M242:M249" si="378">L242+M233</f>
        <v>518141.69260175776</v>
      </c>
      <c r="N242" s="69">
        <f t="shared" ref="N242:N249" si="379">M242+N233</f>
        <v>561060.12823065743</v>
      </c>
      <c r="O242" s="69">
        <f t="shared" ref="O242:O249" si="380">N242+O233</f>
        <v>626368.81288731564</v>
      </c>
      <c r="P242" s="69">
        <f t="shared" ref="P242:P249" si="381">O242+P233</f>
        <v>658802.60458476027</v>
      </c>
      <c r="Q242" s="69">
        <f t="shared" ref="Q242:Q249" si="382">P242+Q233</f>
        <v>688450.83453346754</v>
      </c>
      <c r="R242" s="69">
        <f t="shared" ref="R242:R249" si="383">Q242+R233</f>
        <v>716354.18478970311</v>
      </c>
      <c r="S242" s="69">
        <f t="shared" ref="S242:S249" si="384">R242+S233</f>
        <v>716354.18478970311</v>
      </c>
      <c r="T242" s="69">
        <f t="shared" ref="T242:T249" si="385">S242+T233</f>
        <v>716354.18478970311</v>
      </c>
      <c r="U242" s="69">
        <f t="shared" ref="U242:U249" si="386">T242+U233</f>
        <v>716354.18478970311</v>
      </c>
      <c r="V242" s="69">
        <f t="shared" ref="V242:V249" si="387">U242+V233</f>
        <v>716354.18478970311</v>
      </c>
      <c r="W242" s="69">
        <f t="shared" ref="W242:W249" si="388">V242+W233</f>
        <v>716354.18478970311</v>
      </c>
      <c r="X242" s="69">
        <f t="shared" ref="X242:X249" si="389">W242+X233</f>
        <v>716354.18478970311</v>
      </c>
      <c r="Y242" s="69">
        <f t="shared" ref="Y242:Y249" si="390">X242+Y233</f>
        <v>716354.18478970311</v>
      </c>
      <c r="Z242" s="69">
        <f t="shared" ref="Z242:Z249" si="391">Y242+Z233</f>
        <v>716354.18478970311</v>
      </c>
    </row>
    <row r="243" spans="1:26" outlineLevel="1" x14ac:dyDescent="0.25">
      <c r="A243" s="39" t="str">
        <f t="shared" si="231"/>
        <v>SANY SET240S</v>
      </c>
      <c r="B243" s="39"/>
      <c r="D243" s="101" t="str">
        <f>D234</f>
        <v>ТО, ТР, ППР</v>
      </c>
      <c r="E243" s="9" t="str">
        <f>E234</f>
        <v>тыс. руб.</v>
      </c>
      <c r="F243" s="74">
        <f>F234</f>
        <v>0</v>
      </c>
      <c r="G243" s="74">
        <f>F243+G234</f>
        <v>11365.40079644602</v>
      </c>
      <c r="H243" s="74">
        <f t="shared" si="374"/>
        <v>27205.118998769802</v>
      </c>
      <c r="I243" s="74">
        <f t="shared" si="374"/>
        <v>67233.719365055324</v>
      </c>
      <c r="J243" s="74">
        <f t="shared" si="375"/>
        <v>85471.90961553622</v>
      </c>
      <c r="K243" s="74">
        <f t="shared" si="376"/>
        <v>137446.6858727432</v>
      </c>
      <c r="L243" s="74">
        <f t="shared" si="377"/>
        <v>172766.12786323862</v>
      </c>
      <c r="M243" s="74">
        <f t="shared" si="378"/>
        <v>184141.02981237345</v>
      </c>
      <c r="N243" s="74">
        <f t="shared" si="379"/>
        <v>194356.34462648333</v>
      </c>
      <c r="O243" s="74">
        <f t="shared" si="380"/>
        <v>240119.01590259268</v>
      </c>
      <c r="P243" s="74">
        <f t="shared" si="381"/>
        <v>246054.14114872384</v>
      </c>
      <c r="Q243" s="74">
        <f t="shared" si="382"/>
        <v>253051.17619596512</v>
      </c>
      <c r="R243" s="74">
        <f t="shared" si="383"/>
        <v>259882.49741853774</v>
      </c>
      <c r="S243" s="74">
        <f t="shared" si="384"/>
        <v>259882.49741853774</v>
      </c>
      <c r="T243" s="74">
        <f t="shared" si="385"/>
        <v>259882.49741853774</v>
      </c>
      <c r="U243" s="74">
        <f t="shared" si="386"/>
        <v>259882.49741853774</v>
      </c>
      <c r="V243" s="74">
        <f t="shared" si="387"/>
        <v>259882.49741853774</v>
      </c>
      <c r="W243" s="74">
        <f t="shared" si="388"/>
        <v>259882.49741853774</v>
      </c>
      <c r="X243" s="74">
        <f t="shared" si="389"/>
        <v>259882.49741853774</v>
      </c>
      <c r="Y243" s="74">
        <f t="shared" si="390"/>
        <v>259882.49741853774</v>
      </c>
      <c r="Z243" s="74">
        <f t="shared" si="391"/>
        <v>259882.49741853774</v>
      </c>
    </row>
    <row r="244" spans="1:26" outlineLevel="1" x14ac:dyDescent="0.25">
      <c r="A244" s="39" t="str">
        <f t="shared" si="231"/>
        <v>SANY SET240S</v>
      </c>
      <c r="B244" s="39"/>
      <c r="D244" s="101" t="str">
        <f t="shared" ref="D244:F249" si="392">D235</f>
        <v>Шины</v>
      </c>
      <c r="E244" s="9" t="str">
        <f t="shared" si="392"/>
        <v>тыс. руб.</v>
      </c>
      <c r="F244" s="74">
        <f t="shared" si="392"/>
        <v>0</v>
      </c>
      <c r="G244" s="74">
        <f t="shared" ref="G244:G249" si="393">F244+G235</f>
        <v>20808.051023065549</v>
      </c>
      <c r="H244" s="74">
        <f t="shared" si="374"/>
        <v>39349.437099609291</v>
      </c>
      <c r="I244" s="74">
        <f t="shared" si="374"/>
        <v>56254.459771503112</v>
      </c>
      <c r="J244" s="74">
        <f t="shared" si="375"/>
        <v>71848.789389318961</v>
      </c>
      <c r="K244" s="74">
        <f t="shared" si="376"/>
        <v>85687.950025132552</v>
      </c>
      <c r="L244" s="74">
        <f t="shared" si="377"/>
        <v>99167.066446475466</v>
      </c>
      <c r="M244" s="74">
        <f t="shared" si="378"/>
        <v>110170.00325766491</v>
      </c>
      <c r="N244" s="74">
        <f t="shared" si="379"/>
        <v>120486.25727466749</v>
      </c>
      <c r="O244" s="74">
        <f t="shared" si="380"/>
        <v>129525.39434063109</v>
      </c>
      <c r="P244" s="74">
        <f t="shared" si="381"/>
        <v>137706.15198351422</v>
      </c>
      <c r="Q244" s="74">
        <f t="shared" si="382"/>
        <v>144806.81903535826</v>
      </c>
      <c r="R244" s="74">
        <f t="shared" si="383"/>
        <v>151493.18978933385</v>
      </c>
      <c r="S244" s="74">
        <f t="shared" si="384"/>
        <v>151493.18978933385</v>
      </c>
      <c r="T244" s="74">
        <f t="shared" si="385"/>
        <v>151493.18978933385</v>
      </c>
      <c r="U244" s="74">
        <f t="shared" si="386"/>
        <v>151493.18978933385</v>
      </c>
      <c r="V244" s="74">
        <f t="shared" si="387"/>
        <v>151493.18978933385</v>
      </c>
      <c r="W244" s="74">
        <f t="shared" si="388"/>
        <v>151493.18978933385</v>
      </c>
      <c r="X244" s="74">
        <f t="shared" si="389"/>
        <v>151493.18978933385</v>
      </c>
      <c r="Y244" s="74">
        <f t="shared" si="390"/>
        <v>151493.18978933385</v>
      </c>
      <c r="Z244" s="74">
        <f t="shared" si="391"/>
        <v>151493.18978933385</v>
      </c>
    </row>
    <row r="245" spans="1:26" outlineLevel="1" x14ac:dyDescent="0.25">
      <c r="A245" s="39" t="str">
        <f t="shared" si="231"/>
        <v>SANY SET240S</v>
      </c>
      <c r="B245" s="39"/>
      <c r="D245" s="101" t="str">
        <f t="shared" si="392"/>
        <v>Топливо</v>
      </c>
      <c r="E245" s="9" t="str">
        <f t="shared" si="392"/>
        <v>тыс. руб.</v>
      </c>
      <c r="F245" s="74">
        <f t="shared" si="392"/>
        <v>0</v>
      </c>
      <c r="G245" s="74">
        <f t="shared" si="393"/>
        <v>58762.595277096763</v>
      </c>
      <c r="H245" s="74">
        <f t="shared" si="374"/>
        <v>111124.05693847925</v>
      </c>
      <c r="I245" s="74">
        <f t="shared" si="374"/>
        <v>158864.37650601036</v>
      </c>
      <c r="J245" s="74">
        <f t="shared" si="375"/>
        <v>202903.25736676829</v>
      </c>
      <c r="K245" s="74">
        <f t="shared" si="376"/>
        <v>241985.4854195345</v>
      </c>
      <c r="L245" s="74">
        <f t="shared" si="377"/>
        <v>280050.9372046268</v>
      </c>
      <c r="M245" s="74">
        <f t="shared" si="378"/>
        <v>311123.57932659617</v>
      </c>
      <c r="N245" s="74">
        <f t="shared" si="379"/>
        <v>340257.00748403714</v>
      </c>
      <c r="O245" s="74">
        <f t="shared" si="380"/>
        <v>365783.81691336015</v>
      </c>
      <c r="P245" s="74">
        <f t="shared" si="381"/>
        <v>388886.5356589015</v>
      </c>
      <c r="Q245" s="74">
        <f t="shared" si="382"/>
        <v>408939.04435865459</v>
      </c>
      <c r="R245" s="74">
        <f t="shared" si="383"/>
        <v>427821.5671885414</v>
      </c>
      <c r="S245" s="74">
        <f t="shared" si="384"/>
        <v>427821.5671885414</v>
      </c>
      <c r="T245" s="74">
        <f t="shared" si="385"/>
        <v>427821.5671885414</v>
      </c>
      <c r="U245" s="74">
        <f t="shared" si="386"/>
        <v>427821.5671885414</v>
      </c>
      <c r="V245" s="74">
        <f t="shared" si="387"/>
        <v>427821.5671885414</v>
      </c>
      <c r="W245" s="74">
        <f t="shared" si="388"/>
        <v>427821.5671885414</v>
      </c>
      <c r="X245" s="74">
        <f t="shared" si="389"/>
        <v>427821.5671885414</v>
      </c>
      <c r="Y245" s="74">
        <f t="shared" si="390"/>
        <v>427821.5671885414</v>
      </c>
      <c r="Z245" s="74">
        <f t="shared" si="391"/>
        <v>427821.5671885414</v>
      </c>
    </row>
    <row r="246" spans="1:26" outlineLevel="1" x14ac:dyDescent="0.25">
      <c r="A246" s="39" t="str">
        <f t="shared" si="231"/>
        <v>SANY SET240S</v>
      </c>
      <c r="B246" s="39"/>
      <c r="D246" s="101" t="str">
        <f t="shared" si="392"/>
        <v>Смазочные</v>
      </c>
      <c r="E246" s="9" t="str">
        <f t="shared" si="392"/>
        <v>тыс. руб.</v>
      </c>
      <c r="F246" s="74">
        <f t="shared" si="392"/>
        <v>0</v>
      </c>
      <c r="G246" s="74">
        <f t="shared" si="393"/>
        <v>0</v>
      </c>
      <c r="H246" s="74">
        <f t="shared" si="374"/>
        <v>0</v>
      </c>
      <c r="I246" s="74">
        <f t="shared" si="374"/>
        <v>0</v>
      </c>
      <c r="J246" s="74">
        <f t="shared" si="375"/>
        <v>0</v>
      </c>
      <c r="K246" s="74">
        <f t="shared" si="376"/>
        <v>0</v>
      </c>
      <c r="L246" s="74">
        <f t="shared" si="377"/>
        <v>0</v>
      </c>
      <c r="M246" s="74">
        <f t="shared" si="378"/>
        <v>0</v>
      </c>
      <c r="N246" s="74">
        <f t="shared" si="379"/>
        <v>0</v>
      </c>
      <c r="O246" s="74">
        <f t="shared" si="380"/>
        <v>0</v>
      </c>
      <c r="P246" s="74">
        <f t="shared" si="381"/>
        <v>0</v>
      </c>
      <c r="Q246" s="74">
        <f t="shared" si="382"/>
        <v>0</v>
      </c>
      <c r="R246" s="74">
        <f t="shared" si="383"/>
        <v>0</v>
      </c>
      <c r="S246" s="74">
        <f t="shared" si="384"/>
        <v>0</v>
      </c>
      <c r="T246" s="74">
        <f t="shared" si="385"/>
        <v>0</v>
      </c>
      <c r="U246" s="74">
        <f t="shared" si="386"/>
        <v>0</v>
      </c>
      <c r="V246" s="74">
        <f t="shared" si="387"/>
        <v>0</v>
      </c>
      <c r="W246" s="74">
        <f t="shared" si="388"/>
        <v>0</v>
      </c>
      <c r="X246" s="74">
        <f t="shared" si="389"/>
        <v>0</v>
      </c>
      <c r="Y246" s="74">
        <f t="shared" si="390"/>
        <v>0</v>
      </c>
      <c r="Z246" s="74">
        <f t="shared" si="391"/>
        <v>0</v>
      </c>
    </row>
    <row r="247" spans="1:26" outlineLevel="1" x14ac:dyDescent="0.25">
      <c r="A247" s="39" t="str">
        <f t="shared" si="231"/>
        <v>SANY SET240S</v>
      </c>
      <c r="B247" s="39"/>
      <c r="D247" s="101" t="str">
        <f t="shared" si="392"/>
        <v>Затраты на персонал</v>
      </c>
      <c r="E247" s="9" t="str">
        <f t="shared" si="392"/>
        <v>тыс. руб.</v>
      </c>
      <c r="F247" s="74">
        <f t="shared" si="392"/>
        <v>0</v>
      </c>
      <c r="G247" s="74">
        <f t="shared" si="393"/>
        <v>16496.068072019727</v>
      </c>
      <c r="H247" s="74">
        <f t="shared" si="374"/>
        <v>31224.700279180193</v>
      </c>
      <c r="I247" s="74">
        <f t="shared" si="374"/>
        <v>44375.264749859183</v>
      </c>
      <c r="J247" s="74">
        <f t="shared" si="375"/>
        <v>56116.840170108277</v>
      </c>
      <c r="K247" s="74">
        <f t="shared" si="376"/>
        <v>66600.389652473546</v>
      </c>
      <c r="L247" s="74">
        <f t="shared" si="377"/>
        <v>75960.701690299669</v>
      </c>
      <c r="M247" s="74">
        <f t="shared" si="378"/>
        <v>84318.123152644432</v>
      </c>
      <c r="N247" s="74">
        <f t="shared" si="379"/>
        <v>91780.106601166539</v>
      </c>
      <c r="O247" s="74">
        <f t="shared" si="380"/>
        <v>98442.591823061273</v>
      </c>
      <c r="P247" s="74">
        <f t="shared" si="381"/>
        <v>104391.23934261015</v>
      </c>
      <c r="Q247" s="74">
        <f t="shared" si="382"/>
        <v>109702.53177077878</v>
      </c>
      <c r="R247" s="74">
        <f t="shared" si="383"/>
        <v>114444.75715307221</v>
      </c>
      <c r="S247" s="74">
        <f t="shared" si="384"/>
        <v>114444.75715307221</v>
      </c>
      <c r="T247" s="74">
        <f t="shared" si="385"/>
        <v>114444.75715307221</v>
      </c>
      <c r="U247" s="74">
        <f t="shared" si="386"/>
        <v>114444.75715307221</v>
      </c>
      <c r="V247" s="74">
        <f t="shared" si="387"/>
        <v>114444.75715307221</v>
      </c>
      <c r="W247" s="74">
        <f t="shared" si="388"/>
        <v>114444.75715307221</v>
      </c>
      <c r="X247" s="74">
        <f t="shared" si="389"/>
        <v>114444.75715307221</v>
      </c>
      <c r="Y247" s="74">
        <f t="shared" si="390"/>
        <v>114444.75715307221</v>
      </c>
      <c r="Z247" s="74">
        <f t="shared" si="391"/>
        <v>114444.75715307221</v>
      </c>
    </row>
    <row r="248" spans="1:26" outlineLevel="1" x14ac:dyDescent="0.25">
      <c r="A248" s="39" t="str">
        <f t="shared" si="231"/>
        <v>SANY SET240S</v>
      </c>
      <c r="B248" s="39"/>
      <c r="D248" s="101" t="str">
        <f t="shared" si="392"/>
        <v>Транспортный налог</v>
      </c>
      <c r="E248" s="9" t="str">
        <f t="shared" si="392"/>
        <v>тыс. руб.</v>
      </c>
      <c r="F248" s="74">
        <f t="shared" si="392"/>
        <v>0</v>
      </c>
      <c r="G248" s="74">
        <f t="shared" si="393"/>
        <v>215.76339285714283</v>
      </c>
      <c r="H248" s="74">
        <f t="shared" si="374"/>
        <v>408.40927933673458</v>
      </c>
      <c r="I248" s="74">
        <f t="shared" si="374"/>
        <v>580.41453512208443</v>
      </c>
      <c r="J248" s="74">
        <f t="shared" si="375"/>
        <v>733.99065635900388</v>
      </c>
      <c r="K248" s="74">
        <f t="shared" si="376"/>
        <v>871.112193177682</v>
      </c>
      <c r="L248" s="74">
        <f t="shared" si="377"/>
        <v>993.5421367657874</v>
      </c>
      <c r="M248" s="74">
        <f t="shared" si="378"/>
        <v>1102.8545863980244</v>
      </c>
      <c r="N248" s="74">
        <f t="shared" si="379"/>
        <v>1200.4549878553787</v>
      </c>
      <c r="O248" s="74">
        <f t="shared" si="380"/>
        <v>1287.5982034423023</v>
      </c>
      <c r="P248" s="74">
        <f t="shared" si="381"/>
        <v>1365.4046459306269</v>
      </c>
      <c r="Q248" s="74">
        <f t="shared" si="382"/>
        <v>1434.8746838666311</v>
      </c>
      <c r="R248" s="74">
        <f t="shared" si="383"/>
        <v>1496.9015034523491</v>
      </c>
      <c r="S248" s="74">
        <f t="shared" si="384"/>
        <v>1496.9015034523491</v>
      </c>
      <c r="T248" s="74">
        <f t="shared" si="385"/>
        <v>1496.9015034523491</v>
      </c>
      <c r="U248" s="74">
        <f t="shared" si="386"/>
        <v>1496.9015034523491</v>
      </c>
      <c r="V248" s="74">
        <f t="shared" si="387"/>
        <v>1496.9015034523491</v>
      </c>
      <c r="W248" s="74">
        <f t="shared" si="388"/>
        <v>1496.9015034523491</v>
      </c>
      <c r="X248" s="74">
        <f t="shared" si="389"/>
        <v>1496.9015034523491</v>
      </c>
      <c r="Y248" s="74">
        <f t="shared" si="390"/>
        <v>1496.9015034523491</v>
      </c>
      <c r="Z248" s="74">
        <f t="shared" si="391"/>
        <v>1496.9015034523491</v>
      </c>
    </row>
    <row r="249" spans="1:26" outlineLevel="1" x14ac:dyDescent="0.25">
      <c r="A249" s="39" t="str">
        <f t="shared" si="231"/>
        <v>SANY SET240S</v>
      </c>
      <c r="B249" s="39"/>
      <c r="D249" s="101" t="str">
        <f t="shared" si="392"/>
        <v>Налог на прибыль</v>
      </c>
      <c r="E249" s="9" t="str">
        <f t="shared" si="392"/>
        <v>тыс. руб.</v>
      </c>
      <c r="F249" s="74">
        <f t="shared" si="392"/>
        <v>0</v>
      </c>
      <c r="G249" s="74">
        <f t="shared" si="393"/>
        <v>-26911.969640371299</v>
      </c>
      <c r="H249" s="74">
        <f t="shared" si="374"/>
        <v>-52327.930648843816</v>
      </c>
      <c r="I249" s="74">
        <f t="shared" si="374"/>
        <v>-81827.058731887519</v>
      </c>
      <c r="J249" s="74">
        <f t="shared" si="375"/>
        <v>-104268.6967995227</v>
      </c>
      <c r="K249" s="74">
        <f t="shared" si="376"/>
        <v>-133147.90579076539</v>
      </c>
      <c r="L249" s="74">
        <f t="shared" si="377"/>
        <v>-157234.59383535161</v>
      </c>
      <c r="M249" s="74">
        <f t="shared" si="378"/>
        <v>-172713.89753391925</v>
      </c>
      <c r="N249" s="74">
        <f t="shared" si="379"/>
        <v>-187020.04274355248</v>
      </c>
      <c r="O249" s="74">
        <f t="shared" si="380"/>
        <v>-208789.60429577189</v>
      </c>
      <c r="P249" s="74">
        <f t="shared" si="381"/>
        <v>-219600.8681949201</v>
      </c>
      <c r="Q249" s="74">
        <f t="shared" si="382"/>
        <v>-229483.61151115585</v>
      </c>
      <c r="R249" s="74">
        <f t="shared" si="383"/>
        <v>-238784.72826323437</v>
      </c>
      <c r="S249" s="74">
        <f t="shared" si="384"/>
        <v>-238784.72826323437</v>
      </c>
      <c r="T249" s="74">
        <f t="shared" si="385"/>
        <v>-238784.72826323437</v>
      </c>
      <c r="U249" s="74">
        <f t="shared" si="386"/>
        <v>-238784.72826323437</v>
      </c>
      <c r="V249" s="74">
        <f t="shared" si="387"/>
        <v>-238784.72826323437</v>
      </c>
      <c r="W249" s="74">
        <f t="shared" si="388"/>
        <v>-238784.72826323437</v>
      </c>
      <c r="X249" s="74">
        <f t="shared" si="389"/>
        <v>-238784.72826323437</v>
      </c>
      <c r="Y249" s="74">
        <f t="shared" si="390"/>
        <v>-238784.72826323437</v>
      </c>
      <c r="Z249" s="74">
        <f t="shared" si="391"/>
        <v>-238784.72826323437</v>
      </c>
    </row>
    <row r="250" spans="1:26" outlineLevel="1" x14ac:dyDescent="0.25">
      <c r="A250" s="39" t="str">
        <f t="shared" si="231"/>
        <v>SANY SET240S</v>
      </c>
      <c r="B250" s="39"/>
      <c r="D250" s="101"/>
      <c r="E250" s="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outlineLevel="1" x14ac:dyDescent="0.25">
      <c r="A251" s="39" t="str">
        <f t="shared" si="231"/>
        <v>SANY SET240S</v>
      </c>
      <c r="B251" s="39"/>
      <c r="D251" s="67" t="s">
        <v>90</v>
      </c>
      <c r="E251" s="68" t="str">
        <f>E232</f>
        <v>тыс. руб.</v>
      </c>
      <c r="F251" s="69">
        <f>F229*'ФОТ, МТР, макро'!AJ$13</f>
        <v>0</v>
      </c>
      <c r="G251" s="69">
        <f>G229*'ФОТ, МТР, макро'!AK$13</f>
        <v>0</v>
      </c>
      <c r="H251" s="69">
        <f>H229*'ФОТ, МТР, макро'!AL$13</f>
        <v>0</v>
      </c>
      <c r="I251" s="69">
        <f>I229*'ФОТ, МТР, макро'!AM$13</f>
        <v>0</v>
      </c>
      <c r="J251" s="69">
        <f>J229*'ФОТ, МТР, макро'!AN$13</f>
        <v>0</v>
      </c>
      <c r="K251" s="69">
        <f>K229*'ФОТ, МТР, макро'!AO$13</f>
        <v>0</v>
      </c>
      <c r="L251" s="69">
        <f>L229*'ФОТ, МТР, макро'!AP$13</f>
        <v>0</v>
      </c>
      <c r="M251" s="69">
        <f>M229*'ФОТ, МТР, макро'!AQ$13</f>
        <v>0</v>
      </c>
      <c r="N251" s="69">
        <f>N229*'ФОТ, МТР, макро'!AR$13</f>
        <v>0</v>
      </c>
      <c r="O251" s="69">
        <f>O229*'ФОТ, МТР, макро'!AS$13</f>
        <v>0</v>
      </c>
      <c r="P251" s="69">
        <f>P229*'ФОТ, МТР, макро'!AT$13</f>
        <v>0</v>
      </c>
      <c r="Q251" s="69">
        <f>Q229*'ФОТ, МТР, макро'!AU$13</f>
        <v>0</v>
      </c>
      <c r="R251" s="69">
        <f>R229*'ФОТ, МТР, макро'!AV$13</f>
        <v>0</v>
      </c>
      <c r="S251" s="69">
        <f>S229*'ФОТ, МТР, макро'!AW$13</f>
        <v>0</v>
      </c>
      <c r="T251" s="69">
        <f>T229*'ФОТ, МТР, макро'!AX$13</f>
        <v>0</v>
      </c>
      <c r="U251" s="69">
        <f>U229*'ФОТ, МТР, макро'!AY$13</f>
        <v>0</v>
      </c>
      <c r="V251" s="69">
        <f>V229*'ФОТ, МТР, макро'!AZ$13</f>
        <v>0</v>
      </c>
      <c r="W251" s="69">
        <f>W229*'ФОТ, МТР, макро'!BA$13</f>
        <v>0</v>
      </c>
      <c r="X251" s="69">
        <f>X229*'ФОТ, МТР, макро'!BB$13</f>
        <v>0</v>
      </c>
      <c r="Y251" s="69">
        <f>Y229*'ФОТ, МТР, макро'!BC$13</f>
        <v>0</v>
      </c>
      <c r="Z251" s="69">
        <f>Z229*'ФОТ, МТР, макро'!BD$13</f>
        <v>0</v>
      </c>
    </row>
    <row r="252" spans="1:26" outlineLevel="1" x14ac:dyDescent="0.25">
      <c r="A252" s="39" t="str">
        <f t="shared" si="231"/>
        <v>SANY SET240S</v>
      </c>
      <c r="B252" s="39"/>
      <c r="D252" s="101" t="str">
        <f>D230</f>
        <v>Самосвал</v>
      </c>
      <c r="E252" s="9" t="str">
        <f>E251</f>
        <v>тыс. руб.</v>
      </c>
      <c r="F252" s="74">
        <f>F230*'ФОТ, МТР, макро'!AJ$13</f>
        <v>0</v>
      </c>
      <c r="G252" s="74">
        <f>G230*'ФОТ, МТР, макро'!AK$13</f>
        <v>0</v>
      </c>
      <c r="H252" s="74">
        <f>H230*'ФОТ, МТР, макро'!AL$13</f>
        <v>0</v>
      </c>
      <c r="I252" s="74">
        <f>I230*'ФОТ, МТР, макро'!AM$13</f>
        <v>0</v>
      </c>
      <c r="J252" s="74">
        <f>J230*'ФОТ, МТР, макро'!AN$13</f>
        <v>0</v>
      </c>
      <c r="K252" s="74">
        <f>K230*'ФОТ, МТР, макро'!AO$13</f>
        <v>0</v>
      </c>
      <c r="L252" s="74">
        <f>L230*'ФОТ, МТР, макро'!AP$13</f>
        <v>0</v>
      </c>
      <c r="M252" s="74">
        <f>M230*'ФОТ, МТР, макро'!AQ$13</f>
        <v>0</v>
      </c>
      <c r="N252" s="74">
        <f>N230*'ФОТ, МТР, макро'!AR$13</f>
        <v>0</v>
      </c>
      <c r="O252" s="74">
        <f>O230*'ФОТ, МТР, макро'!AS$13</f>
        <v>0</v>
      </c>
      <c r="P252" s="74">
        <f>P230*'ФОТ, МТР, макро'!AT$13</f>
        <v>0</v>
      </c>
      <c r="Q252" s="74">
        <f>Q230*'ФОТ, МТР, макро'!AU$13</f>
        <v>0</v>
      </c>
      <c r="R252" s="74">
        <f>R230*'ФОТ, МТР, макро'!AV$13</f>
        <v>0</v>
      </c>
      <c r="S252" s="74">
        <f>S230*'ФОТ, МТР, макро'!AW$13</f>
        <v>0</v>
      </c>
      <c r="T252" s="74">
        <f>T230*'ФОТ, МТР, макро'!AX$13</f>
        <v>0</v>
      </c>
      <c r="U252" s="74">
        <f>U230*'ФОТ, МТР, макро'!AY$13</f>
        <v>0</v>
      </c>
      <c r="V252" s="74">
        <f>V230*'ФОТ, МТР, макро'!AZ$13</f>
        <v>0</v>
      </c>
      <c r="W252" s="74">
        <f>W230*'ФОТ, МТР, макро'!BA$13</f>
        <v>0</v>
      </c>
      <c r="X252" s="74">
        <f>X230*'ФОТ, МТР, макро'!BB$13</f>
        <v>0</v>
      </c>
      <c r="Y252" s="74">
        <f>Y230*'ФОТ, МТР, макро'!BC$13</f>
        <v>0</v>
      </c>
      <c r="Z252" s="74">
        <f>Z230*'ФОТ, МТР, макро'!BD$13</f>
        <v>0</v>
      </c>
    </row>
    <row r="253" spans="1:26" outlineLevel="1" x14ac:dyDescent="0.25">
      <c r="A253" s="39" t="str">
        <f t="shared" si="231"/>
        <v>SANY SET240S</v>
      </c>
      <c r="B253" s="39"/>
      <c r="D253" s="104" t="s">
        <v>88</v>
      </c>
      <c r="E253" s="9"/>
      <c r="F253" s="106">
        <f>F251-F252</f>
        <v>0</v>
      </c>
      <c r="G253" s="106">
        <f t="shared" ref="G253:I253" si="394">G251-G252</f>
        <v>0</v>
      </c>
      <c r="H253" s="106">
        <f t="shared" si="394"/>
        <v>0</v>
      </c>
      <c r="I253" s="106">
        <f t="shared" si="394"/>
        <v>0</v>
      </c>
      <c r="J253" s="106">
        <f t="shared" ref="J253:Z253" si="395">J251-J252</f>
        <v>0</v>
      </c>
      <c r="K253" s="106">
        <f t="shared" si="395"/>
        <v>0</v>
      </c>
      <c r="L253" s="106">
        <f t="shared" si="395"/>
        <v>0</v>
      </c>
      <c r="M253" s="106">
        <f t="shared" si="395"/>
        <v>0</v>
      </c>
      <c r="N253" s="106">
        <f t="shared" si="395"/>
        <v>0</v>
      </c>
      <c r="O253" s="106">
        <f t="shared" si="395"/>
        <v>0</v>
      </c>
      <c r="P253" s="106">
        <f t="shared" si="395"/>
        <v>0</v>
      </c>
      <c r="Q253" s="106">
        <f t="shared" si="395"/>
        <v>0</v>
      </c>
      <c r="R253" s="106">
        <f t="shared" si="395"/>
        <v>0</v>
      </c>
      <c r="S253" s="106">
        <f t="shared" si="395"/>
        <v>0</v>
      </c>
      <c r="T253" s="106">
        <f t="shared" si="395"/>
        <v>0</v>
      </c>
      <c r="U253" s="106">
        <f t="shared" si="395"/>
        <v>0</v>
      </c>
      <c r="V253" s="106">
        <f t="shared" si="395"/>
        <v>0</v>
      </c>
      <c r="W253" s="106">
        <f t="shared" si="395"/>
        <v>0</v>
      </c>
      <c r="X253" s="106">
        <f t="shared" si="395"/>
        <v>0</v>
      </c>
      <c r="Y253" s="106">
        <f t="shared" si="395"/>
        <v>0</v>
      </c>
      <c r="Z253" s="106">
        <f t="shared" si="395"/>
        <v>0</v>
      </c>
    </row>
    <row r="254" spans="1:26" outlineLevel="1" x14ac:dyDescent="0.25">
      <c r="A254" s="39" t="str">
        <f t="shared" si="231"/>
        <v>SANY SET240S</v>
      </c>
      <c r="B254" s="39"/>
      <c r="D254" s="107" t="s">
        <v>91</v>
      </c>
      <c r="E254" s="68" t="str">
        <f>E251</f>
        <v>тыс. руб.</v>
      </c>
      <c r="F254" s="69">
        <f>F251</f>
        <v>0</v>
      </c>
      <c r="G254" s="69">
        <f>F254+G251</f>
        <v>0</v>
      </c>
      <c r="H254" s="69">
        <f t="shared" ref="H254:I255" si="396">G254+H251</f>
        <v>0</v>
      </c>
      <c r="I254" s="69">
        <f t="shared" si="396"/>
        <v>0</v>
      </c>
      <c r="J254" s="69">
        <f t="shared" ref="J254:J255" si="397">I254+J251</f>
        <v>0</v>
      </c>
      <c r="K254" s="69">
        <f t="shared" ref="K254:K255" si="398">J254+K251</f>
        <v>0</v>
      </c>
      <c r="L254" s="69">
        <f t="shared" ref="L254:L255" si="399">K254+L251</f>
        <v>0</v>
      </c>
      <c r="M254" s="69">
        <f t="shared" ref="M254:M255" si="400">L254+M251</f>
        <v>0</v>
      </c>
      <c r="N254" s="69">
        <f t="shared" ref="N254:N255" si="401">M254+N251</f>
        <v>0</v>
      </c>
      <c r="O254" s="69">
        <f t="shared" ref="O254:O255" si="402">N254+O251</f>
        <v>0</v>
      </c>
      <c r="P254" s="69">
        <f t="shared" ref="P254:P255" si="403">O254+P251</f>
        <v>0</v>
      </c>
      <c r="Q254" s="69">
        <f t="shared" ref="Q254:Q255" si="404">P254+Q251</f>
        <v>0</v>
      </c>
      <c r="R254" s="69">
        <f t="shared" ref="R254:R255" si="405">Q254+R251</f>
        <v>0</v>
      </c>
      <c r="S254" s="69">
        <f t="shared" ref="S254:S255" si="406">R254+S251</f>
        <v>0</v>
      </c>
      <c r="T254" s="69">
        <f t="shared" ref="T254:T255" si="407">S254+T251</f>
        <v>0</v>
      </c>
      <c r="U254" s="69">
        <f t="shared" ref="U254:U255" si="408">T254+U251</f>
        <v>0</v>
      </c>
      <c r="V254" s="69">
        <f t="shared" ref="V254:V255" si="409">U254+V251</f>
        <v>0</v>
      </c>
      <c r="W254" s="69">
        <f t="shared" ref="W254:W255" si="410">V254+W251</f>
        <v>0</v>
      </c>
      <c r="X254" s="69">
        <f t="shared" ref="X254:X255" si="411">W254+X251</f>
        <v>0</v>
      </c>
      <c r="Y254" s="69">
        <f t="shared" ref="Y254:Y255" si="412">X254+Y251</f>
        <v>0</v>
      </c>
      <c r="Z254" s="69">
        <f t="shared" ref="Z254:Z255" si="413">Y254+Z251</f>
        <v>0</v>
      </c>
    </row>
    <row r="255" spans="1:26" outlineLevel="1" x14ac:dyDescent="0.25">
      <c r="A255" s="39" t="str">
        <f t="shared" si="231"/>
        <v>SANY SET240S</v>
      </c>
      <c r="B255" s="39"/>
      <c r="D255" s="101" t="str">
        <f>D252</f>
        <v>Самосвал</v>
      </c>
      <c r="E255" s="9" t="str">
        <f>E252</f>
        <v>тыс. руб.</v>
      </c>
      <c r="F255" s="74">
        <f>F252</f>
        <v>0</v>
      </c>
      <c r="G255" s="74">
        <f>F255+G252</f>
        <v>0</v>
      </c>
      <c r="H255" s="74">
        <f t="shared" si="396"/>
        <v>0</v>
      </c>
      <c r="I255" s="74">
        <f t="shared" si="396"/>
        <v>0</v>
      </c>
      <c r="J255" s="74">
        <f t="shared" si="397"/>
        <v>0</v>
      </c>
      <c r="K255" s="74">
        <f t="shared" si="398"/>
        <v>0</v>
      </c>
      <c r="L255" s="74">
        <f t="shared" si="399"/>
        <v>0</v>
      </c>
      <c r="M255" s="74">
        <f t="shared" si="400"/>
        <v>0</v>
      </c>
      <c r="N255" s="74">
        <f t="shared" si="401"/>
        <v>0</v>
      </c>
      <c r="O255" s="74">
        <f t="shared" si="402"/>
        <v>0</v>
      </c>
      <c r="P255" s="74">
        <f t="shared" si="403"/>
        <v>0</v>
      </c>
      <c r="Q255" s="74">
        <f t="shared" si="404"/>
        <v>0</v>
      </c>
      <c r="R255" s="74">
        <f t="shared" si="405"/>
        <v>0</v>
      </c>
      <c r="S255" s="74">
        <f t="shared" si="406"/>
        <v>0</v>
      </c>
      <c r="T255" s="74">
        <f t="shared" si="407"/>
        <v>0</v>
      </c>
      <c r="U255" s="74">
        <f t="shared" si="408"/>
        <v>0</v>
      </c>
      <c r="V255" s="74">
        <f t="shared" si="409"/>
        <v>0</v>
      </c>
      <c r="W255" s="74">
        <f t="shared" si="410"/>
        <v>0</v>
      </c>
      <c r="X255" s="74">
        <f t="shared" si="411"/>
        <v>0</v>
      </c>
      <c r="Y255" s="74">
        <f t="shared" si="412"/>
        <v>0</v>
      </c>
      <c r="Z255" s="74">
        <f t="shared" si="413"/>
        <v>0</v>
      </c>
    </row>
    <row r="256" spans="1:26" outlineLevel="1" x14ac:dyDescent="0.25">
      <c r="A256" s="39" t="str">
        <f t="shared" si="231"/>
        <v>SANY SET240S</v>
      </c>
      <c r="B256" s="39"/>
      <c r="D256" s="101"/>
      <c r="E256" s="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9" outlineLevel="1" x14ac:dyDescent="0.25">
      <c r="A257" s="39" t="str">
        <f t="shared" si="231"/>
        <v>SANY SET240S</v>
      </c>
      <c r="B257" s="39"/>
      <c r="D257" s="67" t="s">
        <v>92</v>
      </c>
      <c r="E257" s="68" t="str">
        <f>E232</f>
        <v>тыс. руб.</v>
      </c>
      <c r="F257" s="69">
        <f>F232*'ФОТ, МТР, макро'!AJ$13</f>
        <v>0</v>
      </c>
      <c r="G257" s="69">
        <f>G232*'ФОТ, МТР, макро'!AK$13</f>
        <v>80735.908921113893</v>
      </c>
      <c r="H257" s="69">
        <f>H232*'ФОТ, МТР, макро'!AL$13</f>
        <v>76247.883025417555</v>
      </c>
      <c r="I257" s="69">
        <f>I232*'ФОТ, МТР, макро'!AM$13</f>
        <v>88497.384249131093</v>
      </c>
      <c r="J257" s="69">
        <f>J232*'ФОТ, МТР, макро'!AN$13</f>
        <v>67324.914202905537</v>
      </c>
      <c r="K257" s="69">
        <f>K232*'ФОТ, МТР, макро'!AO$13</f>
        <v>86637.626973728038</v>
      </c>
      <c r="L257" s="69">
        <f>L232*'ФОТ, МТР, макро'!AP$13</f>
        <v>72260.064133758657</v>
      </c>
      <c r="M257" s="69">
        <f>M232*'ФОТ, МТР, макро'!AQ$13</f>
        <v>46437.911095702955</v>
      </c>
      <c r="N257" s="69">
        <f>N232*'ФОТ, МТР, макро'!AR$13</f>
        <v>42918.43562889965</v>
      </c>
      <c r="O257" s="69">
        <f>O232*'ФОТ, МТР, макро'!AS$13</f>
        <v>65308.684656658224</v>
      </c>
      <c r="P257" s="69">
        <f>P232*'ФОТ, МТР, макро'!AT$13</f>
        <v>32433.791697444642</v>
      </c>
      <c r="Q257" s="69">
        <f>Q232*'ФОТ, МТР, макро'!AU$13</f>
        <v>29648.229948707285</v>
      </c>
      <c r="R257" s="69">
        <f>R232*'ФОТ, МТР, макро'!AV$13</f>
        <v>27903.350256235597</v>
      </c>
      <c r="S257" s="69">
        <f>S232*'ФОТ, МТР, макро'!AW$13</f>
        <v>0</v>
      </c>
      <c r="T257" s="69">
        <f>T232*'ФОТ, МТР, макро'!AX$13</f>
        <v>0</v>
      </c>
      <c r="U257" s="69">
        <f>U232*'ФОТ, МТР, макро'!AY$13</f>
        <v>0</v>
      </c>
      <c r="V257" s="69">
        <f>V232*'ФОТ, МТР, макро'!AZ$13</f>
        <v>0</v>
      </c>
      <c r="W257" s="69">
        <f>W232*'ФОТ, МТР, макро'!BA$13</f>
        <v>0</v>
      </c>
      <c r="X257" s="69">
        <f>X232*'ФОТ, МТР, макро'!BB$13</f>
        <v>0</v>
      </c>
      <c r="Y257" s="69">
        <f>Y232*'ФОТ, МТР, макро'!BC$13</f>
        <v>0</v>
      </c>
      <c r="Z257" s="69">
        <f>Z232*'ФОТ, МТР, макро'!BD$13</f>
        <v>0</v>
      </c>
    </row>
    <row r="258" spans="1:29" outlineLevel="1" x14ac:dyDescent="0.25">
      <c r="A258" s="39" t="str">
        <f t="shared" si="231"/>
        <v>SANY SET240S</v>
      </c>
      <c r="B258" s="39"/>
      <c r="D258" s="107" t="s">
        <v>93</v>
      </c>
      <c r="E258" s="68" t="str">
        <f>E257</f>
        <v>тыс. руб.</v>
      </c>
      <c r="F258" s="69">
        <f>F257</f>
        <v>0</v>
      </c>
      <c r="G258" s="69">
        <f>F258+G257</f>
        <v>80735.908921113893</v>
      </c>
      <c r="H258" s="69">
        <f t="shared" ref="H258:I258" si="414">G258+H257</f>
        <v>156983.79194653145</v>
      </c>
      <c r="I258" s="69">
        <f t="shared" si="414"/>
        <v>245481.17619566253</v>
      </c>
      <c r="J258" s="69">
        <f t="shared" ref="J258" si="415">I258+J257</f>
        <v>312806.09039856808</v>
      </c>
      <c r="K258" s="69">
        <f t="shared" ref="K258" si="416">J258+K257</f>
        <v>399443.71737229615</v>
      </c>
      <c r="L258" s="69">
        <f t="shared" ref="L258" si="417">K258+L257</f>
        <v>471703.7815060548</v>
      </c>
      <c r="M258" s="69">
        <f t="shared" ref="M258" si="418">L258+M257</f>
        <v>518141.69260175776</v>
      </c>
      <c r="N258" s="69">
        <f t="shared" ref="N258" si="419">M258+N257</f>
        <v>561060.12823065743</v>
      </c>
      <c r="O258" s="69">
        <f t="shared" ref="O258" si="420">N258+O257</f>
        <v>626368.81288731564</v>
      </c>
      <c r="P258" s="69">
        <f t="shared" ref="P258" si="421">O258+P257</f>
        <v>658802.60458476027</v>
      </c>
      <c r="Q258" s="69">
        <f t="shared" ref="Q258" si="422">P258+Q257</f>
        <v>688450.83453346754</v>
      </c>
      <c r="R258" s="69">
        <f t="shared" ref="R258" si="423">Q258+R257</f>
        <v>716354.18478970311</v>
      </c>
      <c r="S258" s="69">
        <f t="shared" ref="S258" si="424">R258+S257</f>
        <v>716354.18478970311</v>
      </c>
      <c r="T258" s="69">
        <f t="shared" ref="T258" si="425">S258+T257</f>
        <v>716354.18478970311</v>
      </c>
      <c r="U258" s="69">
        <f t="shared" ref="U258" si="426">T258+U257</f>
        <v>716354.18478970311</v>
      </c>
      <c r="V258" s="69">
        <f t="shared" ref="V258" si="427">U258+V257</f>
        <v>716354.18478970311</v>
      </c>
      <c r="W258" s="69">
        <f t="shared" ref="W258" si="428">V258+W257</f>
        <v>716354.18478970311</v>
      </c>
      <c r="X258" s="69">
        <f t="shared" ref="X258" si="429">W258+X257</f>
        <v>716354.18478970311</v>
      </c>
      <c r="Y258" s="69">
        <f t="shared" ref="Y258" si="430">X258+Y257</f>
        <v>716354.18478970311</v>
      </c>
      <c r="Z258" s="69">
        <f t="shared" ref="Z258" si="431">Y258+Z257</f>
        <v>716354.18478970311</v>
      </c>
    </row>
    <row r="259" spans="1:29" outlineLevel="1" x14ac:dyDescent="0.25">
      <c r="A259" s="39" t="str">
        <f t="shared" ref="A259:A281" si="432">A258</f>
        <v>SANY SET240S</v>
      </c>
      <c r="B259" s="39"/>
      <c r="D259" s="101"/>
      <c r="E259" s="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9" outlineLevel="1" x14ac:dyDescent="0.25">
      <c r="A260" s="39" t="str">
        <f t="shared" si="432"/>
        <v>SANY SET240S</v>
      </c>
      <c r="B260" s="39" t="str">
        <f>D260</f>
        <v>Аннуитет операционный</v>
      </c>
      <c r="C260" s="61">
        <f>E191</f>
        <v>12</v>
      </c>
      <c r="D260" s="108" t="s">
        <v>94</v>
      </c>
      <c r="E260" s="109" t="s">
        <v>95</v>
      </c>
      <c r="F260" s="110"/>
      <c r="G260" s="111">
        <f>G242/'ФОТ, МТР, макро'!AK$14/(G198/G193)</f>
        <v>8.1635055448117608</v>
      </c>
      <c r="H260" s="111">
        <f>H242/'ФОТ, МТР, макро'!AL$14/(H198/H193)</f>
        <v>8.3942578195262154</v>
      </c>
      <c r="I260" s="111">
        <f>I242/'ФОТ, МТР, макро'!AM$14/(I198/I193)</f>
        <v>9.1748408009563054</v>
      </c>
      <c r="J260" s="111">
        <f>J242/'ФОТ, МТР, макро'!AN$14/(J198/J193)</f>
        <v>9.1377002554481717</v>
      </c>
      <c r="K260" s="111">
        <f>K242/'ФОТ, МТР, макро'!AO$14/(K198/K193)</f>
        <v>9.7760431471522313</v>
      </c>
      <c r="L260" s="111">
        <f>L242/'ФОТ, МТР, макро'!AP$14/(L198/L193)</f>
        <v>9.9306081715793901</v>
      </c>
      <c r="M260" s="111">
        <f>M242/'ФОТ, МТР, макро'!AQ$14/(M198/M193)</f>
        <v>9.8261087276235699</v>
      </c>
      <c r="N260" s="111">
        <f>N242/'ФОТ, МТР, макро'!AR$14/(N198/N193)</f>
        <v>9.7133925131482091</v>
      </c>
      <c r="O260" s="111">
        <f>O242/'ФОТ, МТР, макро'!AS$14/(O198/O193)</f>
        <v>10.082567676994323</v>
      </c>
      <c r="P260" s="111">
        <f>P242/'ФОТ, МТР, макро'!AT$14/(P198/P193)</f>
        <v>9.9647214755517126</v>
      </c>
      <c r="Q260" s="111">
        <f>Q242/'ФОТ, МТР, макро'!AU$14/(Q198/Q193)</f>
        <v>9.9060350431053248</v>
      </c>
      <c r="R260" s="111">
        <f>R242/'ФОТ, МТР, макро'!AV$14/(R198/R193)</f>
        <v>9.8330453654636152</v>
      </c>
      <c r="S260" s="111" t="e">
        <f>S242/'ФОТ, МТР, макро'!AW$14/(S198/S193)</f>
        <v>#DIV/0!</v>
      </c>
      <c r="T260" s="111" t="e">
        <f>T242/'ФОТ, МТР, макро'!AX$14/(T198/T193)</f>
        <v>#DIV/0!</v>
      </c>
      <c r="U260" s="111" t="e">
        <f>U242/'ФОТ, МТР, макро'!AY$14/(U198/U193)</f>
        <v>#DIV/0!</v>
      </c>
      <c r="V260" s="111" t="e">
        <f>V242/'ФОТ, МТР, макро'!AZ$14/(V198/V193)</f>
        <v>#DIV/0!</v>
      </c>
      <c r="W260" s="111" t="e">
        <f>W242/'ФОТ, МТР, макро'!BA$14/(W198/W193)</f>
        <v>#DIV/0!</v>
      </c>
      <c r="X260" s="111" t="e">
        <f>X242/'ФОТ, МТР, макро'!BB$14/(X198/X193)</f>
        <v>#DIV/0!</v>
      </c>
      <c r="Y260" s="111" t="e">
        <f>Y242/'ФОТ, МТР, макро'!BC$14/(Y198/Y193)</f>
        <v>#DIV/0!</v>
      </c>
      <c r="Z260" s="111" t="e">
        <f>Z242/'ФОТ, МТР, макро'!BD$14/(Z198/Z193)</f>
        <v>#DIV/0!</v>
      </c>
      <c r="AC260" s="112" cm="1">
        <f t="array" ref="AC260">INDEX(G260:Z260,1,$C260)</f>
        <v>9.8330453654636152</v>
      </c>
    </row>
    <row r="261" spans="1:29" outlineLevel="1" x14ac:dyDescent="0.25">
      <c r="A261" s="39" t="str">
        <f t="shared" si="432"/>
        <v>SANY SET240S</v>
      </c>
      <c r="B261" s="39" t="str">
        <f t="shared" ref="B261:B270" si="433">D261</f>
        <v>ТО, ТР, ППР</v>
      </c>
      <c r="C261" s="39">
        <f>C260</f>
        <v>12</v>
      </c>
      <c r="D261" s="113" t="str">
        <f>D243</f>
        <v>ТО, ТР, ППР</v>
      </c>
      <c r="E261" s="114" t="str">
        <f>E260</f>
        <v>руб/ткм</v>
      </c>
      <c r="F261" s="115"/>
      <c r="G261" s="116">
        <f>G243/'ФОТ, МТР, макро'!AK$14/(G198/G193)</f>
        <v>1.1491975957247327</v>
      </c>
      <c r="H261" s="116">
        <f>H243/'ФОТ, МТР, макро'!AL$14/(H198/H193)</f>
        <v>1.4547156751338135</v>
      </c>
      <c r="I261" s="116">
        <f>I243/'ФОТ, МТР, макро'!AM$14/(I198/I193)</f>
        <v>2.5128552876856189</v>
      </c>
      <c r="J261" s="116">
        <f>J243/'ФОТ, МТР, макро'!AN$14/(J198/J193)</f>
        <v>2.4968078125728961</v>
      </c>
      <c r="K261" s="116">
        <f>K243/'ФОТ, МТР, макро'!AO$14/(K198/K193)</f>
        <v>3.3638900127515425</v>
      </c>
      <c r="L261" s="116">
        <f>L243/'ФОТ, МТР, макро'!AP$14/(L198/L193)</f>
        <v>3.6371824615291639</v>
      </c>
      <c r="M261" s="116">
        <f>M243/'ФОТ, МТР, макро'!AQ$14/(M198/M193)</f>
        <v>3.4920752488907447</v>
      </c>
      <c r="N261" s="116">
        <f>N243/'ФОТ, МТР, макро'!AR$14/(N198/N193)</f>
        <v>3.3648077412508957</v>
      </c>
      <c r="O261" s="116">
        <f>O243/'ФОТ, МТР, макро'!AS$14/(O198/O193)</f>
        <v>3.8651608741680916</v>
      </c>
      <c r="P261" s="116">
        <f>P243/'ФОТ, МТР, макро'!AT$14/(P198/P193)</f>
        <v>3.7216929128543983</v>
      </c>
      <c r="Q261" s="116">
        <f>Q243/'ФОТ, МТР, макро'!AU$14/(Q198/Q193)</f>
        <v>3.6411224932205251</v>
      </c>
      <c r="R261" s="116">
        <f>R243/'ФОТ, МТР, макро'!AV$14/(R198/R193)</f>
        <v>3.5672806009455367</v>
      </c>
      <c r="S261" s="116" t="e">
        <f>S243/'ФОТ, МТР, макро'!AW$14/(S198/S193)</f>
        <v>#DIV/0!</v>
      </c>
      <c r="T261" s="116" t="e">
        <f>T243/'ФОТ, МТР, макро'!AX$14/(T198/T193)</f>
        <v>#DIV/0!</v>
      </c>
      <c r="U261" s="116" t="e">
        <f>U243/'ФОТ, МТР, макро'!AY$14/(U198/U193)</f>
        <v>#DIV/0!</v>
      </c>
      <c r="V261" s="116" t="e">
        <f>V243/'ФОТ, МТР, макро'!AZ$14/(V198/V193)</f>
        <v>#DIV/0!</v>
      </c>
      <c r="W261" s="116" t="e">
        <f>W243/'ФОТ, МТР, макро'!BA$14/(W198/W193)</f>
        <v>#DIV/0!</v>
      </c>
      <c r="X261" s="116" t="e">
        <f>X243/'ФОТ, МТР, макро'!BB$14/(X198/X193)</f>
        <v>#DIV/0!</v>
      </c>
      <c r="Y261" s="116" t="e">
        <f>Y243/'ФОТ, МТР, макро'!BC$14/(Y198/Y193)</f>
        <v>#DIV/0!</v>
      </c>
      <c r="Z261" s="116" t="e">
        <f>Z243/'ФОТ, МТР, макро'!BD$14/(Z198/Z193)</f>
        <v>#DIV/0!</v>
      </c>
      <c r="AC261" s="117" cm="1">
        <f t="array" ref="AC261">INDEX(G261:Z261,1,$C261)</f>
        <v>3.5672806009455367</v>
      </c>
    </row>
    <row r="262" spans="1:29" outlineLevel="1" x14ac:dyDescent="0.25">
      <c r="A262" s="39" t="str">
        <f t="shared" si="432"/>
        <v>SANY SET240S</v>
      </c>
      <c r="B262" s="39" t="str">
        <f t="shared" si="433"/>
        <v>Шины</v>
      </c>
      <c r="C262" s="39">
        <f t="shared" ref="C262:C270" si="434">C261</f>
        <v>12</v>
      </c>
      <c r="D262" s="113" t="str">
        <f t="shared" ref="D262:D267" si="435">D244</f>
        <v>Шины</v>
      </c>
      <c r="E262" s="114" t="str">
        <f t="shared" ref="E262:E267" si="436">E261</f>
        <v>руб/ткм</v>
      </c>
      <c r="F262" s="115"/>
      <c r="G262" s="116">
        <f>G244/'ФОТ, МТР, макро'!AK$14/(G198/G193)</f>
        <v>2.1039787892831714</v>
      </c>
      <c r="H262" s="116">
        <f>H244/'ФОТ, МТР, макро'!AL$14/(H198/H193)</f>
        <v>2.1040982382426674</v>
      </c>
      <c r="I262" s="116">
        <f>I244/'ФОТ, МТР, макро'!AM$14/(I198/I193)</f>
        <v>2.1025062725622603</v>
      </c>
      <c r="J262" s="116">
        <f>J244/'ФОТ, МТР, макро'!AN$14/(J198/J193)</f>
        <v>2.0988488437673563</v>
      </c>
      <c r="K262" s="116">
        <f>K244/'ФОТ, МТР, макро'!AO$14/(K198/K193)</f>
        <v>2.0971392469191428</v>
      </c>
      <c r="L262" s="116">
        <f>L244/'ФОТ, МТР, макро'!AP$14/(L198/L193)</f>
        <v>2.0877281866613249</v>
      </c>
      <c r="M262" s="116">
        <f>M244/'ФОТ, МТР, макро'!AQ$14/(M198/M193)</f>
        <v>2.0892787551927374</v>
      </c>
      <c r="N262" s="116">
        <f>N244/'ФОТ, МТР, макро'!AR$14/(N198/N193)</f>
        <v>2.0859267134874173</v>
      </c>
      <c r="O262" s="116">
        <f>O244/'ФОТ, МТР, макро'!AS$14/(O198/O193)</f>
        <v>2.0849514334995023</v>
      </c>
      <c r="P262" s="116">
        <f>P244/'ФОТ, МТР, макро'!AT$14/(P198/P193)</f>
        <v>2.0828749619935163</v>
      </c>
      <c r="Q262" s="116">
        <f>Q244/'ФОТ, МТР, макро'!AU$14/(Q198/Q193)</f>
        <v>2.0836076476208221</v>
      </c>
      <c r="R262" s="116">
        <f>R244/'ФОТ, МТР, макро'!AV$14/(R198/R193)</f>
        <v>2.0794733099725184</v>
      </c>
      <c r="S262" s="116" t="e">
        <f>S244/'ФОТ, МТР, макро'!AW$14/(S198/S193)</f>
        <v>#DIV/0!</v>
      </c>
      <c r="T262" s="116" t="e">
        <f>T244/'ФОТ, МТР, макро'!AX$14/(T198/T193)</f>
        <v>#DIV/0!</v>
      </c>
      <c r="U262" s="116" t="e">
        <f>U244/'ФОТ, МТР, макро'!AY$14/(U198/U193)</f>
        <v>#DIV/0!</v>
      </c>
      <c r="V262" s="116" t="e">
        <f>V244/'ФОТ, МТР, макро'!AZ$14/(V198/V193)</f>
        <v>#DIV/0!</v>
      </c>
      <c r="W262" s="116" t="e">
        <f>W244/'ФОТ, МТР, макро'!BA$14/(W198/W193)</f>
        <v>#DIV/0!</v>
      </c>
      <c r="X262" s="116" t="e">
        <f>X244/'ФОТ, МТР, макро'!BB$14/(X198/X193)</f>
        <v>#DIV/0!</v>
      </c>
      <c r="Y262" s="116" t="e">
        <f>Y244/'ФОТ, МТР, макро'!BC$14/(Y198/Y193)</f>
        <v>#DIV/0!</v>
      </c>
      <c r="Z262" s="116" t="e">
        <f>Z244/'ФОТ, МТР, макро'!BD$14/(Z198/Z193)</f>
        <v>#DIV/0!</v>
      </c>
      <c r="AC262" s="117" cm="1">
        <f t="array" ref="AC262">INDEX(G262:Z262,1,$C262)</f>
        <v>2.0794733099725184</v>
      </c>
    </row>
    <row r="263" spans="1:29" outlineLevel="1" x14ac:dyDescent="0.25">
      <c r="A263" s="39" t="str">
        <f t="shared" si="432"/>
        <v>SANY SET240S</v>
      </c>
      <c r="B263" s="39" t="str">
        <f t="shared" si="433"/>
        <v>Топливо</v>
      </c>
      <c r="C263" s="39">
        <f t="shared" si="434"/>
        <v>12</v>
      </c>
      <c r="D263" s="113" t="str">
        <f t="shared" si="435"/>
        <v>Топливо</v>
      </c>
      <c r="E263" s="114" t="str">
        <f t="shared" si="436"/>
        <v>руб/ткм</v>
      </c>
      <c r="F263" s="115"/>
      <c r="G263" s="116">
        <f>G245/'ФОТ, МТР, макро'!AK$14/(G198/G193)</f>
        <v>5.9417027538616871</v>
      </c>
      <c r="H263" s="116">
        <f>H245/'ФОТ, МТР, макро'!AL$14/(H198/H193)</f>
        <v>5.9420400815073835</v>
      </c>
      <c r="I263" s="116">
        <f>I245/'ФОТ, МТР, макро'!AM$14/(I198/I193)</f>
        <v>5.9375443199932905</v>
      </c>
      <c r="J263" s="116">
        <f>J245/'ФОТ, МТР, макро'!AN$14/(J198/J193)</f>
        <v>5.9272156252110868</v>
      </c>
      <c r="K263" s="116">
        <f>K245/'ФОТ, МТР, макро'!AO$14/(K198/K193)</f>
        <v>5.9223876695526165</v>
      </c>
      <c r="L263" s="116">
        <f>L245/'ФОТ, МТР, макро'!AP$14/(L198/L193)</f>
        <v>5.8958105372471676</v>
      </c>
      <c r="M263" s="116">
        <f>M245/'ФОТ, МТР, макро'!AQ$14/(M198/M193)</f>
        <v>5.9001893919010593</v>
      </c>
      <c r="N263" s="116">
        <f>N245/'ФОТ, МТР, макро'!AR$14/(N198/N193)</f>
        <v>5.8907231199343428</v>
      </c>
      <c r="O263" s="116">
        <f>O245/'ФОТ, МТР, макро'!AS$14/(O198/O193)</f>
        <v>5.8879688983521223</v>
      </c>
      <c r="P263" s="116">
        <f>P245/'ФОТ, МТР, макро'!AT$14/(P198/P193)</f>
        <v>5.8821048770377073</v>
      </c>
      <c r="Q263" s="116">
        <f>Q245/'ФОТ, МТР, макро'!AU$14/(Q198/Q193)</f>
        <v>5.8841740044603084</v>
      </c>
      <c r="R263" s="116">
        <f>R245/'ФОТ, МТР, макро'!AV$14/(R198/R193)</f>
        <v>5.8724985039678881</v>
      </c>
      <c r="S263" s="116" t="e">
        <f>S245/'ФОТ, МТР, макро'!AW$14/(S198/S193)</f>
        <v>#DIV/0!</v>
      </c>
      <c r="T263" s="116" t="e">
        <f>T245/'ФОТ, МТР, макро'!AX$14/(T198/T193)</f>
        <v>#DIV/0!</v>
      </c>
      <c r="U263" s="116" t="e">
        <f>U245/'ФОТ, МТР, макро'!AY$14/(U198/U193)</f>
        <v>#DIV/0!</v>
      </c>
      <c r="V263" s="116" t="e">
        <f>V245/'ФОТ, МТР, макро'!AZ$14/(V198/V193)</f>
        <v>#DIV/0!</v>
      </c>
      <c r="W263" s="116" t="e">
        <f>W245/'ФОТ, МТР, макро'!BA$14/(W198/W193)</f>
        <v>#DIV/0!</v>
      </c>
      <c r="X263" s="116" t="e">
        <f>X245/'ФОТ, МТР, макро'!BB$14/(X198/X193)</f>
        <v>#DIV/0!</v>
      </c>
      <c r="Y263" s="116" t="e">
        <f>Y245/'ФОТ, МТР, макро'!BC$14/(Y198/Y193)</f>
        <v>#DIV/0!</v>
      </c>
      <c r="Z263" s="116" t="e">
        <f>Z245/'ФОТ, МТР, макро'!BD$14/(Z198/Z193)</f>
        <v>#DIV/0!</v>
      </c>
      <c r="AC263" s="117" cm="1">
        <f t="array" ref="AC263">INDEX(G263:Z263,1,$C263)</f>
        <v>5.8724985039678881</v>
      </c>
    </row>
    <row r="264" spans="1:29" outlineLevel="1" x14ac:dyDescent="0.25">
      <c r="A264" s="39" t="str">
        <f t="shared" si="432"/>
        <v>SANY SET240S</v>
      </c>
      <c r="B264" s="39" t="str">
        <f t="shared" si="433"/>
        <v>Смазочные</v>
      </c>
      <c r="C264" s="39">
        <f t="shared" si="434"/>
        <v>12</v>
      </c>
      <c r="D264" s="113" t="str">
        <f t="shared" si="435"/>
        <v>Смазочные</v>
      </c>
      <c r="E264" s="114" t="str">
        <f t="shared" si="436"/>
        <v>руб/ткм</v>
      </c>
      <c r="F264" s="115"/>
      <c r="G264" s="116">
        <f>G246/'ФОТ, МТР, макро'!AK$14/(G198/G193)</f>
        <v>0</v>
      </c>
      <c r="H264" s="116">
        <f>H246/'ФОТ, МТР, макро'!AL$14/(H198/H193)</f>
        <v>0</v>
      </c>
      <c r="I264" s="116">
        <f>I246/'ФОТ, МТР, макро'!AM$14/(I198/I193)</f>
        <v>0</v>
      </c>
      <c r="J264" s="116">
        <f>J246/'ФОТ, МТР, макро'!AN$14/(J198/J193)</f>
        <v>0</v>
      </c>
      <c r="K264" s="116">
        <f>K246/'ФОТ, МТР, макро'!AO$14/(K198/K193)</f>
        <v>0</v>
      </c>
      <c r="L264" s="116">
        <f>L246/'ФОТ, МТР, макро'!AP$14/(L198/L193)</f>
        <v>0</v>
      </c>
      <c r="M264" s="116">
        <f>M246/'ФОТ, МТР, макро'!AQ$14/(M198/M193)</f>
        <v>0</v>
      </c>
      <c r="N264" s="116">
        <f>N246/'ФОТ, МТР, макро'!AR$14/(N198/N193)</f>
        <v>0</v>
      </c>
      <c r="O264" s="116">
        <f>O246/'ФОТ, МТР, макро'!AS$14/(O198/O193)</f>
        <v>0</v>
      </c>
      <c r="P264" s="116">
        <f>P246/'ФОТ, МТР, макро'!AT$14/(P198/P193)</f>
        <v>0</v>
      </c>
      <c r="Q264" s="116">
        <f>Q246/'ФОТ, МТР, макро'!AU$14/(Q198/Q193)</f>
        <v>0</v>
      </c>
      <c r="R264" s="116">
        <f>R246/'ФОТ, МТР, макро'!AV$14/(R198/R193)</f>
        <v>0</v>
      </c>
      <c r="S264" s="116" t="e">
        <f>S246/'ФОТ, МТР, макро'!AW$14/(S198/S193)</f>
        <v>#DIV/0!</v>
      </c>
      <c r="T264" s="116" t="e">
        <f>T246/'ФОТ, МТР, макро'!AX$14/(T198/T193)</f>
        <v>#DIV/0!</v>
      </c>
      <c r="U264" s="116" t="e">
        <f>U246/'ФОТ, МТР, макро'!AY$14/(U198/U193)</f>
        <v>#DIV/0!</v>
      </c>
      <c r="V264" s="116" t="e">
        <f>V246/'ФОТ, МТР, макро'!AZ$14/(V198/V193)</f>
        <v>#DIV/0!</v>
      </c>
      <c r="W264" s="116" t="e">
        <f>W246/'ФОТ, МТР, макро'!BA$14/(W198/W193)</f>
        <v>#DIV/0!</v>
      </c>
      <c r="X264" s="116" t="e">
        <f>X246/'ФОТ, МТР, макро'!BB$14/(X198/X193)</f>
        <v>#DIV/0!</v>
      </c>
      <c r="Y264" s="116" t="e">
        <f>Y246/'ФОТ, МТР, макро'!BC$14/(Y198/Y193)</f>
        <v>#DIV/0!</v>
      </c>
      <c r="Z264" s="116" t="e">
        <f>Z246/'ФОТ, МТР, макро'!BD$14/(Z198/Z193)</f>
        <v>#DIV/0!</v>
      </c>
      <c r="AC264" s="117" cm="1">
        <f t="array" ref="AC264">INDEX(G264:Z264,1,$C264)</f>
        <v>0</v>
      </c>
    </row>
    <row r="265" spans="1:29" outlineLevel="1" x14ac:dyDescent="0.25">
      <c r="A265" s="39" t="str">
        <f t="shared" si="432"/>
        <v>SANY SET240S</v>
      </c>
      <c r="B265" s="39" t="str">
        <f t="shared" si="433"/>
        <v>Затраты на персонал</v>
      </c>
      <c r="C265" s="39">
        <f t="shared" si="434"/>
        <v>12</v>
      </c>
      <c r="D265" s="113" t="str">
        <f t="shared" si="435"/>
        <v>Затраты на персонал</v>
      </c>
      <c r="E265" s="114" t="str">
        <f t="shared" si="436"/>
        <v>руб/ткм</v>
      </c>
      <c r="F265" s="115"/>
      <c r="G265" s="116">
        <f>G247/'ФОТ, МТР, макро'!AK$14/(G198/G193)</f>
        <v>1.6679782883859722</v>
      </c>
      <c r="H265" s="116">
        <f>H247/'ФОТ, МТР, макро'!AL$14/(H198/H193)</f>
        <v>1.6696512501758434</v>
      </c>
      <c r="I265" s="116">
        <f>I247/'ФОТ, МТР, макро'!AM$14/(I198/I193)</f>
        <v>1.6585222373862814</v>
      </c>
      <c r="J265" s="116">
        <f>J247/'ФОТ, МТР, макро'!AN$14/(J198/J193)</f>
        <v>1.6392867034781045</v>
      </c>
      <c r="K265" s="116">
        <f>K247/'ФОТ, МТР, макро'!AO$14/(K198/K193)</f>
        <v>1.62998754153115</v>
      </c>
      <c r="L265" s="116">
        <f>L247/'ФОТ, МТР, макро'!AP$14/(L198/L193)</f>
        <v>1.5991730287091446</v>
      </c>
      <c r="M265" s="116">
        <f>M247/'ФОТ, МТР, макро'!AQ$14/(M198/M193)</f>
        <v>1.5990202248477154</v>
      </c>
      <c r="N265" s="116">
        <f>N247/'ФОТ, МТР, макро'!AR$14/(N198/N193)</f>
        <v>1.5889494823435619</v>
      </c>
      <c r="O265" s="116">
        <f>O247/'ФОТ, МТР, макро'!AS$14/(O198/O193)</f>
        <v>1.5846160823037414</v>
      </c>
      <c r="P265" s="116">
        <f>P247/'ФОТ, МТР, макро'!AT$14/(P198/P193)</f>
        <v>1.5789701153237203</v>
      </c>
      <c r="Q265" s="116">
        <f>Q247/'ФОТ, МТР, макро'!AU$14/(Q198/Q193)</f>
        <v>1.5784963421173417</v>
      </c>
      <c r="R265" s="116">
        <f>R247/'ФОТ, МТР, макро'!AV$14/(R198/R193)</f>
        <v>1.5709275004179486</v>
      </c>
      <c r="S265" s="116" t="e">
        <f>S247/'ФОТ, МТР, макро'!AW$14/(S198/S193)</f>
        <v>#DIV/0!</v>
      </c>
      <c r="T265" s="116" t="e">
        <f>T247/'ФОТ, МТР, макро'!AX$14/(T198/T193)</f>
        <v>#DIV/0!</v>
      </c>
      <c r="U265" s="116" t="e">
        <f>U247/'ФОТ, МТР, макро'!AY$14/(U198/U193)</f>
        <v>#DIV/0!</v>
      </c>
      <c r="V265" s="116" t="e">
        <f>V247/'ФОТ, МТР, макро'!AZ$14/(V198/V193)</f>
        <v>#DIV/0!</v>
      </c>
      <c r="W265" s="116" t="e">
        <f>W247/'ФОТ, МТР, макро'!BA$14/(W198/W193)</f>
        <v>#DIV/0!</v>
      </c>
      <c r="X265" s="116" t="e">
        <f>X247/'ФОТ, МТР, макро'!BB$14/(X198/X193)</f>
        <v>#DIV/0!</v>
      </c>
      <c r="Y265" s="116" t="e">
        <f>Y247/'ФОТ, МТР, макро'!BC$14/(Y198/Y193)</f>
        <v>#DIV/0!</v>
      </c>
      <c r="Z265" s="116" t="e">
        <f>Z247/'ФОТ, МТР, макро'!BD$14/(Z198/Z193)</f>
        <v>#DIV/0!</v>
      </c>
      <c r="AC265" s="117" cm="1">
        <f t="array" ref="AC265">INDEX(G265:Z265,1,$C265)</f>
        <v>1.5709275004179486</v>
      </c>
    </row>
    <row r="266" spans="1:29" outlineLevel="1" x14ac:dyDescent="0.25">
      <c r="A266" s="39" t="str">
        <f t="shared" si="432"/>
        <v>SANY SET240S</v>
      </c>
      <c r="B266" s="39" t="str">
        <f t="shared" si="433"/>
        <v>Транспортный налог</v>
      </c>
      <c r="C266" s="39">
        <f t="shared" si="434"/>
        <v>12</v>
      </c>
      <c r="D266" s="113" t="str">
        <f t="shared" si="435"/>
        <v>Транспортный налог</v>
      </c>
      <c r="E266" s="114" t="str">
        <f t="shared" si="436"/>
        <v>руб/ткм</v>
      </c>
      <c r="F266" s="115"/>
      <c r="G266" s="116">
        <f>G248/'ФОТ, МТР, макро'!AK$14/(G198/G193)</f>
        <v>2.1816632493451123E-2</v>
      </c>
      <c r="H266" s="116">
        <f>H248/'ФОТ, МТР, макро'!AL$14/(H198/H193)</f>
        <v>2.1838514308579859E-2</v>
      </c>
      <c r="I266" s="116">
        <f>I248/'ФОТ, МТР, макро'!AM$14/(I198/I193)</f>
        <v>2.169295031429086E-2</v>
      </c>
      <c r="J266" s="116">
        <f>J248/'ФОТ, МТР, макро'!AN$14/(J198/J193)</f>
        <v>2.1441355568116976E-2</v>
      </c>
      <c r="K266" s="116">
        <f>K248/'ФОТ, МТР, макро'!AO$14/(K198/K193)</f>
        <v>2.1319725448524649E-2</v>
      </c>
      <c r="L266" s="116">
        <f>L248/'ФОТ, МТР, макро'!AP$14/(L198/L193)</f>
        <v>2.0916681292384613E-2</v>
      </c>
      <c r="M266" s="116">
        <f>M248/'ФОТ, МТР, макро'!AQ$14/(M198/M193)</f>
        <v>2.0914682665836778E-2</v>
      </c>
      <c r="N266" s="116">
        <f>N248/'ФОТ, МТР, макро'!AR$14/(N198/N193)</f>
        <v>2.0782960514727781E-2</v>
      </c>
      <c r="O266" s="116">
        <f>O248/'ФОТ, МТР, макро'!AS$14/(O198/O193)</f>
        <v>2.0726281002305978E-2</v>
      </c>
      <c r="P266" s="116">
        <f>P248/'ФОТ, МТР, макро'!AT$14/(P198/P193)</f>
        <v>2.0652433526274095E-2</v>
      </c>
      <c r="Q266" s="116">
        <f>Q248/'ФОТ, МТР, макро'!AU$14/(Q198/Q193)</f>
        <v>2.0646236721435108E-2</v>
      </c>
      <c r="R266" s="116">
        <f>R248/'ФОТ, МТР, макро'!AV$14/(R198/R193)</f>
        <v>2.0547238647595334E-2</v>
      </c>
      <c r="S266" s="116" t="e">
        <f>S248/'ФОТ, МТР, макро'!AW$14/(S198/S193)</f>
        <v>#DIV/0!</v>
      </c>
      <c r="T266" s="116" t="e">
        <f>T248/'ФОТ, МТР, макро'!AX$14/(T198/T193)</f>
        <v>#DIV/0!</v>
      </c>
      <c r="U266" s="116" t="e">
        <f>U248/'ФОТ, МТР, макро'!AY$14/(U198/U193)</f>
        <v>#DIV/0!</v>
      </c>
      <c r="V266" s="116" t="e">
        <f>V248/'ФОТ, МТР, макро'!AZ$14/(V198/V193)</f>
        <v>#DIV/0!</v>
      </c>
      <c r="W266" s="116" t="e">
        <f>W248/'ФОТ, МТР, макро'!BA$14/(W198/W193)</f>
        <v>#DIV/0!</v>
      </c>
      <c r="X266" s="116" t="e">
        <f>X248/'ФОТ, МТР, макро'!BB$14/(X198/X193)</f>
        <v>#DIV/0!</v>
      </c>
      <c r="Y266" s="116" t="e">
        <f>Y248/'ФОТ, МТР, макро'!BC$14/(Y198/Y193)</f>
        <v>#DIV/0!</v>
      </c>
      <c r="Z266" s="116" t="e">
        <f>Z248/'ФОТ, МТР, макро'!BD$14/(Z198/Z193)</f>
        <v>#DIV/0!</v>
      </c>
      <c r="AC266" s="117" cm="1">
        <f t="array" ref="AC266">INDEX(G266:Z266,1,$C266)</f>
        <v>2.0547238647595334E-2</v>
      </c>
    </row>
    <row r="267" spans="1:29" outlineLevel="1" x14ac:dyDescent="0.25">
      <c r="A267" s="39" t="str">
        <f t="shared" si="432"/>
        <v>SANY SET240S</v>
      </c>
      <c r="B267" s="39" t="str">
        <f t="shared" si="433"/>
        <v>Налог на прибыль</v>
      </c>
      <c r="C267" s="39">
        <f t="shared" si="434"/>
        <v>12</v>
      </c>
      <c r="D267" s="113" t="str">
        <f t="shared" si="435"/>
        <v>Налог на прибыль</v>
      </c>
      <c r="E267" s="114" t="str">
        <f t="shared" si="436"/>
        <v>руб/ткм</v>
      </c>
      <c r="F267" s="30"/>
      <c r="G267" s="116">
        <f>G249/'ФОТ, МТР, макро'!AK$14/(G198/G193)</f>
        <v>-2.7211685149372538</v>
      </c>
      <c r="H267" s="116">
        <f>H249/'ФОТ, МТР, макро'!AL$14/(H198/H193)</f>
        <v>-2.7980859398420717</v>
      </c>
      <c r="I267" s="116">
        <f>I249/'ФОТ, МТР, макро'!AM$14/(I198/I193)</f>
        <v>-3.0582802669854354</v>
      </c>
      <c r="J267" s="116">
        <f>J249/'ФОТ, МТР, макро'!AN$14/(J198/J193)</f>
        <v>-3.0459000851493907</v>
      </c>
      <c r="K267" s="116">
        <f>K249/'ФОТ, МТР, макро'!AO$14/(K198/K193)</f>
        <v>-3.2586810490507445</v>
      </c>
      <c r="L267" s="116">
        <f>L249/'ФОТ, МТР, макро'!AP$14/(L198/L193)</f>
        <v>-3.3102027238597969</v>
      </c>
      <c r="M267" s="116">
        <f>M249/'ФОТ, МТР, макро'!AQ$14/(M198/M193)</f>
        <v>-3.2753695758745236</v>
      </c>
      <c r="N267" s="116">
        <f>N249/'ФОТ, МТР, макро'!AR$14/(N198/N193)</f>
        <v>-3.2377975043827365</v>
      </c>
      <c r="O267" s="116">
        <f>O249/'ФОТ, МТР, макро'!AS$14/(O198/O193)</f>
        <v>-3.3608558923314411</v>
      </c>
      <c r="P267" s="116">
        <f>P249/'ФОТ, МТР, макро'!AT$14/(P198/P193)</f>
        <v>-3.3215738251839042</v>
      </c>
      <c r="Q267" s="116">
        <f>Q249/'ФОТ, МТР, макро'!AU$14/(Q198/Q193)</f>
        <v>-3.3020116810351081</v>
      </c>
      <c r="R267" s="116">
        <f>R249/'ФОТ, МТР, макро'!AV$14/(R198/R193)</f>
        <v>-3.2776817884878713</v>
      </c>
      <c r="S267" s="116" t="e">
        <f>S249/'ФОТ, МТР, макро'!AW$14/(S198/S193)</f>
        <v>#DIV/0!</v>
      </c>
      <c r="T267" s="116" t="e">
        <f>T249/'ФОТ, МТР, макро'!AX$14/(T198/T193)</f>
        <v>#DIV/0!</v>
      </c>
      <c r="U267" s="116" t="e">
        <f>U249/'ФОТ, МТР, макро'!AY$14/(U198/U193)</f>
        <v>#DIV/0!</v>
      </c>
      <c r="V267" s="116" t="e">
        <f>V249/'ФОТ, МТР, макро'!AZ$14/(V198/V193)</f>
        <v>#DIV/0!</v>
      </c>
      <c r="W267" s="116" t="e">
        <f>W249/'ФОТ, МТР, макро'!BA$14/(W198/W193)</f>
        <v>#DIV/0!</v>
      </c>
      <c r="X267" s="116" t="e">
        <f>X249/'ФОТ, МТР, макро'!BB$14/(X198/X193)</f>
        <v>#DIV/0!</v>
      </c>
      <c r="Y267" s="116" t="e">
        <f>Y249/'ФОТ, МТР, макро'!BC$14/(Y198/Y193)</f>
        <v>#DIV/0!</v>
      </c>
      <c r="Z267" s="116" t="e">
        <f>Z249/'ФОТ, МТР, макро'!BD$14/(Z198/Z193)</f>
        <v>#DIV/0!</v>
      </c>
      <c r="AC267" s="117" cm="1">
        <f t="array" ref="AC267">INDEX(G267:Z267,1,$C267)</f>
        <v>-3.2776817884878713</v>
      </c>
    </row>
    <row r="268" spans="1:29" outlineLevel="1" x14ac:dyDescent="0.25">
      <c r="A268" s="39" t="str">
        <f t="shared" si="432"/>
        <v>SANY SET240S</v>
      </c>
      <c r="B268" s="39" t="str">
        <f t="shared" si="433"/>
        <v>Аннуитет инвестиционный</v>
      </c>
      <c r="C268" s="39">
        <f t="shared" si="434"/>
        <v>12</v>
      </c>
      <c r="D268" s="108" t="s">
        <v>96</v>
      </c>
      <c r="E268" s="118" t="str">
        <f>E260</f>
        <v>руб/ткм</v>
      </c>
      <c r="F268" s="119"/>
      <c r="G268" s="111">
        <f>G254/'ФОТ, МТР, макро'!AK$14/(G198/G193)</f>
        <v>0</v>
      </c>
      <c r="H268" s="111">
        <f>H254/'ФОТ, МТР, макро'!AL$14/(H198/H193)</f>
        <v>0</v>
      </c>
      <c r="I268" s="111">
        <f>I254/'ФОТ, МТР, макро'!AM$14/(I198/I193)</f>
        <v>0</v>
      </c>
      <c r="J268" s="111">
        <f>J254/'ФОТ, МТР, макро'!AN$14/(J198/J193)</f>
        <v>0</v>
      </c>
      <c r="K268" s="111">
        <f>K254/'ФОТ, МТР, макро'!AO$14/(K198/K193)</f>
        <v>0</v>
      </c>
      <c r="L268" s="111">
        <f>L254/'ФОТ, МТР, макро'!AP$14/(L198/L193)</f>
        <v>0</v>
      </c>
      <c r="M268" s="111">
        <f>M254/'ФОТ, МТР, макро'!AQ$14/(M198/M193)</f>
        <v>0</v>
      </c>
      <c r="N268" s="111">
        <f>N254/'ФОТ, МТР, макро'!AR$14/(N198/N193)</f>
        <v>0</v>
      </c>
      <c r="O268" s="111">
        <f>O254/'ФОТ, МТР, макро'!AS$14/(O198/O193)</f>
        <v>0</v>
      </c>
      <c r="P268" s="111">
        <f>P254/'ФОТ, МТР, макро'!AT$14/(P198/P193)</f>
        <v>0</v>
      </c>
      <c r="Q268" s="111">
        <f>Q254/'ФОТ, МТР, макро'!AU$14/(Q198/Q193)</f>
        <v>0</v>
      </c>
      <c r="R268" s="111">
        <f>R254/'ФОТ, МТР, макро'!AV$14/(R198/R193)</f>
        <v>0</v>
      </c>
      <c r="S268" s="111" t="e">
        <f>S254/'ФОТ, МТР, макро'!AW$14/(S198/S193)</f>
        <v>#DIV/0!</v>
      </c>
      <c r="T268" s="111" t="e">
        <f>T254/'ФОТ, МТР, макро'!AX$14/(T198/T193)</f>
        <v>#DIV/0!</v>
      </c>
      <c r="U268" s="111" t="e">
        <f>U254/'ФОТ, МТР, макро'!AY$14/(U198/U193)</f>
        <v>#DIV/0!</v>
      </c>
      <c r="V268" s="111" t="e">
        <f>V254/'ФОТ, МТР, макро'!AZ$14/(V198/V193)</f>
        <v>#DIV/0!</v>
      </c>
      <c r="W268" s="111" t="e">
        <f>W254/'ФОТ, МТР, макро'!BA$14/(W198/W193)</f>
        <v>#DIV/0!</v>
      </c>
      <c r="X268" s="111" t="e">
        <f>X254/'ФОТ, МТР, макро'!BB$14/(X198/X193)</f>
        <v>#DIV/0!</v>
      </c>
      <c r="Y268" s="111" t="e">
        <f>Y254/'ФОТ, МТР, макро'!BC$14/(Y198/Y193)</f>
        <v>#DIV/0!</v>
      </c>
      <c r="Z268" s="111" t="e">
        <f>Z254/'ФОТ, МТР, макро'!BD$14/(Z198/Z193)</f>
        <v>#DIV/0!</v>
      </c>
      <c r="AC268" s="112" cm="1">
        <f t="array" ref="AC268">INDEX(G268:Z268,1,$C268)</f>
        <v>0</v>
      </c>
    </row>
    <row r="269" spans="1:29" outlineLevel="1" x14ac:dyDescent="0.25">
      <c r="A269" s="39" t="str">
        <f t="shared" si="432"/>
        <v>SANY SET240S</v>
      </c>
      <c r="B269" s="39" t="str">
        <f t="shared" si="433"/>
        <v>Самосвал</v>
      </c>
      <c r="C269" s="39">
        <f t="shared" si="434"/>
        <v>12</v>
      </c>
      <c r="D269" s="101" t="str">
        <f>D255</f>
        <v>Самосвал</v>
      </c>
      <c r="E269" s="9" t="str">
        <f>E268</f>
        <v>руб/ткм</v>
      </c>
      <c r="F269" s="30"/>
      <c r="G269" s="120">
        <f>G255/'ФОТ, МТР, макро'!AK$14/(G198/G193)</f>
        <v>0</v>
      </c>
      <c r="H269" s="120">
        <f>H255/'ФОТ, МТР, макро'!AL$14/(H198/H193)</f>
        <v>0</v>
      </c>
      <c r="I269" s="120">
        <f>I255/'ФОТ, МТР, макро'!AM$14/(I198/I193)</f>
        <v>0</v>
      </c>
      <c r="J269" s="120">
        <f>J255/'ФОТ, МТР, макро'!AN$14/(J198/J193)</f>
        <v>0</v>
      </c>
      <c r="K269" s="120">
        <f>K255/'ФОТ, МТР, макро'!AO$14/(K198/K193)</f>
        <v>0</v>
      </c>
      <c r="L269" s="120">
        <f>L255/'ФОТ, МТР, макро'!AP$14/(L198/L193)</f>
        <v>0</v>
      </c>
      <c r="M269" s="120">
        <f>M255/'ФОТ, МТР, макро'!AQ$14/(M198/M193)</f>
        <v>0</v>
      </c>
      <c r="N269" s="120">
        <f>N255/'ФОТ, МТР, макро'!AR$14/(N198/N193)</f>
        <v>0</v>
      </c>
      <c r="O269" s="120">
        <f>O255/'ФОТ, МТР, макро'!AS$14/(O198/O193)</f>
        <v>0</v>
      </c>
      <c r="P269" s="120">
        <f>P255/'ФОТ, МТР, макро'!AT$14/(P198/P193)</f>
        <v>0</v>
      </c>
      <c r="Q269" s="120">
        <f>Q255/'ФОТ, МТР, макро'!AU$14/(Q198/Q193)</f>
        <v>0</v>
      </c>
      <c r="R269" s="120">
        <f>R255/'ФОТ, МТР, макро'!AV$14/(R198/R193)</f>
        <v>0</v>
      </c>
      <c r="S269" s="120" t="e">
        <f>S255/'ФОТ, МТР, макро'!AW$14/(S198/S193)</f>
        <v>#DIV/0!</v>
      </c>
      <c r="T269" s="120" t="e">
        <f>T255/'ФОТ, МТР, макро'!AX$14/(T198/T193)</f>
        <v>#DIV/0!</v>
      </c>
      <c r="U269" s="120" t="e">
        <f>U255/'ФОТ, МТР, макро'!AY$14/(U198/U193)</f>
        <v>#DIV/0!</v>
      </c>
      <c r="V269" s="120" t="e">
        <f>V255/'ФОТ, МТР, макро'!AZ$14/(V198/V193)</f>
        <v>#DIV/0!</v>
      </c>
      <c r="W269" s="120" t="e">
        <f>W255/'ФОТ, МТР, макро'!BA$14/(W198/W193)</f>
        <v>#DIV/0!</v>
      </c>
      <c r="X269" s="120" t="e">
        <f>X255/'ФОТ, МТР, макро'!BB$14/(X198/X193)</f>
        <v>#DIV/0!</v>
      </c>
      <c r="Y269" s="120" t="e">
        <f>Y255/'ФОТ, МТР, макро'!BC$14/(Y198/Y193)</f>
        <v>#DIV/0!</v>
      </c>
      <c r="Z269" s="120" t="e">
        <f>Z255/'ФОТ, МТР, макро'!BD$14/(Z198/Z193)</f>
        <v>#DIV/0!</v>
      </c>
      <c r="AC269" s="117" cm="1">
        <f t="array" ref="AC269">INDEX(G269:Z269,1,$C269)</f>
        <v>0</v>
      </c>
    </row>
    <row r="270" spans="1:29" outlineLevel="1" x14ac:dyDescent="0.25">
      <c r="A270" s="39" t="str">
        <f t="shared" si="432"/>
        <v>SANY SET240S</v>
      </c>
      <c r="B270" s="39" t="str">
        <f t="shared" si="433"/>
        <v>Аннуитет общий</v>
      </c>
      <c r="C270" s="39">
        <f t="shared" si="434"/>
        <v>12</v>
      </c>
      <c r="D270" s="108" t="s">
        <v>97</v>
      </c>
      <c r="E270" s="118" t="str">
        <f>E260</f>
        <v>руб/ткм</v>
      </c>
      <c r="F270" s="119"/>
      <c r="G270" s="111">
        <f>G258/'ФОТ, МТР, макро'!AK$14/(G198/G193)</f>
        <v>8.1635055448117608</v>
      </c>
      <c r="H270" s="111">
        <f>H258/'ФОТ, МТР, макро'!AL$14/(H198/H193)</f>
        <v>8.3942578195262154</v>
      </c>
      <c r="I270" s="111">
        <f>I258/'ФОТ, МТР, макро'!AM$14/(I198/I193)</f>
        <v>9.1748408009563054</v>
      </c>
      <c r="J270" s="111">
        <f>J258/'ФОТ, МТР, макро'!AN$14/(J198/J193)</f>
        <v>9.1377002554481717</v>
      </c>
      <c r="K270" s="111">
        <f>K258/'ФОТ, МТР, макро'!AO$14/(K198/K193)</f>
        <v>9.7760431471522313</v>
      </c>
      <c r="L270" s="111">
        <f>L258/'ФОТ, МТР, макро'!AP$14/(L198/L193)</f>
        <v>9.9306081715793901</v>
      </c>
      <c r="M270" s="111">
        <f>M258/'ФОТ, МТР, макро'!AQ$14/(M198/M193)</f>
        <v>9.8261087276235699</v>
      </c>
      <c r="N270" s="111">
        <f>N258/'ФОТ, МТР, макро'!AR$14/(N198/N193)</f>
        <v>9.7133925131482091</v>
      </c>
      <c r="O270" s="111">
        <f>O258/'ФОТ, МТР, макро'!AS$14/(O198/O193)</f>
        <v>10.082567676994323</v>
      </c>
      <c r="P270" s="111">
        <f>P258/'ФОТ, МТР, макро'!AT$14/(P198/P193)</f>
        <v>9.9647214755517126</v>
      </c>
      <c r="Q270" s="111">
        <f>Q258/'ФОТ, МТР, макро'!AU$14/(Q198/Q193)</f>
        <v>9.9060350431053248</v>
      </c>
      <c r="R270" s="111">
        <f>R258/'ФОТ, МТР, макро'!AV$14/(R198/R193)</f>
        <v>9.8330453654636152</v>
      </c>
      <c r="S270" s="111" t="e">
        <f>S258/'ФОТ, МТР, макро'!AW$14/(S198/S193)</f>
        <v>#DIV/0!</v>
      </c>
      <c r="T270" s="111" t="e">
        <f>T258/'ФОТ, МТР, макро'!AX$14/(T198/T193)</f>
        <v>#DIV/0!</v>
      </c>
      <c r="U270" s="111" t="e">
        <f>U258/'ФОТ, МТР, макро'!AY$14/(U198/U193)</f>
        <v>#DIV/0!</v>
      </c>
      <c r="V270" s="111" t="e">
        <f>V258/'ФОТ, МТР, макро'!AZ$14/(V198/V193)</f>
        <v>#DIV/0!</v>
      </c>
      <c r="W270" s="111" t="e">
        <f>W258/'ФОТ, МТР, макро'!BA$14/(W198/W193)</f>
        <v>#DIV/0!</v>
      </c>
      <c r="X270" s="111" t="e">
        <f>X258/'ФОТ, МТР, макро'!BB$14/(X198/X193)</f>
        <v>#DIV/0!</v>
      </c>
      <c r="Y270" s="111" t="e">
        <f>Y258/'ФОТ, МТР, макро'!BC$14/(Y198/Y193)</f>
        <v>#DIV/0!</v>
      </c>
      <c r="Z270" s="111" t="e">
        <f>Z258/'ФОТ, МТР, макро'!BD$14/(Z198/Z193)</f>
        <v>#DIV/0!</v>
      </c>
      <c r="AC270" s="112" cm="1">
        <f t="array" ref="AC270">INDEX(G270:Z270,1,$C270)</f>
        <v>9.8330453654636152</v>
      </c>
    </row>
    <row r="271" spans="1:29" outlineLevel="1" x14ac:dyDescent="0.25">
      <c r="A271" s="39" t="str">
        <f t="shared" si="432"/>
        <v>SANY SET240S</v>
      </c>
      <c r="B271" s="39"/>
      <c r="D271" s="121"/>
      <c r="E271" s="1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9" outlineLevel="1" x14ac:dyDescent="0.25">
      <c r="A272" s="39" t="str">
        <f t="shared" si="432"/>
        <v>SANY SET240S</v>
      </c>
      <c r="B272" s="39"/>
      <c r="D272" s="123" t="s">
        <v>88</v>
      </c>
      <c r="E272" s="124"/>
      <c r="F272" s="125"/>
      <c r="G272" s="126">
        <f>G270-G260-G268+G260-SUM(G261:G267)+G268-G269</f>
        <v>0</v>
      </c>
      <c r="H272" s="126">
        <f t="shared" ref="H272:I272" si="437">H270-H260-H268+H260-SUM(H261:H267)+H268-H269</f>
        <v>-1.7763568394002505E-15</v>
      </c>
      <c r="I272" s="126">
        <f t="shared" si="437"/>
        <v>-1.7763568394002505E-15</v>
      </c>
      <c r="J272" s="126">
        <f t="shared" ref="J272:Z272" si="438">J270-J260-J268+J260-SUM(J261:J267)+J268-J269</f>
        <v>1.7763568394002505E-15</v>
      </c>
      <c r="K272" s="126">
        <f t="shared" si="438"/>
        <v>0</v>
      </c>
      <c r="L272" s="126">
        <f t="shared" si="438"/>
        <v>3.5527136788005009E-15</v>
      </c>
      <c r="M272" s="126">
        <f t="shared" si="438"/>
        <v>0</v>
      </c>
      <c r="N272" s="126">
        <f t="shared" si="438"/>
        <v>0</v>
      </c>
      <c r="O272" s="126">
        <f t="shared" si="438"/>
        <v>1.7763568394002505E-15</v>
      </c>
      <c r="P272" s="126">
        <f t="shared" si="438"/>
        <v>0</v>
      </c>
      <c r="Q272" s="126">
        <f t="shared" si="438"/>
        <v>1.7763568394002505E-15</v>
      </c>
      <c r="R272" s="126">
        <f t="shared" si="438"/>
        <v>0</v>
      </c>
      <c r="S272" s="126" t="e">
        <f t="shared" si="438"/>
        <v>#DIV/0!</v>
      </c>
      <c r="T272" s="126" t="e">
        <f t="shared" si="438"/>
        <v>#DIV/0!</v>
      </c>
      <c r="U272" s="126" t="e">
        <f t="shared" si="438"/>
        <v>#DIV/0!</v>
      </c>
      <c r="V272" s="126" t="e">
        <f t="shared" si="438"/>
        <v>#DIV/0!</v>
      </c>
      <c r="W272" s="126" t="e">
        <f t="shared" si="438"/>
        <v>#DIV/0!</v>
      </c>
      <c r="X272" s="126" t="e">
        <f t="shared" si="438"/>
        <v>#DIV/0!</v>
      </c>
      <c r="Y272" s="126" t="e">
        <f t="shared" si="438"/>
        <v>#DIV/0!</v>
      </c>
      <c r="Z272" s="126" t="e">
        <f t="shared" si="438"/>
        <v>#DIV/0!</v>
      </c>
    </row>
    <row r="273" spans="1:26" outlineLevel="1" x14ac:dyDescent="0.25">
      <c r="A273" s="39" t="str">
        <f t="shared" si="432"/>
        <v>SANY SET240S</v>
      </c>
      <c r="B273" s="39"/>
      <c r="D273" s="125"/>
      <c r="E273" s="124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outlineLevel="1" x14ac:dyDescent="0.25">
      <c r="A274" s="39" t="str">
        <f t="shared" si="432"/>
        <v>SANY SET240S</v>
      </c>
      <c r="B274" s="39"/>
      <c r="D274" s="127" t="s">
        <v>98</v>
      </c>
      <c r="E274" s="128" t="str">
        <f>E270</f>
        <v>руб/ткм</v>
      </c>
      <c r="F274" s="129"/>
      <c r="G274" s="130">
        <f>SUM(G275:G280)</f>
        <v>10.884674059749015</v>
      </c>
      <c r="H274" s="130">
        <f t="shared" ref="H274:I274" si="439">SUM(H275:H280)</f>
        <v>11.536277309650279</v>
      </c>
      <c r="I274" s="130">
        <f t="shared" si="439"/>
        <v>14.685704004943151</v>
      </c>
      <c r="J274" s="130">
        <f t="shared" ref="J274:Z274" si="440">SUM(J275:J280)</f>
        <v>12.111256244611146</v>
      </c>
      <c r="K274" s="130">
        <f t="shared" si="440"/>
        <v>17.562118041063798</v>
      </c>
      <c r="L274" s="130">
        <f t="shared" si="440"/>
        <v>15.038932572656263</v>
      </c>
      <c r="M274" s="130">
        <f t="shared" si="440"/>
        <v>11.839794125342516</v>
      </c>
      <c r="N274" s="130">
        <f t="shared" si="440"/>
        <v>11.670835567974494</v>
      </c>
      <c r="O274" s="130">
        <f t="shared" si="440"/>
        <v>20.268614326175758</v>
      </c>
      <c r="P274" s="130">
        <f t="shared" si="440"/>
        <v>11.122035841723891</v>
      </c>
      <c r="Q274" s="130">
        <f t="shared" si="440"/>
        <v>11.713312096158683</v>
      </c>
      <c r="R274" s="130">
        <f t="shared" si="440"/>
        <v>11.707010025660949</v>
      </c>
      <c r="S274" s="130" t="e">
        <f t="shared" si="440"/>
        <v>#DIV/0!</v>
      </c>
      <c r="T274" s="130" t="e">
        <f t="shared" si="440"/>
        <v>#DIV/0!</v>
      </c>
      <c r="U274" s="130" t="e">
        <f t="shared" si="440"/>
        <v>#DIV/0!</v>
      </c>
      <c r="V274" s="130" t="e">
        <f t="shared" si="440"/>
        <v>#DIV/0!</v>
      </c>
      <c r="W274" s="130" t="e">
        <f t="shared" si="440"/>
        <v>#DIV/0!</v>
      </c>
      <c r="X274" s="130" t="e">
        <f t="shared" si="440"/>
        <v>#DIV/0!</v>
      </c>
      <c r="Y274" s="130" t="e">
        <f t="shared" si="440"/>
        <v>#DIV/0!</v>
      </c>
      <c r="Z274" s="130" t="e">
        <f t="shared" si="440"/>
        <v>#DIV/0!</v>
      </c>
    </row>
    <row r="275" spans="1:26" outlineLevel="1" x14ac:dyDescent="0.25">
      <c r="A275" s="39" t="str">
        <f t="shared" si="432"/>
        <v>SANY SET240S</v>
      </c>
      <c r="B275" s="39"/>
      <c r="D275" s="113" t="str">
        <f>D261</f>
        <v>ТО, ТР, ППР</v>
      </c>
      <c r="E275" s="114" t="str">
        <f>E274</f>
        <v>руб/ткм</v>
      </c>
      <c r="F275" s="115"/>
      <c r="G275" s="116">
        <f>G202/G197</f>
        <v>1.1491975957247327</v>
      </c>
      <c r="H275" s="116">
        <f t="shared" ref="H275:I275" si="441">H202/H197</f>
        <v>1.7974077551878527</v>
      </c>
      <c r="I275" s="116">
        <f t="shared" si="441"/>
        <v>4.9819114573197094</v>
      </c>
      <c r="J275" s="116">
        <f t="shared" ref="J275:Z275" si="442">J202/J197</f>
        <v>2.4606870819303266</v>
      </c>
      <c r="K275" s="116">
        <f t="shared" si="442"/>
        <v>7.9017672892611266</v>
      </c>
      <c r="L275" s="116">
        <f t="shared" si="442"/>
        <v>5.5130732960845075</v>
      </c>
      <c r="M275" s="116">
        <f t="shared" si="442"/>
        <v>2.1751058687183651</v>
      </c>
      <c r="N275" s="116">
        <f t="shared" si="442"/>
        <v>2.0833924464553064</v>
      </c>
      <c r="O275" s="116">
        <f t="shared" si="442"/>
        <v>10.651867429737679</v>
      </c>
      <c r="P275" s="116">
        <f t="shared" si="442"/>
        <v>1.5264329020261882</v>
      </c>
      <c r="Q275" s="116">
        <f t="shared" si="442"/>
        <v>2.0732718799205547</v>
      </c>
      <c r="R275" s="116">
        <f t="shared" si="442"/>
        <v>2.1495898872384305</v>
      </c>
      <c r="S275" s="116" t="e">
        <f t="shared" si="442"/>
        <v>#DIV/0!</v>
      </c>
      <c r="T275" s="116" t="e">
        <f t="shared" si="442"/>
        <v>#DIV/0!</v>
      </c>
      <c r="U275" s="116" t="e">
        <f t="shared" si="442"/>
        <v>#DIV/0!</v>
      </c>
      <c r="V275" s="116" t="e">
        <f t="shared" si="442"/>
        <v>#DIV/0!</v>
      </c>
      <c r="W275" s="116" t="e">
        <f t="shared" si="442"/>
        <v>#DIV/0!</v>
      </c>
      <c r="X275" s="116" t="e">
        <f t="shared" si="442"/>
        <v>#DIV/0!</v>
      </c>
      <c r="Y275" s="116" t="e">
        <f t="shared" si="442"/>
        <v>#DIV/0!</v>
      </c>
      <c r="Z275" s="116" t="e">
        <f t="shared" si="442"/>
        <v>#DIV/0!</v>
      </c>
    </row>
    <row r="276" spans="1:26" outlineLevel="1" x14ac:dyDescent="0.25">
      <c r="A276" s="39" t="str">
        <f t="shared" si="432"/>
        <v>SANY SET240S</v>
      </c>
      <c r="B276" s="39"/>
      <c r="D276" s="113" t="str">
        <f t="shared" ref="D276:D280" si="443">D262</f>
        <v>Шины</v>
      </c>
      <c r="E276" s="114" t="str">
        <f t="shared" ref="E276:E280" si="444">E275</f>
        <v>руб/ткм</v>
      </c>
      <c r="F276" s="115"/>
      <c r="G276" s="116">
        <f>G207/G197</f>
        <v>2.1039787892831714</v>
      </c>
      <c r="H276" s="116">
        <f t="shared" ref="H276:I276" si="445">H207/H197</f>
        <v>2.1039787892831718</v>
      </c>
      <c r="I276" s="116">
        <f t="shared" si="445"/>
        <v>2.1039787892831714</v>
      </c>
      <c r="J276" s="116">
        <f t="shared" ref="J276:Z276" si="446">J207/J197</f>
        <v>2.1039787892831718</v>
      </c>
      <c r="K276" s="116">
        <f t="shared" si="446"/>
        <v>2.1039787892831714</v>
      </c>
      <c r="L276" s="116">
        <f t="shared" si="446"/>
        <v>2.1039787892831714</v>
      </c>
      <c r="M276" s="116">
        <f t="shared" si="446"/>
        <v>2.1039787892831723</v>
      </c>
      <c r="N276" s="116">
        <f t="shared" si="446"/>
        <v>2.1039787892831718</v>
      </c>
      <c r="O276" s="116">
        <f t="shared" si="446"/>
        <v>2.1039787892831718</v>
      </c>
      <c r="P276" s="116">
        <f t="shared" si="446"/>
        <v>2.1039787892831723</v>
      </c>
      <c r="Q276" s="116">
        <f t="shared" si="446"/>
        <v>2.1039787892831714</v>
      </c>
      <c r="R276" s="116">
        <f t="shared" si="446"/>
        <v>2.1039787892831714</v>
      </c>
      <c r="S276" s="116" t="e">
        <f t="shared" si="446"/>
        <v>#DIV/0!</v>
      </c>
      <c r="T276" s="116" t="e">
        <f t="shared" si="446"/>
        <v>#DIV/0!</v>
      </c>
      <c r="U276" s="116" t="e">
        <f t="shared" si="446"/>
        <v>#DIV/0!</v>
      </c>
      <c r="V276" s="116" t="e">
        <f t="shared" si="446"/>
        <v>#DIV/0!</v>
      </c>
      <c r="W276" s="116" t="e">
        <f t="shared" si="446"/>
        <v>#DIV/0!</v>
      </c>
      <c r="X276" s="116" t="e">
        <f t="shared" si="446"/>
        <v>#DIV/0!</v>
      </c>
      <c r="Y276" s="116" t="e">
        <f t="shared" si="446"/>
        <v>#DIV/0!</v>
      </c>
      <c r="Z276" s="116" t="e">
        <f t="shared" si="446"/>
        <v>#DIV/0!</v>
      </c>
    </row>
    <row r="277" spans="1:26" outlineLevel="1" x14ac:dyDescent="0.25">
      <c r="A277" s="39" t="str">
        <f t="shared" si="432"/>
        <v>SANY SET240S</v>
      </c>
      <c r="B277" s="39"/>
      <c r="D277" s="113" t="str">
        <f t="shared" si="443"/>
        <v>Топливо</v>
      </c>
      <c r="E277" s="114" t="str">
        <f t="shared" si="444"/>
        <v>руб/ткм</v>
      </c>
      <c r="F277" s="115"/>
      <c r="G277" s="116">
        <f>G211/G197</f>
        <v>5.9417027538616871</v>
      </c>
      <c r="H277" s="116">
        <f t="shared" ref="H277:I277" si="447">H211/H197</f>
        <v>5.941702753861688</v>
      </c>
      <c r="I277" s="116">
        <f t="shared" si="447"/>
        <v>5.9417027538616871</v>
      </c>
      <c r="J277" s="116">
        <f t="shared" ref="J277:Z277" si="448">J211/J197</f>
        <v>5.9417027538616871</v>
      </c>
      <c r="K277" s="116">
        <f t="shared" si="448"/>
        <v>5.9417027538616871</v>
      </c>
      <c r="L277" s="116">
        <f t="shared" si="448"/>
        <v>5.9417027538616871</v>
      </c>
      <c r="M277" s="116">
        <f t="shared" si="448"/>
        <v>5.9417027538616862</v>
      </c>
      <c r="N277" s="116">
        <f t="shared" si="448"/>
        <v>5.9417027538616871</v>
      </c>
      <c r="O277" s="116">
        <f t="shared" si="448"/>
        <v>5.941702753861688</v>
      </c>
      <c r="P277" s="116">
        <f t="shared" si="448"/>
        <v>5.9417027538616862</v>
      </c>
      <c r="Q277" s="116">
        <f t="shared" si="448"/>
        <v>5.941702753861688</v>
      </c>
      <c r="R277" s="116">
        <f t="shared" si="448"/>
        <v>5.9417027538616871</v>
      </c>
      <c r="S277" s="116" t="e">
        <f t="shared" si="448"/>
        <v>#DIV/0!</v>
      </c>
      <c r="T277" s="116" t="e">
        <f t="shared" si="448"/>
        <v>#DIV/0!</v>
      </c>
      <c r="U277" s="116" t="e">
        <f t="shared" si="448"/>
        <v>#DIV/0!</v>
      </c>
      <c r="V277" s="116" t="e">
        <f t="shared" si="448"/>
        <v>#DIV/0!</v>
      </c>
      <c r="W277" s="116" t="e">
        <f t="shared" si="448"/>
        <v>#DIV/0!</v>
      </c>
      <c r="X277" s="116" t="e">
        <f t="shared" si="448"/>
        <v>#DIV/0!</v>
      </c>
      <c r="Y277" s="116" t="e">
        <f t="shared" si="448"/>
        <v>#DIV/0!</v>
      </c>
      <c r="Z277" s="116" t="e">
        <f t="shared" si="448"/>
        <v>#DIV/0!</v>
      </c>
    </row>
    <row r="278" spans="1:26" outlineLevel="1" x14ac:dyDescent="0.25">
      <c r="A278" s="39" t="str">
        <f t="shared" si="432"/>
        <v>SANY SET240S</v>
      </c>
      <c r="B278" s="39"/>
      <c r="D278" s="113" t="str">
        <f t="shared" si="443"/>
        <v>Смазочные</v>
      </c>
      <c r="E278" s="114" t="str">
        <f t="shared" si="444"/>
        <v>руб/ткм</v>
      </c>
      <c r="F278" s="115"/>
      <c r="G278" s="116">
        <f>G216/G197</f>
        <v>0</v>
      </c>
      <c r="H278" s="116">
        <f t="shared" ref="H278:I278" si="449">H216/H197</f>
        <v>0</v>
      </c>
      <c r="I278" s="116">
        <f t="shared" si="449"/>
        <v>0</v>
      </c>
      <c r="J278" s="116">
        <f t="shared" ref="J278:Z278" si="450">J216/J197</f>
        <v>0</v>
      </c>
      <c r="K278" s="116">
        <f t="shared" si="450"/>
        <v>0</v>
      </c>
      <c r="L278" s="116">
        <f t="shared" si="450"/>
        <v>0</v>
      </c>
      <c r="M278" s="116">
        <f t="shared" si="450"/>
        <v>0</v>
      </c>
      <c r="N278" s="116">
        <f t="shared" si="450"/>
        <v>0</v>
      </c>
      <c r="O278" s="116">
        <f t="shared" si="450"/>
        <v>0</v>
      </c>
      <c r="P278" s="116">
        <f t="shared" si="450"/>
        <v>0</v>
      </c>
      <c r="Q278" s="116">
        <f t="shared" si="450"/>
        <v>0</v>
      </c>
      <c r="R278" s="116">
        <f t="shared" si="450"/>
        <v>0</v>
      </c>
      <c r="S278" s="116" t="e">
        <f t="shared" si="450"/>
        <v>#DIV/0!</v>
      </c>
      <c r="T278" s="116" t="e">
        <f t="shared" si="450"/>
        <v>#DIV/0!</v>
      </c>
      <c r="U278" s="116" t="e">
        <f t="shared" si="450"/>
        <v>#DIV/0!</v>
      </c>
      <c r="V278" s="116" t="e">
        <f t="shared" si="450"/>
        <v>#DIV/0!</v>
      </c>
      <c r="W278" s="116" t="e">
        <f t="shared" si="450"/>
        <v>#DIV/0!</v>
      </c>
      <c r="X278" s="116" t="e">
        <f t="shared" si="450"/>
        <v>#DIV/0!</v>
      </c>
      <c r="Y278" s="116" t="e">
        <f t="shared" si="450"/>
        <v>#DIV/0!</v>
      </c>
      <c r="Z278" s="116" t="e">
        <f t="shared" si="450"/>
        <v>#DIV/0!</v>
      </c>
    </row>
    <row r="279" spans="1:26" outlineLevel="1" x14ac:dyDescent="0.25">
      <c r="A279" s="39" t="str">
        <f t="shared" si="432"/>
        <v>SANY SET240S</v>
      </c>
      <c r="B279" s="39"/>
      <c r="D279" s="113" t="str">
        <f t="shared" si="443"/>
        <v>Затраты на персонал</v>
      </c>
      <c r="E279" s="114" t="str">
        <f t="shared" si="444"/>
        <v>руб/ткм</v>
      </c>
      <c r="F279" s="115"/>
      <c r="G279" s="116">
        <f>G218/G197</f>
        <v>1.6679782883859722</v>
      </c>
      <c r="H279" s="116">
        <f t="shared" ref="H279:I279" si="451">H218/H197</f>
        <v>1.6713275712554034</v>
      </c>
      <c r="I279" s="116">
        <f t="shared" si="451"/>
        <v>1.6367034372222959</v>
      </c>
      <c r="J279" s="116">
        <f t="shared" ref="J279:Z279" si="452">J218/J197</f>
        <v>1.5841672096471178</v>
      </c>
      <c r="K279" s="116">
        <f t="shared" si="452"/>
        <v>1.5938225104647303</v>
      </c>
      <c r="L279" s="116">
        <f t="shared" si="452"/>
        <v>1.4610674300189801</v>
      </c>
      <c r="M279" s="116">
        <f t="shared" si="452"/>
        <v>1.5981040145564989</v>
      </c>
      <c r="N279" s="116">
        <f t="shared" si="452"/>
        <v>1.5218561772322718</v>
      </c>
      <c r="O279" s="116">
        <f t="shared" si="452"/>
        <v>1.5507816164844008</v>
      </c>
      <c r="P279" s="116">
        <f t="shared" si="452"/>
        <v>1.5299106454939346</v>
      </c>
      <c r="Q279" s="116">
        <f t="shared" si="452"/>
        <v>1.5737742005020507</v>
      </c>
      <c r="R279" s="116">
        <f t="shared" si="452"/>
        <v>1.4922208153673162</v>
      </c>
      <c r="S279" s="116" t="e">
        <f t="shared" si="452"/>
        <v>#DIV/0!</v>
      </c>
      <c r="T279" s="116" t="e">
        <f t="shared" si="452"/>
        <v>#DIV/0!</v>
      </c>
      <c r="U279" s="116" t="e">
        <f t="shared" si="452"/>
        <v>#DIV/0!</v>
      </c>
      <c r="V279" s="116" t="e">
        <f t="shared" si="452"/>
        <v>#DIV/0!</v>
      </c>
      <c r="W279" s="116" t="e">
        <f t="shared" si="452"/>
        <v>#DIV/0!</v>
      </c>
      <c r="X279" s="116" t="e">
        <f t="shared" si="452"/>
        <v>#DIV/0!</v>
      </c>
      <c r="Y279" s="116" t="e">
        <f t="shared" si="452"/>
        <v>#DIV/0!</v>
      </c>
      <c r="Z279" s="116" t="e">
        <f t="shared" si="452"/>
        <v>#DIV/0!</v>
      </c>
    </row>
    <row r="280" spans="1:26" outlineLevel="1" x14ac:dyDescent="0.25">
      <c r="A280" s="39" t="str">
        <f t="shared" si="432"/>
        <v>SANY SET240S</v>
      </c>
      <c r="B280" s="39"/>
      <c r="D280" s="113" t="str">
        <f t="shared" si="443"/>
        <v>Транспортный налог</v>
      </c>
      <c r="E280" s="114" t="str">
        <f t="shared" si="444"/>
        <v>руб/ткм</v>
      </c>
      <c r="F280" s="115"/>
      <c r="G280" s="116">
        <f>G222/G197</f>
        <v>2.1816632493451123E-2</v>
      </c>
      <c r="H280" s="116">
        <f t="shared" ref="H280:I280" si="453">H222/H197</f>
        <v>2.1860440062163363E-2</v>
      </c>
      <c r="I280" s="116">
        <f t="shared" si="453"/>
        <v>2.1407567256285748E-2</v>
      </c>
      <c r="J280" s="116">
        <f t="shared" ref="J280:Z280" si="454">J222/J197</f>
        <v>2.0720409888842394E-2</v>
      </c>
      <c r="K280" s="116">
        <f t="shared" si="454"/>
        <v>2.0846698193083695E-2</v>
      </c>
      <c r="L280" s="116">
        <f t="shared" si="454"/>
        <v>1.9110303407917716E-2</v>
      </c>
      <c r="M280" s="116">
        <f t="shared" si="454"/>
        <v>2.0902698922793256E-2</v>
      </c>
      <c r="N280" s="116">
        <f t="shared" si="454"/>
        <v>1.9905401142057289E-2</v>
      </c>
      <c r="O280" s="116">
        <f t="shared" si="454"/>
        <v>2.0283736808815872E-2</v>
      </c>
      <c r="P280" s="116">
        <f t="shared" si="454"/>
        <v>2.0010751058910762E-2</v>
      </c>
      <c r="Q280" s="116">
        <f t="shared" si="454"/>
        <v>2.0584472591218206E-2</v>
      </c>
      <c r="R280" s="116">
        <f t="shared" si="454"/>
        <v>1.9517779910342214E-2</v>
      </c>
      <c r="S280" s="116" t="e">
        <f t="shared" si="454"/>
        <v>#DIV/0!</v>
      </c>
      <c r="T280" s="116" t="e">
        <f t="shared" si="454"/>
        <v>#DIV/0!</v>
      </c>
      <c r="U280" s="116" t="e">
        <f t="shared" si="454"/>
        <v>#DIV/0!</v>
      </c>
      <c r="V280" s="116" t="e">
        <f t="shared" si="454"/>
        <v>#DIV/0!</v>
      </c>
      <c r="W280" s="116" t="e">
        <f t="shared" si="454"/>
        <v>#DIV/0!</v>
      </c>
      <c r="X280" s="116" t="e">
        <f t="shared" si="454"/>
        <v>#DIV/0!</v>
      </c>
      <c r="Y280" s="116" t="e">
        <f t="shared" si="454"/>
        <v>#DIV/0!</v>
      </c>
      <c r="Z280" s="116" t="e">
        <f t="shared" si="454"/>
        <v>#DIV/0!</v>
      </c>
    </row>
    <row r="281" spans="1:26" outlineLevel="1" x14ac:dyDescent="0.25">
      <c r="A281" s="39" t="str">
        <f t="shared" si="432"/>
        <v>SANY SET240S</v>
      </c>
      <c r="B281" s="39"/>
      <c r="D281" s="121"/>
      <c r="E281" s="12"/>
      <c r="F281" s="122"/>
      <c r="G281" s="131">
        <f>G274-(G201-G227)/G197</f>
        <v>0</v>
      </c>
      <c r="H281" s="131">
        <f t="shared" ref="H281:I281" si="455">H274-(H201-H227)/H197</f>
        <v>0</v>
      </c>
      <c r="I281" s="131">
        <f t="shared" si="455"/>
        <v>0</v>
      </c>
      <c r="J281" s="131">
        <f t="shared" ref="J281:Z281" si="456">J274-(J201-J227)/J197</f>
        <v>0</v>
      </c>
      <c r="K281" s="131">
        <f t="shared" si="456"/>
        <v>0</v>
      </c>
      <c r="L281" s="131">
        <f t="shared" si="456"/>
        <v>0</v>
      </c>
      <c r="M281" s="131">
        <f t="shared" si="456"/>
        <v>0</v>
      </c>
      <c r="N281" s="131">
        <f t="shared" si="456"/>
        <v>0</v>
      </c>
      <c r="O281" s="131">
        <f t="shared" si="456"/>
        <v>0</v>
      </c>
      <c r="P281" s="131">
        <f t="shared" si="456"/>
        <v>0</v>
      </c>
      <c r="Q281" s="131">
        <f t="shared" si="456"/>
        <v>0</v>
      </c>
      <c r="R281" s="131">
        <f t="shared" si="456"/>
        <v>0</v>
      </c>
      <c r="S281" s="131" t="e">
        <f t="shared" si="456"/>
        <v>#DIV/0!</v>
      </c>
      <c r="T281" s="131" t="e">
        <f t="shared" si="456"/>
        <v>#DIV/0!</v>
      </c>
      <c r="U281" s="131" t="e">
        <f t="shared" si="456"/>
        <v>#DIV/0!</v>
      </c>
      <c r="V281" s="131" t="e">
        <f t="shared" si="456"/>
        <v>#DIV/0!</v>
      </c>
      <c r="W281" s="131" t="e">
        <f t="shared" si="456"/>
        <v>#DIV/0!</v>
      </c>
      <c r="X281" s="131" t="e">
        <f t="shared" si="456"/>
        <v>#DIV/0!</v>
      </c>
      <c r="Y281" s="131" t="e">
        <f t="shared" si="456"/>
        <v>#DIV/0!</v>
      </c>
      <c r="Z281" s="131" t="e">
        <f t="shared" si="456"/>
        <v>#DIV/0!</v>
      </c>
    </row>
    <row r="282" spans="1:26" outlineLevel="1" x14ac:dyDescent="0.25">
      <c r="A282" s="2" t="s">
        <v>45</v>
      </c>
    </row>
    <row r="283" spans="1:26" x14ac:dyDescent="0.25">
      <c r="A283" s="2" t="s">
        <v>45</v>
      </c>
    </row>
    <row r="284" spans="1:26" ht="14.3" x14ac:dyDescent="0.25">
      <c r="A284" s="2" t="s">
        <v>45</v>
      </c>
      <c r="C284" s="57" t="e">
        <f>SUM(F334:Z334,F346:Z346,F365:Z365,AA318)</f>
        <v>#DIV/0!</v>
      </c>
      <c r="D284" s="58" t="str">
        <f>Свод!I23</f>
        <v>TZCO TZE240</v>
      </c>
      <c r="E284" s="59">
        <f>SUMIFS(Производительность!$Y$55:$Y$71,Производительность!$C$55:$C$71,$D284)</f>
        <v>8</v>
      </c>
      <c r="F284" s="60" t="str">
        <f>$F$2</f>
        <v>лет</v>
      </c>
    </row>
    <row r="285" spans="1:26" outlineLevel="1" x14ac:dyDescent="0.25">
      <c r="A285" s="2" t="s">
        <v>45</v>
      </c>
    </row>
    <row r="286" spans="1:26" outlineLevel="1" x14ac:dyDescent="0.25">
      <c r="A286" s="61" t="str">
        <f>D284</f>
        <v>TZCO TZE240</v>
      </c>
      <c r="D286" s="62" t="str">
        <f>D$1</f>
        <v>Показатель</v>
      </c>
      <c r="E286" s="62" t="str">
        <f t="shared" ref="E286:Z286" si="457">E$1</f>
        <v>Ед. изм.</v>
      </c>
      <c r="F286" s="62">
        <f t="shared" si="457"/>
        <v>0</v>
      </c>
      <c r="G286" s="62">
        <f t="shared" si="457"/>
        <v>1</v>
      </c>
      <c r="H286" s="62">
        <f t="shared" si="457"/>
        <v>2</v>
      </c>
      <c r="I286" s="62">
        <f t="shared" si="457"/>
        <v>3</v>
      </c>
      <c r="J286" s="62">
        <f t="shared" si="457"/>
        <v>4</v>
      </c>
      <c r="K286" s="62">
        <f t="shared" si="457"/>
        <v>5</v>
      </c>
      <c r="L286" s="62">
        <f t="shared" si="457"/>
        <v>6</v>
      </c>
      <c r="M286" s="62">
        <f t="shared" si="457"/>
        <v>7</v>
      </c>
      <c r="N286" s="62">
        <f t="shared" si="457"/>
        <v>8</v>
      </c>
      <c r="O286" s="62">
        <f t="shared" si="457"/>
        <v>9</v>
      </c>
      <c r="P286" s="62">
        <f t="shared" si="457"/>
        <v>10</v>
      </c>
      <c r="Q286" s="62">
        <f t="shared" si="457"/>
        <v>11</v>
      </c>
      <c r="R286" s="62">
        <f t="shared" si="457"/>
        <v>12</v>
      </c>
      <c r="S286" s="62">
        <f t="shared" si="457"/>
        <v>13</v>
      </c>
      <c r="T286" s="62">
        <f t="shared" si="457"/>
        <v>14</v>
      </c>
      <c r="U286" s="62">
        <f t="shared" si="457"/>
        <v>15</v>
      </c>
      <c r="V286" s="62">
        <f t="shared" si="457"/>
        <v>16</v>
      </c>
      <c r="W286" s="62">
        <f t="shared" si="457"/>
        <v>17</v>
      </c>
      <c r="X286" s="62">
        <f t="shared" si="457"/>
        <v>18</v>
      </c>
      <c r="Y286" s="62">
        <f t="shared" si="457"/>
        <v>19</v>
      </c>
      <c r="Z286" s="62">
        <f t="shared" si="457"/>
        <v>20</v>
      </c>
    </row>
    <row r="287" spans="1:26" outlineLevel="1" x14ac:dyDescent="0.25">
      <c r="A287" s="39" t="str">
        <f>A286</f>
        <v>TZCO TZE240</v>
      </c>
      <c r="B287" s="39"/>
      <c r="D287" s="63" t="s">
        <v>50</v>
      </c>
      <c r="E287" s="64" t="s">
        <v>51</v>
      </c>
      <c r="F287" s="65"/>
      <c r="G287" s="66">
        <f>SUMIFS(Производительность!E$55:E$71,Производительность!$C$55:$C$71,$A287)</f>
        <v>0.90962709284627086</v>
      </c>
      <c r="H287" s="66">
        <f>SUMIFS(Производительность!F$55:F$71,Производительность!$C$55:$C$71,$A287)</f>
        <v>0.88376775748351089</v>
      </c>
      <c r="I287" s="66">
        <f>SUMIFS(Производительность!G$55:G$71,Производительность!$C$55:$C$71,$A287)</f>
        <v>0.77400431253170976</v>
      </c>
      <c r="J287" s="66">
        <f>SUMIFS(Производительность!H$55:H$71,Производительность!$C$55:$C$71,$A287)</f>
        <v>0.88376775748351089</v>
      </c>
      <c r="K287" s="66">
        <f>SUMIFS(Производительность!I$55:I$71,Производительность!$C$55:$C$71,$A287)</f>
        <v>0.90962709284627086</v>
      </c>
      <c r="L287" s="66">
        <f>SUMIFS(Производительность!J$55:J$71,Производительность!$C$55:$C$71,$A287)</f>
        <v>0.74814497716894979</v>
      </c>
      <c r="M287" s="66">
        <f>SUMIFS(Производительность!K$55:K$71,Производительность!$C$55:$C$71,$A287)</f>
        <v>0.90962709284627086</v>
      </c>
      <c r="N287" s="66">
        <f>SUMIFS(Производительность!L$55:L$71,Производительность!$C$55:$C$71,$A287)</f>
        <v>0.88376775748351089</v>
      </c>
      <c r="O287" s="66">
        <f>SUMIFS(Производительность!M$55:M$71,Производительность!$C$55:$C$71,$A287)</f>
        <v>0</v>
      </c>
      <c r="P287" s="66">
        <f>SUMIFS(Производительность!N$55:N$71,Производительность!$C$55:$C$71,$A287)</f>
        <v>0</v>
      </c>
      <c r="Q287" s="66">
        <f>SUMIFS(Производительность!O$55:O$71,Производительность!$C$55:$C$71,$A287)</f>
        <v>0</v>
      </c>
      <c r="R287" s="66">
        <f>SUMIFS(Производительность!P$55:P$71,Производительность!$C$55:$C$71,$A287)</f>
        <v>0</v>
      </c>
      <c r="S287" s="66">
        <f>SUMIFS(Производительность!Q$55:Q$71,Производительность!$C$55:$C$71,$A287)</f>
        <v>0</v>
      </c>
      <c r="T287" s="66">
        <f>SUMIFS(Производительность!R$55:R$71,Производительность!$C$55:$C$71,$A287)</f>
        <v>0</v>
      </c>
      <c r="U287" s="66">
        <f>SUMIFS(Производительность!S$55:S$71,Производительность!$C$55:$C$71,$A287)</f>
        <v>0</v>
      </c>
      <c r="V287" s="66">
        <f>SUMIFS(Производительность!T$55:T$71,Производительность!$C$55:$C$71,$A287)</f>
        <v>0</v>
      </c>
      <c r="W287" s="66">
        <f>SUMIFS(Производительность!U$55:U$71,Производительность!$C$55:$C$71,$A287)</f>
        <v>0</v>
      </c>
      <c r="X287" s="66">
        <f>SUMIFS(Производительность!V$55:V$71,Производительность!$C$55:$C$71,$A287)</f>
        <v>0</v>
      </c>
      <c r="Y287" s="66">
        <f>SUMIFS(Производительность!W$55:W$71,Производительность!$C$55:$C$71,$A287)</f>
        <v>0</v>
      </c>
      <c r="Z287" s="66">
        <f>SUMIFS(Производительность!X$55:X$71,Производительность!$C$55:$C$71,$A287)</f>
        <v>0</v>
      </c>
    </row>
    <row r="288" spans="1:26" outlineLevel="1" x14ac:dyDescent="0.25">
      <c r="A288" s="39" t="str">
        <f t="shared" ref="A288:A351" si="458">A287</f>
        <v>TZCO TZE240</v>
      </c>
      <c r="B288" s="39"/>
      <c r="D288" s="63" t="s">
        <v>52</v>
      </c>
      <c r="E288" s="64" t="str">
        <f>E287</f>
        <v>%</v>
      </c>
      <c r="F288" s="65"/>
      <c r="G288" s="66">
        <f>SUMIFS(Производительность!E$119:E$135,Производительность!$C$119:$C$135,$A288)</f>
        <v>0.7802829666173865</v>
      </c>
      <c r="H288" s="66">
        <f>SUMIFS(Производительность!F$119:F$135,Производительность!$C$119:$C$135,$A288)</f>
        <v>0.75810069096806354</v>
      </c>
      <c r="I288" s="66">
        <f>SUMIFS(Производительность!G$119:G$135,Производительность!$C$119:$C$135,$A288)</f>
        <v>0.66923193778625445</v>
      </c>
      <c r="J288" s="66">
        <f>SUMIFS(Производительность!H$119:H$135,Производительность!$C$119:$C$135,$A288)</f>
        <v>0.76413735597819687</v>
      </c>
      <c r="K288" s="66">
        <f>SUMIFS(Производительность!I$119:I$135,Производительность!$C$119:$C$135,$A288)</f>
        <v>0.78649626643191017</v>
      </c>
      <c r="L288" s="66">
        <f>SUMIFS(Производительность!J$119:J$135,Производительность!$C$119:$C$135,$A288)</f>
        <v>0.64687302733254115</v>
      </c>
      <c r="M288" s="66">
        <f>SUMIFS(Производительность!K$119:K$135,Производительность!$C$119:$C$135,$A288)</f>
        <v>0.78649626643191017</v>
      </c>
      <c r="N288" s="66">
        <f>SUMIFS(Производительность!L$119:L$135,Производительность!$C$119:$C$135,$A288)</f>
        <v>0.76413735597819687</v>
      </c>
      <c r="O288" s="66">
        <f>SUMIFS(Производительность!M$119:M$135,Производительность!$C$119:$C$135,$A288)</f>
        <v>0</v>
      </c>
      <c r="P288" s="66">
        <f>SUMIFS(Производительность!N$119:N$135,Производительность!$C$119:$C$135,$A288)</f>
        <v>0</v>
      </c>
      <c r="Q288" s="66">
        <f>SUMIFS(Производительность!O$119:O$135,Производительность!$C$119:$C$135,$A288)</f>
        <v>0</v>
      </c>
      <c r="R288" s="66">
        <f>SUMIFS(Производительность!P$119:P$135,Производительность!$C$119:$C$135,$A288)</f>
        <v>0</v>
      </c>
      <c r="S288" s="66">
        <f>SUMIFS(Производительность!Q$119:Q$135,Производительность!$C$119:$C$135,$A288)</f>
        <v>0</v>
      </c>
      <c r="T288" s="66">
        <f>SUMIFS(Производительность!R$119:R$135,Производительность!$C$119:$C$135,$A288)</f>
        <v>0</v>
      </c>
      <c r="U288" s="66">
        <f>SUMIFS(Производительность!S$119:S$135,Производительность!$C$119:$C$135,$A288)</f>
        <v>0</v>
      </c>
      <c r="V288" s="66">
        <f>SUMIFS(Производительность!T$119:T$135,Производительность!$C$119:$C$135,$A288)</f>
        <v>0</v>
      </c>
      <c r="W288" s="66">
        <f>SUMIFS(Производительность!U$119:U$135,Производительность!$C$119:$C$135,$A288)</f>
        <v>0</v>
      </c>
      <c r="X288" s="66">
        <f>SUMIFS(Производительность!V$119:V$135,Производительность!$C$119:$C$135,$A288)</f>
        <v>0</v>
      </c>
      <c r="Y288" s="66">
        <f>SUMIFS(Производительность!W$119:W$135,Производительность!$C$119:$C$135,$A288)</f>
        <v>0</v>
      </c>
      <c r="Z288" s="66">
        <f>SUMIFS(Производительность!X$119:X$135,Производительность!$C$119:$C$135,$A288)</f>
        <v>0</v>
      </c>
    </row>
    <row r="289" spans="1:28" outlineLevel="1" x14ac:dyDescent="0.25">
      <c r="A289" s="39" t="str">
        <f t="shared" si="458"/>
        <v>TZCO TZE240</v>
      </c>
      <c r="B289" s="39"/>
      <c r="D289" s="67" t="s">
        <v>53</v>
      </c>
      <c r="E289" s="68" t="s">
        <v>23</v>
      </c>
      <c r="F289" s="69"/>
      <c r="G289" s="69">
        <f>SUMIFS(Производительность!E$247:E$263,Производительность!$C$247:$C$263,$A289)</f>
        <v>3634.86890018759</v>
      </c>
      <c r="H289" s="69">
        <f>SUMIFS(Производительность!F$247:F$263,Производительность!$C$247:$C$263,$A289)</f>
        <v>3295.5485993194488</v>
      </c>
      <c r="I289" s="69">
        <f>SUMIFS(Производительность!G$247:G$263,Производительность!$C$247:$C$263,$A289)</f>
        <v>2558.7657740499935</v>
      </c>
      <c r="J289" s="69">
        <f>SUMIFS(Производительность!H$247:H$263,Производительность!$C$247:$C$263,$A289)</f>
        <v>2996.7227710095394</v>
      </c>
      <c r="K289" s="69">
        <f>SUMIFS(Производительность!I$247:I$263,Производительность!$C$247:$C$263,$A289)</f>
        <v>2653.626107736553</v>
      </c>
      <c r="L289" s="69">
        <f>SUMIFS(Производительность!J$247:J$263,Производительность!$C$247:$C$263,$A289)</f>
        <v>2005.845577164705</v>
      </c>
      <c r="M289" s="69">
        <f>SUMIFS(Производительность!K$247:K$263,Производительность!$C$247:$C$263,$A289)</f>
        <v>2820.1707912742022</v>
      </c>
      <c r="N289" s="69">
        <f>SUMIFS(Производительность!L$247:L$263,Производительность!$C$247:$C$263,$A289)</f>
        <v>2691.8968217955075</v>
      </c>
      <c r="O289" s="69">
        <f>SUMIFS(Производительность!M$247:M$263,Производительность!$C$247:$C$263,$A289)</f>
        <v>0</v>
      </c>
      <c r="P289" s="69">
        <f>SUMIFS(Производительность!N$247:N$263,Производительность!$C$247:$C$263,$A289)</f>
        <v>0</v>
      </c>
      <c r="Q289" s="69">
        <f>SUMIFS(Производительность!O$247:O$263,Производительность!$C$247:$C$263,$A289)</f>
        <v>0</v>
      </c>
      <c r="R289" s="69">
        <f>SUMIFS(Производительность!P$247:P$263,Производительность!$C$247:$C$263,$A289)</f>
        <v>0</v>
      </c>
      <c r="S289" s="69">
        <f>SUMIFS(Производительность!Q$247:Q$263,Производительность!$C$247:$C$263,$A289)</f>
        <v>0</v>
      </c>
      <c r="T289" s="69">
        <f>SUMIFS(Производительность!R$247:R$263,Производительность!$C$247:$C$263,$A289)</f>
        <v>0</v>
      </c>
      <c r="U289" s="69">
        <f>SUMIFS(Производительность!S$247:S$263,Производительность!$C$247:$C$263,$A289)</f>
        <v>0</v>
      </c>
      <c r="V289" s="69">
        <f>SUMIFS(Производительность!T$247:T$263,Производительность!$C$247:$C$263,$A289)</f>
        <v>0</v>
      </c>
      <c r="W289" s="69">
        <f>SUMIFS(Производительность!U$247:U$263,Производительность!$C$247:$C$263,$A289)</f>
        <v>0</v>
      </c>
      <c r="X289" s="69">
        <f>SUMIFS(Производительность!V$247:V$263,Производительность!$C$247:$C$263,$A289)</f>
        <v>0</v>
      </c>
      <c r="Y289" s="69">
        <f>SUMIFS(Производительность!W$247:W$263,Производительность!$C$247:$C$263,$A289)</f>
        <v>0</v>
      </c>
      <c r="Z289" s="69">
        <f>SUMIFS(Производительность!X$247:X$263,Производительность!$C$247:$C$263,$A289)</f>
        <v>0</v>
      </c>
    </row>
    <row r="290" spans="1:28" outlineLevel="1" x14ac:dyDescent="0.25">
      <c r="A290" s="39" t="str">
        <f t="shared" si="458"/>
        <v>TZCO TZE240</v>
      </c>
      <c r="B290" s="39"/>
      <c r="D290" s="67" t="s">
        <v>54</v>
      </c>
      <c r="E290" s="68" t="s">
        <v>24</v>
      </c>
      <c r="F290" s="69"/>
      <c r="G290" s="69">
        <f>SUMIFS(Производительность!E$263:E$279,Производительность!$C$263:$C$279,$A290)</f>
        <v>11048.489749270471</v>
      </c>
      <c r="H290" s="69">
        <f>SUMIFS(Производительность!F$263:F$279,Производительность!$C$263:$C$279,$A290)</f>
        <v>11105.415595578439</v>
      </c>
      <c r="I290" s="69">
        <f>SUMIFS(Производительность!G$263:G$279,Производительность!$C$263:$C$279,$A290)</f>
        <v>10354.571243415245</v>
      </c>
      <c r="J290" s="69">
        <f>SUMIFS(Производительность!H$263:H$279,Производительность!$C$263:$C$279,$A290)</f>
        <v>11704.918422088471</v>
      </c>
      <c r="K290" s="69">
        <f>SUMIFS(Производительность!I$263:I$279,Производительность!$C$263:$C$279,$A290)</f>
        <v>12724.683265495025</v>
      </c>
      <c r="L290" s="69">
        <f>SUMIFS(Производительность!J$263:J$279,Производительность!$C$263:$C$279,$A290)</f>
        <v>10743.524107549531</v>
      </c>
      <c r="M290" s="69">
        <f>SUMIFS(Производительность!K$263:K$279,Производительность!$C$263:$C$279,$A290)</f>
        <v>12462.841714037135</v>
      </c>
      <c r="N290" s="69">
        <f>SUMIFS(Производительность!L$263:L$279,Производительность!$C$263:$C$279,$A290)</f>
        <v>12184.165779442772</v>
      </c>
      <c r="O290" s="69">
        <f>SUMIFS(Производительность!M$263:M$279,Производительность!$C$263:$C$279,$A290)</f>
        <v>0</v>
      </c>
      <c r="P290" s="69">
        <f>SUMIFS(Производительность!N$263:N$279,Производительность!$C$263:$C$279,$A290)</f>
        <v>0</v>
      </c>
      <c r="Q290" s="69">
        <f>SUMIFS(Производительность!O$263:O$279,Производительность!$C$263:$C$279,$A290)</f>
        <v>0</v>
      </c>
      <c r="R290" s="69">
        <f>SUMIFS(Производительность!P$263:P$279,Производительность!$C$263:$C$279,$A290)</f>
        <v>0</v>
      </c>
      <c r="S290" s="69">
        <f>SUMIFS(Производительность!Q$263:Q$279,Производительность!$C$263:$C$279,$A290)</f>
        <v>0</v>
      </c>
      <c r="T290" s="69">
        <f>SUMIFS(Производительность!R$263:R$279,Производительность!$C$263:$C$279,$A290)</f>
        <v>0</v>
      </c>
      <c r="U290" s="69">
        <f>SUMIFS(Производительность!S$263:S$279,Производительность!$C$263:$C$279,$A290)</f>
        <v>0</v>
      </c>
      <c r="V290" s="69">
        <f>SUMIFS(Производительность!T$263:T$279,Производительность!$C$263:$C$279,$A290)</f>
        <v>0</v>
      </c>
      <c r="W290" s="69">
        <f>SUMIFS(Производительность!U$263:U$279,Производительность!$C$263:$C$279,$A290)</f>
        <v>0</v>
      </c>
      <c r="X290" s="69">
        <f>SUMIFS(Производительность!V$263:V$279,Производительность!$C$263:$C$279,$A290)</f>
        <v>0</v>
      </c>
      <c r="Y290" s="69">
        <f>SUMIFS(Производительность!W$263:W$279,Производительность!$C$263:$C$279,$A290)</f>
        <v>0</v>
      </c>
      <c r="Z290" s="69">
        <f>SUMIFS(Производительность!X$263:X$279,Производительность!$C$263:$C$279,$A290)</f>
        <v>0</v>
      </c>
    </row>
    <row r="291" spans="1:28" outlineLevel="1" x14ac:dyDescent="0.25">
      <c r="A291" s="39" t="str">
        <f t="shared" si="458"/>
        <v>TZCO TZE240</v>
      </c>
      <c r="B291" s="39"/>
      <c r="D291" s="70" t="s">
        <v>55</v>
      </c>
      <c r="E291" s="64" t="str">
        <f>E290</f>
        <v>тыс. ткм</v>
      </c>
      <c r="F291" s="65"/>
      <c r="G291" s="530">
        <f>G290</f>
        <v>11048.489749270471</v>
      </c>
      <c r="H291" s="65">
        <f>IF(H286&gt;$E284,0,G291+H290)</f>
        <v>22153.90534484891</v>
      </c>
      <c r="I291" s="65">
        <f t="shared" ref="I291" si="459">IF(I286&gt;$E284,0,H291+I290)</f>
        <v>32508.476588264155</v>
      </c>
      <c r="J291" s="65">
        <f t="shared" ref="J291" si="460">IF(J286&gt;$E284,0,I291+J290)</f>
        <v>44213.395010352629</v>
      </c>
      <c r="K291" s="65">
        <f t="shared" ref="K291" si="461">IF(K286&gt;$E284,0,J291+K290)</f>
        <v>56938.078275847656</v>
      </c>
      <c r="L291" s="65">
        <f t="shared" ref="L291" si="462">IF(L286&gt;$E284,0,K291+L290)</f>
        <v>67681.602383397185</v>
      </c>
      <c r="M291" s="65">
        <f t="shared" ref="M291" si="463">IF(M286&gt;$E284,0,L291+M290)</f>
        <v>80144.444097434316</v>
      </c>
      <c r="N291" s="65">
        <f t="shared" ref="N291" si="464">IF(N286&gt;$E284,0,M291+N290)</f>
        <v>92328.60987687709</v>
      </c>
      <c r="O291" s="65">
        <f t="shared" ref="O291" si="465">IF(O286&gt;$E284,0,N291+O290)</f>
        <v>0</v>
      </c>
      <c r="P291" s="65">
        <f t="shared" ref="P291" si="466">IF(P286&gt;$E284,0,O291+P290)</f>
        <v>0</v>
      </c>
      <c r="Q291" s="65">
        <f t="shared" ref="Q291" si="467">IF(Q286&gt;$E284,0,P291+Q290)</f>
        <v>0</v>
      </c>
      <c r="R291" s="65">
        <f t="shared" ref="R291" si="468">IF(R286&gt;$E284,0,Q291+R290)</f>
        <v>0</v>
      </c>
      <c r="S291" s="65">
        <f t="shared" ref="S291" si="469">IF(S286&gt;$E284,0,R291+S290)</f>
        <v>0</v>
      </c>
      <c r="T291" s="65">
        <f t="shared" ref="T291" si="470">IF(T286&gt;$E284,0,S291+T290)</f>
        <v>0</v>
      </c>
      <c r="U291" s="65">
        <f t="shared" ref="U291" si="471">IF(U286&gt;$E284,0,T291+U290)</f>
        <v>0</v>
      </c>
      <c r="V291" s="65">
        <f t="shared" ref="V291" si="472">IF(V286&gt;$E284,0,U291+V290)</f>
        <v>0</v>
      </c>
      <c r="W291" s="65">
        <f t="shared" ref="W291" si="473">IF(W286&gt;$E284,0,V291+W290)</f>
        <v>0</v>
      </c>
      <c r="X291" s="65">
        <f t="shared" ref="X291" si="474">IF(X286&gt;$E284,0,W291+X290)</f>
        <v>0</v>
      </c>
      <c r="Y291" s="65">
        <f t="shared" ref="Y291" si="475">IF(Y286&gt;$E284,0,X291+Y290)</f>
        <v>0</v>
      </c>
      <c r="Z291" s="65">
        <f t="shared" ref="Z291" si="476">IF(Z286&gt;$E284,0,Y291+Z290)</f>
        <v>0</v>
      </c>
    </row>
    <row r="292" spans="1:28" outlineLevel="1" x14ac:dyDescent="0.25">
      <c r="A292" s="39" t="str">
        <f t="shared" si="458"/>
        <v>TZCO TZE240</v>
      </c>
      <c r="B292" s="39"/>
      <c r="D292" s="63" t="s">
        <v>56</v>
      </c>
      <c r="E292" s="64" t="s">
        <v>57</v>
      </c>
      <c r="F292" s="65"/>
      <c r="G292" s="65">
        <f>SUMIFS(Производительность!E$279:E$295,Производительность!$C$279:$C$295,$A292)/1000</f>
        <v>101.18384565097169</v>
      </c>
      <c r="H292" s="65">
        <f>SUMIFS(Производительность!F$279:F$295,Производительность!$C$279:$C$295,$A292)/1000</f>
        <v>101.70518170477548</v>
      </c>
      <c r="I292" s="65">
        <f>SUMIFS(Производительность!G$279:G$295,Производительность!$C$279:$C$295,$A292)/1000</f>
        <v>94.828828396650209</v>
      </c>
      <c r="J292" s="65">
        <f>SUMIFS(Производительность!H$279:H$295,Производительность!$C$279:$C$295,$A292)/1000</f>
        <v>107.19552498621063</v>
      </c>
      <c r="K292" s="65">
        <f>SUMIFS(Производительность!I$279:I$295,Производительность!$C$279:$C$295,$A292)/1000</f>
        <v>116.53469539385385</v>
      </c>
      <c r="L292" s="65">
        <f>SUMIFS(Производительность!J$279:J$295,Производительность!$C$279:$C$295,$A292)/1000</f>
        <v>98.390921267548279</v>
      </c>
      <c r="M292" s="65">
        <f>SUMIFS(Производительность!K$279:K$295,Производительность!$C$279:$C$295,$A292)/1000</f>
        <v>114.13670836313995</v>
      </c>
      <c r="N292" s="65">
        <f>SUMIFS(Производительность!L$279:L$295,Производительность!$C$279:$C$295,$A292)/1000</f>
        <v>111.58454934480005</v>
      </c>
      <c r="O292" s="65">
        <f>SUMIFS(Производительность!M$279:M$295,Производительность!$C$279:$C$295,$A292)/1000</f>
        <v>0</v>
      </c>
      <c r="P292" s="65">
        <f>SUMIFS(Производительность!N$279:N$295,Производительность!$C$279:$C$295,$A292)/1000</f>
        <v>0</v>
      </c>
      <c r="Q292" s="65">
        <f>SUMIFS(Производительность!O$279:O$295,Производительность!$C$279:$C$295,$A292)/1000</f>
        <v>0</v>
      </c>
      <c r="R292" s="65">
        <f>SUMIFS(Производительность!P$279:P$295,Производительность!$C$279:$C$295,$A292)/1000</f>
        <v>0</v>
      </c>
      <c r="S292" s="65">
        <f>SUMIFS(Производительность!Q$279:Q$295,Производительность!$C$279:$C$295,$A292)/1000</f>
        <v>0</v>
      </c>
      <c r="T292" s="65">
        <f>SUMIFS(Производительность!R$279:R$295,Производительность!$C$279:$C$295,$A292)/1000</f>
        <v>0</v>
      </c>
      <c r="U292" s="65">
        <f>SUMIFS(Производительность!S$279:S$295,Производительность!$C$279:$C$295,$A292)/1000</f>
        <v>0</v>
      </c>
      <c r="V292" s="65">
        <f>SUMIFS(Производительность!T$279:T$295,Производительность!$C$279:$C$295,$A292)/1000</f>
        <v>0</v>
      </c>
      <c r="W292" s="65">
        <f>SUMIFS(Производительность!U$279:U$295,Производительность!$C$279:$C$295,$A292)/1000</f>
        <v>0</v>
      </c>
      <c r="X292" s="65">
        <f>SUMIFS(Производительность!V$279:V$295,Производительность!$C$279:$C$295,$A292)/1000</f>
        <v>0</v>
      </c>
      <c r="Y292" s="65">
        <f>SUMIFS(Производительность!W$279:W$295,Производительность!$C$279:$C$295,$A292)/1000</f>
        <v>0</v>
      </c>
      <c r="Z292" s="65">
        <f>SUMIFS(Производительность!X$279:X$295,Производительность!$C$279:$C$295,$A292)/1000</f>
        <v>0</v>
      </c>
    </row>
    <row r="293" spans="1:28" outlineLevel="1" x14ac:dyDescent="0.25">
      <c r="A293" s="39" t="str">
        <f t="shared" si="458"/>
        <v>TZCO TZE240</v>
      </c>
      <c r="B293" s="39"/>
      <c r="D293" s="31"/>
      <c r="E293" s="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8" outlineLevel="1" x14ac:dyDescent="0.25">
      <c r="A294" s="39" t="str">
        <f t="shared" si="458"/>
        <v>TZCO TZE240</v>
      </c>
      <c r="B294" s="39"/>
      <c r="D294" s="71" t="s">
        <v>58</v>
      </c>
      <c r="E294" s="72" t="s">
        <v>33</v>
      </c>
      <c r="F294" s="73">
        <f>F319+F320-F318</f>
        <v>0</v>
      </c>
      <c r="G294" s="73">
        <f t="shared" ref="G294:I294" si="477">G319+G320-G318</f>
        <v>98659.647607992229</v>
      </c>
      <c r="H294" s="73">
        <f t="shared" si="477"/>
        <v>122280.67095405566</v>
      </c>
      <c r="I294" s="73">
        <f t="shared" si="477"/>
        <v>206248.77567327739</v>
      </c>
      <c r="J294" s="73">
        <f t="shared" ref="J294:Z294" si="478">J319+J320-J318</f>
        <v>125727.84955729041</v>
      </c>
      <c r="K294" s="73">
        <f t="shared" si="478"/>
        <v>108297.86475810499</v>
      </c>
      <c r="L294" s="73">
        <f t="shared" si="478"/>
        <v>231778.97505810898</v>
      </c>
      <c r="M294" s="73">
        <f t="shared" si="478"/>
        <v>106792.2595237178</v>
      </c>
      <c r="N294" s="73">
        <f t="shared" si="478"/>
        <v>128483.55172060768</v>
      </c>
      <c r="O294" s="73">
        <f t="shared" si="478"/>
        <v>0</v>
      </c>
      <c r="P294" s="73">
        <f t="shared" si="478"/>
        <v>0</v>
      </c>
      <c r="Q294" s="73">
        <f t="shared" si="478"/>
        <v>0</v>
      </c>
      <c r="R294" s="73">
        <f t="shared" si="478"/>
        <v>0</v>
      </c>
      <c r="S294" s="73">
        <f t="shared" si="478"/>
        <v>0</v>
      </c>
      <c r="T294" s="73">
        <f t="shared" si="478"/>
        <v>0</v>
      </c>
      <c r="U294" s="73">
        <f t="shared" si="478"/>
        <v>0</v>
      </c>
      <c r="V294" s="73">
        <f t="shared" si="478"/>
        <v>0</v>
      </c>
      <c r="W294" s="73">
        <f t="shared" si="478"/>
        <v>0</v>
      </c>
      <c r="X294" s="73">
        <f t="shared" si="478"/>
        <v>0</v>
      </c>
      <c r="Y294" s="73">
        <f t="shared" si="478"/>
        <v>0</v>
      </c>
      <c r="Z294" s="73">
        <f t="shared" si="478"/>
        <v>0</v>
      </c>
    </row>
    <row r="295" spans="1:28" outlineLevel="1" x14ac:dyDescent="0.25">
      <c r="A295" s="39" t="str">
        <f t="shared" si="458"/>
        <v>TZCO TZE240</v>
      </c>
      <c r="B295" s="39"/>
      <c r="C295" s="619" t="str">
        <f>D295</f>
        <v>ТО, ТР, ППР</v>
      </c>
      <c r="D295" s="430" t="s">
        <v>59</v>
      </c>
      <c r="E295" s="68" t="str">
        <f>E294</f>
        <v>тыс. руб.</v>
      </c>
      <c r="F295" s="74"/>
      <c r="G295" s="455">
        <f>(G296+G297+G298)*'ФОТ, МТР, макро'!AK$7</f>
        <v>28152.094687399087</v>
      </c>
      <c r="H295" s="455">
        <f>(H296+H297+H298)*'ФОТ, МТР, макро'!AL$7</f>
        <v>59210.356264924085</v>
      </c>
      <c r="I295" s="455">
        <f>(I296+I297+I298)*'ФОТ, МТР, макро'!AM$7</f>
        <v>176924.36496357413</v>
      </c>
      <c r="J295" s="455">
        <f>(J296+J297+J298)*'ФОТ, МТР, макро'!AN$7</f>
        <v>59210.356264924085</v>
      </c>
      <c r="K295" s="455">
        <f>(K296+K297+K298)*'ФОТ, МТР, макро'!AO$7</f>
        <v>28152.094687399087</v>
      </c>
      <c r="L295" s="455">
        <f>(L296+L297+L298)*'ФОТ, МТР, макро'!AP$7</f>
        <v>207982.62654109913</v>
      </c>
      <c r="M295" s="455">
        <f>(M296+M297+M298)*'ФОТ, МТР, макро'!AQ$7</f>
        <v>28152.094687399087</v>
      </c>
      <c r="N295" s="455">
        <f>(N296+N297+N298)*'ФОТ, МТР, макро'!AR$7</f>
        <v>59210.356264924085</v>
      </c>
      <c r="O295" s="455"/>
      <c r="P295" s="455"/>
      <c r="Q295" s="455"/>
      <c r="R295" s="455"/>
      <c r="S295" s="455"/>
      <c r="T295" s="455"/>
      <c r="U295" s="455"/>
      <c r="V295" s="455"/>
      <c r="W295" s="455"/>
      <c r="X295" s="455"/>
      <c r="Y295" s="455"/>
      <c r="Z295" s="455"/>
      <c r="AB295" s="76">
        <f>SUM(F295:Z295,F309:Z309)/E284</f>
        <v>80874.293045205355</v>
      </c>
    </row>
    <row r="296" spans="1:28" outlineLevel="1" x14ac:dyDescent="0.25">
      <c r="A296" s="39" t="str">
        <f t="shared" si="458"/>
        <v>TZCO TZE240</v>
      </c>
      <c r="B296" s="39"/>
      <c r="D296" s="427" t="s">
        <v>60</v>
      </c>
      <c r="E296" s="428" t="s">
        <v>35</v>
      </c>
      <c r="F296" s="30"/>
      <c r="G296" s="456">
        <f>TZCO!E19</f>
        <v>217.03172441558436</v>
      </c>
      <c r="H296" s="456">
        <f>TZCO!F19</f>
        <v>217.03172441558436</v>
      </c>
      <c r="I296" s="456">
        <f>TZCO!G19</f>
        <v>217.03172441558436</v>
      </c>
      <c r="J296" s="456">
        <f>TZCO!H19</f>
        <v>217.03172441558436</v>
      </c>
      <c r="K296" s="456">
        <f>TZCO!I19</f>
        <v>217.03172441558436</v>
      </c>
      <c r="L296" s="456">
        <f>TZCO!J19</f>
        <v>217.03172441558436</v>
      </c>
      <c r="M296" s="456">
        <f>TZCO!K19</f>
        <v>217.03172441558436</v>
      </c>
      <c r="N296" s="456">
        <f>TZCO!L19</f>
        <v>217.03172441558436</v>
      </c>
      <c r="O296" s="456"/>
      <c r="P296" s="456"/>
      <c r="Q296" s="456"/>
      <c r="R296" s="456"/>
      <c r="S296" s="456"/>
      <c r="T296" s="456"/>
      <c r="U296" s="456"/>
      <c r="V296" s="456"/>
      <c r="W296" s="456"/>
      <c r="X296" s="456"/>
      <c r="Y296" s="456"/>
      <c r="Z296" s="456"/>
    </row>
    <row r="297" spans="1:28" outlineLevel="1" x14ac:dyDescent="0.25">
      <c r="A297" s="39" t="str">
        <f t="shared" si="458"/>
        <v>TZCO TZE240</v>
      </c>
      <c r="B297" s="39"/>
      <c r="D297" s="427" t="s">
        <v>61</v>
      </c>
      <c r="E297" s="428" t="s">
        <v>35</v>
      </c>
      <c r="F297" s="30"/>
      <c r="G297" s="456">
        <f>TZCO!E20+TZCO!E21</f>
        <v>29.680199999999999</v>
      </c>
      <c r="H297" s="456">
        <f>TZCO!F20+TZCO!F21</f>
        <v>124.80164999999998</v>
      </c>
      <c r="I297" s="456">
        <f>TZCO!G20+TZCO!G21</f>
        <v>1479.0217500000003</v>
      </c>
      <c r="J297" s="456">
        <f>TZCO!H20+TZCO!H21</f>
        <v>124.80164999999998</v>
      </c>
      <c r="K297" s="456">
        <f>TZCO!I20+TZCO!I21</f>
        <v>29.680199999999999</v>
      </c>
      <c r="L297" s="456">
        <f>TZCO!J20+TZCO!J21</f>
        <v>1574.1432000000002</v>
      </c>
      <c r="M297" s="456">
        <f>TZCO!K20+TZCO!K21</f>
        <v>29.680199999999999</v>
      </c>
      <c r="N297" s="456">
        <f>TZCO!L20+TZCO!L21</f>
        <v>124.80164999999998</v>
      </c>
      <c r="O297" s="456"/>
      <c r="P297" s="456"/>
      <c r="Q297" s="456"/>
      <c r="R297" s="456"/>
      <c r="S297" s="456"/>
      <c r="T297" s="456"/>
      <c r="U297" s="456"/>
      <c r="V297" s="456"/>
      <c r="W297" s="456"/>
      <c r="X297" s="456"/>
      <c r="Y297" s="456"/>
      <c r="Z297" s="456"/>
    </row>
    <row r="298" spans="1:28" outlineLevel="1" x14ac:dyDescent="0.25">
      <c r="A298" s="39" t="str">
        <f t="shared" si="458"/>
        <v>TZCO TZE240</v>
      </c>
      <c r="B298" s="39"/>
      <c r="D298" s="427" t="s">
        <v>62</v>
      </c>
      <c r="E298" s="428" t="s">
        <v>35</v>
      </c>
      <c r="F298" s="30"/>
      <c r="G298" s="456">
        <f>TZCO!E22+TZCO!E23</f>
        <v>52.623999999999995</v>
      </c>
      <c r="H298" s="456">
        <f>TZCO!F22+TZCO!F23</f>
        <v>287.73919999999998</v>
      </c>
      <c r="I298" s="456">
        <f>TZCO!G22+TZCO!G23</f>
        <v>185.15</v>
      </c>
      <c r="J298" s="456">
        <f>TZCO!H22+TZCO!H23</f>
        <v>287.73919999999998</v>
      </c>
      <c r="K298" s="456">
        <f>TZCO!I22+TZCO!I23</f>
        <v>52.623999999999995</v>
      </c>
      <c r="L298" s="456">
        <f>TZCO!J22+TZCO!J23</f>
        <v>420.26519999999994</v>
      </c>
      <c r="M298" s="456">
        <f>TZCO!K22+TZCO!K23</f>
        <v>52.623999999999995</v>
      </c>
      <c r="N298" s="456">
        <f>TZCO!L22+TZCO!L23</f>
        <v>287.73919999999998</v>
      </c>
      <c r="O298" s="456"/>
      <c r="P298" s="456"/>
      <c r="Q298" s="456"/>
      <c r="R298" s="456"/>
      <c r="S298" s="456"/>
      <c r="T298" s="456"/>
      <c r="U298" s="456"/>
      <c r="V298" s="456"/>
      <c r="W298" s="456"/>
      <c r="X298" s="456"/>
      <c r="Y298" s="456"/>
      <c r="Z298" s="456"/>
    </row>
    <row r="299" spans="1:28" outlineLevel="1" x14ac:dyDescent="0.25">
      <c r="A299" s="39" t="str">
        <f t="shared" si="458"/>
        <v>TZCO TZE240</v>
      </c>
      <c r="B299" s="39"/>
      <c r="D299" s="80" t="s">
        <v>63</v>
      </c>
      <c r="E299" s="81"/>
      <c r="F299" s="82"/>
      <c r="G299" s="83" t="e">
        <f>G295/$F323</f>
        <v>#DIV/0!</v>
      </c>
      <c r="H299" s="83" t="e">
        <f t="shared" ref="H299:I299" si="479">H295/$F323</f>
        <v>#DIV/0!</v>
      </c>
      <c r="I299" s="83" t="e">
        <f t="shared" si="479"/>
        <v>#DIV/0!</v>
      </c>
      <c r="J299" s="83" t="e">
        <f t="shared" ref="J299:Z299" si="480">J295/$F323</f>
        <v>#DIV/0!</v>
      </c>
      <c r="K299" s="83" t="e">
        <f t="shared" si="480"/>
        <v>#DIV/0!</v>
      </c>
      <c r="L299" s="83" t="e">
        <f t="shared" si="480"/>
        <v>#DIV/0!</v>
      </c>
      <c r="M299" s="83" t="e">
        <f t="shared" si="480"/>
        <v>#DIV/0!</v>
      </c>
      <c r="N299" s="83" t="e">
        <f t="shared" si="480"/>
        <v>#DIV/0!</v>
      </c>
      <c r="O299" s="83" t="e">
        <f t="shared" si="480"/>
        <v>#DIV/0!</v>
      </c>
      <c r="P299" s="83" t="e">
        <f t="shared" si="480"/>
        <v>#DIV/0!</v>
      </c>
      <c r="Q299" s="83" t="e">
        <f t="shared" si="480"/>
        <v>#DIV/0!</v>
      </c>
      <c r="R299" s="83" t="e">
        <f t="shared" si="480"/>
        <v>#DIV/0!</v>
      </c>
      <c r="S299" s="83" t="e">
        <f t="shared" si="480"/>
        <v>#DIV/0!</v>
      </c>
      <c r="T299" s="83" t="e">
        <f t="shared" si="480"/>
        <v>#DIV/0!</v>
      </c>
      <c r="U299" s="83" t="e">
        <f t="shared" si="480"/>
        <v>#DIV/0!</v>
      </c>
      <c r="V299" s="83" t="e">
        <f t="shared" si="480"/>
        <v>#DIV/0!</v>
      </c>
      <c r="W299" s="83" t="e">
        <f t="shared" si="480"/>
        <v>#DIV/0!</v>
      </c>
      <c r="X299" s="83" t="e">
        <f t="shared" si="480"/>
        <v>#DIV/0!</v>
      </c>
      <c r="Y299" s="83" t="e">
        <f t="shared" si="480"/>
        <v>#DIV/0!</v>
      </c>
      <c r="Z299" s="83" t="e">
        <f t="shared" si="480"/>
        <v>#DIV/0!</v>
      </c>
      <c r="AA299" s="84" t="e">
        <f>SUM(F295:Z295)/$F323</f>
        <v>#DIV/0!</v>
      </c>
    </row>
    <row r="300" spans="1:28" outlineLevel="1" x14ac:dyDescent="0.25">
      <c r="A300" s="39" t="str">
        <f t="shared" si="458"/>
        <v>TZCO TZE240</v>
      </c>
      <c r="B300" s="39"/>
      <c r="D300" s="67" t="s">
        <v>39</v>
      </c>
      <c r="E300" s="68" t="str">
        <f>E294</f>
        <v>тыс. руб.</v>
      </c>
      <c r="F300" s="74"/>
      <c r="G300" s="85">
        <f>G302*G303</f>
        <v>19059.163913342145</v>
      </c>
      <c r="H300" s="85">
        <f t="shared" ref="H300:I300" si="481">H302*H303</f>
        <v>19157.363672794421</v>
      </c>
      <c r="I300" s="85">
        <f t="shared" si="481"/>
        <v>17862.121888076254</v>
      </c>
      <c r="J300" s="85">
        <f t="shared" ref="J300:Z300" si="482">J302*J303</f>
        <v>20191.534215218198</v>
      </c>
      <c r="K300" s="85">
        <f t="shared" si="482"/>
        <v>21950.67648213595</v>
      </c>
      <c r="L300" s="85">
        <f t="shared" si="482"/>
        <v>18533.083853044245</v>
      </c>
      <c r="M300" s="85">
        <f t="shared" si="482"/>
        <v>21498.987503659122</v>
      </c>
      <c r="N300" s="85">
        <f t="shared" si="482"/>
        <v>21018.258423334952</v>
      </c>
      <c r="O300" s="85">
        <f t="shared" si="482"/>
        <v>0</v>
      </c>
      <c r="P300" s="85">
        <f t="shared" si="482"/>
        <v>0</v>
      </c>
      <c r="Q300" s="85">
        <f t="shared" si="482"/>
        <v>0</v>
      </c>
      <c r="R300" s="85">
        <f t="shared" si="482"/>
        <v>0</v>
      </c>
      <c r="S300" s="85">
        <f t="shared" si="482"/>
        <v>0</v>
      </c>
      <c r="T300" s="85">
        <f t="shared" si="482"/>
        <v>0</v>
      </c>
      <c r="U300" s="85">
        <f t="shared" si="482"/>
        <v>0</v>
      </c>
      <c r="V300" s="85">
        <f t="shared" si="482"/>
        <v>0</v>
      </c>
      <c r="W300" s="85">
        <f t="shared" si="482"/>
        <v>0</v>
      </c>
      <c r="X300" s="85">
        <f t="shared" si="482"/>
        <v>0</v>
      </c>
      <c r="Y300" s="85">
        <f t="shared" si="482"/>
        <v>0</v>
      </c>
      <c r="Z300" s="85">
        <f t="shared" si="482"/>
        <v>0</v>
      </c>
    </row>
    <row r="301" spans="1:28" outlineLevel="1" x14ac:dyDescent="0.25">
      <c r="A301" s="39" t="str">
        <f t="shared" si="458"/>
        <v>TZCO TZE240</v>
      </c>
      <c r="B301" s="39"/>
      <c r="D301" s="31" t="s">
        <v>64</v>
      </c>
      <c r="E301" s="9" t="s">
        <v>65</v>
      </c>
      <c r="F301" s="86">
        <f>SUMIFS('ФОТ, МТР, макро'!$Z$4:$Z$20,'ФОТ, МТР, макро'!$W$4:$W$20,$A301)</f>
        <v>7.4999999999999997E-2</v>
      </c>
      <c r="G301" s="87">
        <f>F301</f>
        <v>7.4999999999999997E-2</v>
      </c>
      <c r="H301" s="87">
        <f t="shared" ref="H301:I301" si="483">G301</f>
        <v>7.4999999999999997E-2</v>
      </c>
      <c r="I301" s="87">
        <f t="shared" si="483"/>
        <v>7.4999999999999997E-2</v>
      </c>
      <c r="J301" s="87">
        <f t="shared" ref="J301" si="484">I301</f>
        <v>7.4999999999999997E-2</v>
      </c>
      <c r="K301" s="87">
        <f t="shared" ref="K301" si="485">J301</f>
        <v>7.4999999999999997E-2</v>
      </c>
      <c r="L301" s="87">
        <f t="shared" ref="L301" si="486">K301</f>
        <v>7.4999999999999997E-2</v>
      </c>
      <c r="M301" s="87">
        <f t="shared" ref="M301" si="487">L301</f>
        <v>7.4999999999999997E-2</v>
      </c>
      <c r="N301" s="87">
        <f t="shared" ref="N301" si="488">M301</f>
        <v>7.4999999999999997E-2</v>
      </c>
      <c r="O301" s="87">
        <f t="shared" ref="O301" si="489">N301</f>
        <v>7.4999999999999997E-2</v>
      </c>
      <c r="P301" s="87">
        <f t="shared" ref="P301" si="490">O301</f>
        <v>7.4999999999999997E-2</v>
      </c>
      <c r="Q301" s="87">
        <f t="shared" ref="Q301" si="491">P301</f>
        <v>7.4999999999999997E-2</v>
      </c>
      <c r="R301" s="87">
        <f t="shared" ref="R301" si="492">Q301</f>
        <v>7.4999999999999997E-2</v>
      </c>
      <c r="S301" s="87">
        <f t="shared" ref="S301" si="493">R301</f>
        <v>7.4999999999999997E-2</v>
      </c>
      <c r="T301" s="87">
        <f t="shared" ref="T301" si="494">S301</f>
        <v>7.4999999999999997E-2</v>
      </c>
      <c r="U301" s="87">
        <f t="shared" ref="U301" si="495">T301</f>
        <v>7.4999999999999997E-2</v>
      </c>
      <c r="V301" s="87">
        <f t="shared" ref="V301" si="496">U301</f>
        <v>7.4999999999999997E-2</v>
      </c>
      <c r="W301" s="87">
        <f t="shared" ref="W301" si="497">V301</f>
        <v>7.4999999999999997E-2</v>
      </c>
      <c r="X301" s="87">
        <f t="shared" ref="X301" si="498">W301</f>
        <v>7.4999999999999997E-2</v>
      </c>
      <c r="Y301" s="87">
        <f t="shared" ref="Y301" si="499">X301</f>
        <v>7.4999999999999997E-2</v>
      </c>
      <c r="Z301" s="87">
        <f t="shared" ref="Z301" si="500">Y301</f>
        <v>7.4999999999999997E-2</v>
      </c>
    </row>
    <row r="302" spans="1:28" outlineLevel="1" x14ac:dyDescent="0.25">
      <c r="A302" s="39" t="str">
        <f t="shared" si="458"/>
        <v>TZCO TZE240</v>
      </c>
      <c r="B302" s="39"/>
      <c r="D302" s="31" t="s">
        <v>66</v>
      </c>
      <c r="E302" s="9" t="s">
        <v>67</v>
      </c>
      <c r="F302" s="74"/>
      <c r="G302" s="78">
        <f>G292*G301</f>
        <v>7.5887884238228764</v>
      </c>
      <c r="H302" s="78">
        <f t="shared" ref="H302:I302" si="501">H292*H301</f>
        <v>7.6278886278581606</v>
      </c>
      <c r="I302" s="78">
        <f t="shared" si="501"/>
        <v>7.1121621297487652</v>
      </c>
      <c r="J302" s="78">
        <f t="shared" ref="J302:Z302" si="502">J292*J301</f>
        <v>8.0396643739657971</v>
      </c>
      <c r="K302" s="78">
        <f t="shared" si="502"/>
        <v>8.7401021545390378</v>
      </c>
      <c r="L302" s="78">
        <f t="shared" si="502"/>
        <v>7.3793190950661209</v>
      </c>
      <c r="M302" s="78">
        <f t="shared" si="502"/>
        <v>8.5602531272354963</v>
      </c>
      <c r="N302" s="78">
        <f t="shared" si="502"/>
        <v>8.3688412008600039</v>
      </c>
      <c r="O302" s="78">
        <f t="shared" si="502"/>
        <v>0</v>
      </c>
      <c r="P302" s="78">
        <f t="shared" si="502"/>
        <v>0</v>
      </c>
      <c r="Q302" s="78">
        <f t="shared" si="502"/>
        <v>0</v>
      </c>
      <c r="R302" s="78">
        <f t="shared" si="502"/>
        <v>0</v>
      </c>
      <c r="S302" s="78">
        <f t="shared" si="502"/>
        <v>0</v>
      </c>
      <c r="T302" s="78">
        <f t="shared" si="502"/>
        <v>0</v>
      </c>
      <c r="U302" s="78">
        <f t="shared" si="502"/>
        <v>0</v>
      </c>
      <c r="V302" s="78">
        <f t="shared" si="502"/>
        <v>0</v>
      </c>
      <c r="W302" s="78">
        <f t="shared" si="502"/>
        <v>0</v>
      </c>
      <c r="X302" s="78">
        <f t="shared" si="502"/>
        <v>0</v>
      </c>
      <c r="Y302" s="78">
        <f t="shared" si="502"/>
        <v>0</v>
      </c>
      <c r="Z302" s="78">
        <f t="shared" si="502"/>
        <v>0</v>
      </c>
      <c r="AA302" s="88">
        <f>SUM(F292:Z292)*F301-SUM(F302:Z302)</f>
        <v>0</v>
      </c>
    </row>
    <row r="303" spans="1:28" outlineLevel="1" x14ac:dyDescent="0.25">
      <c r="A303" s="39" t="str">
        <f t="shared" si="458"/>
        <v>TZCO TZE240</v>
      </c>
      <c r="B303" s="39"/>
      <c r="D303" s="31" t="s">
        <v>68</v>
      </c>
      <c r="E303" s="9" t="s">
        <v>69</v>
      </c>
      <c r="F303" s="78">
        <f>SUMIFS('ФОТ, МТР, макро'!$AA$4:$AA$20,'ФОТ, МТР, макро'!$W$4:$W$20,$A303)</f>
        <v>2511.4896936000005</v>
      </c>
      <c r="G303" s="89">
        <f>F303</f>
        <v>2511.4896936000005</v>
      </c>
      <c r="H303" s="89">
        <f t="shared" ref="H303:I303" si="503">G303</f>
        <v>2511.4896936000005</v>
      </c>
      <c r="I303" s="89">
        <f t="shared" si="503"/>
        <v>2511.4896936000005</v>
      </c>
      <c r="J303" s="89">
        <f t="shared" ref="J303" si="504">I303</f>
        <v>2511.4896936000005</v>
      </c>
      <c r="K303" s="89">
        <f t="shared" ref="K303" si="505">J303</f>
        <v>2511.4896936000005</v>
      </c>
      <c r="L303" s="89">
        <f t="shared" ref="L303" si="506">K303</f>
        <v>2511.4896936000005</v>
      </c>
      <c r="M303" s="89">
        <f t="shared" ref="M303" si="507">L303</f>
        <v>2511.4896936000005</v>
      </c>
      <c r="N303" s="89">
        <f t="shared" ref="N303" si="508">M303</f>
        <v>2511.4896936000005</v>
      </c>
      <c r="O303" s="89">
        <f t="shared" ref="O303" si="509">N303</f>
        <v>2511.4896936000005</v>
      </c>
      <c r="P303" s="89">
        <f t="shared" ref="P303" si="510">O303</f>
        <v>2511.4896936000005</v>
      </c>
      <c r="Q303" s="89">
        <f t="shared" ref="Q303" si="511">P303</f>
        <v>2511.4896936000005</v>
      </c>
      <c r="R303" s="89">
        <f t="shared" ref="R303" si="512">Q303</f>
        <v>2511.4896936000005</v>
      </c>
      <c r="S303" s="89">
        <f t="shared" ref="S303" si="513">R303</f>
        <v>2511.4896936000005</v>
      </c>
      <c r="T303" s="89">
        <f t="shared" ref="T303" si="514">S303</f>
        <v>2511.4896936000005</v>
      </c>
      <c r="U303" s="89">
        <f t="shared" ref="U303" si="515">T303</f>
        <v>2511.4896936000005</v>
      </c>
      <c r="V303" s="89">
        <f t="shared" ref="V303" si="516">U303</f>
        <v>2511.4896936000005</v>
      </c>
      <c r="W303" s="89">
        <f t="shared" ref="W303" si="517">V303</f>
        <v>2511.4896936000005</v>
      </c>
      <c r="X303" s="89">
        <f t="shared" ref="X303" si="518">W303</f>
        <v>2511.4896936000005</v>
      </c>
      <c r="Y303" s="89">
        <f t="shared" ref="Y303" si="519">X303</f>
        <v>2511.4896936000005</v>
      </c>
      <c r="Z303" s="89">
        <f t="shared" ref="Z303" si="520">Y303</f>
        <v>2511.4896936000005</v>
      </c>
    </row>
    <row r="304" spans="1:28" outlineLevel="1" x14ac:dyDescent="0.25">
      <c r="A304" s="39" t="str">
        <f t="shared" si="458"/>
        <v>TZCO TZE240</v>
      </c>
      <c r="B304" s="39"/>
      <c r="D304" s="67" t="s">
        <v>70</v>
      </c>
      <c r="E304" s="68" t="str">
        <f>E294</f>
        <v>тыс. руб.</v>
      </c>
      <c r="F304" s="89"/>
      <c r="G304" s="85">
        <f>G307*G308</f>
        <v>65646.841969252986</v>
      </c>
      <c r="H304" s="85">
        <f t="shared" ref="H304:I304" si="521">H307*H308</f>
        <v>65985.078427026936</v>
      </c>
      <c r="I304" s="85">
        <f t="shared" si="521"/>
        <v>61523.784472057399</v>
      </c>
      <c r="J304" s="85">
        <f t="shared" ref="J304:Z304" si="522">J307*J308</f>
        <v>69547.146022249479</v>
      </c>
      <c r="K304" s="85">
        <f t="shared" si="522"/>
        <v>75606.285600609524</v>
      </c>
      <c r="L304" s="85">
        <f t="shared" si="522"/>
        <v>63834.82677600647</v>
      </c>
      <c r="M304" s="85">
        <f t="shared" si="522"/>
        <v>74050.500933236748</v>
      </c>
      <c r="N304" s="85">
        <f t="shared" si="522"/>
        <v>72394.691365222447</v>
      </c>
      <c r="O304" s="85">
        <f t="shared" si="522"/>
        <v>0</v>
      </c>
      <c r="P304" s="85">
        <f t="shared" si="522"/>
        <v>0</v>
      </c>
      <c r="Q304" s="85">
        <f t="shared" si="522"/>
        <v>0</v>
      </c>
      <c r="R304" s="85">
        <f t="shared" si="522"/>
        <v>0</v>
      </c>
      <c r="S304" s="85">
        <f t="shared" si="522"/>
        <v>0</v>
      </c>
      <c r="T304" s="85">
        <f t="shared" si="522"/>
        <v>0</v>
      </c>
      <c r="U304" s="85">
        <f t="shared" si="522"/>
        <v>0</v>
      </c>
      <c r="V304" s="85">
        <f t="shared" si="522"/>
        <v>0</v>
      </c>
      <c r="W304" s="85">
        <f t="shared" si="522"/>
        <v>0</v>
      </c>
      <c r="X304" s="85">
        <f t="shared" si="522"/>
        <v>0</v>
      </c>
      <c r="Y304" s="85">
        <f t="shared" si="522"/>
        <v>0</v>
      </c>
      <c r="Z304" s="85">
        <f t="shared" si="522"/>
        <v>0</v>
      </c>
    </row>
    <row r="305" spans="1:28" outlineLevel="1" x14ac:dyDescent="0.25">
      <c r="A305" s="39" t="str">
        <f t="shared" si="458"/>
        <v>TZCO TZE240</v>
      </c>
      <c r="B305" s="39"/>
      <c r="D305" s="31" t="s">
        <v>64</v>
      </c>
      <c r="E305" s="77" t="str">
        <f>VLOOKUP($A305,'ФОТ, МТР, макро'!$N$4:$Q$20,4,FALSE)</f>
        <v>г/ткм</v>
      </c>
      <c r="F305" s="90">
        <f>IF($E305="г/ткм",SUMIFS('ФОТ, МТР, макро'!$O$4:$O$20,'ФОТ, МТР, макро'!$N$4:$N$20,$A305),SUMIFS('ФОТ, МТР, макро'!$P$4:$P$20,'ФОТ, МТР, макро'!$N$4:$N$20,$A305))</f>
        <v>90</v>
      </c>
      <c r="G305" s="91">
        <f>F305</f>
        <v>90</v>
      </c>
      <c r="H305" s="91">
        <f t="shared" ref="H305:I305" si="523">G305</f>
        <v>90</v>
      </c>
      <c r="I305" s="91">
        <f t="shared" si="523"/>
        <v>90</v>
      </c>
      <c r="J305" s="91">
        <f t="shared" ref="J305" si="524">I305</f>
        <v>90</v>
      </c>
      <c r="K305" s="91">
        <f t="shared" ref="K305" si="525">J305</f>
        <v>90</v>
      </c>
      <c r="L305" s="91">
        <f t="shared" ref="L305" si="526">K305</f>
        <v>90</v>
      </c>
      <c r="M305" s="91">
        <f t="shared" ref="M305" si="527">L305</f>
        <v>90</v>
      </c>
      <c r="N305" s="91">
        <f t="shared" ref="N305" si="528">M305</f>
        <v>90</v>
      </c>
      <c r="O305" s="91">
        <f t="shared" ref="O305" si="529">N305</f>
        <v>90</v>
      </c>
      <c r="P305" s="91">
        <f t="shared" ref="P305" si="530">O305</f>
        <v>90</v>
      </c>
      <c r="Q305" s="91">
        <f t="shared" ref="Q305" si="531">P305</f>
        <v>90</v>
      </c>
      <c r="R305" s="91">
        <f t="shared" ref="R305" si="532">Q305</f>
        <v>90</v>
      </c>
      <c r="S305" s="91">
        <f t="shared" ref="S305" si="533">R305</f>
        <v>90</v>
      </c>
      <c r="T305" s="91">
        <f t="shared" ref="T305" si="534">S305</f>
        <v>90</v>
      </c>
      <c r="U305" s="91">
        <f t="shared" ref="U305" si="535">T305</f>
        <v>90</v>
      </c>
      <c r="V305" s="91">
        <f t="shared" ref="V305" si="536">U305</f>
        <v>90</v>
      </c>
      <c r="W305" s="91">
        <f t="shared" ref="W305" si="537">V305</f>
        <v>90</v>
      </c>
      <c r="X305" s="91">
        <f t="shared" ref="X305" si="538">W305</f>
        <v>90</v>
      </c>
      <c r="Y305" s="91">
        <f t="shared" ref="Y305" si="539">X305</f>
        <v>90</v>
      </c>
      <c r="Z305" s="91">
        <f t="shared" ref="Z305" si="540">Y305</f>
        <v>90</v>
      </c>
    </row>
    <row r="306" spans="1:28" outlineLevel="1" x14ac:dyDescent="0.25">
      <c r="A306" s="39" t="str">
        <f t="shared" si="458"/>
        <v>TZCO TZE240</v>
      </c>
      <c r="B306" s="39"/>
      <c r="D306" s="93" t="s">
        <v>71</v>
      </c>
      <c r="E306" s="94" t="str">
        <f>IF(E305='ФОТ, МТР, макро'!$O$4,'ФОТ, МТР, макро'!$P$4,'ФОТ, МТР, макро'!$O$4)</f>
        <v>л/час</v>
      </c>
      <c r="F306" s="95"/>
      <c r="G306" s="96">
        <f>IF($E305="г/ткм",G307*1000/(365*24*G288),G307/G290*1000)</f>
        <v>145.47527735706208</v>
      </c>
      <c r="H306" s="96">
        <f t="shared" ref="H306:I306" si="541">IF($E305="г/ткм",H307*1000/(365*24*H288),H307/H290*1000)</f>
        <v>150.50340532642767</v>
      </c>
      <c r="I306" s="96">
        <f t="shared" si="541"/>
        <v>158.96220019006671</v>
      </c>
      <c r="J306" s="96">
        <f t="shared" ref="J306:Z306" si="542">IF($E305="г/ткм",J307*1000/(365*24*J288),J307/J290*1000)</f>
        <v>157.37486231372222</v>
      </c>
      <c r="K306" s="96">
        <f t="shared" si="542"/>
        <v>166.22208245352758</v>
      </c>
      <c r="L306" s="96">
        <f t="shared" si="542"/>
        <v>170.63421672255745</v>
      </c>
      <c r="M306" s="96">
        <f t="shared" si="542"/>
        <v>162.8016556304714</v>
      </c>
      <c r="N306" s="96">
        <f t="shared" si="542"/>
        <v>163.81843450774278</v>
      </c>
      <c r="O306" s="96" t="e">
        <f t="shared" si="542"/>
        <v>#DIV/0!</v>
      </c>
      <c r="P306" s="96" t="e">
        <f t="shared" si="542"/>
        <v>#DIV/0!</v>
      </c>
      <c r="Q306" s="96" t="e">
        <f t="shared" si="542"/>
        <v>#DIV/0!</v>
      </c>
      <c r="R306" s="96" t="e">
        <f t="shared" si="542"/>
        <v>#DIV/0!</v>
      </c>
      <c r="S306" s="96" t="e">
        <f t="shared" si="542"/>
        <v>#DIV/0!</v>
      </c>
      <c r="T306" s="96" t="e">
        <f t="shared" si="542"/>
        <v>#DIV/0!</v>
      </c>
      <c r="U306" s="96" t="e">
        <f t="shared" si="542"/>
        <v>#DIV/0!</v>
      </c>
      <c r="V306" s="96" t="e">
        <f t="shared" si="542"/>
        <v>#DIV/0!</v>
      </c>
      <c r="W306" s="96" t="e">
        <f t="shared" si="542"/>
        <v>#DIV/0!</v>
      </c>
      <c r="X306" s="96" t="e">
        <f t="shared" si="542"/>
        <v>#DIV/0!</v>
      </c>
      <c r="Y306" s="96" t="e">
        <f t="shared" si="542"/>
        <v>#DIV/0!</v>
      </c>
      <c r="Z306" s="96" t="e">
        <f t="shared" si="542"/>
        <v>#DIV/0!</v>
      </c>
    </row>
    <row r="307" spans="1:28" outlineLevel="1" x14ac:dyDescent="0.25">
      <c r="A307" s="39" t="str">
        <f t="shared" si="458"/>
        <v>TZCO TZE240</v>
      </c>
      <c r="B307" s="39"/>
      <c r="D307" s="31" t="s">
        <v>66</v>
      </c>
      <c r="E307" s="9" t="s">
        <v>11</v>
      </c>
      <c r="F307" s="89"/>
      <c r="G307" s="78">
        <f>IF($E305="г/ткм",G290*G305/1000,365*24*G288*G305*0.85/1000)</f>
        <v>994.36407743434245</v>
      </c>
      <c r="H307" s="78">
        <f t="shared" ref="H307:I307" si="543">IF($E305="г/ткм",H290*H305/1000,365*24*H288*H305*0.85/1000)</f>
        <v>999.48740360205943</v>
      </c>
      <c r="I307" s="78">
        <f t="shared" si="543"/>
        <v>931.9114119073721</v>
      </c>
      <c r="J307" s="78">
        <f t="shared" ref="J307:Z307" si="544">IF($E305="г/ткм",J290*J305/1000,365*24*J288*J305*0.85/1000)</f>
        <v>1053.4426579879625</v>
      </c>
      <c r="K307" s="78">
        <f t="shared" si="544"/>
        <v>1145.2214938945524</v>
      </c>
      <c r="L307" s="78">
        <f t="shared" si="544"/>
        <v>966.91716967945774</v>
      </c>
      <c r="M307" s="78">
        <f t="shared" si="544"/>
        <v>1121.655754263342</v>
      </c>
      <c r="N307" s="78">
        <f t="shared" si="544"/>
        <v>1096.5749201498495</v>
      </c>
      <c r="O307" s="78">
        <f t="shared" si="544"/>
        <v>0</v>
      </c>
      <c r="P307" s="78">
        <f t="shared" si="544"/>
        <v>0</v>
      </c>
      <c r="Q307" s="78">
        <f t="shared" si="544"/>
        <v>0</v>
      </c>
      <c r="R307" s="78">
        <f t="shared" si="544"/>
        <v>0</v>
      </c>
      <c r="S307" s="78">
        <f t="shared" si="544"/>
        <v>0</v>
      </c>
      <c r="T307" s="78">
        <f t="shared" si="544"/>
        <v>0</v>
      </c>
      <c r="U307" s="78">
        <f t="shared" si="544"/>
        <v>0</v>
      </c>
      <c r="V307" s="78">
        <f t="shared" si="544"/>
        <v>0</v>
      </c>
      <c r="W307" s="78">
        <f t="shared" si="544"/>
        <v>0</v>
      </c>
      <c r="X307" s="78">
        <f t="shared" si="544"/>
        <v>0</v>
      </c>
      <c r="Y307" s="78">
        <f t="shared" si="544"/>
        <v>0</v>
      </c>
      <c r="Z307" s="78">
        <f t="shared" si="544"/>
        <v>0</v>
      </c>
    </row>
    <row r="308" spans="1:28" outlineLevel="1" x14ac:dyDescent="0.25">
      <c r="A308" s="39" t="str">
        <f t="shared" si="458"/>
        <v>TZCO TZE240</v>
      </c>
      <c r="B308" s="39"/>
      <c r="D308" s="31" t="s">
        <v>68</v>
      </c>
      <c r="E308" s="9" t="s">
        <v>72</v>
      </c>
      <c r="F308" s="78">
        <f>'ФОТ, МТР, макро'!$G$2</f>
        <v>66.018919487352079</v>
      </c>
      <c r="G308" s="89">
        <f>F308</f>
        <v>66.018919487352079</v>
      </c>
      <c r="H308" s="89">
        <f t="shared" ref="H308:I308" si="545">G308</f>
        <v>66.018919487352079</v>
      </c>
      <c r="I308" s="89">
        <f t="shared" si="545"/>
        <v>66.018919487352079</v>
      </c>
      <c r="J308" s="89">
        <f t="shared" ref="J308" si="546">I308</f>
        <v>66.018919487352079</v>
      </c>
      <c r="K308" s="89">
        <f t="shared" ref="K308" si="547">J308</f>
        <v>66.018919487352079</v>
      </c>
      <c r="L308" s="89">
        <f t="shared" ref="L308" si="548">K308</f>
        <v>66.018919487352079</v>
      </c>
      <c r="M308" s="89">
        <f t="shared" ref="M308" si="549">L308</f>
        <v>66.018919487352079</v>
      </c>
      <c r="N308" s="89">
        <f t="shared" ref="N308" si="550">M308</f>
        <v>66.018919487352079</v>
      </c>
      <c r="O308" s="89">
        <f t="shared" ref="O308" si="551">N308</f>
        <v>66.018919487352079</v>
      </c>
      <c r="P308" s="89">
        <f t="shared" ref="P308" si="552">O308</f>
        <v>66.018919487352079</v>
      </c>
      <c r="Q308" s="89">
        <f t="shared" ref="Q308" si="553">P308</f>
        <v>66.018919487352079</v>
      </c>
      <c r="R308" s="89">
        <f t="shared" ref="R308" si="554">Q308</f>
        <v>66.018919487352079</v>
      </c>
      <c r="S308" s="89">
        <f t="shared" ref="S308" si="555">R308</f>
        <v>66.018919487352079</v>
      </c>
      <c r="T308" s="89">
        <f t="shared" ref="T308" si="556">S308</f>
        <v>66.018919487352079</v>
      </c>
      <c r="U308" s="89">
        <f t="shared" ref="U308" si="557">T308</f>
        <v>66.018919487352079</v>
      </c>
      <c r="V308" s="89">
        <f t="shared" ref="V308" si="558">U308</f>
        <v>66.018919487352079</v>
      </c>
      <c r="W308" s="89">
        <f t="shared" ref="W308" si="559">V308</f>
        <v>66.018919487352079</v>
      </c>
      <c r="X308" s="89">
        <f t="shared" ref="X308" si="560">W308</f>
        <v>66.018919487352079</v>
      </c>
      <c r="Y308" s="89">
        <f t="shared" ref="Y308" si="561">X308</f>
        <v>66.018919487352079</v>
      </c>
      <c r="Z308" s="89">
        <f t="shared" ref="Z308" si="562">Y308</f>
        <v>66.018919487352079</v>
      </c>
      <c r="AB308" s="92"/>
    </row>
    <row r="309" spans="1:28" outlineLevel="1" x14ac:dyDescent="0.25">
      <c r="A309" s="39" t="str">
        <f t="shared" si="458"/>
        <v>TZCO TZE240</v>
      </c>
      <c r="B309" s="39"/>
      <c r="C309" s="619" t="str">
        <f>C295</f>
        <v>ТО, ТР, ППР</v>
      </c>
      <c r="D309" s="218" t="s">
        <v>73</v>
      </c>
      <c r="E309" s="68" t="str">
        <f>E294</f>
        <v>тыс. руб.</v>
      </c>
      <c r="F309" s="30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8" outlineLevel="1" x14ac:dyDescent="0.25">
      <c r="A310" s="39" t="str">
        <f t="shared" si="458"/>
        <v>TZCO TZE240</v>
      </c>
      <c r="B310" s="39"/>
      <c r="D310" s="67"/>
      <c r="E310" s="68"/>
      <c r="F310" s="30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8" outlineLevel="1" x14ac:dyDescent="0.25">
      <c r="A311" s="39" t="str">
        <f t="shared" si="458"/>
        <v>TZCO TZE240</v>
      </c>
      <c r="B311" s="39"/>
      <c r="D311" s="67" t="s">
        <v>74</v>
      </c>
      <c r="E311" s="68" t="str">
        <f>E294</f>
        <v>тыс. руб.</v>
      </c>
      <c r="F311" s="74"/>
      <c r="G311" s="85">
        <f>G312+G313+G314</f>
        <v>18475.596240662097</v>
      </c>
      <c r="H311" s="85">
        <f t="shared" ref="H311:I311" si="563">H312+H313+H314</f>
        <v>18475.596240662097</v>
      </c>
      <c r="I311" s="85">
        <f t="shared" si="563"/>
        <v>18475.596240662097</v>
      </c>
      <c r="J311" s="85">
        <f t="shared" ref="J311:Z311" si="564">J312+J313+J314</f>
        <v>18475.596240662097</v>
      </c>
      <c r="K311" s="85">
        <f t="shared" si="564"/>
        <v>18475.596240662097</v>
      </c>
      <c r="L311" s="85">
        <f t="shared" si="564"/>
        <v>18475.596240662097</v>
      </c>
      <c r="M311" s="85">
        <f t="shared" si="564"/>
        <v>18475.596240662097</v>
      </c>
      <c r="N311" s="85">
        <f t="shared" si="564"/>
        <v>18475.596240662097</v>
      </c>
      <c r="O311" s="85">
        <f t="shared" si="564"/>
        <v>0</v>
      </c>
      <c r="P311" s="85">
        <f t="shared" si="564"/>
        <v>0</v>
      </c>
      <c r="Q311" s="85">
        <f t="shared" si="564"/>
        <v>0</v>
      </c>
      <c r="R311" s="85">
        <f t="shared" si="564"/>
        <v>0</v>
      </c>
      <c r="S311" s="85">
        <f t="shared" si="564"/>
        <v>0</v>
      </c>
      <c r="T311" s="85">
        <f t="shared" si="564"/>
        <v>0</v>
      </c>
      <c r="U311" s="85">
        <f t="shared" si="564"/>
        <v>0</v>
      </c>
      <c r="V311" s="85">
        <f t="shared" si="564"/>
        <v>0</v>
      </c>
      <c r="W311" s="85">
        <f t="shared" si="564"/>
        <v>0</v>
      </c>
      <c r="X311" s="85">
        <f t="shared" si="564"/>
        <v>0</v>
      </c>
      <c r="Y311" s="85">
        <f t="shared" si="564"/>
        <v>0</v>
      </c>
      <c r="Z311" s="85">
        <f t="shared" si="564"/>
        <v>0</v>
      </c>
    </row>
    <row r="312" spans="1:28" outlineLevel="1" x14ac:dyDescent="0.25">
      <c r="A312" s="39" t="str">
        <f t="shared" si="458"/>
        <v>TZCO TZE240</v>
      </c>
      <c r="B312" s="39"/>
      <c r="D312" s="31" t="s">
        <v>257</v>
      </c>
      <c r="E312" s="9" t="str">
        <f>E311</f>
        <v>тыс. руб.</v>
      </c>
      <c r="F312" s="78">
        <f>'ФОТ, МТР, макро'!$B$4*'ФОТ, МТР, макро'!$B$7</f>
        <v>11107.5</v>
      </c>
      <c r="G312" s="89">
        <f>IF(G289=0,0,$F312)</f>
        <v>11107.5</v>
      </c>
      <c r="H312" s="89">
        <f t="shared" ref="H312:I312" si="565">IF(H289=0,0,$F312)</f>
        <v>11107.5</v>
      </c>
      <c r="I312" s="89">
        <f t="shared" si="565"/>
        <v>11107.5</v>
      </c>
      <c r="J312" s="89">
        <f t="shared" ref="J312:Z312" si="566">IF(J289=0,0,$F312)</f>
        <v>11107.5</v>
      </c>
      <c r="K312" s="89">
        <f t="shared" si="566"/>
        <v>11107.5</v>
      </c>
      <c r="L312" s="89">
        <f t="shared" si="566"/>
        <v>11107.5</v>
      </c>
      <c r="M312" s="89">
        <f t="shared" si="566"/>
        <v>11107.5</v>
      </c>
      <c r="N312" s="89">
        <f t="shared" si="566"/>
        <v>11107.5</v>
      </c>
      <c r="O312" s="89">
        <f t="shared" si="566"/>
        <v>0</v>
      </c>
      <c r="P312" s="89">
        <f t="shared" si="566"/>
        <v>0</v>
      </c>
      <c r="Q312" s="89">
        <f t="shared" si="566"/>
        <v>0</v>
      </c>
      <c r="R312" s="89">
        <f t="shared" si="566"/>
        <v>0</v>
      </c>
      <c r="S312" s="89">
        <f t="shared" si="566"/>
        <v>0</v>
      </c>
      <c r="T312" s="89">
        <f t="shared" si="566"/>
        <v>0</v>
      </c>
      <c r="U312" s="89">
        <f t="shared" si="566"/>
        <v>0</v>
      </c>
      <c r="V312" s="89">
        <f t="shared" si="566"/>
        <v>0</v>
      </c>
      <c r="W312" s="89">
        <f t="shared" si="566"/>
        <v>0</v>
      </c>
      <c r="X312" s="89">
        <f t="shared" si="566"/>
        <v>0</v>
      </c>
      <c r="Y312" s="89">
        <f t="shared" si="566"/>
        <v>0</v>
      </c>
      <c r="Z312" s="89">
        <f t="shared" si="566"/>
        <v>0</v>
      </c>
    </row>
    <row r="313" spans="1:28" outlineLevel="1" x14ac:dyDescent="0.25">
      <c r="A313" s="39" t="str">
        <f t="shared" si="458"/>
        <v>TZCO TZE240</v>
      </c>
      <c r="B313" s="39"/>
      <c r="D313" s="31" t="s">
        <v>75</v>
      </c>
      <c r="E313" s="9" t="str">
        <f>E311</f>
        <v>тыс. руб.</v>
      </c>
      <c r="F313" s="97">
        <f>'ФОТ, МТР, макро'!$B$5</f>
        <v>0.377</v>
      </c>
      <c r="G313" s="89">
        <f>G312*$F313</f>
        <v>4187.5275000000001</v>
      </c>
      <c r="H313" s="89">
        <f t="shared" ref="H313:I313" si="567">H312*$F313</f>
        <v>4187.5275000000001</v>
      </c>
      <c r="I313" s="89">
        <f t="shared" si="567"/>
        <v>4187.5275000000001</v>
      </c>
      <c r="J313" s="89">
        <f t="shared" ref="J313:Z313" si="568">J312*$F313</f>
        <v>4187.5275000000001</v>
      </c>
      <c r="K313" s="89">
        <f t="shared" si="568"/>
        <v>4187.5275000000001</v>
      </c>
      <c r="L313" s="89">
        <f t="shared" si="568"/>
        <v>4187.5275000000001</v>
      </c>
      <c r="M313" s="89">
        <f t="shared" si="568"/>
        <v>4187.5275000000001</v>
      </c>
      <c r="N313" s="89">
        <f t="shared" si="568"/>
        <v>4187.5275000000001</v>
      </c>
      <c r="O313" s="89">
        <f t="shared" si="568"/>
        <v>0</v>
      </c>
      <c r="P313" s="89">
        <f t="shared" si="568"/>
        <v>0</v>
      </c>
      <c r="Q313" s="89">
        <f t="shared" si="568"/>
        <v>0</v>
      </c>
      <c r="R313" s="89">
        <f t="shared" si="568"/>
        <v>0</v>
      </c>
      <c r="S313" s="89">
        <f t="shared" si="568"/>
        <v>0</v>
      </c>
      <c r="T313" s="89">
        <f t="shared" si="568"/>
        <v>0</v>
      </c>
      <c r="U313" s="89">
        <f t="shared" si="568"/>
        <v>0</v>
      </c>
      <c r="V313" s="89">
        <f t="shared" si="568"/>
        <v>0</v>
      </c>
      <c r="W313" s="89">
        <f t="shared" si="568"/>
        <v>0</v>
      </c>
      <c r="X313" s="89">
        <f t="shared" si="568"/>
        <v>0</v>
      </c>
      <c r="Y313" s="89">
        <f t="shared" si="568"/>
        <v>0</v>
      </c>
      <c r="Z313" s="89">
        <f t="shared" si="568"/>
        <v>0</v>
      </c>
    </row>
    <row r="314" spans="1:28" outlineLevel="1" x14ac:dyDescent="0.25">
      <c r="A314" s="39" t="str">
        <f t="shared" si="458"/>
        <v>TZCO TZE240</v>
      </c>
      <c r="B314" s="39"/>
      <c r="D314" s="31" t="s">
        <v>76</v>
      </c>
      <c r="E314" s="9"/>
      <c r="F314" s="78">
        <f>'ФОТ, МТР, макро'!$C$13*'ФОТ, МТР, макро'!$B$7</f>
        <v>3180.5687406620973</v>
      </c>
      <c r="G314" s="89">
        <f>IF(G289=0,0,$F314)</f>
        <v>3180.5687406620973</v>
      </c>
      <c r="H314" s="89">
        <f t="shared" ref="H314:I314" si="569">IF(H289=0,0,$F314)</f>
        <v>3180.5687406620973</v>
      </c>
      <c r="I314" s="89">
        <f t="shared" si="569"/>
        <v>3180.5687406620973</v>
      </c>
      <c r="J314" s="89">
        <f t="shared" ref="J314:Z314" si="570">IF(J289=0,0,$F314)</f>
        <v>3180.5687406620973</v>
      </c>
      <c r="K314" s="89">
        <f t="shared" si="570"/>
        <v>3180.5687406620973</v>
      </c>
      <c r="L314" s="89">
        <f t="shared" si="570"/>
        <v>3180.5687406620973</v>
      </c>
      <c r="M314" s="89">
        <f t="shared" si="570"/>
        <v>3180.5687406620973</v>
      </c>
      <c r="N314" s="89">
        <f t="shared" si="570"/>
        <v>3180.5687406620973</v>
      </c>
      <c r="O314" s="89">
        <f t="shared" si="570"/>
        <v>0</v>
      </c>
      <c r="P314" s="89">
        <f t="shared" si="570"/>
        <v>0</v>
      </c>
      <c r="Q314" s="89">
        <f t="shared" si="570"/>
        <v>0</v>
      </c>
      <c r="R314" s="89">
        <f t="shared" si="570"/>
        <v>0</v>
      </c>
      <c r="S314" s="89">
        <f t="shared" si="570"/>
        <v>0</v>
      </c>
      <c r="T314" s="89">
        <f t="shared" si="570"/>
        <v>0</v>
      </c>
      <c r="U314" s="89">
        <f t="shared" si="570"/>
        <v>0</v>
      </c>
      <c r="V314" s="89">
        <f t="shared" si="570"/>
        <v>0</v>
      </c>
      <c r="W314" s="89">
        <f t="shared" si="570"/>
        <v>0</v>
      </c>
      <c r="X314" s="89">
        <f t="shared" si="570"/>
        <v>0</v>
      </c>
      <c r="Y314" s="89">
        <f t="shared" si="570"/>
        <v>0</v>
      </c>
      <c r="Z314" s="89">
        <f t="shared" si="570"/>
        <v>0</v>
      </c>
    </row>
    <row r="315" spans="1:28" outlineLevel="1" x14ac:dyDescent="0.25">
      <c r="A315" s="39" t="str">
        <f t="shared" si="458"/>
        <v>TZCO TZE240</v>
      </c>
      <c r="B315" s="39"/>
      <c r="D315" s="98" t="s">
        <v>77</v>
      </c>
      <c r="E315" s="68" t="str">
        <f>E294</f>
        <v>тыс. руб.</v>
      </c>
      <c r="F315" s="74"/>
      <c r="G315" s="85">
        <f>IF(G289=0,0,G316*G317/1000)</f>
        <v>212.5</v>
      </c>
      <c r="H315" s="85">
        <f t="shared" ref="H315:I315" si="571">IF(H289=0,0,H316*H317/1000)</f>
        <v>212.5</v>
      </c>
      <c r="I315" s="85">
        <f t="shared" si="571"/>
        <v>212.5</v>
      </c>
      <c r="J315" s="85">
        <f t="shared" ref="J315:Z315" si="572">IF(J289=0,0,J316*J317/1000)</f>
        <v>212.5</v>
      </c>
      <c r="K315" s="85">
        <f t="shared" si="572"/>
        <v>212.5</v>
      </c>
      <c r="L315" s="85">
        <f t="shared" si="572"/>
        <v>212.5</v>
      </c>
      <c r="M315" s="85">
        <f t="shared" si="572"/>
        <v>212.5</v>
      </c>
      <c r="N315" s="85">
        <f t="shared" si="572"/>
        <v>212.5</v>
      </c>
      <c r="O315" s="85">
        <f t="shared" si="572"/>
        <v>0</v>
      </c>
      <c r="P315" s="85">
        <f t="shared" si="572"/>
        <v>0</v>
      </c>
      <c r="Q315" s="85">
        <f t="shared" si="572"/>
        <v>0</v>
      </c>
      <c r="R315" s="85">
        <f t="shared" si="572"/>
        <v>0</v>
      </c>
      <c r="S315" s="85">
        <f t="shared" si="572"/>
        <v>0</v>
      </c>
      <c r="T315" s="85">
        <f t="shared" si="572"/>
        <v>0</v>
      </c>
      <c r="U315" s="85">
        <f t="shared" si="572"/>
        <v>0</v>
      </c>
      <c r="V315" s="85">
        <f t="shared" si="572"/>
        <v>0</v>
      </c>
      <c r="W315" s="85">
        <f t="shared" si="572"/>
        <v>0</v>
      </c>
      <c r="X315" s="85">
        <f t="shared" si="572"/>
        <v>0</v>
      </c>
      <c r="Y315" s="85">
        <f t="shared" si="572"/>
        <v>0</v>
      </c>
      <c r="Z315" s="85">
        <f t="shared" si="572"/>
        <v>0</v>
      </c>
    </row>
    <row r="316" spans="1:28" outlineLevel="1" x14ac:dyDescent="0.25">
      <c r="A316" s="39" t="str">
        <f t="shared" si="458"/>
        <v>TZCO TZE240</v>
      </c>
      <c r="B316" s="39"/>
      <c r="D316" s="31" t="s">
        <v>78</v>
      </c>
      <c r="E316" s="9" t="s">
        <v>13</v>
      </c>
      <c r="F316" s="78">
        <f>SUMIFS('ФОТ, МТР, макро'!$AC$4:$AC$20,'ФОТ, МТР, макро'!$W$4:$W$20,$A316)</f>
        <v>2500</v>
      </c>
      <c r="G316" s="89">
        <f>F316</f>
        <v>2500</v>
      </c>
      <c r="H316" s="89">
        <f t="shared" ref="H316:I317" si="573">G316</f>
        <v>2500</v>
      </c>
      <c r="I316" s="89">
        <f t="shared" si="573"/>
        <v>2500</v>
      </c>
      <c r="J316" s="89">
        <f t="shared" ref="J316:J317" si="574">I316</f>
        <v>2500</v>
      </c>
      <c r="K316" s="89">
        <f t="shared" ref="K316:K317" si="575">J316</f>
        <v>2500</v>
      </c>
      <c r="L316" s="89">
        <f t="shared" ref="L316:L317" si="576">K316</f>
        <v>2500</v>
      </c>
      <c r="M316" s="89">
        <f t="shared" ref="M316:M317" si="577">L316</f>
        <v>2500</v>
      </c>
      <c r="N316" s="89">
        <f t="shared" ref="N316:N317" si="578">M316</f>
        <v>2500</v>
      </c>
      <c r="O316" s="89">
        <f t="shared" ref="O316:O317" si="579">N316</f>
        <v>2500</v>
      </c>
      <c r="P316" s="89">
        <f t="shared" ref="P316:P317" si="580">O316</f>
        <v>2500</v>
      </c>
      <c r="Q316" s="89">
        <f t="shared" ref="Q316:Q317" si="581">P316</f>
        <v>2500</v>
      </c>
      <c r="R316" s="89">
        <f t="shared" ref="R316:R317" si="582">Q316</f>
        <v>2500</v>
      </c>
      <c r="S316" s="89">
        <f t="shared" ref="S316:S317" si="583">R316</f>
        <v>2500</v>
      </c>
      <c r="T316" s="89">
        <f t="shared" ref="T316:T317" si="584">S316</f>
        <v>2500</v>
      </c>
      <c r="U316" s="89">
        <f t="shared" ref="U316:U317" si="585">T316</f>
        <v>2500</v>
      </c>
      <c r="V316" s="89">
        <f t="shared" ref="V316:V317" si="586">U316</f>
        <v>2500</v>
      </c>
      <c r="W316" s="89">
        <f t="shared" ref="W316:W317" si="587">V316</f>
        <v>2500</v>
      </c>
      <c r="X316" s="89">
        <f t="shared" ref="X316:X317" si="588">W316</f>
        <v>2500</v>
      </c>
      <c r="Y316" s="89">
        <f t="shared" ref="Y316:Y317" si="589">X316</f>
        <v>2500</v>
      </c>
      <c r="Z316" s="89">
        <f t="shared" ref="Z316:Z317" si="590">Y316</f>
        <v>2500</v>
      </c>
    </row>
    <row r="317" spans="1:28" outlineLevel="1" x14ac:dyDescent="0.25">
      <c r="A317" s="39" t="str">
        <f t="shared" si="458"/>
        <v>TZCO TZE240</v>
      </c>
      <c r="B317" s="39"/>
      <c r="D317" s="31" t="s">
        <v>79</v>
      </c>
      <c r="E317" s="9" t="s">
        <v>80</v>
      </c>
      <c r="F317" s="78">
        <f>SUMIFS('ФОТ, МТР, макро'!$AD$4:$AD$20,'ФОТ, МТР, макро'!$W$4:$W$20,$A317)</f>
        <v>85</v>
      </c>
      <c r="G317" s="89">
        <f>F317</f>
        <v>85</v>
      </c>
      <c r="H317" s="89">
        <f t="shared" si="573"/>
        <v>85</v>
      </c>
      <c r="I317" s="89">
        <f t="shared" si="573"/>
        <v>85</v>
      </c>
      <c r="J317" s="89">
        <f t="shared" si="574"/>
        <v>85</v>
      </c>
      <c r="K317" s="89">
        <f t="shared" si="575"/>
        <v>85</v>
      </c>
      <c r="L317" s="89">
        <f t="shared" si="576"/>
        <v>85</v>
      </c>
      <c r="M317" s="89">
        <f t="shared" si="577"/>
        <v>85</v>
      </c>
      <c r="N317" s="89">
        <f t="shared" si="578"/>
        <v>85</v>
      </c>
      <c r="O317" s="89">
        <f t="shared" si="579"/>
        <v>85</v>
      </c>
      <c r="P317" s="89">
        <f t="shared" si="580"/>
        <v>85</v>
      </c>
      <c r="Q317" s="89">
        <f t="shared" si="581"/>
        <v>85</v>
      </c>
      <c r="R317" s="89">
        <f t="shared" si="582"/>
        <v>85</v>
      </c>
      <c r="S317" s="89">
        <f t="shared" si="583"/>
        <v>85</v>
      </c>
      <c r="T317" s="89">
        <f t="shared" si="584"/>
        <v>85</v>
      </c>
      <c r="U317" s="89">
        <f t="shared" si="585"/>
        <v>85</v>
      </c>
      <c r="V317" s="89">
        <f t="shared" si="586"/>
        <v>85</v>
      </c>
      <c r="W317" s="89">
        <f t="shared" si="587"/>
        <v>85</v>
      </c>
      <c r="X317" s="89">
        <f t="shared" si="588"/>
        <v>85</v>
      </c>
      <c r="Y317" s="89">
        <f t="shared" si="589"/>
        <v>85</v>
      </c>
      <c r="Z317" s="89">
        <f t="shared" si="590"/>
        <v>85</v>
      </c>
    </row>
    <row r="318" spans="1:28" outlineLevel="1" x14ac:dyDescent="0.25">
      <c r="A318" s="39" t="str">
        <f t="shared" si="458"/>
        <v>TZCO TZE240</v>
      </c>
      <c r="B318" s="39"/>
      <c r="C318" s="99">
        <f>SUMIFS('ФОТ, МТР, макро'!$AG$4:$AG$20,'ФОТ, МТР, макро'!$W$4:$W$20,$A318)</f>
        <v>14.117647058823531</v>
      </c>
      <c r="D318" s="98" t="s">
        <v>81</v>
      </c>
      <c r="E318" s="68" t="str">
        <f>E294</f>
        <v>тыс. руб.</v>
      </c>
      <c r="F318" s="85"/>
      <c r="G318" s="100">
        <f>IF(G286&lt;=$C319,$F323*$C318%,"ОШИБКА")</f>
        <v>0</v>
      </c>
      <c r="H318" s="75">
        <f>IF(H286&lt;=$C319,$F323*$C318%,$F323-SUM($G318:G318))</f>
        <v>0</v>
      </c>
      <c r="I318" s="75">
        <f>IF(I286&lt;=$C319,$F323*$C318%,$F323-SUM($G318:H318))</f>
        <v>0</v>
      </c>
      <c r="J318" s="75">
        <f>IF(J286&lt;=$C319,$F323*$C318%,$F323-SUM($G318:I318))</f>
        <v>0</v>
      </c>
      <c r="K318" s="75">
        <f>IF(K286&lt;=$C319,$F323*$C318%,$F323-SUM($G318:J318))</f>
        <v>0</v>
      </c>
      <c r="L318" s="75">
        <f>IF(L286&lt;=$C319,$F323*$C318%,$F323-SUM($G318:K318))</f>
        <v>0</v>
      </c>
      <c r="M318" s="75">
        <f>IF(M286&lt;=$C319,$F323*$C318%,$F323-SUM($G318:L318))</f>
        <v>0</v>
      </c>
      <c r="N318" s="75">
        <f>IF(N286&lt;=$C319,$F323*$C318%,$F323-SUM($G318:M318))</f>
        <v>0</v>
      </c>
      <c r="O318" s="75">
        <f>IF(O286&lt;=$C319,$F323*$C318%,$F323-SUM($G318:N318))</f>
        <v>0</v>
      </c>
      <c r="P318" s="75">
        <f>IF(P286&lt;=$C319,$F323*$C318%,$F323-SUM($G318:O318))</f>
        <v>0</v>
      </c>
      <c r="Q318" s="75">
        <f>IF(Q286&lt;=$C319,$F323*$C318%,$F323-SUM($G318:P318))</f>
        <v>0</v>
      </c>
      <c r="R318" s="75">
        <f>IF(R286&lt;=$C319,$F323*$C318%,$F323-SUM($G318:Q318))</f>
        <v>0</v>
      </c>
      <c r="S318" s="75">
        <f>IF(S286&lt;=$C319,$F323*$C318%,$F323-SUM($G318:R318))</f>
        <v>0</v>
      </c>
      <c r="T318" s="75">
        <f>IF(T286&lt;=$C319,$F323*$C318%,$F323-SUM($G318:S318))</f>
        <v>0</v>
      </c>
      <c r="U318" s="75">
        <f>IF(U286&lt;=$C319,$F323*$C318%,$F323-SUM($G318:T318))</f>
        <v>0</v>
      </c>
      <c r="V318" s="75">
        <f>IF(V286&lt;=$C319,$F323*$C318%,$F323-SUM($G318:U318))</f>
        <v>0</v>
      </c>
      <c r="W318" s="75">
        <f>IF(W286&lt;=$C319,$F323*$C318%,$F323-SUM($G318:V318))</f>
        <v>0</v>
      </c>
      <c r="X318" s="75">
        <f>IF(X286&lt;=$C319,$F323*$C318%,$F323-SUM($G318:W318))</f>
        <v>0</v>
      </c>
      <c r="Y318" s="75">
        <f>IF(Y286&lt;=$C319,$F323*$C318%,$F323-SUM($G318:X318))</f>
        <v>0</v>
      </c>
      <c r="Z318" s="75">
        <f>IF(Z286&lt;=$C319,$F323*$C318%,$F323-SUM($G318:Y318))</f>
        <v>0</v>
      </c>
      <c r="AA318" s="88">
        <f>F323-SUM(G318:Z318)</f>
        <v>0</v>
      </c>
    </row>
    <row r="319" spans="1:28" outlineLevel="1" x14ac:dyDescent="0.25">
      <c r="A319" s="39" t="str">
        <f t="shared" si="458"/>
        <v>TZCO TZE240</v>
      </c>
      <c r="B319" s="39"/>
      <c r="C319" s="99">
        <f>SUMIFS('ФОТ, МТР, макро'!$AF$4:$AF$20,'ФОТ, МТР, макро'!$W$4:$W$20,$A319)/12</f>
        <v>7.083333333333333</v>
      </c>
      <c r="D319" s="98" t="s">
        <v>82</v>
      </c>
      <c r="E319" s="68" t="str">
        <f>E294</f>
        <v>тыс. руб.</v>
      </c>
      <c r="F319" s="69"/>
      <c r="G319" s="69">
        <f>SUM(G295,G300,G304,G309,G311,G315,G318)</f>
        <v>131546.19681065631</v>
      </c>
      <c r="H319" s="69">
        <f>SUM(H295,H300,H304,H309,H311,H315,H318)</f>
        <v>163040.89460540755</v>
      </c>
      <c r="I319" s="69">
        <f>SUM(I295,I300,I304,I309,I311,I315,I318)</f>
        <v>274998.36756436987</v>
      </c>
      <c r="J319" s="69">
        <f t="shared" ref="J319:Z319" si="591">SUM(J295,J300,J304,J309,J311,J315,J318)</f>
        <v>167637.13274305387</v>
      </c>
      <c r="K319" s="69">
        <f t="shared" si="591"/>
        <v>144397.15301080665</v>
      </c>
      <c r="L319" s="69">
        <f t="shared" si="591"/>
        <v>309038.63341081195</v>
      </c>
      <c r="M319" s="69">
        <f t="shared" si="591"/>
        <v>142389.67936495706</v>
      </c>
      <c r="N319" s="69">
        <f t="shared" si="591"/>
        <v>171311.40229414357</v>
      </c>
      <c r="O319" s="69">
        <f t="shared" si="591"/>
        <v>0</v>
      </c>
      <c r="P319" s="69">
        <f t="shared" si="591"/>
        <v>0</v>
      </c>
      <c r="Q319" s="69">
        <f t="shared" si="591"/>
        <v>0</v>
      </c>
      <c r="R319" s="69">
        <f t="shared" si="591"/>
        <v>0</v>
      </c>
      <c r="S319" s="69">
        <f t="shared" si="591"/>
        <v>0</v>
      </c>
      <c r="T319" s="69">
        <f t="shared" si="591"/>
        <v>0</v>
      </c>
      <c r="U319" s="69">
        <f t="shared" si="591"/>
        <v>0</v>
      </c>
      <c r="V319" s="69">
        <f t="shared" si="591"/>
        <v>0</v>
      </c>
      <c r="W319" s="69">
        <f t="shared" si="591"/>
        <v>0</v>
      </c>
      <c r="X319" s="69">
        <f t="shared" si="591"/>
        <v>0</v>
      </c>
      <c r="Y319" s="69">
        <f t="shared" si="591"/>
        <v>0</v>
      </c>
      <c r="Z319" s="69">
        <f t="shared" si="591"/>
        <v>0</v>
      </c>
      <c r="AB319" s="42"/>
    </row>
    <row r="320" spans="1:28" outlineLevel="1" x14ac:dyDescent="0.25">
      <c r="A320" s="39" t="str">
        <f t="shared" si="458"/>
        <v>TZCO TZE240</v>
      </c>
      <c r="B320" s="39"/>
      <c r="D320" s="98" t="s">
        <v>83</v>
      </c>
      <c r="E320" s="68" t="str">
        <f>E294</f>
        <v>тыс. руб.</v>
      </c>
      <c r="F320" s="69"/>
      <c r="G320" s="69">
        <f>-G319*'ФОТ, МТР, макро'!AK$11</f>
        <v>-32886.549202664079</v>
      </c>
      <c r="H320" s="69">
        <f>-H319*'ФОТ, МТР, макро'!AL$11</f>
        <v>-40760.223651351887</v>
      </c>
      <c r="I320" s="69">
        <f>-I319*'ФОТ, МТР, макро'!AM$11</f>
        <v>-68749.591891092467</v>
      </c>
      <c r="J320" s="69">
        <f>-J319*'ФОТ, МТР, макро'!AN$11</f>
        <v>-41909.283185763466</v>
      </c>
      <c r="K320" s="69">
        <f>-K319*'ФОТ, МТР, макро'!AO$11</f>
        <v>-36099.288252701663</v>
      </c>
      <c r="L320" s="69">
        <f>-L319*'ФОТ, МТР, макро'!AP$11</f>
        <v>-77259.658352702987</v>
      </c>
      <c r="M320" s="69">
        <f>-M319*'ФОТ, МТР, макро'!AQ$11</f>
        <v>-35597.419841239265</v>
      </c>
      <c r="N320" s="69">
        <f>-N319*'ФОТ, МТР, макро'!AR$11</f>
        <v>-42827.850573535892</v>
      </c>
      <c r="O320" s="69">
        <f>-O319*'ФОТ, МТР, макро'!AS$11</f>
        <v>0</v>
      </c>
      <c r="P320" s="69">
        <f>-P319*'ФОТ, МТР, макро'!AT$11</f>
        <v>0</v>
      </c>
      <c r="Q320" s="69">
        <f>-Q319*'ФОТ, МТР, макро'!AU$11</f>
        <v>0</v>
      </c>
      <c r="R320" s="69">
        <f>-R319*'ФОТ, МТР, макро'!AV$11</f>
        <v>0</v>
      </c>
      <c r="S320" s="69">
        <f>-S319*'ФОТ, МТР, макро'!AW$11</f>
        <v>0</v>
      </c>
      <c r="T320" s="69">
        <f>-T319*'ФОТ, МТР, макро'!AX$11</f>
        <v>0</v>
      </c>
      <c r="U320" s="69">
        <f>-U319*'ФОТ, МТР, макро'!AY$11</f>
        <v>0</v>
      </c>
      <c r="V320" s="69">
        <f>-V319*'ФОТ, МТР, макро'!AZ$11</f>
        <v>0</v>
      </c>
      <c r="W320" s="69">
        <f>-W319*'ФОТ, МТР, макро'!BA$11</f>
        <v>0</v>
      </c>
      <c r="X320" s="69">
        <f>-X319*'ФОТ, МТР, макро'!BB$11</f>
        <v>0</v>
      </c>
      <c r="Y320" s="69">
        <f>-Y319*'ФОТ, МТР, макро'!BC$11</f>
        <v>0</v>
      </c>
      <c r="Z320" s="69">
        <f>-Z319*'ФОТ, МТР, макро'!BD$11</f>
        <v>0</v>
      </c>
    </row>
    <row r="321" spans="1:26" outlineLevel="1" x14ac:dyDescent="0.25">
      <c r="A321" s="39" t="str">
        <f t="shared" si="458"/>
        <v>TZCO TZE240</v>
      </c>
      <c r="B321" s="39"/>
      <c r="D321" s="101"/>
      <c r="E321" s="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outlineLevel="1" x14ac:dyDescent="0.25">
      <c r="A322" s="39" t="str">
        <f t="shared" si="458"/>
        <v>TZCO TZE240</v>
      </c>
      <c r="B322" s="39"/>
      <c r="D322" s="71" t="s">
        <v>84</v>
      </c>
      <c r="E322" s="72" t="str">
        <f>E294</f>
        <v>тыс. руб.</v>
      </c>
      <c r="F322" s="73">
        <f>F323</f>
        <v>0</v>
      </c>
      <c r="G322" s="73">
        <f t="shared" ref="G322:Z322" si="592">G323</f>
        <v>0</v>
      </c>
      <c r="H322" s="73">
        <f t="shared" si="592"/>
        <v>0</v>
      </c>
      <c r="I322" s="73">
        <f t="shared" si="592"/>
        <v>0</v>
      </c>
      <c r="J322" s="73">
        <f t="shared" si="592"/>
        <v>0</v>
      </c>
      <c r="K322" s="73">
        <f t="shared" si="592"/>
        <v>0</v>
      </c>
      <c r="L322" s="73">
        <f t="shared" si="592"/>
        <v>0</v>
      </c>
      <c r="M322" s="73">
        <f t="shared" si="592"/>
        <v>0</v>
      </c>
      <c r="N322" s="73">
        <f t="shared" si="592"/>
        <v>0</v>
      </c>
      <c r="O322" s="73">
        <f t="shared" si="592"/>
        <v>0</v>
      </c>
      <c r="P322" s="73">
        <f t="shared" si="592"/>
        <v>0</v>
      </c>
      <c r="Q322" s="73">
        <f t="shared" si="592"/>
        <v>0</v>
      </c>
      <c r="R322" s="73">
        <f t="shared" si="592"/>
        <v>0</v>
      </c>
      <c r="S322" s="73">
        <f t="shared" si="592"/>
        <v>0</v>
      </c>
      <c r="T322" s="73">
        <f t="shared" si="592"/>
        <v>0</v>
      </c>
      <c r="U322" s="73">
        <f t="shared" si="592"/>
        <v>0</v>
      </c>
      <c r="V322" s="73">
        <f t="shared" si="592"/>
        <v>0</v>
      </c>
      <c r="W322" s="73">
        <f t="shared" si="592"/>
        <v>0</v>
      </c>
      <c r="X322" s="73">
        <f t="shared" si="592"/>
        <v>0</v>
      </c>
      <c r="Y322" s="73">
        <f t="shared" si="592"/>
        <v>0</v>
      </c>
      <c r="Z322" s="73">
        <f t="shared" si="592"/>
        <v>0</v>
      </c>
    </row>
    <row r="323" spans="1:26" outlineLevel="1" x14ac:dyDescent="0.25">
      <c r="A323" s="39" t="str">
        <f t="shared" si="458"/>
        <v>TZCO TZE240</v>
      </c>
      <c r="B323" s="39"/>
      <c r="D323" s="101" t="s">
        <v>85</v>
      </c>
      <c r="E323" s="9" t="str">
        <f>E322</f>
        <v>тыс. руб.</v>
      </c>
      <c r="F323" s="78">
        <f>SUMIFS(Свод!$D$41:$U$41,Свод!$D$23:$U$23,$A323)</f>
        <v>0</v>
      </c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outlineLevel="1" x14ac:dyDescent="0.25">
      <c r="A324" s="39" t="str">
        <f t="shared" si="458"/>
        <v>TZCO TZE240</v>
      </c>
      <c r="B324" s="39"/>
      <c r="D324" s="101"/>
      <c r="E324" s="9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outlineLevel="1" x14ac:dyDescent="0.25">
      <c r="A325" s="39" t="str">
        <f t="shared" si="458"/>
        <v>TZCO TZE240</v>
      </c>
      <c r="B325" s="39"/>
      <c r="D325" s="71" t="s">
        <v>86</v>
      </c>
      <c r="E325" s="72" t="str">
        <f>E294</f>
        <v>тыс. руб.</v>
      </c>
      <c r="F325" s="73">
        <f>F294+F322</f>
        <v>0</v>
      </c>
      <c r="G325" s="73">
        <f t="shared" ref="G325:I325" si="593">G294+G322</f>
        <v>98659.647607992229</v>
      </c>
      <c r="H325" s="73">
        <f t="shared" si="593"/>
        <v>122280.67095405566</v>
      </c>
      <c r="I325" s="73">
        <f t="shared" si="593"/>
        <v>206248.77567327739</v>
      </c>
      <c r="J325" s="73">
        <f t="shared" ref="J325:Z325" si="594">J294+J322</f>
        <v>125727.84955729041</v>
      </c>
      <c r="K325" s="73">
        <f t="shared" si="594"/>
        <v>108297.86475810499</v>
      </c>
      <c r="L325" s="73">
        <f t="shared" si="594"/>
        <v>231778.97505810898</v>
      </c>
      <c r="M325" s="73">
        <f t="shared" si="594"/>
        <v>106792.2595237178</v>
      </c>
      <c r="N325" s="73">
        <f t="shared" si="594"/>
        <v>128483.55172060768</v>
      </c>
      <c r="O325" s="73">
        <f t="shared" si="594"/>
        <v>0</v>
      </c>
      <c r="P325" s="73">
        <f t="shared" si="594"/>
        <v>0</v>
      </c>
      <c r="Q325" s="73">
        <f t="shared" si="594"/>
        <v>0</v>
      </c>
      <c r="R325" s="73">
        <f t="shared" si="594"/>
        <v>0</v>
      </c>
      <c r="S325" s="73">
        <f t="shared" si="594"/>
        <v>0</v>
      </c>
      <c r="T325" s="73">
        <f t="shared" si="594"/>
        <v>0</v>
      </c>
      <c r="U325" s="73">
        <f t="shared" si="594"/>
        <v>0</v>
      </c>
      <c r="V325" s="73">
        <f t="shared" si="594"/>
        <v>0</v>
      </c>
      <c r="W325" s="73">
        <f t="shared" si="594"/>
        <v>0</v>
      </c>
      <c r="X325" s="73">
        <f t="shared" si="594"/>
        <v>0</v>
      </c>
      <c r="Y325" s="73">
        <f t="shared" si="594"/>
        <v>0</v>
      </c>
      <c r="Z325" s="73">
        <f t="shared" si="594"/>
        <v>0</v>
      </c>
    </row>
    <row r="326" spans="1:26" outlineLevel="1" x14ac:dyDescent="0.25">
      <c r="A326" s="39" t="str">
        <f t="shared" si="458"/>
        <v>TZCO TZE240</v>
      </c>
      <c r="B326" s="39"/>
      <c r="D326" s="67" t="s">
        <v>87</v>
      </c>
      <c r="E326" s="68" t="str">
        <f>E325</f>
        <v>тыс. руб.</v>
      </c>
      <c r="F326" s="102"/>
      <c r="G326" s="69">
        <f>G294*'ФОТ, МТР, макро'!AK$13</f>
        <v>88088.971078564486</v>
      </c>
      <c r="H326" s="69">
        <f>H294*'ФОТ, МТР, макро'!AL$13</f>
        <v>97481.402227404047</v>
      </c>
      <c r="I326" s="69">
        <f>I294*'ФОТ, МТР, макро'!AM$13</f>
        <v>146803.80465993797</v>
      </c>
      <c r="J326" s="69">
        <f>J294*'ФОТ, МТР, макро'!AN$13</f>
        <v>79902.3213526209</v>
      </c>
      <c r="K326" s="69">
        <f>K294*'ФОТ, МТР, макро'!AO$13</f>
        <v>61451.116880729605</v>
      </c>
      <c r="L326" s="69">
        <f>L294*'ФОТ, МТР, макро'!AP$13</f>
        <v>117426.44199902</v>
      </c>
      <c r="M326" s="69">
        <f>M294*'ФОТ, МТР, макро'!AQ$13</f>
        <v>48307.394799607631</v>
      </c>
      <c r="N326" s="69">
        <f>N294*'ФОТ, МТР, макро'!AR$13</f>
        <v>51892.351611173253</v>
      </c>
      <c r="O326" s="69">
        <f>O294*'ФОТ, МТР, макро'!AS$13</f>
        <v>0</v>
      </c>
      <c r="P326" s="69">
        <f>P294*'ФОТ, МТР, макро'!AT$13</f>
        <v>0</v>
      </c>
      <c r="Q326" s="69">
        <f>Q294*'ФОТ, МТР, макро'!AU$13</f>
        <v>0</v>
      </c>
      <c r="R326" s="69">
        <f>R294*'ФОТ, МТР, макро'!AV$13</f>
        <v>0</v>
      </c>
      <c r="S326" s="69">
        <f>S294*'ФОТ, МТР, макро'!AW$13</f>
        <v>0</v>
      </c>
      <c r="T326" s="69">
        <f>T294*'ФОТ, МТР, макро'!AX$13</f>
        <v>0</v>
      </c>
      <c r="U326" s="69">
        <f>U294*'ФОТ, МТР, макро'!AY$13</f>
        <v>0</v>
      </c>
      <c r="V326" s="69">
        <f>V294*'ФОТ, МТР, макро'!AZ$13</f>
        <v>0</v>
      </c>
      <c r="W326" s="69">
        <f>W294*'ФОТ, МТР, макро'!BA$13</f>
        <v>0</v>
      </c>
      <c r="X326" s="69">
        <f>X294*'ФОТ, МТР, макро'!BB$13</f>
        <v>0</v>
      </c>
      <c r="Y326" s="69">
        <f>Y294*'ФОТ, МТР, макро'!BC$13</f>
        <v>0</v>
      </c>
      <c r="Z326" s="69">
        <f>Z294*'ФОТ, МТР, макро'!BD$13</f>
        <v>0</v>
      </c>
    </row>
    <row r="327" spans="1:26" outlineLevel="1" x14ac:dyDescent="0.25">
      <c r="A327" s="39" t="str">
        <f t="shared" si="458"/>
        <v>TZCO TZE240</v>
      </c>
      <c r="B327" s="39"/>
      <c r="D327" s="18" t="str">
        <f>D295</f>
        <v>ТО, ТР, ППР</v>
      </c>
      <c r="E327" s="9" t="str">
        <f>E326</f>
        <v>тыс. руб.</v>
      </c>
      <c r="F327" s="103"/>
      <c r="G327" s="74">
        <f>G295*'ФОТ, МТР, макро'!AK$13</f>
        <v>25135.798828034898</v>
      </c>
      <c r="H327" s="74">
        <f>H295*'ФОТ, МТР, макро'!AL$13</f>
        <v>47202.133502012177</v>
      </c>
      <c r="I327" s="74">
        <f>I295*'ФОТ, МТР, макро'!AM$13</f>
        <v>125931.26833800314</v>
      </c>
      <c r="J327" s="74">
        <f>J295*'ФОТ, МТР, макро'!AN$13</f>
        <v>37629.251835150004</v>
      </c>
      <c r="K327" s="74">
        <f>K295*'ФОТ, МТР, макро'!AO$13</f>
        <v>15974.254570363144</v>
      </c>
      <c r="L327" s="74">
        <f>L295*'ФОТ, МТР, макро'!AP$13</f>
        <v>105370.47126992102</v>
      </c>
      <c r="M327" s="74">
        <f>M295*'ФОТ, МТР, макро'!AQ$13</f>
        <v>12734.577941934904</v>
      </c>
      <c r="N327" s="74">
        <f>N295*'ФОТ, МТР, макро'!AR$13</f>
        <v>23914.069818085998</v>
      </c>
      <c r="O327" s="74">
        <f>O295*'ФОТ, МТР, макро'!AS$13</f>
        <v>0</v>
      </c>
      <c r="P327" s="74">
        <f>P295*'ФОТ, МТР, макро'!AT$13</f>
        <v>0</v>
      </c>
      <c r="Q327" s="74">
        <f>Q295*'ФОТ, МТР, макро'!AU$13</f>
        <v>0</v>
      </c>
      <c r="R327" s="74">
        <f>R295*'ФОТ, МТР, макро'!AV$13</f>
        <v>0</v>
      </c>
      <c r="S327" s="74">
        <f>S295*'ФОТ, МТР, макро'!AW$13</f>
        <v>0</v>
      </c>
      <c r="T327" s="74">
        <f>T295*'ФОТ, МТР, макро'!AX$13</f>
        <v>0</v>
      </c>
      <c r="U327" s="74">
        <f>U295*'ФОТ, МТР, макро'!AY$13</f>
        <v>0</v>
      </c>
      <c r="V327" s="74">
        <f>V295*'ФОТ, МТР, макро'!AZ$13</f>
        <v>0</v>
      </c>
      <c r="W327" s="74">
        <f>W295*'ФОТ, МТР, макро'!BA$13</f>
        <v>0</v>
      </c>
      <c r="X327" s="74">
        <f>X295*'ФОТ, МТР, макро'!BB$13</f>
        <v>0</v>
      </c>
      <c r="Y327" s="74">
        <f>Y295*'ФОТ, МТР, макро'!BC$13</f>
        <v>0</v>
      </c>
      <c r="Z327" s="74">
        <f>Z295*'ФОТ, МТР, макро'!BD$13</f>
        <v>0</v>
      </c>
    </row>
    <row r="328" spans="1:26" outlineLevel="1" x14ac:dyDescent="0.25">
      <c r="A328" s="39" t="str">
        <f t="shared" si="458"/>
        <v>TZCO TZE240</v>
      </c>
      <c r="B328" s="39"/>
      <c r="D328" s="18" t="str">
        <f>D300</f>
        <v>Шины</v>
      </c>
      <c r="E328" s="9" t="str">
        <f t="shared" ref="E328:E333" si="595">E327</f>
        <v>тыс. руб.</v>
      </c>
      <c r="F328" s="103"/>
      <c r="G328" s="74">
        <f>G300*'ФОТ, МТР, макро'!AK$13</f>
        <v>17017.110636912628</v>
      </c>
      <c r="H328" s="74">
        <f>H300*'ФОТ, МТР, макро'!AL$13</f>
        <v>15272.133029970038</v>
      </c>
      <c r="I328" s="74">
        <f>I300*'ФОТ, МТР, макро'!AM$13</f>
        <v>12713.905543968267</v>
      </c>
      <c r="J328" s="74">
        <f>J300*'ФОТ, МТР, макро'!AN$13</f>
        <v>12832.08502450087</v>
      </c>
      <c r="K328" s="74">
        <f>K300*'ФОТ, МТР, макро'!AO$13</f>
        <v>12455.403337154605</v>
      </c>
      <c r="L328" s="74">
        <f>L300*'ФОТ, МТР, макро'!AP$13</f>
        <v>9389.437051341105</v>
      </c>
      <c r="M328" s="74">
        <f>M300*'ФОТ, МТР, макро'!AQ$13</f>
        <v>9725.0501278178817</v>
      </c>
      <c r="N328" s="74">
        <f>N300*'ФОТ, МТР, макро'!AR$13</f>
        <v>8488.922058521086</v>
      </c>
      <c r="O328" s="74">
        <f>O300*'ФОТ, МТР, макро'!AS$13</f>
        <v>0</v>
      </c>
      <c r="P328" s="74">
        <f>P300*'ФОТ, МТР, макро'!AT$13</f>
        <v>0</v>
      </c>
      <c r="Q328" s="74">
        <f>Q300*'ФОТ, МТР, макро'!AU$13</f>
        <v>0</v>
      </c>
      <c r="R328" s="74">
        <f>R300*'ФОТ, МТР, макро'!AV$13</f>
        <v>0</v>
      </c>
      <c r="S328" s="74">
        <f>S300*'ФОТ, МТР, макро'!AW$13</f>
        <v>0</v>
      </c>
      <c r="T328" s="74">
        <f>T300*'ФОТ, МТР, макро'!AX$13</f>
        <v>0</v>
      </c>
      <c r="U328" s="74">
        <f>U300*'ФОТ, МТР, макро'!AY$13</f>
        <v>0</v>
      </c>
      <c r="V328" s="74">
        <f>V300*'ФОТ, МТР, макро'!AZ$13</f>
        <v>0</v>
      </c>
      <c r="W328" s="74">
        <f>W300*'ФОТ, МТР, макро'!BA$13</f>
        <v>0</v>
      </c>
      <c r="X328" s="74">
        <f>X300*'ФОТ, МТР, макро'!BB$13</f>
        <v>0</v>
      </c>
      <c r="Y328" s="74">
        <f>Y300*'ФОТ, МТР, макро'!BC$13</f>
        <v>0</v>
      </c>
      <c r="Z328" s="74">
        <f>Z300*'ФОТ, МТР, макро'!BD$13</f>
        <v>0</v>
      </c>
    </row>
    <row r="329" spans="1:26" outlineLevel="1" x14ac:dyDescent="0.25">
      <c r="A329" s="39" t="str">
        <f t="shared" si="458"/>
        <v>TZCO TZE240</v>
      </c>
      <c r="B329" s="39"/>
      <c r="D329" s="18" t="str">
        <f>D304</f>
        <v>Топливо</v>
      </c>
      <c r="E329" s="9" t="str">
        <f t="shared" si="595"/>
        <v>тыс. руб.</v>
      </c>
      <c r="F329" s="103"/>
      <c r="G329" s="74">
        <f>G304*'ФОТ, МТР, макро'!AK$13</f>
        <v>58613.251758261591</v>
      </c>
      <c r="H329" s="74">
        <f>H304*'ФОТ, МТР, макро'!AL$13</f>
        <v>52602.900531749779</v>
      </c>
      <c r="I329" s="74">
        <f>I304*'ФОТ, МТР, макро'!AM$13</f>
        <v>43791.414557939897</v>
      </c>
      <c r="J329" s="74">
        <f>J304*'ФОТ, МТР, макро'!AN$13</f>
        <v>44198.468598600179</v>
      </c>
      <c r="K329" s="74">
        <f>K304*'ФОТ, МТР, макро'!AO$13</f>
        <v>42901.036910916264</v>
      </c>
      <c r="L329" s="74">
        <f>L304*'ФОТ, МТР, макро'!AP$13</f>
        <v>32340.70985968821</v>
      </c>
      <c r="M329" s="74">
        <f>M304*'ФОТ, МТР, макро'!AQ$13</f>
        <v>33496.685992453538</v>
      </c>
      <c r="N329" s="74">
        <f>N304*'ФОТ, МТР, макро'!AR$13</f>
        <v>29239.001637156201</v>
      </c>
      <c r="O329" s="74">
        <f>O304*'ФОТ, МТР, макро'!AS$13</f>
        <v>0</v>
      </c>
      <c r="P329" s="74">
        <f>P304*'ФОТ, МТР, макро'!AT$13</f>
        <v>0</v>
      </c>
      <c r="Q329" s="74">
        <f>Q304*'ФОТ, МТР, макро'!AU$13</f>
        <v>0</v>
      </c>
      <c r="R329" s="74">
        <f>R304*'ФОТ, МТР, макро'!AV$13</f>
        <v>0</v>
      </c>
      <c r="S329" s="74">
        <f>S304*'ФОТ, МТР, макро'!AW$13</f>
        <v>0</v>
      </c>
      <c r="T329" s="74">
        <f>T304*'ФОТ, МТР, макро'!AX$13</f>
        <v>0</v>
      </c>
      <c r="U329" s="74">
        <f>U304*'ФОТ, МТР, макро'!AY$13</f>
        <v>0</v>
      </c>
      <c r="V329" s="74">
        <f>V304*'ФОТ, МТР, макро'!AZ$13</f>
        <v>0</v>
      </c>
      <c r="W329" s="74">
        <f>W304*'ФОТ, МТР, макро'!BA$13</f>
        <v>0</v>
      </c>
      <c r="X329" s="74">
        <f>X304*'ФОТ, МТР, макро'!BB$13</f>
        <v>0</v>
      </c>
      <c r="Y329" s="74">
        <f>Y304*'ФОТ, МТР, макро'!BC$13</f>
        <v>0</v>
      </c>
      <c r="Z329" s="74">
        <f>Z304*'ФОТ, МТР, макро'!BD$13</f>
        <v>0</v>
      </c>
    </row>
    <row r="330" spans="1:26" outlineLevel="1" x14ac:dyDescent="0.25">
      <c r="A330" s="39" t="str">
        <f t="shared" si="458"/>
        <v>TZCO TZE240</v>
      </c>
      <c r="B330" s="39"/>
      <c r="D330" s="18" t="str">
        <f>D309</f>
        <v>Смазочные</v>
      </c>
      <c r="E330" s="9" t="str">
        <f t="shared" si="595"/>
        <v>тыс. руб.</v>
      </c>
      <c r="F330" s="103"/>
      <c r="G330" s="74">
        <f>G309*'ФОТ, МТР, макро'!AK$13</f>
        <v>0</v>
      </c>
      <c r="H330" s="74">
        <f>H309*'ФОТ, МТР, макро'!AL$13</f>
        <v>0</v>
      </c>
      <c r="I330" s="74">
        <f>I309*'ФОТ, МТР, макро'!AM$13</f>
        <v>0</v>
      </c>
      <c r="J330" s="74">
        <f>J309*'ФОТ, МТР, макро'!AN$13</f>
        <v>0</v>
      </c>
      <c r="K330" s="74">
        <f>K309*'ФОТ, МТР, макро'!AO$13</f>
        <v>0</v>
      </c>
      <c r="L330" s="74">
        <f>L309*'ФОТ, МТР, макро'!AP$13</f>
        <v>0</v>
      </c>
      <c r="M330" s="74">
        <f>M309*'ФОТ, МТР, макро'!AQ$13</f>
        <v>0</v>
      </c>
      <c r="N330" s="74">
        <f>N309*'ФОТ, МТР, макро'!AR$13</f>
        <v>0</v>
      </c>
      <c r="O330" s="74">
        <f>O309*'ФОТ, МТР, макро'!AS$13</f>
        <v>0</v>
      </c>
      <c r="P330" s="74">
        <f>P309*'ФОТ, МТР, макро'!AT$13</f>
        <v>0</v>
      </c>
      <c r="Q330" s="74">
        <f>Q309*'ФОТ, МТР, макро'!AU$13</f>
        <v>0</v>
      </c>
      <c r="R330" s="74">
        <f>R309*'ФОТ, МТР, макро'!AV$13</f>
        <v>0</v>
      </c>
      <c r="S330" s="74">
        <f>S309*'ФОТ, МТР, макро'!AW$13</f>
        <v>0</v>
      </c>
      <c r="T330" s="74">
        <f>T309*'ФОТ, МТР, макро'!AX$13</f>
        <v>0</v>
      </c>
      <c r="U330" s="74">
        <f>U309*'ФОТ, МТР, макро'!AY$13</f>
        <v>0</v>
      </c>
      <c r="V330" s="74">
        <f>V309*'ФОТ, МТР, макро'!AZ$13</f>
        <v>0</v>
      </c>
      <c r="W330" s="74">
        <f>W309*'ФОТ, МТР, макро'!BA$13</f>
        <v>0</v>
      </c>
      <c r="X330" s="74">
        <f>X309*'ФОТ, МТР, макро'!BB$13</f>
        <v>0</v>
      </c>
      <c r="Y330" s="74">
        <f>Y309*'ФОТ, МТР, макро'!BC$13</f>
        <v>0</v>
      </c>
      <c r="Z330" s="74">
        <f>Z309*'ФОТ, МТР, макро'!BD$13</f>
        <v>0</v>
      </c>
    </row>
    <row r="331" spans="1:26" outlineLevel="1" x14ac:dyDescent="0.25">
      <c r="A331" s="39" t="str">
        <f t="shared" si="458"/>
        <v>TZCO TZE240</v>
      </c>
      <c r="B331" s="39"/>
      <c r="D331" s="18" t="str">
        <f>D311</f>
        <v>Затраты на персонал</v>
      </c>
      <c r="E331" s="9" t="str">
        <f t="shared" si="595"/>
        <v>тыс. руб.</v>
      </c>
      <c r="F331" s="103"/>
      <c r="G331" s="74">
        <f>G311*'ФОТ, МТР, макро'!AK$13</f>
        <v>16496.068072019727</v>
      </c>
      <c r="H331" s="74">
        <f>H311*'ФОТ, МТР, макро'!AL$13</f>
        <v>14728.632207160468</v>
      </c>
      <c r="I331" s="74">
        <f>I311*'ФОТ, МТР, макро'!AM$13</f>
        <v>13150.56447067899</v>
      </c>
      <c r="J331" s="74">
        <f>J311*'ФОТ, МТР, макро'!AN$13</f>
        <v>11741.575420249097</v>
      </c>
      <c r="K331" s="74">
        <f>K311*'ФОТ, МТР, макро'!AO$13</f>
        <v>10483.549482365264</v>
      </c>
      <c r="L331" s="74">
        <f>L311*'ФОТ, МТР, макро'!AP$13</f>
        <v>9360.3120378261283</v>
      </c>
      <c r="M331" s="74">
        <f>M311*'ФОТ, МТР, макро'!AQ$13</f>
        <v>8357.4214623447569</v>
      </c>
      <c r="N331" s="74">
        <f>N311*'ФОТ, МТР, макро'!AR$13</f>
        <v>7461.9834485221045</v>
      </c>
      <c r="O331" s="74">
        <f>O311*'ФОТ, МТР, макро'!AS$13</f>
        <v>0</v>
      </c>
      <c r="P331" s="74">
        <f>P311*'ФОТ, МТР, макро'!AT$13</f>
        <v>0</v>
      </c>
      <c r="Q331" s="74">
        <f>Q311*'ФОТ, МТР, макро'!AU$13</f>
        <v>0</v>
      </c>
      <c r="R331" s="74">
        <f>R311*'ФОТ, МТР, макро'!AV$13</f>
        <v>0</v>
      </c>
      <c r="S331" s="74">
        <f>S311*'ФОТ, МТР, макро'!AW$13</f>
        <v>0</v>
      </c>
      <c r="T331" s="74">
        <f>T311*'ФОТ, МТР, макро'!AX$13</f>
        <v>0</v>
      </c>
      <c r="U331" s="74">
        <f>U311*'ФОТ, МТР, макро'!AY$13</f>
        <v>0</v>
      </c>
      <c r="V331" s="74">
        <f>V311*'ФОТ, МТР, макро'!AZ$13</f>
        <v>0</v>
      </c>
      <c r="W331" s="74">
        <f>W311*'ФОТ, МТР, макро'!BA$13</f>
        <v>0</v>
      </c>
      <c r="X331" s="74">
        <f>X311*'ФОТ, МТР, макро'!BB$13</f>
        <v>0</v>
      </c>
      <c r="Y331" s="74">
        <f>Y311*'ФОТ, МТР, макро'!BC$13</f>
        <v>0</v>
      </c>
      <c r="Z331" s="74">
        <f>Z311*'ФОТ, МТР, макро'!BD$13</f>
        <v>0</v>
      </c>
    </row>
    <row r="332" spans="1:26" outlineLevel="1" x14ac:dyDescent="0.25">
      <c r="A332" s="39" t="str">
        <f t="shared" si="458"/>
        <v>TZCO TZE240</v>
      </c>
      <c r="B332" s="39"/>
      <c r="D332" s="18" t="str">
        <f>D315</f>
        <v>Транспортный налог</v>
      </c>
      <c r="E332" s="9" t="str">
        <f t="shared" si="595"/>
        <v>тыс. руб.</v>
      </c>
      <c r="F332" s="103"/>
      <c r="G332" s="74">
        <f>G315*'ФОТ, МТР, макро'!AK$13</f>
        <v>189.73214285714283</v>
      </c>
      <c r="H332" s="74">
        <f>H315*'ФОТ, МТР, макро'!AL$13</f>
        <v>169.40369897959181</v>
      </c>
      <c r="I332" s="74">
        <f>I315*'ФОТ, МТР, макро'!AM$13</f>
        <v>151.25330266034982</v>
      </c>
      <c r="J332" s="74">
        <f>J315*'ФОТ, МТР, макро'!AN$13</f>
        <v>135.04759166102662</v>
      </c>
      <c r="K332" s="74">
        <f>K315*'ФОТ, МТР, макро'!AO$13</f>
        <v>120.57820684020233</v>
      </c>
      <c r="L332" s="74">
        <f>L315*'ФОТ, МТР, макро'!AP$13</f>
        <v>107.65911325018064</v>
      </c>
      <c r="M332" s="74">
        <f>M315*'ФОТ, МТР, макро'!AQ$13</f>
        <v>96.124208259089855</v>
      </c>
      <c r="N332" s="74">
        <f>N315*'ФОТ, МТР, макро'!AR$13</f>
        <v>85.825185945615928</v>
      </c>
      <c r="O332" s="74">
        <f>O315*'ФОТ, МТР, макро'!AS$13</f>
        <v>0</v>
      </c>
      <c r="P332" s="74">
        <f>P315*'ФОТ, МТР, макро'!AT$13</f>
        <v>0</v>
      </c>
      <c r="Q332" s="74">
        <f>Q315*'ФОТ, МТР, макро'!AU$13</f>
        <v>0</v>
      </c>
      <c r="R332" s="74">
        <f>R315*'ФОТ, МТР, макро'!AV$13</f>
        <v>0</v>
      </c>
      <c r="S332" s="74">
        <f>S315*'ФОТ, МТР, макро'!AW$13</f>
        <v>0</v>
      </c>
      <c r="T332" s="74">
        <f>T315*'ФОТ, МТР, макро'!AX$13</f>
        <v>0</v>
      </c>
      <c r="U332" s="74">
        <f>U315*'ФОТ, МТР, макро'!AY$13</f>
        <v>0</v>
      </c>
      <c r="V332" s="74">
        <f>V315*'ФОТ, МТР, макро'!AZ$13</f>
        <v>0</v>
      </c>
      <c r="W332" s="74">
        <f>W315*'ФОТ, МТР, макро'!BA$13</f>
        <v>0</v>
      </c>
      <c r="X332" s="74">
        <f>X315*'ФОТ, МТР, макро'!BB$13</f>
        <v>0</v>
      </c>
      <c r="Y332" s="74">
        <f>Y315*'ФОТ, МТР, макро'!BC$13</f>
        <v>0</v>
      </c>
      <c r="Z332" s="74">
        <f>Z315*'ФОТ, МТР, макро'!BD$13</f>
        <v>0</v>
      </c>
    </row>
    <row r="333" spans="1:26" outlineLevel="1" x14ac:dyDescent="0.25">
      <c r="A333" s="39" t="str">
        <f t="shared" si="458"/>
        <v>TZCO TZE240</v>
      </c>
      <c r="B333" s="39"/>
      <c r="D333" s="18" t="str">
        <f>D320</f>
        <v>Налог на прибыль</v>
      </c>
      <c r="E333" s="9" t="str">
        <f t="shared" si="595"/>
        <v>тыс. руб.</v>
      </c>
      <c r="F333" s="103"/>
      <c r="G333" s="74">
        <f>G320*'ФОТ, МТР, макро'!AK$13</f>
        <v>-29362.990359521496</v>
      </c>
      <c r="H333" s="74">
        <f>H320*'ФОТ, МТР, макро'!AL$13</f>
        <v>-32493.800742468015</v>
      </c>
      <c r="I333" s="74">
        <f>I320*'ФОТ, МТР, макро'!AM$13</f>
        <v>-48934.601553312656</v>
      </c>
      <c r="J333" s="74">
        <f>J320*'ФОТ, МТР, макро'!AN$13</f>
        <v>-26634.107117540298</v>
      </c>
      <c r="K333" s="74">
        <f>K320*'ФОТ, МТР, макро'!AO$13</f>
        <v>-20483.705626909868</v>
      </c>
      <c r="L333" s="74">
        <f>L320*'ФОТ, МТР, макро'!AP$13</f>
        <v>-39142.147333006666</v>
      </c>
      <c r="M333" s="74">
        <f>M320*'ФОТ, МТР, макро'!AQ$13</f>
        <v>-16102.464933202544</v>
      </c>
      <c r="N333" s="74">
        <f>N320*'ФОТ, МТР, макро'!AR$13</f>
        <v>-17297.45053705775</v>
      </c>
      <c r="O333" s="74">
        <f>O320*'ФОТ, МТР, макро'!AS$13</f>
        <v>0</v>
      </c>
      <c r="P333" s="74">
        <f>P320*'ФОТ, МТР, макро'!AT$13</f>
        <v>0</v>
      </c>
      <c r="Q333" s="74">
        <f>Q320*'ФОТ, МТР, макро'!AU$13</f>
        <v>0</v>
      </c>
      <c r="R333" s="74">
        <f>R320*'ФОТ, МТР, макро'!AV$13</f>
        <v>0</v>
      </c>
      <c r="S333" s="74">
        <f>S320*'ФОТ, МТР, макро'!AW$13</f>
        <v>0</v>
      </c>
      <c r="T333" s="74">
        <f>T320*'ФОТ, МТР, макро'!AX$13</f>
        <v>0</v>
      </c>
      <c r="U333" s="74">
        <f>U320*'ФОТ, МТР, макро'!AY$13</f>
        <v>0</v>
      </c>
      <c r="V333" s="74">
        <f>V320*'ФОТ, МТР, макро'!AZ$13</f>
        <v>0</v>
      </c>
      <c r="W333" s="74">
        <f>W320*'ФОТ, МТР, макро'!BA$13</f>
        <v>0</v>
      </c>
      <c r="X333" s="74">
        <f>X320*'ФОТ, МТР, макро'!BB$13</f>
        <v>0</v>
      </c>
      <c r="Y333" s="74">
        <f>Y320*'ФОТ, МТР, макро'!BC$13</f>
        <v>0</v>
      </c>
      <c r="Z333" s="74">
        <f>Z320*'ФОТ, МТР, макро'!BD$13</f>
        <v>0</v>
      </c>
    </row>
    <row r="334" spans="1:26" outlineLevel="1" x14ac:dyDescent="0.25">
      <c r="A334" s="39" t="str">
        <f t="shared" si="458"/>
        <v>TZCO TZE240</v>
      </c>
      <c r="B334" s="39"/>
      <c r="D334" s="104" t="s">
        <v>88</v>
      </c>
      <c r="E334" s="9"/>
      <c r="F334" s="105"/>
      <c r="G334" s="106">
        <f>G326-SUM(G327:G333)</f>
        <v>0</v>
      </c>
      <c r="H334" s="106">
        <f t="shared" ref="H334:I334" si="596">H326-SUM(H327:H333)</f>
        <v>0</v>
      </c>
      <c r="I334" s="106">
        <f t="shared" si="596"/>
        <v>0</v>
      </c>
      <c r="J334" s="106">
        <f t="shared" ref="J334:Z334" si="597">J326-SUM(J327:J333)</f>
        <v>0</v>
      </c>
      <c r="K334" s="106">
        <f t="shared" si="597"/>
        <v>0</v>
      </c>
      <c r="L334" s="106">
        <f t="shared" si="597"/>
        <v>0</v>
      </c>
      <c r="M334" s="106">
        <f t="shared" si="597"/>
        <v>0</v>
      </c>
      <c r="N334" s="106">
        <f t="shared" si="597"/>
        <v>0</v>
      </c>
      <c r="O334" s="106">
        <f t="shared" si="597"/>
        <v>0</v>
      </c>
      <c r="P334" s="106">
        <f t="shared" si="597"/>
        <v>0</v>
      </c>
      <c r="Q334" s="106">
        <f t="shared" si="597"/>
        <v>0</v>
      </c>
      <c r="R334" s="106">
        <f t="shared" si="597"/>
        <v>0</v>
      </c>
      <c r="S334" s="106">
        <f t="shared" si="597"/>
        <v>0</v>
      </c>
      <c r="T334" s="106">
        <f t="shared" si="597"/>
        <v>0</v>
      </c>
      <c r="U334" s="106">
        <f t="shared" si="597"/>
        <v>0</v>
      </c>
      <c r="V334" s="106">
        <f t="shared" si="597"/>
        <v>0</v>
      </c>
      <c r="W334" s="106">
        <f t="shared" si="597"/>
        <v>0</v>
      </c>
      <c r="X334" s="106">
        <f t="shared" si="597"/>
        <v>0</v>
      </c>
      <c r="Y334" s="106">
        <f t="shared" si="597"/>
        <v>0</v>
      </c>
      <c r="Z334" s="106">
        <f t="shared" si="597"/>
        <v>0</v>
      </c>
    </row>
    <row r="335" spans="1:26" ht="27.2" outlineLevel="1" x14ac:dyDescent="0.25">
      <c r="A335" s="39" t="str">
        <f t="shared" si="458"/>
        <v>TZCO TZE240</v>
      </c>
      <c r="B335" s="39"/>
      <c r="D335" s="107" t="s">
        <v>89</v>
      </c>
      <c r="E335" s="68" t="str">
        <f>E326</f>
        <v>тыс. руб.</v>
      </c>
      <c r="F335" s="69">
        <f>F326</f>
        <v>0</v>
      </c>
      <c r="G335" s="69">
        <f>F335+G326</f>
        <v>88088.971078564486</v>
      </c>
      <c r="H335" s="69">
        <f t="shared" ref="H335:I342" si="598">G335+H326</f>
        <v>185570.37330596853</v>
      </c>
      <c r="I335" s="69">
        <f t="shared" si="598"/>
        <v>332374.17796590651</v>
      </c>
      <c r="J335" s="69">
        <f t="shared" ref="J335:J342" si="599">I335+J326</f>
        <v>412276.49931852741</v>
      </c>
      <c r="K335" s="69">
        <f t="shared" ref="K335:K342" si="600">J335+K326</f>
        <v>473727.61619925703</v>
      </c>
      <c r="L335" s="69">
        <f t="shared" ref="L335:L342" si="601">K335+L326</f>
        <v>591154.05819827702</v>
      </c>
      <c r="M335" s="69">
        <f t="shared" ref="M335:M342" si="602">L335+M326</f>
        <v>639461.45299788471</v>
      </c>
      <c r="N335" s="69">
        <f t="shared" ref="N335:N342" si="603">M335+N326</f>
        <v>691353.80460905796</v>
      </c>
      <c r="O335" s="69">
        <f t="shared" ref="O335:O342" si="604">N335+O326</f>
        <v>691353.80460905796</v>
      </c>
      <c r="P335" s="69">
        <f t="shared" ref="P335:P342" si="605">O335+P326</f>
        <v>691353.80460905796</v>
      </c>
      <c r="Q335" s="69">
        <f t="shared" ref="Q335:Q342" si="606">P335+Q326</f>
        <v>691353.80460905796</v>
      </c>
      <c r="R335" s="69">
        <f t="shared" ref="R335:R342" si="607">Q335+R326</f>
        <v>691353.80460905796</v>
      </c>
      <c r="S335" s="69">
        <f t="shared" ref="S335:S342" si="608">R335+S326</f>
        <v>691353.80460905796</v>
      </c>
      <c r="T335" s="69">
        <f t="shared" ref="T335:T342" si="609">S335+T326</f>
        <v>691353.80460905796</v>
      </c>
      <c r="U335" s="69">
        <f t="shared" ref="U335:U342" si="610">T335+U326</f>
        <v>691353.80460905796</v>
      </c>
      <c r="V335" s="69">
        <f t="shared" ref="V335:V342" si="611">U335+V326</f>
        <v>691353.80460905796</v>
      </c>
      <c r="W335" s="69">
        <f t="shared" ref="W335:W342" si="612">V335+W326</f>
        <v>691353.80460905796</v>
      </c>
      <c r="X335" s="69">
        <f t="shared" ref="X335:X342" si="613">W335+X326</f>
        <v>691353.80460905796</v>
      </c>
      <c r="Y335" s="69">
        <f t="shared" ref="Y335:Y342" si="614">X335+Y326</f>
        <v>691353.80460905796</v>
      </c>
      <c r="Z335" s="69">
        <f t="shared" ref="Z335:Z342" si="615">Y335+Z326</f>
        <v>691353.80460905796</v>
      </c>
    </row>
    <row r="336" spans="1:26" outlineLevel="1" x14ac:dyDescent="0.25">
      <c r="A336" s="39" t="str">
        <f t="shared" si="458"/>
        <v>TZCO TZE240</v>
      </c>
      <c r="B336" s="39"/>
      <c r="D336" s="101" t="str">
        <f>D327</f>
        <v>ТО, ТР, ППР</v>
      </c>
      <c r="E336" s="9" t="str">
        <f>E327</f>
        <v>тыс. руб.</v>
      </c>
      <c r="F336" s="74">
        <f>F327</f>
        <v>0</v>
      </c>
      <c r="G336" s="74">
        <f>F336+G327</f>
        <v>25135.798828034898</v>
      </c>
      <c r="H336" s="74">
        <f t="shared" si="598"/>
        <v>72337.932330047071</v>
      </c>
      <c r="I336" s="74">
        <f t="shared" si="598"/>
        <v>198269.20066805021</v>
      </c>
      <c r="J336" s="74">
        <f t="shared" si="599"/>
        <v>235898.45250320021</v>
      </c>
      <c r="K336" s="74">
        <f t="shared" si="600"/>
        <v>251872.70707356336</v>
      </c>
      <c r="L336" s="74">
        <f t="shared" si="601"/>
        <v>357243.17834348441</v>
      </c>
      <c r="M336" s="74">
        <f t="shared" si="602"/>
        <v>369977.75628541934</v>
      </c>
      <c r="N336" s="74">
        <f t="shared" si="603"/>
        <v>393891.82610350533</v>
      </c>
      <c r="O336" s="74">
        <f t="shared" si="604"/>
        <v>393891.82610350533</v>
      </c>
      <c r="P336" s="74">
        <f t="shared" si="605"/>
        <v>393891.82610350533</v>
      </c>
      <c r="Q336" s="74">
        <f t="shared" si="606"/>
        <v>393891.82610350533</v>
      </c>
      <c r="R336" s="74">
        <f t="shared" si="607"/>
        <v>393891.82610350533</v>
      </c>
      <c r="S336" s="74">
        <f t="shared" si="608"/>
        <v>393891.82610350533</v>
      </c>
      <c r="T336" s="74">
        <f t="shared" si="609"/>
        <v>393891.82610350533</v>
      </c>
      <c r="U336" s="74">
        <f t="shared" si="610"/>
        <v>393891.82610350533</v>
      </c>
      <c r="V336" s="74">
        <f t="shared" si="611"/>
        <v>393891.82610350533</v>
      </c>
      <c r="W336" s="74">
        <f t="shared" si="612"/>
        <v>393891.82610350533</v>
      </c>
      <c r="X336" s="74">
        <f t="shared" si="613"/>
        <v>393891.82610350533</v>
      </c>
      <c r="Y336" s="74">
        <f t="shared" si="614"/>
        <v>393891.82610350533</v>
      </c>
      <c r="Z336" s="74">
        <f t="shared" si="615"/>
        <v>393891.82610350533</v>
      </c>
    </row>
    <row r="337" spans="1:26" outlineLevel="1" x14ac:dyDescent="0.25">
      <c r="A337" s="39" t="str">
        <f t="shared" si="458"/>
        <v>TZCO TZE240</v>
      </c>
      <c r="B337" s="39"/>
      <c r="D337" s="101" t="str">
        <f t="shared" ref="D337:F342" si="616">D328</f>
        <v>Шины</v>
      </c>
      <c r="E337" s="9" t="str">
        <f t="shared" si="616"/>
        <v>тыс. руб.</v>
      </c>
      <c r="F337" s="74">
        <f t="shared" si="616"/>
        <v>0</v>
      </c>
      <c r="G337" s="74">
        <f t="shared" ref="G337:G342" si="617">F337+G328</f>
        <v>17017.110636912628</v>
      </c>
      <c r="H337" s="74">
        <f t="shared" si="598"/>
        <v>32289.243666882667</v>
      </c>
      <c r="I337" s="74">
        <f t="shared" si="598"/>
        <v>45003.149210850934</v>
      </c>
      <c r="J337" s="74">
        <f t="shared" si="599"/>
        <v>57835.234235351803</v>
      </c>
      <c r="K337" s="74">
        <f t="shared" si="600"/>
        <v>70290.637572506414</v>
      </c>
      <c r="L337" s="74">
        <f t="shared" si="601"/>
        <v>79680.074623847526</v>
      </c>
      <c r="M337" s="74">
        <f t="shared" si="602"/>
        <v>89405.124751665411</v>
      </c>
      <c r="N337" s="74">
        <f t="shared" si="603"/>
        <v>97894.046810186497</v>
      </c>
      <c r="O337" s="74">
        <f t="shared" si="604"/>
        <v>97894.046810186497</v>
      </c>
      <c r="P337" s="74">
        <f t="shared" si="605"/>
        <v>97894.046810186497</v>
      </c>
      <c r="Q337" s="74">
        <f t="shared" si="606"/>
        <v>97894.046810186497</v>
      </c>
      <c r="R337" s="74">
        <f t="shared" si="607"/>
        <v>97894.046810186497</v>
      </c>
      <c r="S337" s="74">
        <f t="shared" si="608"/>
        <v>97894.046810186497</v>
      </c>
      <c r="T337" s="74">
        <f t="shared" si="609"/>
        <v>97894.046810186497</v>
      </c>
      <c r="U337" s="74">
        <f t="shared" si="610"/>
        <v>97894.046810186497</v>
      </c>
      <c r="V337" s="74">
        <f t="shared" si="611"/>
        <v>97894.046810186497</v>
      </c>
      <c r="W337" s="74">
        <f t="shared" si="612"/>
        <v>97894.046810186497</v>
      </c>
      <c r="X337" s="74">
        <f t="shared" si="613"/>
        <v>97894.046810186497</v>
      </c>
      <c r="Y337" s="74">
        <f t="shared" si="614"/>
        <v>97894.046810186497</v>
      </c>
      <c r="Z337" s="74">
        <f t="shared" si="615"/>
        <v>97894.046810186497</v>
      </c>
    </row>
    <row r="338" spans="1:26" outlineLevel="1" x14ac:dyDescent="0.25">
      <c r="A338" s="39" t="str">
        <f t="shared" si="458"/>
        <v>TZCO TZE240</v>
      </c>
      <c r="B338" s="39"/>
      <c r="D338" s="101" t="str">
        <f t="shared" si="616"/>
        <v>Топливо</v>
      </c>
      <c r="E338" s="9" t="str">
        <f t="shared" si="616"/>
        <v>тыс. руб.</v>
      </c>
      <c r="F338" s="74">
        <f t="shared" si="616"/>
        <v>0</v>
      </c>
      <c r="G338" s="74">
        <f t="shared" si="617"/>
        <v>58613.251758261591</v>
      </c>
      <c r="H338" s="74">
        <f t="shared" si="598"/>
        <v>111216.15229001138</v>
      </c>
      <c r="I338" s="74">
        <f t="shared" si="598"/>
        <v>155007.56684795127</v>
      </c>
      <c r="J338" s="74">
        <f t="shared" si="599"/>
        <v>199206.03544655145</v>
      </c>
      <c r="K338" s="74">
        <f t="shared" si="600"/>
        <v>242107.07235746772</v>
      </c>
      <c r="L338" s="74">
        <f t="shared" si="601"/>
        <v>274447.78221715591</v>
      </c>
      <c r="M338" s="74">
        <f t="shared" si="602"/>
        <v>307944.46820960945</v>
      </c>
      <c r="N338" s="74">
        <f t="shared" si="603"/>
        <v>337183.46984676563</v>
      </c>
      <c r="O338" s="74">
        <f t="shared" si="604"/>
        <v>337183.46984676563</v>
      </c>
      <c r="P338" s="74">
        <f t="shared" si="605"/>
        <v>337183.46984676563</v>
      </c>
      <c r="Q338" s="74">
        <f t="shared" si="606"/>
        <v>337183.46984676563</v>
      </c>
      <c r="R338" s="74">
        <f t="shared" si="607"/>
        <v>337183.46984676563</v>
      </c>
      <c r="S338" s="74">
        <f t="shared" si="608"/>
        <v>337183.46984676563</v>
      </c>
      <c r="T338" s="74">
        <f t="shared" si="609"/>
        <v>337183.46984676563</v>
      </c>
      <c r="U338" s="74">
        <f t="shared" si="610"/>
        <v>337183.46984676563</v>
      </c>
      <c r="V338" s="74">
        <f t="shared" si="611"/>
        <v>337183.46984676563</v>
      </c>
      <c r="W338" s="74">
        <f t="shared" si="612"/>
        <v>337183.46984676563</v>
      </c>
      <c r="X338" s="74">
        <f t="shared" si="613"/>
        <v>337183.46984676563</v>
      </c>
      <c r="Y338" s="74">
        <f t="shared" si="614"/>
        <v>337183.46984676563</v>
      </c>
      <c r="Z338" s="74">
        <f t="shared" si="615"/>
        <v>337183.46984676563</v>
      </c>
    </row>
    <row r="339" spans="1:26" outlineLevel="1" x14ac:dyDescent="0.25">
      <c r="A339" s="39" t="str">
        <f t="shared" si="458"/>
        <v>TZCO TZE240</v>
      </c>
      <c r="B339" s="39"/>
      <c r="D339" s="101" t="str">
        <f t="shared" si="616"/>
        <v>Смазочные</v>
      </c>
      <c r="E339" s="9" t="str">
        <f t="shared" si="616"/>
        <v>тыс. руб.</v>
      </c>
      <c r="F339" s="74">
        <f t="shared" si="616"/>
        <v>0</v>
      </c>
      <c r="G339" s="74">
        <f t="shared" si="617"/>
        <v>0</v>
      </c>
      <c r="H339" s="74">
        <f t="shared" si="598"/>
        <v>0</v>
      </c>
      <c r="I339" s="74">
        <f t="shared" si="598"/>
        <v>0</v>
      </c>
      <c r="J339" s="74">
        <f t="shared" si="599"/>
        <v>0</v>
      </c>
      <c r="K339" s="74">
        <f t="shared" si="600"/>
        <v>0</v>
      </c>
      <c r="L339" s="74">
        <f t="shared" si="601"/>
        <v>0</v>
      </c>
      <c r="M339" s="74">
        <f t="shared" si="602"/>
        <v>0</v>
      </c>
      <c r="N339" s="74">
        <f t="shared" si="603"/>
        <v>0</v>
      </c>
      <c r="O339" s="74">
        <f t="shared" si="604"/>
        <v>0</v>
      </c>
      <c r="P339" s="74">
        <f t="shared" si="605"/>
        <v>0</v>
      </c>
      <c r="Q339" s="74">
        <f t="shared" si="606"/>
        <v>0</v>
      </c>
      <c r="R339" s="74">
        <f t="shared" si="607"/>
        <v>0</v>
      </c>
      <c r="S339" s="74">
        <f t="shared" si="608"/>
        <v>0</v>
      </c>
      <c r="T339" s="74">
        <f t="shared" si="609"/>
        <v>0</v>
      </c>
      <c r="U339" s="74">
        <f t="shared" si="610"/>
        <v>0</v>
      </c>
      <c r="V339" s="74">
        <f t="shared" si="611"/>
        <v>0</v>
      </c>
      <c r="W339" s="74">
        <f t="shared" si="612"/>
        <v>0</v>
      </c>
      <c r="X339" s="74">
        <f t="shared" si="613"/>
        <v>0</v>
      </c>
      <c r="Y339" s="74">
        <f t="shared" si="614"/>
        <v>0</v>
      </c>
      <c r="Z339" s="74">
        <f t="shared" si="615"/>
        <v>0</v>
      </c>
    </row>
    <row r="340" spans="1:26" outlineLevel="1" x14ac:dyDescent="0.25">
      <c r="A340" s="39" t="str">
        <f t="shared" si="458"/>
        <v>TZCO TZE240</v>
      </c>
      <c r="B340" s="39"/>
      <c r="D340" s="101" t="str">
        <f t="shared" si="616"/>
        <v>Затраты на персонал</v>
      </c>
      <c r="E340" s="9" t="str">
        <f t="shared" si="616"/>
        <v>тыс. руб.</v>
      </c>
      <c r="F340" s="74">
        <f t="shared" si="616"/>
        <v>0</v>
      </c>
      <c r="G340" s="74">
        <f t="shared" si="617"/>
        <v>16496.068072019727</v>
      </c>
      <c r="H340" s="74">
        <f t="shared" si="598"/>
        <v>31224.700279180193</v>
      </c>
      <c r="I340" s="74">
        <f t="shared" si="598"/>
        <v>44375.264749859183</v>
      </c>
      <c r="J340" s="74">
        <f t="shared" si="599"/>
        <v>56116.840170108277</v>
      </c>
      <c r="K340" s="74">
        <f t="shared" si="600"/>
        <v>66600.389652473546</v>
      </c>
      <c r="L340" s="74">
        <f t="shared" si="601"/>
        <v>75960.701690299669</v>
      </c>
      <c r="M340" s="74">
        <f t="shared" si="602"/>
        <v>84318.123152644432</v>
      </c>
      <c r="N340" s="74">
        <f t="shared" si="603"/>
        <v>91780.106601166539</v>
      </c>
      <c r="O340" s="74">
        <f t="shared" si="604"/>
        <v>91780.106601166539</v>
      </c>
      <c r="P340" s="74">
        <f t="shared" si="605"/>
        <v>91780.106601166539</v>
      </c>
      <c r="Q340" s="74">
        <f t="shared" si="606"/>
        <v>91780.106601166539</v>
      </c>
      <c r="R340" s="74">
        <f t="shared" si="607"/>
        <v>91780.106601166539</v>
      </c>
      <c r="S340" s="74">
        <f t="shared" si="608"/>
        <v>91780.106601166539</v>
      </c>
      <c r="T340" s="74">
        <f t="shared" si="609"/>
        <v>91780.106601166539</v>
      </c>
      <c r="U340" s="74">
        <f t="shared" si="610"/>
        <v>91780.106601166539</v>
      </c>
      <c r="V340" s="74">
        <f t="shared" si="611"/>
        <v>91780.106601166539</v>
      </c>
      <c r="W340" s="74">
        <f t="shared" si="612"/>
        <v>91780.106601166539</v>
      </c>
      <c r="X340" s="74">
        <f t="shared" si="613"/>
        <v>91780.106601166539</v>
      </c>
      <c r="Y340" s="74">
        <f t="shared" si="614"/>
        <v>91780.106601166539</v>
      </c>
      <c r="Z340" s="74">
        <f t="shared" si="615"/>
        <v>91780.106601166539</v>
      </c>
    </row>
    <row r="341" spans="1:26" outlineLevel="1" x14ac:dyDescent="0.25">
      <c r="A341" s="39" t="str">
        <f t="shared" si="458"/>
        <v>TZCO TZE240</v>
      </c>
      <c r="B341" s="39"/>
      <c r="D341" s="101" t="str">
        <f t="shared" si="616"/>
        <v>Транспортный налог</v>
      </c>
      <c r="E341" s="9" t="str">
        <f t="shared" si="616"/>
        <v>тыс. руб.</v>
      </c>
      <c r="F341" s="74">
        <f t="shared" si="616"/>
        <v>0</v>
      </c>
      <c r="G341" s="74">
        <f t="shared" si="617"/>
        <v>189.73214285714283</v>
      </c>
      <c r="H341" s="74">
        <f t="shared" si="598"/>
        <v>359.13584183673464</v>
      </c>
      <c r="I341" s="74">
        <f t="shared" si="598"/>
        <v>510.38914449708443</v>
      </c>
      <c r="J341" s="74">
        <f t="shared" si="599"/>
        <v>645.43673615811099</v>
      </c>
      <c r="K341" s="74">
        <f t="shared" si="600"/>
        <v>766.01494299831336</v>
      </c>
      <c r="L341" s="74">
        <f t="shared" si="601"/>
        <v>873.67405624849403</v>
      </c>
      <c r="M341" s="74">
        <f t="shared" si="602"/>
        <v>969.79826450758389</v>
      </c>
      <c r="N341" s="74">
        <f t="shared" si="603"/>
        <v>1055.6234504531999</v>
      </c>
      <c r="O341" s="74">
        <f t="shared" si="604"/>
        <v>1055.6234504531999</v>
      </c>
      <c r="P341" s="74">
        <f t="shared" si="605"/>
        <v>1055.6234504531999</v>
      </c>
      <c r="Q341" s="74">
        <f t="shared" si="606"/>
        <v>1055.6234504531999</v>
      </c>
      <c r="R341" s="74">
        <f t="shared" si="607"/>
        <v>1055.6234504531999</v>
      </c>
      <c r="S341" s="74">
        <f t="shared" si="608"/>
        <v>1055.6234504531999</v>
      </c>
      <c r="T341" s="74">
        <f t="shared" si="609"/>
        <v>1055.6234504531999</v>
      </c>
      <c r="U341" s="74">
        <f t="shared" si="610"/>
        <v>1055.6234504531999</v>
      </c>
      <c r="V341" s="74">
        <f t="shared" si="611"/>
        <v>1055.6234504531999</v>
      </c>
      <c r="W341" s="74">
        <f t="shared" si="612"/>
        <v>1055.6234504531999</v>
      </c>
      <c r="X341" s="74">
        <f t="shared" si="613"/>
        <v>1055.6234504531999</v>
      </c>
      <c r="Y341" s="74">
        <f t="shared" si="614"/>
        <v>1055.6234504531999</v>
      </c>
      <c r="Z341" s="74">
        <f t="shared" si="615"/>
        <v>1055.6234504531999</v>
      </c>
    </row>
    <row r="342" spans="1:26" outlineLevel="1" x14ac:dyDescent="0.25">
      <c r="A342" s="39" t="str">
        <f t="shared" si="458"/>
        <v>TZCO TZE240</v>
      </c>
      <c r="B342" s="39"/>
      <c r="D342" s="101" t="str">
        <f t="shared" si="616"/>
        <v>Налог на прибыль</v>
      </c>
      <c r="E342" s="9" t="str">
        <f t="shared" si="616"/>
        <v>тыс. руб.</v>
      </c>
      <c r="F342" s="74">
        <f t="shared" si="616"/>
        <v>0</v>
      </c>
      <c r="G342" s="74">
        <f t="shared" si="617"/>
        <v>-29362.990359521496</v>
      </c>
      <c r="H342" s="74">
        <f t="shared" si="598"/>
        <v>-61856.791101989511</v>
      </c>
      <c r="I342" s="74">
        <f t="shared" si="598"/>
        <v>-110791.39265530216</v>
      </c>
      <c r="J342" s="74">
        <f t="shared" si="599"/>
        <v>-137425.49977284245</v>
      </c>
      <c r="K342" s="74">
        <f t="shared" si="600"/>
        <v>-157909.2053997523</v>
      </c>
      <c r="L342" s="74">
        <f t="shared" si="601"/>
        <v>-197051.35273275897</v>
      </c>
      <c r="M342" s="74">
        <f t="shared" si="602"/>
        <v>-213153.81766596151</v>
      </c>
      <c r="N342" s="74">
        <f t="shared" si="603"/>
        <v>-230451.26820301925</v>
      </c>
      <c r="O342" s="74">
        <f t="shared" si="604"/>
        <v>-230451.26820301925</v>
      </c>
      <c r="P342" s="74">
        <f t="shared" si="605"/>
        <v>-230451.26820301925</v>
      </c>
      <c r="Q342" s="74">
        <f t="shared" si="606"/>
        <v>-230451.26820301925</v>
      </c>
      <c r="R342" s="74">
        <f t="shared" si="607"/>
        <v>-230451.26820301925</v>
      </c>
      <c r="S342" s="74">
        <f t="shared" si="608"/>
        <v>-230451.26820301925</v>
      </c>
      <c r="T342" s="74">
        <f t="shared" si="609"/>
        <v>-230451.26820301925</v>
      </c>
      <c r="U342" s="74">
        <f t="shared" si="610"/>
        <v>-230451.26820301925</v>
      </c>
      <c r="V342" s="74">
        <f t="shared" si="611"/>
        <v>-230451.26820301925</v>
      </c>
      <c r="W342" s="74">
        <f t="shared" si="612"/>
        <v>-230451.26820301925</v>
      </c>
      <c r="X342" s="74">
        <f t="shared" si="613"/>
        <v>-230451.26820301925</v>
      </c>
      <c r="Y342" s="74">
        <f t="shared" si="614"/>
        <v>-230451.26820301925</v>
      </c>
      <c r="Z342" s="74">
        <f t="shared" si="615"/>
        <v>-230451.26820301925</v>
      </c>
    </row>
    <row r="343" spans="1:26" outlineLevel="1" x14ac:dyDescent="0.25">
      <c r="A343" s="39" t="str">
        <f t="shared" si="458"/>
        <v>TZCO TZE240</v>
      </c>
      <c r="B343" s="39"/>
      <c r="D343" s="101"/>
      <c r="E343" s="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outlineLevel="1" x14ac:dyDescent="0.25">
      <c r="A344" s="39" t="str">
        <f t="shared" si="458"/>
        <v>TZCO TZE240</v>
      </c>
      <c r="B344" s="39"/>
      <c r="D344" s="67" t="s">
        <v>90</v>
      </c>
      <c r="E344" s="68" t="str">
        <f>E325</f>
        <v>тыс. руб.</v>
      </c>
      <c r="F344" s="69">
        <f>F322*'ФОТ, МТР, макро'!AJ$13</f>
        <v>0</v>
      </c>
      <c r="G344" s="69">
        <f>G322*'ФОТ, МТР, макро'!AK$13</f>
        <v>0</v>
      </c>
      <c r="H344" s="69">
        <f>H322*'ФОТ, МТР, макро'!AL$13</f>
        <v>0</v>
      </c>
      <c r="I344" s="69">
        <f>I322*'ФОТ, МТР, макро'!AM$13</f>
        <v>0</v>
      </c>
      <c r="J344" s="69">
        <f>J322*'ФОТ, МТР, макро'!AN$13</f>
        <v>0</v>
      </c>
      <c r="K344" s="69">
        <f>K322*'ФОТ, МТР, макро'!AO$13</f>
        <v>0</v>
      </c>
      <c r="L344" s="69">
        <f>L322*'ФОТ, МТР, макро'!AP$13</f>
        <v>0</v>
      </c>
      <c r="M344" s="69">
        <f>M322*'ФОТ, МТР, макро'!AQ$13</f>
        <v>0</v>
      </c>
      <c r="N344" s="69">
        <f>N322*'ФОТ, МТР, макро'!AR$13</f>
        <v>0</v>
      </c>
      <c r="O344" s="69">
        <f>O322*'ФОТ, МТР, макро'!AS$13</f>
        <v>0</v>
      </c>
      <c r="P344" s="69">
        <f>P322*'ФОТ, МТР, макро'!AT$13</f>
        <v>0</v>
      </c>
      <c r="Q344" s="69">
        <f>Q322*'ФОТ, МТР, макро'!AU$13</f>
        <v>0</v>
      </c>
      <c r="R344" s="69">
        <f>R322*'ФОТ, МТР, макро'!AV$13</f>
        <v>0</v>
      </c>
      <c r="S344" s="69">
        <f>S322*'ФОТ, МТР, макро'!AW$13</f>
        <v>0</v>
      </c>
      <c r="T344" s="69">
        <f>T322*'ФОТ, МТР, макро'!AX$13</f>
        <v>0</v>
      </c>
      <c r="U344" s="69">
        <f>U322*'ФОТ, МТР, макро'!AY$13</f>
        <v>0</v>
      </c>
      <c r="V344" s="69">
        <f>V322*'ФОТ, МТР, макро'!AZ$13</f>
        <v>0</v>
      </c>
      <c r="W344" s="69">
        <f>W322*'ФОТ, МТР, макро'!BA$13</f>
        <v>0</v>
      </c>
      <c r="X344" s="69">
        <f>X322*'ФОТ, МТР, макро'!BB$13</f>
        <v>0</v>
      </c>
      <c r="Y344" s="69">
        <f>Y322*'ФОТ, МТР, макро'!BC$13</f>
        <v>0</v>
      </c>
      <c r="Z344" s="69">
        <f>Z322*'ФОТ, МТР, макро'!BD$13</f>
        <v>0</v>
      </c>
    </row>
    <row r="345" spans="1:26" outlineLevel="1" x14ac:dyDescent="0.25">
      <c r="A345" s="39" t="str">
        <f t="shared" si="458"/>
        <v>TZCO TZE240</v>
      </c>
      <c r="B345" s="39"/>
      <c r="D345" s="101" t="str">
        <f>D323</f>
        <v>Самосвал</v>
      </c>
      <c r="E345" s="9" t="str">
        <f>E344</f>
        <v>тыс. руб.</v>
      </c>
      <c r="F345" s="74">
        <f>F323*'ФОТ, МТР, макро'!AJ$13</f>
        <v>0</v>
      </c>
      <c r="G345" s="74">
        <f>G323*'ФОТ, МТР, макро'!AK$13</f>
        <v>0</v>
      </c>
      <c r="H345" s="74">
        <f>H323*'ФОТ, МТР, макро'!AL$13</f>
        <v>0</v>
      </c>
      <c r="I345" s="74">
        <f>I323*'ФОТ, МТР, макро'!AM$13</f>
        <v>0</v>
      </c>
      <c r="J345" s="74">
        <f>J323*'ФОТ, МТР, макро'!AN$13</f>
        <v>0</v>
      </c>
      <c r="K345" s="74">
        <f>K323*'ФОТ, МТР, макро'!AO$13</f>
        <v>0</v>
      </c>
      <c r="L345" s="74">
        <f>L323*'ФОТ, МТР, макро'!AP$13</f>
        <v>0</v>
      </c>
      <c r="M345" s="74">
        <f>M323*'ФОТ, МТР, макро'!AQ$13</f>
        <v>0</v>
      </c>
      <c r="N345" s="74">
        <f>N323*'ФОТ, МТР, макро'!AR$13</f>
        <v>0</v>
      </c>
      <c r="O345" s="74">
        <f>O323*'ФОТ, МТР, макро'!AS$13</f>
        <v>0</v>
      </c>
      <c r="P345" s="74">
        <f>P323*'ФОТ, МТР, макро'!AT$13</f>
        <v>0</v>
      </c>
      <c r="Q345" s="74">
        <f>Q323*'ФОТ, МТР, макро'!AU$13</f>
        <v>0</v>
      </c>
      <c r="R345" s="74">
        <f>R323*'ФОТ, МТР, макро'!AV$13</f>
        <v>0</v>
      </c>
      <c r="S345" s="74">
        <f>S323*'ФОТ, МТР, макро'!AW$13</f>
        <v>0</v>
      </c>
      <c r="T345" s="74">
        <f>T323*'ФОТ, МТР, макро'!AX$13</f>
        <v>0</v>
      </c>
      <c r="U345" s="74">
        <f>U323*'ФОТ, МТР, макро'!AY$13</f>
        <v>0</v>
      </c>
      <c r="V345" s="74">
        <f>V323*'ФОТ, МТР, макро'!AZ$13</f>
        <v>0</v>
      </c>
      <c r="W345" s="74">
        <f>W323*'ФОТ, МТР, макро'!BA$13</f>
        <v>0</v>
      </c>
      <c r="X345" s="74">
        <f>X323*'ФОТ, МТР, макро'!BB$13</f>
        <v>0</v>
      </c>
      <c r="Y345" s="74">
        <f>Y323*'ФОТ, МТР, макро'!BC$13</f>
        <v>0</v>
      </c>
      <c r="Z345" s="74">
        <f>Z323*'ФОТ, МТР, макро'!BD$13</f>
        <v>0</v>
      </c>
    </row>
    <row r="346" spans="1:26" outlineLevel="1" x14ac:dyDescent="0.25">
      <c r="A346" s="39" t="str">
        <f t="shared" si="458"/>
        <v>TZCO TZE240</v>
      </c>
      <c r="B346" s="39"/>
      <c r="D346" s="104" t="s">
        <v>88</v>
      </c>
      <c r="E346" s="9"/>
      <c r="F346" s="106">
        <f>F344-F345</f>
        <v>0</v>
      </c>
      <c r="G346" s="106">
        <f t="shared" ref="G346:I346" si="618">G344-G345</f>
        <v>0</v>
      </c>
      <c r="H346" s="106">
        <f t="shared" si="618"/>
        <v>0</v>
      </c>
      <c r="I346" s="106">
        <f t="shared" si="618"/>
        <v>0</v>
      </c>
      <c r="J346" s="106">
        <f t="shared" ref="J346:Z346" si="619">J344-J345</f>
        <v>0</v>
      </c>
      <c r="K346" s="106">
        <f t="shared" si="619"/>
        <v>0</v>
      </c>
      <c r="L346" s="106">
        <f t="shared" si="619"/>
        <v>0</v>
      </c>
      <c r="M346" s="106">
        <f t="shared" si="619"/>
        <v>0</v>
      </c>
      <c r="N346" s="106">
        <f t="shared" si="619"/>
        <v>0</v>
      </c>
      <c r="O346" s="106">
        <f t="shared" si="619"/>
        <v>0</v>
      </c>
      <c r="P346" s="106">
        <f t="shared" si="619"/>
        <v>0</v>
      </c>
      <c r="Q346" s="106">
        <f t="shared" si="619"/>
        <v>0</v>
      </c>
      <c r="R346" s="106">
        <f t="shared" si="619"/>
        <v>0</v>
      </c>
      <c r="S346" s="106">
        <f t="shared" si="619"/>
        <v>0</v>
      </c>
      <c r="T346" s="106">
        <f t="shared" si="619"/>
        <v>0</v>
      </c>
      <c r="U346" s="106">
        <f t="shared" si="619"/>
        <v>0</v>
      </c>
      <c r="V346" s="106">
        <f t="shared" si="619"/>
        <v>0</v>
      </c>
      <c r="W346" s="106">
        <f t="shared" si="619"/>
        <v>0</v>
      </c>
      <c r="X346" s="106">
        <f t="shared" si="619"/>
        <v>0</v>
      </c>
      <c r="Y346" s="106">
        <f t="shared" si="619"/>
        <v>0</v>
      </c>
      <c r="Z346" s="106">
        <f t="shared" si="619"/>
        <v>0</v>
      </c>
    </row>
    <row r="347" spans="1:26" outlineLevel="1" x14ac:dyDescent="0.25">
      <c r="A347" s="39" t="str">
        <f t="shared" si="458"/>
        <v>TZCO TZE240</v>
      </c>
      <c r="B347" s="39"/>
      <c r="D347" s="107" t="s">
        <v>91</v>
      </c>
      <c r="E347" s="68" t="str">
        <f>E344</f>
        <v>тыс. руб.</v>
      </c>
      <c r="F347" s="69">
        <f>F344</f>
        <v>0</v>
      </c>
      <c r="G347" s="69">
        <f>F347+G344</f>
        <v>0</v>
      </c>
      <c r="H347" s="69">
        <f t="shared" ref="H347:I348" si="620">G347+H344</f>
        <v>0</v>
      </c>
      <c r="I347" s="69">
        <f t="shared" si="620"/>
        <v>0</v>
      </c>
      <c r="J347" s="69">
        <f t="shared" ref="J347:J348" si="621">I347+J344</f>
        <v>0</v>
      </c>
      <c r="K347" s="69">
        <f t="shared" ref="K347:K348" si="622">J347+K344</f>
        <v>0</v>
      </c>
      <c r="L347" s="69">
        <f t="shared" ref="L347:L348" si="623">K347+L344</f>
        <v>0</v>
      </c>
      <c r="M347" s="69">
        <f t="shared" ref="M347:M348" si="624">L347+M344</f>
        <v>0</v>
      </c>
      <c r="N347" s="69">
        <f t="shared" ref="N347:N348" si="625">M347+N344</f>
        <v>0</v>
      </c>
      <c r="O347" s="69">
        <f t="shared" ref="O347:O348" si="626">N347+O344</f>
        <v>0</v>
      </c>
      <c r="P347" s="69">
        <f t="shared" ref="P347:P348" si="627">O347+P344</f>
        <v>0</v>
      </c>
      <c r="Q347" s="69">
        <f t="shared" ref="Q347:Q348" si="628">P347+Q344</f>
        <v>0</v>
      </c>
      <c r="R347" s="69">
        <f t="shared" ref="R347:R348" si="629">Q347+R344</f>
        <v>0</v>
      </c>
      <c r="S347" s="69">
        <f t="shared" ref="S347:S348" si="630">R347+S344</f>
        <v>0</v>
      </c>
      <c r="T347" s="69">
        <f t="shared" ref="T347:T348" si="631">S347+T344</f>
        <v>0</v>
      </c>
      <c r="U347" s="69">
        <f t="shared" ref="U347:U348" si="632">T347+U344</f>
        <v>0</v>
      </c>
      <c r="V347" s="69">
        <f t="shared" ref="V347:V348" si="633">U347+V344</f>
        <v>0</v>
      </c>
      <c r="W347" s="69">
        <f t="shared" ref="W347:W348" si="634">V347+W344</f>
        <v>0</v>
      </c>
      <c r="X347" s="69">
        <f t="shared" ref="X347:X348" si="635">W347+X344</f>
        <v>0</v>
      </c>
      <c r="Y347" s="69">
        <f t="shared" ref="Y347:Y348" si="636">X347+Y344</f>
        <v>0</v>
      </c>
      <c r="Z347" s="69">
        <f t="shared" ref="Z347:Z348" si="637">Y347+Z344</f>
        <v>0</v>
      </c>
    </row>
    <row r="348" spans="1:26" outlineLevel="1" x14ac:dyDescent="0.25">
      <c r="A348" s="39" t="str">
        <f t="shared" si="458"/>
        <v>TZCO TZE240</v>
      </c>
      <c r="B348" s="39"/>
      <c r="D348" s="101" t="str">
        <f>D345</f>
        <v>Самосвал</v>
      </c>
      <c r="E348" s="9" t="str">
        <f>E345</f>
        <v>тыс. руб.</v>
      </c>
      <c r="F348" s="74">
        <f>F345</f>
        <v>0</v>
      </c>
      <c r="G348" s="74">
        <f>F348+G345</f>
        <v>0</v>
      </c>
      <c r="H348" s="74">
        <f t="shared" si="620"/>
        <v>0</v>
      </c>
      <c r="I348" s="74">
        <f t="shared" si="620"/>
        <v>0</v>
      </c>
      <c r="J348" s="74">
        <f t="shared" si="621"/>
        <v>0</v>
      </c>
      <c r="K348" s="74">
        <f t="shared" si="622"/>
        <v>0</v>
      </c>
      <c r="L348" s="74">
        <f t="shared" si="623"/>
        <v>0</v>
      </c>
      <c r="M348" s="74">
        <f t="shared" si="624"/>
        <v>0</v>
      </c>
      <c r="N348" s="74">
        <f t="shared" si="625"/>
        <v>0</v>
      </c>
      <c r="O348" s="74">
        <f t="shared" si="626"/>
        <v>0</v>
      </c>
      <c r="P348" s="74">
        <f t="shared" si="627"/>
        <v>0</v>
      </c>
      <c r="Q348" s="74">
        <f t="shared" si="628"/>
        <v>0</v>
      </c>
      <c r="R348" s="74">
        <f t="shared" si="629"/>
        <v>0</v>
      </c>
      <c r="S348" s="74">
        <f t="shared" si="630"/>
        <v>0</v>
      </c>
      <c r="T348" s="74">
        <f t="shared" si="631"/>
        <v>0</v>
      </c>
      <c r="U348" s="74">
        <f t="shared" si="632"/>
        <v>0</v>
      </c>
      <c r="V348" s="74">
        <f t="shared" si="633"/>
        <v>0</v>
      </c>
      <c r="W348" s="74">
        <f t="shared" si="634"/>
        <v>0</v>
      </c>
      <c r="X348" s="74">
        <f t="shared" si="635"/>
        <v>0</v>
      </c>
      <c r="Y348" s="74">
        <f t="shared" si="636"/>
        <v>0</v>
      </c>
      <c r="Z348" s="74">
        <f t="shared" si="637"/>
        <v>0</v>
      </c>
    </row>
    <row r="349" spans="1:26" outlineLevel="1" x14ac:dyDescent="0.25">
      <c r="A349" s="39" t="str">
        <f t="shared" si="458"/>
        <v>TZCO TZE240</v>
      </c>
      <c r="B349" s="39"/>
      <c r="D349" s="101"/>
      <c r="E349" s="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outlineLevel="1" x14ac:dyDescent="0.25">
      <c r="A350" s="39" t="str">
        <f t="shared" si="458"/>
        <v>TZCO TZE240</v>
      </c>
      <c r="B350" s="39"/>
      <c r="D350" s="67" t="s">
        <v>92</v>
      </c>
      <c r="E350" s="68" t="str">
        <f>E325</f>
        <v>тыс. руб.</v>
      </c>
      <c r="F350" s="69">
        <f>F325*'ФОТ, МТР, макро'!AJ$13</f>
        <v>0</v>
      </c>
      <c r="G350" s="69">
        <f>G325*'ФОТ, МТР, макро'!AK$13</f>
        <v>88088.971078564486</v>
      </c>
      <c r="H350" s="69">
        <f>H325*'ФОТ, МТР, макро'!AL$13</f>
        <v>97481.402227404047</v>
      </c>
      <c r="I350" s="69">
        <f>I325*'ФОТ, МТР, макро'!AM$13</f>
        <v>146803.80465993797</v>
      </c>
      <c r="J350" s="69">
        <f>J325*'ФОТ, МТР, макро'!AN$13</f>
        <v>79902.3213526209</v>
      </c>
      <c r="K350" s="69">
        <f>K325*'ФОТ, МТР, макро'!AO$13</f>
        <v>61451.116880729605</v>
      </c>
      <c r="L350" s="69">
        <f>L325*'ФОТ, МТР, макро'!AP$13</f>
        <v>117426.44199902</v>
      </c>
      <c r="M350" s="69">
        <f>M325*'ФОТ, МТР, макро'!AQ$13</f>
        <v>48307.394799607631</v>
      </c>
      <c r="N350" s="69">
        <f>N325*'ФОТ, МТР, макро'!AR$13</f>
        <v>51892.351611173253</v>
      </c>
      <c r="O350" s="69">
        <f>O325*'ФОТ, МТР, макро'!AS$13</f>
        <v>0</v>
      </c>
      <c r="P350" s="69">
        <f>P325*'ФОТ, МТР, макро'!AT$13</f>
        <v>0</v>
      </c>
      <c r="Q350" s="69">
        <f>Q325*'ФОТ, МТР, макро'!AU$13</f>
        <v>0</v>
      </c>
      <c r="R350" s="69">
        <f>R325*'ФОТ, МТР, макро'!AV$13</f>
        <v>0</v>
      </c>
      <c r="S350" s="69">
        <f>S325*'ФОТ, МТР, макро'!AW$13</f>
        <v>0</v>
      </c>
      <c r="T350" s="69">
        <f>T325*'ФОТ, МТР, макро'!AX$13</f>
        <v>0</v>
      </c>
      <c r="U350" s="69">
        <f>U325*'ФОТ, МТР, макро'!AY$13</f>
        <v>0</v>
      </c>
      <c r="V350" s="69">
        <f>V325*'ФОТ, МТР, макро'!AZ$13</f>
        <v>0</v>
      </c>
      <c r="W350" s="69">
        <f>W325*'ФОТ, МТР, макро'!BA$13</f>
        <v>0</v>
      </c>
      <c r="X350" s="69">
        <f>X325*'ФОТ, МТР, макро'!BB$13</f>
        <v>0</v>
      </c>
      <c r="Y350" s="69">
        <f>Y325*'ФОТ, МТР, макро'!BC$13</f>
        <v>0</v>
      </c>
      <c r="Z350" s="69">
        <f>Z325*'ФОТ, МТР, макро'!BD$13</f>
        <v>0</v>
      </c>
    </row>
    <row r="351" spans="1:26" outlineLevel="1" x14ac:dyDescent="0.25">
      <c r="A351" s="39" t="str">
        <f t="shared" si="458"/>
        <v>TZCO TZE240</v>
      </c>
      <c r="B351" s="39"/>
      <c r="D351" s="107" t="s">
        <v>93</v>
      </c>
      <c r="E351" s="68" t="str">
        <f>E350</f>
        <v>тыс. руб.</v>
      </c>
      <c r="F351" s="69">
        <f>F350</f>
        <v>0</v>
      </c>
      <c r="G351" s="69">
        <f>F351+G350</f>
        <v>88088.971078564486</v>
      </c>
      <c r="H351" s="69">
        <f t="shared" ref="H351:I351" si="638">G351+H350</f>
        <v>185570.37330596853</v>
      </c>
      <c r="I351" s="69">
        <f t="shared" si="638"/>
        <v>332374.17796590651</v>
      </c>
      <c r="J351" s="69">
        <f t="shared" ref="J351" si="639">I351+J350</f>
        <v>412276.49931852741</v>
      </c>
      <c r="K351" s="69">
        <f t="shared" ref="K351" si="640">J351+K350</f>
        <v>473727.61619925703</v>
      </c>
      <c r="L351" s="69">
        <f t="shared" ref="L351" si="641">K351+L350</f>
        <v>591154.05819827702</v>
      </c>
      <c r="M351" s="69">
        <f t="shared" ref="M351" si="642">L351+M350</f>
        <v>639461.45299788471</v>
      </c>
      <c r="N351" s="69">
        <f t="shared" ref="N351" si="643">M351+N350</f>
        <v>691353.80460905796</v>
      </c>
      <c r="O351" s="69">
        <f t="shared" ref="O351" si="644">N351+O350</f>
        <v>691353.80460905796</v>
      </c>
      <c r="P351" s="69">
        <f t="shared" ref="P351" si="645">O351+P350</f>
        <v>691353.80460905796</v>
      </c>
      <c r="Q351" s="69">
        <f t="shared" ref="Q351" si="646">P351+Q350</f>
        <v>691353.80460905796</v>
      </c>
      <c r="R351" s="69">
        <f t="shared" ref="R351" si="647">Q351+R350</f>
        <v>691353.80460905796</v>
      </c>
      <c r="S351" s="69">
        <f t="shared" ref="S351" si="648">R351+S350</f>
        <v>691353.80460905796</v>
      </c>
      <c r="T351" s="69">
        <f t="shared" ref="T351" si="649">S351+T350</f>
        <v>691353.80460905796</v>
      </c>
      <c r="U351" s="69">
        <f t="shared" ref="U351" si="650">T351+U350</f>
        <v>691353.80460905796</v>
      </c>
      <c r="V351" s="69">
        <f t="shared" ref="V351" si="651">U351+V350</f>
        <v>691353.80460905796</v>
      </c>
      <c r="W351" s="69">
        <f t="shared" ref="W351" si="652">V351+W350</f>
        <v>691353.80460905796</v>
      </c>
      <c r="X351" s="69">
        <f t="shared" ref="X351" si="653">W351+X350</f>
        <v>691353.80460905796</v>
      </c>
      <c r="Y351" s="69">
        <f t="shared" ref="Y351" si="654">X351+Y350</f>
        <v>691353.80460905796</v>
      </c>
      <c r="Z351" s="69">
        <f t="shared" ref="Z351" si="655">Y351+Z350</f>
        <v>691353.80460905796</v>
      </c>
    </row>
    <row r="352" spans="1:26" outlineLevel="1" x14ac:dyDescent="0.25">
      <c r="A352" s="39" t="str">
        <f t="shared" ref="A352:A374" si="656">A351</f>
        <v>TZCO TZE240</v>
      </c>
      <c r="B352" s="39"/>
      <c r="D352" s="101"/>
      <c r="E352" s="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9" outlineLevel="1" x14ac:dyDescent="0.25">
      <c r="A353" s="39" t="str">
        <f t="shared" si="656"/>
        <v>TZCO TZE240</v>
      </c>
      <c r="B353" s="39" t="str">
        <f>D353</f>
        <v>Аннуитет операционный</v>
      </c>
      <c r="C353" s="61">
        <f>E284</f>
        <v>8</v>
      </c>
      <c r="D353" s="108" t="s">
        <v>94</v>
      </c>
      <c r="E353" s="109" t="s">
        <v>95</v>
      </c>
      <c r="F353" s="110"/>
      <c r="G353" s="111">
        <f>G335/'ФОТ, МТР, макро'!AK$14/(G291/G286)</f>
        <v>8.9296953562822186</v>
      </c>
      <c r="H353" s="111">
        <f>H335/'ФОТ, МТР, макро'!AL$14/(H291/H286)</f>
        <v>9.912621548497512</v>
      </c>
      <c r="I353" s="111">
        <f>I335/'ФОТ, МТР, макро'!AM$14/(I291/I286)</f>
        <v>12.770544610235628</v>
      </c>
      <c r="J353" s="111">
        <f>J335/'ФОТ, МТР, макро'!AN$14/(J291/J286)</f>
        <v>12.280045069910225</v>
      </c>
      <c r="K353" s="111">
        <f>K335/'ФОТ, МТР, макро'!AO$14/(K291/K286)</f>
        <v>11.540313179014785</v>
      </c>
      <c r="L353" s="111">
        <f>L335/'ФОТ, МТР, макро'!AP$14/(L291/L286)</f>
        <v>12.746495246115716</v>
      </c>
      <c r="M353" s="111">
        <f>M335/'ФОТ, МТР, макро'!AQ$14/(M291/M286)</f>
        <v>12.238171110742918</v>
      </c>
      <c r="N353" s="111">
        <f>N335/'ФОТ, МТР, макро'!AR$14/(N291/N286)</f>
        <v>12.058796115302989</v>
      </c>
      <c r="O353" s="111" t="e">
        <f>O335/'ФОТ, МТР, макро'!AS$14/(O291/O286)</f>
        <v>#DIV/0!</v>
      </c>
      <c r="P353" s="111" t="e">
        <f>P335/'ФОТ, МТР, макро'!AT$14/(P291/P286)</f>
        <v>#DIV/0!</v>
      </c>
      <c r="Q353" s="111" t="e">
        <f>Q335/'ФОТ, МТР, макро'!AU$14/(Q291/Q286)</f>
        <v>#DIV/0!</v>
      </c>
      <c r="R353" s="111" t="e">
        <f>R335/'ФОТ, МТР, макро'!AV$14/(R291/R286)</f>
        <v>#DIV/0!</v>
      </c>
      <c r="S353" s="111" t="e">
        <f>S335/'ФОТ, МТР, макро'!AW$14/(S291/S286)</f>
        <v>#DIV/0!</v>
      </c>
      <c r="T353" s="111" t="e">
        <f>T335/'ФОТ, МТР, макро'!AX$14/(T291/T286)</f>
        <v>#DIV/0!</v>
      </c>
      <c r="U353" s="111" t="e">
        <f>U335/'ФОТ, МТР, макро'!AY$14/(U291/U286)</f>
        <v>#DIV/0!</v>
      </c>
      <c r="V353" s="111" t="e">
        <f>V335/'ФОТ, МТР, макро'!AZ$14/(V291/V286)</f>
        <v>#DIV/0!</v>
      </c>
      <c r="W353" s="111" t="e">
        <f>W335/'ФОТ, МТР, макро'!BA$14/(W291/W286)</f>
        <v>#DIV/0!</v>
      </c>
      <c r="X353" s="111" t="e">
        <f>X335/'ФОТ, МТР, макро'!BB$14/(X291/X286)</f>
        <v>#DIV/0!</v>
      </c>
      <c r="Y353" s="111" t="e">
        <f>Y335/'ФОТ, МТР, макро'!BC$14/(Y291/Y286)</f>
        <v>#DIV/0!</v>
      </c>
      <c r="Z353" s="111" t="e">
        <f>Z335/'ФОТ, МТР, макро'!BD$14/(Z291/Z286)</f>
        <v>#DIV/0!</v>
      </c>
      <c r="AC353" s="112" cm="1">
        <f t="array" ref="AC353">INDEX(G353:Z353,1,$C353)</f>
        <v>12.058796115302989</v>
      </c>
    </row>
    <row r="354" spans="1:29" outlineLevel="1" x14ac:dyDescent="0.25">
      <c r="A354" s="39" t="str">
        <f t="shared" si="656"/>
        <v>TZCO TZE240</v>
      </c>
      <c r="B354" s="39" t="str">
        <f t="shared" ref="B354:B363" si="657">D354</f>
        <v>ТО, ТР, ППР</v>
      </c>
      <c r="C354" s="39">
        <f>C353</f>
        <v>8</v>
      </c>
      <c r="D354" s="113" t="str">
        <f>D336</f>
        <v>ТО, ТР, ППР</v>
      </c>
      <c r="E354" s="114" t="str">
        <f>E353</f>
        <v>руб/ткм</v>
      </c>
      <c r="F354" s="115"/>
      <c r="G354" s="116">
        <f>G336/'ФОТ, МТР, макро'!AK$14/(G291/G286)</f>
        <v>2.5480491294530063</v>
      </c>
      <c r="H354" s="116">
        <f>H336/'ФОТ, МТР, макро'!AL$14/(H291/H286)</f>
        <v>3.8640788074844949</v>
      </c>
      <c r="I354" s="116">
        <f>I336/'ФОТ, МТР, макро'!AM$14/(I291/I286)</f>
        <v>7.6179373724598332</v>
      </c>
      <c r="J354" s="116">
        <f>J336/'ФОТ, МТР, макро'!AN$14/(J291/J286)</f>
        <v>7.0264582954636357</v>
      </c>
      <c r="K354" s="116">
        <f>K336/'ФОТ, МТР, макро'!AO$14/(K291/K286)</f>
        <v>6.135783140944385</v>
      </c>
      <c r="L354" s="116">
        <f>L336/'ФОТ, МТР, макро'!AP$14/(L291/L286)</f>
        <v>7.7028964130618993</v>
      </c>
      <c r="M354" s="116">
        <f>M336/'ФОТ, МТР, макро'!AQ$14/(M291/M286)</f>
        <v>7.0807256127206779</v>
      </c>
      <c r="N354" s="116">
        <f>N336/'ФОТ, МТР, макро'!AR$14/(N291/N286)</f>
        <v>6.8703769196040945</v>
      </c>
      <c r="O354" s="116" t="e">
        <f>O336/'ФОТ, МТР, макро'!AS$14/(O291/O286)</f>
        <v>#DIV/0!</v>
      </c>
      <c r="P354" s="116" t="e">
        <f>P336/'ФОТ, МТР, макро'!AT$14/(P291/P286)</f>
        <v>#DIV/0!</v>
      </c>
      <c r="Q354" s="116" t="e">
        <f>Q336/'ФОТ, МТР, макро'!AU$14/(Q291/Q286)</f>
        <v>#DIV/0!</v>
      </c>
      <c r="R354" s="116" t="e">
        <f>R336/'ФОТ, МТР, макро'!AV$14/(R291/R286)</f>
        <v>#DIV/0!</v>
      </c>
      <c r="S354" s="116" t="e">
        <f>S336/'ФОТ, МТР, макро'!AW$14/(S291/S286)</f>
        <v>#DIV/0!</v>
      </c>
      <c r="T354" s="116" t="e">
        <f>T336/'ФОТ, МТР, макро'!AX$14/(T291/T286)</f>
        <v>#DIV/0!</v>
      </c>
      <c r="U354" s="116" t="e">
        <f>U336/'ФОТ, МТР, макро'!AY$14/(U291/U286)</f>
        <v>#DIV/0!</v>
      </c>
      <c r="V354" s="116" t="e">
        <f>V336/'ФОТ, МТР, макро'!AZ$14/(V291/V286)</f>
        <v>#DIV/0!</v>
      </c>
      <c r="W354" s="116" t="e">
        <f>W336/'ФОТ, МТР, макро'!BA$14/(W291/W286)</f>
        <v>#DIV/0!</v>
      </c>
      <c r="X354" s="116" t="e">
        <f>X336/'ФОТ, МТР, макро'!BB$14/(X291/X286)</f>
        <v>#DIV/0!</v>
      </c>
      <c r="Y354" s="116" t="e">
        <f>Y336/'ФОТ, МТР, макро'!BC$14/(Y291/Y286)</f>
        <v>#DIV/0!</v>
      </c>
      <c r="Z354" s="116" t="e">
        <f>Z336/'ФОТ, МТР, макро'!BD$14/(Z291/Z286)</f>
        <v>#DIV/0!</v>
      </c>
      <c r="AC354" s="117" cm="1">
        <f t="array" ref="AC354">INDEX(G354:Z354,1,$C354)</f>
        <v>6.8703769196040945</v>
      </c>
    </row>
    <row r="355" spans="1:29" outlineLevel="1" x14ac:dyDescent="0.25">
      <c r="A355" s="39" t="str">
        <f t="shared" si="656"/>
        <v>TZCO TZE240</v>
      </c>
      <c r="B355" s="39" t="str">
        <f t="shared" si="657"/>
        <v>Шины</v>
      </c>
      <c r="C355" s="39">
        <f t="shared" ref="C355:C363" si="658">C354</f>
        <v>8</v>
      </c>
      <c r="D355" s="113" t="str">
        <f t="shared" ref="D355:D360" si="659">D337</f>
        <v>Шины</v>
      </c>
      <c r="E355" s="114" t="str">
        <f t="shared" ref="E355:E360" si="660">E354</f>
        <v>руб/ткм</v>
      </c>
      <c r="F355" s="115"/>
      <c r="G355" s="116">
        <f>G337/'ФОТ, МТР, макро'!AK$14/(G291/G286)</f>
        <v>1.7250469834214777</v>
      </c>
      <c r="H355" s="116">
        <f>H337/'ФОТ, МТР, макро'!AL$14/(H291/H286)</f>
        <v>1.7247960806184006</v>
      </c>
      <c r="I355" s="116">
        <f>I337/'ФОТ, МТР, макро'!AM$14/(I291/I286)</f>
        <v>1.7291196569945753</v>
      </c>
      <c r="J355" s="116">
        <f>J337/'ФОТ, МТР, макро'!AN$14/(J291/J286)</f>
        <v>1.722677097076579</v>
      </c>
      <c r="K355" s="116">
        <f>K337/'ФОТ, МТР, макро'!AO$14/(K291/K286)</f>
        <v>1.7123256981458193</v>
      </c>
      <c r="L355" s="116">
        <f>L337/'ФОТ, МТР, макро'!AP$14/(L291/L286)</f>
        <v>1.7180660071902358</v>
      </c>
      <c r="M355" s="116">
        <f>M337/'ФОТ, МТР, макро'!AQ$14/(M291/M286)</f>
        <v>1.7110573432669716</v>
      </c>
      <c r="N355" s="116">
        <f>N337/'ФОТ, МТР, макро'!AR$14/(N291/N286)</f>
        <v>1.707496716610243</v>
      </c>
      <c r="O355" s="116" t="e">
        <f>O337/'ФОТ, МТР, макро'!AS$14/(O291/O286)</f>
        <v>#DIV/0!</v>
      </c>
      <c r="P355" s="116" t="e">
        <f>P337/'ФОТ, МТР, макро'!AT$14/(P291/P286)</f>
        <v>#DIV/0!</v>
      </c>
      <c r="Q355" s="116" t="e">
        <f>Q337/'ФОТ, МТР, макро'!AU$14/(Q291/Q286)</f>
        <v>#DIV/0!</v>
      </c>
      <c r="R355" s="116" t="e">
        <f>R337/'ФОТ, МТР, макро'!AV$14/(R291/R286)</f>
        <v>#DIV/0!</v>
      </c>
      <c r="S355" s="116" t="e">
        <f>S337/'ФОТ, МТР, макро'!AW$14/(S291/S286)</f>
        <v>#DIV/0!</v>
      </c>
      <c r="T355" s="116" t="e">
        <f>T337/'ФОТ, МТР, макро'!AX$14/(T291/T286)</f>
        <v>#DIV/0!</v>
      </c>
      <c r="U355" s="116" t="e">
        <f>U337/'ФОТ, МТР, макро'!AY$14/(U291/U286)</f>
        <v>#DIV/0!</v>
      </c>
      <c r="V355" s="116" t="e">
        <f>V337/'ФОТ, МТР, макро'!AZ$14/(V291/V286)</f>
        <v>#DIV/0!</v>
      </c>
      <c r="W355" s="116" t="e">
        <f>W337/'ФОТ, МТР, макро'!BA$14/(W291/W286)</f>
        <v>#DIV/0!</v>
      </c>
      <c r="X355" s="116" t="e">
        <f>X337/'ФОТ, МТР, макро'!BB$14/(X291/X286)</f>
        <v>#DIV/0!</v>
      </c>
      <c r="Y355" s="116" t="e">
        <f>Y337/'ФОТ, МТР, макро'!BC$14/(Y291/Y286)</f>
        <v>#DIV/0!</v>
      </c>
      <c r="Z355" s="116" t="e">
        <f>Z337/'ФОТ, МТР, макро'!BD$14/(Z291/Z286)</f>
        <v>#DIV/0!</v>
      </c>
      <c r="AC355" s="117" cm="1">
        <f t="array" ref="AC355">INDEX(G355:Z355,1,$C355)</f>
        <v>1.707496716610243</v>
      </c>
    </row>
    <row r="356" spans="1:29" outlineLevel="1" x14ac:dyDescent="0.25">
      <c r="A356" s="39" t="str">
        <f t="shared" si="656"/>
        <v>TZCO TZE240</v>
      </c>
      <c r="B356" s="39" t="str">
        <f t="shared" si="657"/>
        <v>Топливо</v>
      </c>
      <c r="C356" s="39">
        <f t="shared" si="658"/>
        <v>8</v>
      </c>
      <c r="D356" s="113" t="str">
        <f t="shared" si="659"/>
        <v>Топливо</v>
      </c>
      <c r="E356" s="114" t="str">
        <f t="shared" si="660"/>
        <v>руб/ткм</v>
      </c>
      <c r="F356" s="115"/>
      <c r="G356" s="116">
        <f>G338/'ФОТ, МТР, макро'!AK$14/(G291/G286)</f>
        <v>5.941702753861688</v>
      </c>
      <c r="H356" s="116">
        <f>H338/'ФОТ, МТР, макро'!AL$14/(H291/H286)</f>
        <v>5.9408385513846991</v>
      </c>
      <c r="I356" s="116">
        <f>I338/'ФОТ, МТР, макро'!AM$14/(I291/I286)</f>
        <v>5.9557305548534352</v>
      </c>
      <c r="J356" s="116">
        <f>J338/'ФОТ, МТР, макро'!AN$14/(J291/J286)</f>
        <v>5.9335399847561785</v>
      </c>
      <c r="K356" s="116">
        <f>K338/'ФОТ, МТР, макро'!AO$14/(K291/K286)</f>
        <v>5.8978859207658596</v>
      </c>
      <c r="L356" s="116">
        <f>L338/'ФОТ, МТР, макро'!AP$14/(L291/L286)</f>
        <v>5.9176576779324819</v>
      </c>
      <c r="M356" s="116">
        <f>M338/'ФОТ, МТР, макро'!AQ$14/(M291/M286)</f>
        <v>5.8935172353045644</v>
      </c>
      <c r="N356" s="116">
        <f>N338/'ФОТ, МТР, макро'!AR$14/(N291/N286)</f>
        <v>5.8812531141443403</v>
      </c>
      <c r="O356" s="116" t="e">
        <f>O338/'ФОТ, МТР, макро'!AS$14/(O291/O286)</f>
        <v>#DIV/0!</v>
      </c>
      <c r="P356" s="116" t="e">
        <f>P338/'ФОТ, МТР, макро'!AT$14/(P291/P286)</f>
        <v>#DIV/0!</v>
      </c>
      <c r="Q356" s="116" t="e">
        <f>Q338/'ФОТ, МТР, макро'!AU$14/(Q291/Q286)</f>
        <v>#DIV/0!</v>
      </c>
      <c r="R356" s="116" t="e">
        <f>R338/'ФОТ, МТР, макро'!AV$14/(R291/R286)</f>
        <v>#DIV/0!</v>
      </c>
      <c r="S356" s="116" t="e">
        <f>S338/'ФОТ, МТР, макро'!AW$14/(S291/S286)</f>
        <v>#DIV/0!</v>
      </c>
      <c r="T356" s="116" t="e">
        <f>T338/'ФОТ, МТР, макро'!AX$14/(T291/T286)</f>
        <v>#DIV/0!</v>
      </c>
      <c r="U356" s="116" t="e">
        <f>U338/'ФОТ, МТР, макро'!AY$14/(U291/U286)</f>
        <v>#DIV/0!</v>
      </c>
      <c r="V356" s="116" t="e">
        <f>V338/'ФОТ, МТР, макро'!AZ$14/(V291/V286)</f>
        <v>#DIV/0!</v>
      </c>
      <c r="W356" s="116" t="e">
        <f>W338/'ФОТ, МТР, макро'!BA$14/(W291/W286)</f>
        <v>#DIV/0!</v>
      </c>
      <c r="X356" s="116" t="e">
        <f>X338/'ФОТ, МТР, макро'!BB$14/(X291/X286)</f>
        <v>#DIV/0!</v>
      </c>
      <c r="Y356" s="116" t="e">
        <f>Y338/'ФОТ, МТР, макро'!BC$14/(Y291/Y286)</f>
        <v>#DIV/0!</v>
      </c>
      <c r="Z356" s="116" t="e">
        <f>Z338/'ФОТ, МТР, макро'!BD$14/(Z291/Z286)</f>
        <v>#DIV/0!</v>
      </c>
      <c r="AC356" s="117" cm="1">
        <f t="array" ref="AC356">INDEX(G356:Z356,1,$C356)</f>
        <v>5.8812531141443403</v>
      </c>
    </row>
    <row r="357" spans="1:29" outlineLevel="1" x14ac:dyDescent="0.25">
      <c r="A357" s="39" t="str">
        <f t="shared" si="656"/>
        <v>TZCO TZE240</v>
      </c>
      <c r="B357" s="39" t="str">
        <f t="shared" si="657"/>
        <v>Смазочные</v>
      </c>
      <c r="C357" s="39">
        <f t="shared" si="658"/>
        <v>8</v>
      </c>
      <c r="D357" s="113" t="str">
        <f t="shared" si="659"/>
        <v>Смазочные</v>
      </c>
      <c r="E357" s="114" t="str">
        <f t="shared" si="660"/>
        <v>руб/ткм</v>
      </c>
      <c r="F357" s="115"/>
      <c r="G357" s="116">
        <f>G339/'ФОТ, МТР, макро'!AK$14/(G291/G286)</f>
        <v>0</v>
      </c>
      <c r="H357" s="116">
        <f>H339/'ФОТ, МТР, макро'!AL$14/(H291/H286)</f>
        <v>0</v>
      </c>
      <c r="I357" s="116">
        <f>I339/'ФОТ, МТР, макро'!AM$14/(I291/I286)</f>
        <v>0</v>
      </c>
      <c r="J357" s="116">
        <f>J339/'ФОТ, МТР, макро'!AN$14/(J291/J286)</f>
        <v>0</v>
      </c>
      <c r="K357" s="116">
        <f>K339/'ФОТ, МТР, макро'!AO$14/(K291/K286)</f>
        <v>0</v>
      </c>
      <c r="L357" s="116">
        <f>L339/'ФОТ, МТР, макро'!AP$14/(L291/L286)</f>
        <v>0</v>
      </c>
      <c r="M357" s="116">
        <f>M339/'ФОТ, МТР, макро'!AQ$14/(M291/M286)</f>
        <v>0</v>
      </c>
      <c r="N357" s="116">
        <f>N339/'ФОТ, МТР, макро'!AR$14/(N291/N286)</f>
        <v>0</v>
      </c>
      <c r="O357" s="116" t="e">
        <f>O339/'ФОТ, МТР, макро'!AS$14/(O291/O286)</f>
        <v>#DIV/0!</v>
      </c>
      <c r="P357" s="116" t="e">
        <f>P339/'ФОТ, МТР, макро'!AT$14/(P291/P286)</f>
        <v>#DIV/0!</v>
      </c>
      <c r="Q357" s="116" t="e">
        <f>Q339/'ФОТ, МТР, макро'!AU$14/(Q291/Q286)</f>
        <v>#DIV/0!</v>
      </c>
      <c r="R357" s="116" t="e">
        <f>R339/'ФОТ, МТР, макро'!AV$14/(R291/R286)</f>
        <v>#DIV/0!</v>
      </c>
      <c r="S357" s="116" t="e">
        <f>S339/'ФОТ, МТР, макро'!AW$14/(S291/S286)</f>
        <v>#DIV/0!</v>
      </c>
      <c r="T357" s="116" t="e">
        <f>T339/'ФОТ, МТР, макро'!AX$14/(T291/T286)</f>
        <v>#DIV/0!</v>
      </c>
      <c r="U357" s="116" t="e">
        <f>U339/'ФОТ, МТР, макро'!AY$14/(U291/U286)</f>
        <v>#DIV/0!</v>
      </c>
      <c r="V357" s="116" t="e">
        <f>V339/'ФОТ, МТР, макро'!AZ$14/(V291/V286)</f>
        <v>#DIV/0!</v>
      </c>
      <c r="W357" s="116" t="e">
        <f>W339/'ФОТ, МТР, макро'!BA$14/(W291/W286)</f>
        <v>#DIV/0!</v>
      </c>
      <c r="X357" s="116" t="e">
        <f>X339/'ФОТ, МТР, макро'!BB$14/(X291/X286)</f>
        <v>#DIV/0!</v>
      </c>
      <c r="Y357" s="116" t="e">
        <f>Y339/'ФОТ, МТР, макро'!BC$14/(Y291/Y286)</f>
        <v>#DIV/0!</v>
      </c>
      <c r="Z357" s="116" t="e">
        <f>Z339/'ФОТ, МТР, макро'!BD$14/(Z291/Z286)</f>
        <v>#DIV/0!</v>
      </c>
      <c r="AC357" s="117" cm="1">
        <f t="array" ref="AC357">INDEX(G357:Z357,1,$C357)</f>
        <v>0</v>
      </c>
    </row>
    <row r="358" spans="1:29" outlineLevel="1" x14ac:dyDescent="0.25">
      <c r="A358" s="39" t="str">
        <f t="shared" si="656"/>
        <v>TZCO TZE240</v>
      </c>
      <c r="B358" s="39" t="str">
        <f t="shared" si="657"/>
        <v>Затраты на персонал</v>
      </c>
      <c r="C358" s="39">
        <f t="shared" si="658"/>
        <v>8</v>
      </c>
      <c r="D358" s="113" t="str">
        <f t="shared" si="659"/>
        <v>Затраты на персонал</v>
      </c>
      <c r="E358" s="114" t="str">
        <f t="shared" si="660"/>
        <v>руб/ткм</v>
      </c>
      <c r="F358" s="115"/>
      <c r="G358" s="116">
        <f>G340/'ФОТ, МТР, макро'!AK$14/(G291/G286)</f>
        <v>1.6722282103653157</v>
      </c>
      <c r="H358" s="116">
        <f>H340/'ФОТ, МТР, макро'!AL$14/(H291/H286)</f>
        <v>1.6679313153207025</v>
      </c>
      <c r="I358" s="116">
        <f>I340/'ФОТ, МТР, макро'!AM$14/(I291/I286)</f>
        <v>1.7049949594376208</v>
      </c>
      <c r="J358" s="116">
        <f>J340/'ФОТ, МТР, макро'!AN$14/(J291/J286)</f>
        <v>1.6714931062259308</v>
      </c>
      <c r="K358" s="116">
        <f>K340/'ФОТ, МТР, макро'!AO$14/(K291/K286)</f>
        <v>1.6224288560595124</v>
      </c>
      <c r="L358" s="116">
        <f>L340/'ФОТ, МТР, макро'!AP$14/(L291/L286)</f>
        <v>1.6378686901651398</v>
      </c>
      <c r="M358" s="116">
        <f>M340/'ФОТ, МТР, макро'!AQ$14/(M291/M286)</f>
        <v>1.613701051159639</v>
      </c>
      <c r="N358" s="116">
        <f>N340/'ФОТ, МТР, макро'!AR$14/(N291/N286)</f>
        <v>1.6008555757787188</v>
      </c>
      <c r="O358" s="116" t="e">
        <f>O340/'ФОТ, МТР, макро'!AS$14/(O291/O286)</f>
        <v>#DIV/0!</v>
      </c>
      <c r="P358" s="116" t="e">
        <f>P340/'ФОТ, МТР, макро'!AT$14/(P291/P286)</f>
        <v>#DIV/0!</v>
      </c>
      <c r="Q358" s="116" t="e">
        <f>Q340/'ФОТ, МТР, макро'!AU$14/(Q291/Q286)</f>
        <v>#DIV/0!</v>
      </c>
      <c r="R358" s="116" t="e">
        <f>R340/'ФОТ, МТР, макро'!AV$14/(R291/R286)</f>
        <v>#DIV/0!</v>
      </c>
      <c r="S358" s="116" t="e">
        <f>S340/'ФОТ, МТР, макро'!AW$14/(S291/S286)</f>
        <v>#DIV/0!</v>
      </c>
      <c r="T358" s="116" t="e">
        <f>T340/'ФОТ, МТР, макро'!AX$14/(T291/T286)</f>
        <v>#DIV/0!</v>
      </c>
      <c r="U358" s="116" t="e">
        <f>U340/'ФОТ, МТР, макро'!AY$14/(U291/U286)</f>
        <v>#DIV/0!</v>
      </c>
      <c r="V358" s="116" t="e">
        <f>V340/'ФОТ, МТР, макро'!AZ$14/(V291/V286)</f>
        <v>#DIV/0!</v>
      </c>
      <c r="W358" s="116" t="e">
        <f>W340/'ФОТ, МТР, макро'!BA$14/(W291/W286)</f>
        <v>#DIV/0!</v>
      </c>
      <c r="X358" s="116" t="e">
        <f>X340/'ФОТ, МТР, макро'!BB$14/(X291/X286)</f>
        <v>#DIV/0!</v>
      </c>
      <c r="Y358" s="116" t="e">
        <f>Y340/'ФОТ, МТР, макро'!BC$14/(Y291/Y286)</f>
        <v>#DIV/0!</v>
      </c>
      <c r="Z358" s="116" t="e">
        <f>Z340/'ФОТ, МТР, макро'!BD$14/(Z291/Z286)</f>
        <v>#DIV/0!</v>
      </c>
      <c r="AC358" s="117" cm="1">
        <f t="array" ref="AC358">INDEX(G358:Z358,1,$C358)</f>
        <v>1.6008555757787188</v>
      </c>
    </row>
    <row r="359" spans="1:29" outlineLevel="1" x14ac:dyDescent="0.25">
      <c r="A359" s="39" t="str">
        <f t="shared" si="656"/>
        <v>TZCO TZE240</v>
      </c>
      <c r="B359" s="39" t="str">
        <f t="shared" si="657"/>
        <v>Транспортный налог</v>
      </c>
      <c r="C359" s="39">
        <f t="shared" si="658"/>
        <v>8</v>
      </c>
      <c r="D359" s="113" t="str">
        <f t="shared" si="659"/>
        <v>Транспортный налог</v>
      </c>
      <c r="E359" s="114" t="str">
        <f t="shared" si="660"/>
        <v>руб/ткм</v>
      </c>
      <c r="F359" s="115"/>
      <c r="G359" s="116">
        <f>G341/'ФОТ, МТР, макро'!AK$14/(G291/G286)</f>
        <v>1.9233397941472618E-2</v>
      </c>
      <c r="H359" s="116">
        <f>H341/'ФОТ, МТР, макро'!AL$14/(H291/H286)</f>
        <v>1.9183976521720509E-2</v>
      </c>
      <c r="I359" s="116">
        <f>I341/'ФОТ, МТР, макро'!AM$14/(I291/I286)</f>
        <v>1.9610269902039738E-2</v>
      </c>
      <c r="J359" s="116">
        <f>J341/'ФОТ, МТР, макро'!AN$14/(J291/J286)</f>
        <v>1.9224943024641544E-2</v>
      </c>
      <c r="K359" s="116">
        <f>K341/'ФОТ, МТР, макро'!AO$14/(K291/K286)</f>
        <v>1.8660622770802184E-2</v>
      </c>
      <c r="L359" s="116">
        <f>L341/'ФОТ, МТР, макро'!AP$14/(L291/L286)</f>
        <v>1.8838206471198545E-2</v>
      </c>
      <c r="M359" s="116">
        <f>M341/'ФОТ, МТР, макро'!AQ$14/(M291/M286)</f>
        <v>1.8560238538701396E-2</v>
      </c>
      <c r="N359" s="116">
        <f>N341/'ФОТ, МТР, макро'!AR$14/(N291/N286)</f>
        <v>1.8412494266587569E-2</v>
      </c>
      <c r="O359" s="116" t="e">
        <f>O341/'ФОТ, МТР, макро'!AS$14/(O291/O286)</f>
        <v>#DIV/0!</v>
      </c>
      <c r="P359" s="116" t="e">
        <f>P341/'ФОТ, МТР, макро'!AT$14/(P291/P286)</f>
        <v>#DIV/0!</v>
      </c>
      <c r="Q359" s="116" t="e">
        <f>Q341/'ФОТ, МТР, макро'!AU$14/(Q291/Q286)</f>
        <v>#DIV/0!</v>
      </c>
      <c r="R359" s="116" t="e">
        <f>R341/'ФОТ, МТР, макро'!AV$14/(R291/R286)</f>
        <v>#DIV/0!</v>
      </c>
      <c r="S359" s="116" t="e">
        <f>S341/'ФОТ, МТР, макро'!AW$14/(S291/S286)</f>
        <v>#DIV/0!</v>
      </c>
      <c r="T359" s="116" t="e">
        <f>T341/'ФОТ, МТР, макро'!AX$14/(T291/T286)</f>
        <v>#DIV/0!</v>
      </c>
      <c r="U359" s="116" t="e">
        <f>U341/'ФОТ, МТР, макро'!AY$14/(U291/U286)</f>
        <v>#DIV/0!</v>
      </c>
      <c r="V359" s="116" t="e">
        <f>V341/'ФОТ, МТР, макро'!AZ$14/(V291/V286)</f>
        <v>#DIV/0!</v>
      </c>
      <c r="W359" s="116" t="e">
        <f>W341/'ФОТ, МТР, макро'!BA$14/(W291/W286)</f>
        <v>#DIV/0!</v>
      </c>
      <c r="X359" s="116" t="e">
        <f>X341/'ФОТ, МТР, макро'!BB$14/(X291/X286)</f>
        <v>#DIV/0!</v>
      </c>
      <c r="Y359" s="116" t="e">
        <f>Y341/'ФОТ, МТР, макро'!BC$14/(Y291/Y286)</f>
        <v>#DIV/0!</v>
      </c>
      <c r="Z359" s="116" t="e">
        <f>Z341/'ФОТ, МТР, макро'!BD$14/(Z291/Z286)</f>
        <v>#DIV/0!</v>
      </c>
      <c r="AC359" s="117" cm="1">
        <f t="array" ref="AC359">INDEX(G359:Z359,1,$C359)</f>
        <v>1.8412494266587569E-2</v>
      </c>
    </row>
    <row r="360" spans="1:29" outlineLevel="1" x14ac:dyDescent="0.25">
      <c r="A360" s="39" t="str">
        <f t="shared" si="656"/>
        <v>TZCO TZE240</v>
      </c>
      <c r="B360" s="39" t="str">
        <f t="shared" si="657"/>
        <v>Налог на прибыль</v>
      </c>
      <c r="C360" s="39">
        <f t="shared" si="658"/>
        <v>8</v>
      </c>
      <c r="D360" s="113" t="str">
        <f t="shared" si="659"/>
        <v>Налог на прибыль</v>
      </c>
      <c r="E360" s="114" t="str">
        <f t="shared" si="660"/>
        <v>руб/ткм</v>
      </c>
      <c r="F360" s="30"/>
      <c r="G360" s="116">
        <f>G342/'ФОТ, МТР, макро'!AK$14/(G291/G286)</f>
        <v>-2.9765651187607398</v>
      </c>
      <c r="H360" s="116">
        <f>H342/'ФОТ, МТР, макро'!AL$14/(H291/H286)</f>
        <v>-3.3042071828325041</v>
      </c>
      <c r="I360" s="116">
        <f>I342/'ФОТ, МТР, макро'!AM$14/(I291/I286)</f>
        <v>-4.2568482034118755</v>
      </c>
      <c r="J360" s="116">
        <f>J342/'ФОТ, МТР, макро'!AN$14/(J291/J286)</f>
        <v>-4.0933483566367412</v>
      </c>
      <c r="K360" s="116">
        <f>K342/'ФОТ, МТР, макро'!AO$14/(K291/K286)</f>
        <v>-3.8467710596715938</v>
      </c>
      <c r="L360" s="116">
        <f>L342/'ФОТ, МТР, макро'!AP$14/(L291/L286)</f>
        <v>-4.2488317487052383</v>
      </c>
      <c r="M360" s="116">
        <f>M342/'ФОТ, МТР, макро'!AQ$14/(M291/M286)</f>
        <v>-4.079390370247638</v>
      </c>
      <c r="N360" s="116">
        <f>N342/'ФОТ, МТР, макро'!AR$14/(N291/N286)</f>
        <v>-4.0195987051009956</v>
      </c>
      <c r="O360" s="116" t="e">
        <f>O342/'ФОТ, МТР, макро'!AS$14/(O291/O286)</f>
        <v>#DIV/0!</v>
      </c>
      <c r="P360" s="116" t="e">
        <f>P342/'ФОТ, МТР, макро'!AT$14/(P291/P286)</f>
        <v>#DIV/0!</v>
      </c>
      <c r="Q360" s="116" t="e">
        <f>Q342/'ФОТ, МТР, макро'!AU$14/(Q291/Q286)</f>
        <v>#DIV/0!</v>
      </c>
      <c r="R360" s="116" t="e">
        <f>R342/'ФОТ, МТР, макро'!AV$14/(R291/R286)</f>
        <v>#DIV/0!</v>
      </c>
      <c r="S360" s="116" t="e">
        <f>S342/'ФОТ, МТР, макро'!AW$14/(S291/S286)</f>
        <v>#DIV/0!</v>
      </c>
      <c r="T360" s="116" t="e">
        <f>T342/'ФОТ, МТР, макро'!AX$14/(T291/T286)</f>
        <v>#DIV/0!</v>
      </c>
      <c r="U360" s="116" t="e">
        <f>U342/'ФОТ, МТР, макро'!AY$14/(U291/U286)</f>
        <v>#DIV/0!</v>
      </c>
      <c r="V360" s="116" t="e">
        <f>V342/'ФОТ, МТР, макро'!AZ$14/(V291/V286)</f>
        <v>#DIV/0!</v>
      </c>
      <c r="W360" s="116" t="e">
        <f>W342/'ФОТ, МТР, макро'!BA$14/(W291/W286)</f>
        <v>#DIV/0!</v>
      </c>
      <c r="X360" s="116" t="e">
        <f>X342/'ФОТ, МТР, макро'!BB$14/(X291/X286)</f>
        <v>#DIV/0!</v>
      </c>
      <c r="Y360" s="116" t="e">
        <f>Y342/'ФОТ, МТР, макро'!BC$14/(Y291/Y286)</f>
        <v>#DIV/0!</v>
      </c>
      <c r="Z360" s="116" t="e">
        <f>Z342/'ФОТ, МТР, макро'!BD$14/(Z291/Z286)</f>
        <v>#DIV/0!</v>
      </c>
      <c r="AC360" s="117" cm="1">
        <f t="array" ref="AC360">INDEX(G360:Z360,1,$C360)</f>
        <v>-4.0195987051009956</v>
      </c>
    </row>
    <row r="361" spans="1:29" outlineLevel="1" x14ac:dyDescent="0.25">
      <c r="A361" s="39" t="str">
        <f t="shared" si="656"/>
        <v>TZCO TZE240</v>
      </c>
      <c r="B361" s="39" t="str">
        <f t="shared" si="657"/>
        <v>Аннуитет инвестиционный</v>
      </c>
      <c r="C361" s="39">
        <f t="shared" si="658"/>
        <v>8</v>
      </c>
      <c r="D361" s="108" t="s">
        <v>96</v>
      </c>
      <c r="E361" s="118" t="str">
        <f>E353</f>
        <v>руб/ткм</v>
      </c>
      <c r="F361" s="119"/>
      <c r="G361" s="111">
        <f>G347/'ФОТ, МТР, макро'!AK$14/(G291/G286)</f>
        <v>0</v>
      </c>
      <c r="H361" s="111">
        <f>H347/'ФОТ, МТР, макро'!AL$14/(H291/H286)</f>
        <v>0</v>
      </c>
      <c r="I361" s="111">
        <f>I347/'ФОТ, МТР, макро'!AM$14/(I291/I286)</f>
        <v>0</v>
      </c>
      <c r="J361" s="111">
        <f>J347/'ФОТ, МТР, макро'!AN$14/(J291/J286)</f>
        <v>0</v>
      </c>
      <c r="K361" s="111">
        <f>K347/'ФОТ, МТР, макро'!AO$14/(K291/K286)</f>
        <v>0</v>
      </c>
      <c r="L361" s="111">
        <f>L347/'ФОТ, МТР, макро'!AP$14/(L291/L286)</f>
        <v>0</v>
      </c>
      <c r="M361" s="111">
        <f>M347/'ФОТ, МТР, макро'!AQ$14/(M291/M286)</f>
        <v>0</v>
      </c>
      <c r="N361" s="111">
        <f>N347/'ФОТ, МТР, макро'!AR$14/(N291/N286)</f>
        <v>0</v>
      </c>
      <c r="O361" s="111" t="e">
        <f>O347/'ФОТ, МТР, макро'!AS$14/(O291/O286)</f>
        <v>#DIV/0!</v>
      </c>
      <c r="P361" s="111" t="e">
        <f>P347/'ФОТ, МТР, макро'!AT$14/(P291/P286)</f>
        <v>#DIV/0!</v>
      </c>
      <c r="Q361" s="111" t="e">
        <f>Q347/'ФОТ, МТР, макро'!AU$14/(Q291/Q286)</f>
        <v>#DIV/0!</v>
      </c>
      <c r="R361" s="111" t="e">
        <f>R347/'ФОТ, МТР, макро'!AV$14/(R291/R286)</f>
        <v>#DIV/0!</v>
      </c>
      <c r="S361" s="111" t="e">
        <f>S347/'ФОТ, МТР, макро'!AW$14/(S291/S286)</f>
        <v>#DIV/0!</v>
      </c>
      <c r="T361" s="111" t="e">
        <f>T347/'ФОТ, МТР, макро'!AX$14/(T291/T286)</f>
        <v>#DIV/0!</v>
      </c>
      <c r="U361" s="111" t="e">
        <f>U347/'ФОТ, МТР, макро'!AY$14/(U291/U286)</f>
        <v>#DIV/0!</v>
      </c>
      <c r="V361" s="111" t="e">
        <f>V347/'ФОТ, МТР, макро'!AZ$14/(V291/V286)</f>
        <v>#DIV/0!</v>
      </c>
      <c r="W361" s="111" t="e">
        <f>W347/'ФОТ, МТР, макро'!BA$14/(W291/W286)</f>
        <v>#DIV/0!</v>
      </c>
      <c r="X361" s="111" t="e">
        <f>X347/'ФОТ, МТР, макро'!BB$14/(X291/X286)</f>
        <v>#DIV/0!</v>
      </c>
      <c r="Y361" s="111" t="e">
        <f>Y347/'ФОТ, МТР, макро'!BC$14/(Y291/Y286)</f>
        <v>#DIV/0!</v>
      </c>
      <c r="Z361" s="111" t="e">
        <f>Z347/'ФОТ, МТР, макро'!BD$14/(Z291/Z286)</f>
        <v>#DIV/0!</v>
      </c>
      <c r="AC361" s="112" cm="1">
        <f t="array" ref="AC361">INDEX(G361:Z361,1,$C361)</f>
        <v>0</v>
      </c>
    </row>
    <row r="362" spans="1:29" outlineLevel="1" x14ac:dyDescent="0.25">
      <c r="A362" s="39" t="str">
        <f t="shared" si="656"/>
        <v>TZCO TZE240</v>
      </c>
      <c r="B362" s="39" t="str">
        <f t="shared" si="657"/>
        <v>Самосвал</v>
      </c>
      <c r="C362" s="39">
        <f t="shared" si="658"/>
        <v>8</v>
      </c>
      <c r="D362" s="101" t="str">
        <f>D348</f>
        <v>Самосвал</v>
      </c>
      <c r="E362" s="9" t="str">
        <f>E361</f>
        <v>руб/ткм</v>
      </c>
      <c r="F362" s="30"/>
      <c r="G362" s="120">
        <f>G348/'ФОТ, МТР, макро'!AK$14/(G291/G286)</f>
        <v>0</v>
      </c>
      <c r="H362" s="120">
        <f>H348/'ФОТ, МТР, макро'!AL$14/(H291/H286)</f>
        <v>0</v>
      </c>
      <c r="I362" s="120">
        <f>I348/'ФОТ, МТР, макро'!AM$14/(I291/I286)</f>
        <v>0</v>
      </c>
      <c r="J362" s="120">
        <f>J348/'ФОТ, МТР, макро'!AN$14/(J291/J286)</f>
        <v>0</v>
      </c>
      <c r="K362" s="120">
        <f>K348/'ФОТ, МТР, макро'!AO$14/(K291/K286)</f>
        <v>0</v>
      </c>
      <c r="L362" s="120">
        <f>L348/'ФОТ, МТР, макро'!AP$14/(L291/L286)</f>
        <v>0</v>
      </c>
      <c r="M362" s="120">
        <f>M348/'ФОТ, МТР, макро'!AQ$14/(M291/M286)</f>
        <v>0</v>
      </c>
      <c r="N362" s="120">
        <f>N348/'ФОТ, МТР, макро'!AR$14/(N291/N286)</f>
        <v>0</v>
      </c>
      <c r="O362" s="120" t="e">
        <f>O348/'ФОТ, МТР, макро'!AS$14/(O291/O286)</f>
        <v>#DIV/0!</v>
      </c>
      <c r="P362" s="120" t="e">
        <f>P348/'ФОТ, МТР, макро'!AT$14/(P291/P286)</f>
        <v>#DIV/0!</v>
      </c>
      <c r="Q362" s="120" t="e">
        <f>Q348/'ФОТ, МТР, макро'!AU$14/(Q291/Q286)</f>
        <v>#DIV/0!</v>
      </c>
      <c r="R362" s="120" t="e">
        <f>R348/'ФОТ, МТР, макро'!AV$14/(R291/R286)</f>
        <v>#DIV/0!</v>
      </c>
      <c r="S362" s="120" t="e">
        <f>S348/'ФОТ, МТР, макро'!AW$14/(S291/S286)</f>
        <v>#DIV/0!</v>
      </c>
      <c r="T362" s="120" t="e">
        <f>T348/'ФОТ, МТР, макро'!AX$14/(T291/T286)</f>
        <v>#DIV/0!</v>
      </c>
      <c r="U362" s="120" t="e">
        <f>U348/'ФОТ, МТР, макро'!AY$14/(U291/U286)</f>
        <v>#DIV/0!</v>
      </c>
      <c r="V362" s="120" t="e">
        <f>V348/'ФОТ, МТР, макро'!AZ$14/(V291/V286)</f>
        <v>#DIV/0!</v>
      </c>
      <c r="W362" s="120" t="e">
        <f>W348/'ФОТ, МТР, макро'!BA$14/(W291/W286)</f>
        <v>#DIV/0!</v>
      </c>
      <c r="X362" s="120" t="e">
        <f>X348/'ФОТ, МТР, макро'!BB$14/(X291/X286)</f>
        <v>#DIV/0!</v>
      </c>
      <c r="Y362" s="120" t="e">
        <f>Y348/'ФОТ, МТР, макро'!BC$14/(Y291/Y286)</f>
        <v>#DIV/0!</v>
      </c>
      <c r="Z362" s="120" t="e">
        <f>Z348/'ФОТ, МТР, макро'!BD$14/(Z291/Z286)</f>
        <v>#DIV/0!</v>
      </c>
      <c r="AC362" s="117" cm="1">
        <f t="array" ref="AC362">INDEX(G362:Z362,1,$C362)</f>
        <v>0</v>
      </c>
    </row>
    <row r="363" spans="1:29" outlineLevel="1" x14ac:dyDescent="0.25">
      <c r="A363" s="39" t="str">
        <f t="shared" si="656"/>
        <v>TZCO TZE240</v>
      </c>
      <c r="B363" s="39" t="str">
        <f t="shared" si="657"/>
        <v>Аннуитет общий</v>
      </c>
      <c r="C363" s="39">
        <f t="shared" si="658"/>
        <v>8</v>
      </c>
      <c r="D363" s="108" t="s">
        <v>97</v>
      </c>
      <c r="E363" s="118" t="str">
        <f>E353</f>
        <v>руб/ткм</v>
      </c>
      <c r="F363" s="119"/>
      <c r="G363" s="111">
        <f>G351/'ФОТ, МТР, макро'!AK$14/(G291/G286)</f>
        <v>8.9296953562822186</v>
      </c>
      <c r="H363" s="111">
        <f>H351/'ФОТ, МТР, макро'!AL$14/(H291/H286)</f>
        <v>9.912621548497512</v>
      </c>
      <c r="I363" s="111">
        <f>I351/'ФОТ, МТР, макро'!AM$14/(I291/I286)</f>
        <v>12.770544610235628</v>
      </c>
      <c r="J363" s="111">
        <f>J351/'ФОТ, МТР, макро'!AN$14/(J291/J286)</f>
        <v>12.280045069910225</v>
      </c>
      <c r="K363" s="111">
        <f>K351/'ФОТ, МТР, макро'!AO$14/(K291/K286)</f>
        <v>11.540313179014785</v>
      </c>
      <c r="L363" s="111">
        <f>L351/'ФОТ, МТР, макро'!AP$14/(L291/L286)</f>
        <v>12.746495246115716</v>
      </c>
      <c r="M363" s="111">
        <f>M351/'ФОТ, МТР, макро'!AQ$14/(M291/M286)</f>
        <v>12.238171110742918</v>
      </c>
      <c r="N363" s="111">
        <f>N351/'ФОТ, МТР, макро'!AR$14/(N291/N286)</f>
        <v>12.058796115302989</v>
      </c>
      <c r="O363" s="111" t="e">
        <f>O351/'ФОТ, МТР, макро'!AS$14/(O291/O286)</f>
        <v>#DIV/0!</v>
      </c>
      <c r="P363" s="111" t="e">
        <f>P351/'ФОТ, МТР, макро'!AT$14/(P291/P286)</f>
        <v>#DIV/0!</v>
      </c>
      <c r="Q363" s="111" t="e">
        <f>Q351/'ФОТ, МТР, макро'!AU$14/(Q291/Q286)</f>
        <v>#DIV/0!</v>
      </c>
      <c r="R363" s="111" t="e">
        <f>R351/'ФОТ, МТР, макро'!AV$14/(R291/R286)</f>
        <v>#DIV/0!</v>
      </c>
      <c r="S363" s="111" t="e">
        <f>S351/'ФОТ, МТР, макро'!AW$14/(S291/S286)</f>
        <v>#DIV/0!</v>
      </c>
      <c r="T363" s="111" t="e">
        <f>T351/'ФОТ, МТР, макро'!AX$14/(T291/T286)</f>
        <v>#DIV/0!</v>
      </c>
      <c r="U363" s="111" t="e">
        <f>U351/'ФОТ, МТР, макро'!AY$14/(U291/U286)</f>
        <v>#DIV/0!</v>
      </c>
      <c r="V363" s="111" t="e">
        <f>V351/'ФОТ, МТР, макро'!AZ$14/(V291/V286)</f>
        <v>#DIV/0!</v>
      </c>
      <c r="W363" s="111" t="e">
        <f>W351/'ФОТ, МТР, макро'!BA$14/(W291/W286)</f>
        <v>#DIV/0!</v>
      </c>
      <c r="X363" s="111" t="e">
        <f>X351/'ФОТ, МТР, макро'!BB$14/(X291/X286)</f>
        <v>#DIV/0!</v>
      </c>
      <c r="Y363" s="111" t="e">
        <f>Y351/'ФОТ, МТР, макро'!BC$14/(Y291/Y286)</f>
        <v>#DIV/0!</v>
      </c>
      <c r="Z363" s="111" t="e">
        <f>Z351/'ФОТ, МТР, макро'!BD$14/(Z291/Z286)</f>
        <v>#DIV/0!</v>
      </c>
      <c r="AC363" s="112" cm="1">
        <f t="array" ref="AC363">INDEX(G363:Z363,1,$C363)</f>
        <v>12.058796115302989</v>
      </c>
    </row>
    <row r="364" spans="1:29" outlineLevel="1" x14ac:dyDescent="0.25">
      <c r="A364" s="39" t="str">
        <f t="shared" si="656"/>
        <v>TZCO TZE240</v>
      </c>
      <c r="B364" s="39"/>
      <c r="D364" s="121"/>
      <c r="E364" s="1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9" outlineLevel="1" x14ac:dyDescent="0.25">
      <c r="A365" s="39" t="str">
        <f t="shared" si="656"/>
        <v>TZCO TZE240</v>
      </c>
      <c r="B365" s="39"/>
      <c r="D365" s="123" t="s">
        <v>88</v>
      </c>
      <c r="E365" s="124"/>
      <c r="F365" s="125"/>
      <c r="G365" s="126">
        <f>G363-G353-G361+G353-SUM(G354:G360)+G361-G362</f>
        <v>-1.7763568394002505E-15</v>
      </c>
      <c r="H365" s="126">
        <f t="shared" ref="H365:I365" si="661">H363-H353-H361+H353-SUM(H354:H360)+H361-H362</f>
        <v>0</v>
      </c>
      <c r="I365" s="126">
        <f t="shared" si="661"/>
        <v>1.7763568394002505E-15</v>
      </c>
      <c r="J365" s="126">
        <f t="shared" ref="J365:Z365" si="662">J363-J353-J361+J353-SUM(J354:J360)+J361-J362</f>
        <v>1.7763568394002505E-15</v>
      </c>
      <c r="K365" s="126">
        <f t="shared" si="662"/>
        <v>0</v>
      </c>
      <c r="L365" s="126">
        <f t="shared" si="662"/>
        <v>1.7763568394002505E-15</v>
      </c>
      <c r="M365" s="126">
        <f t="shared" si="662"/>
        <v>3.5527136788005009E-15</v>
      </c>
      <c r="N365" s="126">
        <f t="shared" si="662"/>
        <v>0</v>
      </c>
      <c r="O365" s="126" t="e">
        <f t="shared" si="662"/>
        <v>#DIV/0!</v>
      </c>
      <c r="P365" s="126" t="e">
        <f t="shared" si="662"/>
        <v>#DIV/0!</v>
      </c>
      <c r="Q365" s="126" t="e">
        <f t="shared" si="662"/>
        <v>#DIV/0!</v>
      </c>
      <c r="R365" s="126" t="e">
        <f t="shared" si="662"/>
        <v>#DIV/0!</v>
      </c>
      <c r="S365" s="126" t="e">
        <f t="shared" si="662"/>
        <v>#DIV/0!</v>
      </c>
      <c r="T365" s="126" t="e">
        <f t="shared" si="662"/>
        <v>#DIV/0!</v>
      </c>
      <c r="U365" s="126" t="e">
        <f t="shared" si="662"/>
        <v>#DIV/0!</v>
      </c>
      <c r="V365" s="126" t="e">
        <f t="shared" si="662"/>
        <v>#DIV/0!</v>
      </c>
      <c r="W365" s="126" t="e">
        <f t="shared" si="662"/>
        <v>#DIV/0!</v>
      </c>
      <c r="X365" s="126" t="e">
        <f t="shared" si="662"/>
        <v>#DIV/0!</v>
      </c>
      <c r="Y365" s="126" t="e">
        <f t="shared" si="662"/>
        <v>#DIV/0!</v>
      </c>
      <c r="Z365" s="126" t="e">
        <f t="shared" si="662"/>
        <v>#DIV/0!</v>
      </c>
    </row>
    <row r="366" spans="1:29" outlineLevel="1" x14ac:dyDescent="0.25">
      <c r="A366" s="39" t="str">
        <f t="shared" si="656"/>
        <v>TZCO TZE240</v>
      </c>
      <c r="B366" s="39"/>
      <c r="D366" s="125"/>
      <c r="E366" s="124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9" outlineLevel="1" x14ac:dyDescent="0.25">
      <c r="A367" s="39" t="str">
        <f t="shared" si="656"/>
        <v>TZCO TZE240</v>
      </c>
      <c r="B367" s="39"/>
      <c r="D367" s="127" t="s">
        <v>98</v>
      </c>
      <c r="E367" s="128" t="str">
        <f>E363</f>
        <v>руб/ткм</v>
      </c>
      <c r="F367" s="129"/>
      <c r="G367" s="130">
        <f>SUM(G368:G373)</f>
        <v>11.906260475042959</v>
      </c>
      <c r="H367" s="130">
        <f t="shared" ref="H367:I367" si="663">SUM(H368:H373)</f>
        <v>14.681206047824215</v>
      </c>
      <c r="I367" s="130">
        <f t="shared" si="663"/>
        <v>26.558160748495393</v>
      </c>
      <c r="J367" s="130">
        <f t="shared" ref="J367:Z367" si="664">SUM(J368:J373)</f>
        <v>14.321939435878862</v>
      </c>
      <c r="K367" s="130">
        <f t="shared" si="664"/>
        <v>11.347799390996412</v>
      </c>
      <c r="L367" s="130">
        <f t="shared" si="664"/>
        <v>28.765108200729859</v>
      </c>
      <c r="M367" s="130">
        <f t="shared" si="664"/>
        <v>11.425137431102963</v>
      </c>
      <c r="N367" s="130">
        <f t="shared" si="664"/>
        <v>14.060166727473588</v>
      </c>
      <c r="O367" s="130" t="e">
        <f t="shared" si="664"/>
        <v>#DIV/0!</v>
      </c>
      <c r="P367" s="130" t="e">
        <f t="shared" si="664"/>
        <v>#DIV/0!</v>
      </c>
      <c r="Q367" s="130" t="e">
        <f t="shared" si="664"/>
        <v>#DIV/0!</v>
      </c>
      <c r="R367" s="130" t="e">
        <f t="shared" si="664"/>
        <v>#DIV/0!</v>
      </c>
      <c r="S367" s="130" t="e">
        <f t="shared" si="664"/>
        <v>#DIV/0!</v>
      </c>
      <c r="T367" s="130" t="e">
        <f t="shared" si="664"/>
        <v>#DIV/0!</v>
      </c>
      <c r="U367" s="130" t="e">
        <f t="shared" si="664"/>
        <v>#DIV/0!</v>
      </c>
      <c r="V367" s="130" t="e">
        <f t="shared" si="664"/>
        <v>#DIV/0!</v>
      </c>
      <c r="W367" s="130" t="e">
        <f t="shared" si="664"/>
        <v>#DIV/0!</v>
      </c>
      <c r="X367" s="130" t="e">
        <f t="shared" si="664"/>
        <v>#DIV/0!</v>
      </c>
      <c r="Y367" s="130" t="e">
        <f t="shared" si="664"/>
        <v>#DIV/0!</v>
      </c>
      <c r="Z367" s="130" t="e">
        <f t="shared" si="664"/>
        <v>#DIV/0!</v>
      </c>
    </row>
    <row r="368" spans="1:29" outlineLevel="1" x14ac:dyDescent="0.25">
      <c r="A368" s="39" t="str">
        <f t="shared" si="656"/>
        <v>TZCO TZE240</v>
      </c>
      <c r="B368" s="39"/>
      <c r="D368" s="113" t="str">
        <f>D354</f>
        <v>ТО, ТР, ППР</v>
      </c>
      <c r="E368" s="114" t="str">
        <f>E367</f>
        <v>руб/ткм</v>
      </c>
      <c r="F368" s="115"/>
      <c r="G368" s="116">
        <f>G295/G290</f>
        <v>2.5480491294530063</v>
      </c>
      <c r="H368" s="116">
        <f t="shared" ref="H368:I368" si="665">H295/H290</f>
        <v>5.3316650561459733</v>
      </c>
      <c r="I368" s="116">
        <f t="shared" si="665"/>
        <v>17.086594973798185</v>
      </c>
      <c r="J368" s="116">
        <f t="shared" ref="J368:Z368" si="666">J295/J290</f>
        <v>5.058587691921681</v>
      </c>
      <c r="K368" s="116">
        <f t="shared" si="666"/>
        <v>2.2124004267939545</v>
      </c>
      <c r="L368" s="116">
        <f t="shared" si="666"/>
        <v>19.358883031215861</v>
      </c>
      <c r="M368" s="116">
        <f t="shared" si="666"/>
        <v>2.2588824710572109</v>
      </c>
      <c r="N368" s="116">
        <f t="shared" si="666"/>
        <v>4.8596151215230758</v>
      </c>
      <c r="O368" s="116" t="e">
        <f t="shared" si="666"/>
        <v>#DIV/0!</v>
      </c>
      <c r="P368" s="116" t="e">
        <f t="shared" si="666"/>
        <v>#DIV/0!</v>
      </c>
      <c r="Q368" s="116" t="e">
        <f t="shared" si="666"/>
        <v>#DIV/0!</v>
      </c>
      <c r="R368" s="116" t="e">
        <f t="shared" si="666"/>
        <v>#DIV/0!</v>
      </c>
      <c r="S368" s="116" t="e">
        <f t="shared" si="666"/>
        <v>#DIV/0!</v>
      </c>
      <c r="T368" s="116" t="e">
        <f t="shared" si="666"/>
        <v>#DIV/0!</v>
      </c>
      <c r="U368" s="116" t="e">
        <f t="shared" si="666"/>
        <v>#DIV/0!</v>
      </c>
      <c r="V368" s="116" t="e">
        <f t="shared" si="666"/>
        <v>#DIV/0!</v>
      </c>
      <c r="W368" s="116" t="e">
        <f t="shared" si="666"/>
        <v>#DIV/0!</v>
      </c>
      <c r="X368" s="116" t="e">
        <f t="shared" si="666"/>
        <v>#DIV/0!</v>
      </c>
      <c r="Y368" s="116" t="e">
        <f t="shared" si="666"/>
        <v>#DIV/0!</v>
      </c>
      <c r="Z368" s="116" t="e">
        <f t="shared" si="666"/>
        <v>#DIV/0!</v>
      </c>
    </row>
    <row r="369" spans="1:26" outlineLevel="1" x14ac:dyDescent="0.25">
      <c r="A369" s="39" t="str">
        <f t="shared" si="656"/>
        <v>TZCO TZE240</v>
      </c>
      <c r="B369" s="39"/>
      <c r="D369" s="113" t="str">
        <f t="shared" ref="D369:D373" si="667">D355</f>
        <v>Шины</v>
      </c>
      <c r="E369" s="114" t="str">
        <f t="shared" ref="E369:E373" si="668">E368</f>
        <v>руб/ткм</v>
      </c>
      <c r="F369" s="115"/>
      <c r="G369" s="116">
        <f>G300/G290</f>
        <v>1.7250469834214777</v>
      </c>
      <c r="H369" s="116">
        <f t="shared" ref="H369:I369" si="669">H300/H290</f>
        <v>1.7250469834214779</v>
      </c>
      <c r="I369" s="116">
        <f t="shared" si="669"/>
        <v>1.7250469834214783</v>
      </c>
      <c r="J369" s="116">
        <f t="shared" ref="J369:Z369" si="670">J300/J290</f>
        <v>1.7250469834214777</v>
      </c>
      <c r="K369" s="116">
        <f t="shared" si="670"/>
        <v>1.7250469834214777</v>
      </c>
      <c r="L369" s="116">
        <f t="shared" si="670"/>
        <v>1.7250469834214781</v>
      </c>
      <c r="M369" s="116">
        <f t="shared" si="670"/>
        <v>1.7250469834214781</v>
      </c>
      <c r="N369" s="116">
        <f t="shared" si="670"/>
        <v>1.7250469834214777</v>
      </c>
      <c r="O369" s="116" t="e">
        <f t="shared" si="670"/>
        <v>#DIV/0!</v>
      </c>
      <c r="P369" s="116" t="e">
        <f t="shared" si="670"/>
        <v>#DIV/0!</v>
      </c>
      <c r="Q369" s="116" t="e">
        <f t="shared" si="670"/>
        <v>#DIV/0!</v>
      </c>
      <c r="R369" s="116" t="e">
        <f t="shared" si="670"/>
        <v>#DIV/0!</v>
      </c>
      <c r="S369" s="116" t="e">
        <f t="shared" si="670"/>
        <v>#DIV/0!</v>
      </c>
      <c r="T369" s="116" t="e">
        <f t="shared" si="670"/>
        <v>#DIV/0!</v>
      </c>
      <c r="U369" s="116" t="e">
        <f t="shared" si="670"/>
        <v>#DIV/0!</v>
      </c>
      <c r="V369" s="116" t="e">
        <f t="shared" si="670"/>
        <v>#DIV/0!</v>
      </c>
      <c r="W369" s="116" t="e">
        <f t="shared" si="670"/>
        <v>#DIV/0!</v>
      </c>
      <c r="X369" s="116" t="e">
        <f t="shared" si="670"/>
        <v>#DIV/0!</v>
      </c>
      <c r="Y369" s="116" t="e">
        <f t="shared" si="670"/>
        <v>#DIV/0!</v>
      </c>
      <c r="Z369" s="116" t="e">
        <f t="shared" si="670"/>
        <v>#DIV/0!</v>
      </c>
    </row>
    <row r="370" spans="1:26" outlineLevel="1" x14ac:dyDescent="0.25">
      <c r="A370" s="39" t="str">
        <f t="shared" si="656"/>
        <v>TZCO TZE240</v>
      </c>
      <c r="B370" s="39"/>
      <c r="D370" s="113" t="str">
        <f t="shared" si="667"/>
        <v>Топливо</v>
      </c>
      <c r="E370" s="114" t="str">
        <f t="shared" si="668"/>
        <v>руб/ткм</v>
      </c>
      <c r="F370" s="115"/>
      <c r="G370" s="116">
        <f>G304/G290</f>
        <v>5.941702753861688</v>
      </c>
      <c r="H370" s="116">
        <f t="shared" ref="H370:I370" si="671">H304/H290</f>
        <v>5.9417027538616871</v>
      </c>
      <c r="I370" s="116">
        <f t="shared" si="671"/>
        <v>5.941702753861688</v>
      </c>
      <c r="J370" s="116">
        <f t="shared" ref="J370:Z370" si="672">J304/J290</f>
        <v>5.9417027538616889</v>
      </c>
      <c r="K370" s="116">
        <f t="shared" si="672"/>
        <v>5.941702753861688</v>
      </c>
      <c r="L370" s="116">
        <f t="shared" si="672"/>
        <v>5.9417027538616871</v>
      </c>
      <c r="M370" s="116">
        <f t="shared" si="672"/>
        <v>5.9417027538616871</v>
      </c>
      <c r="N370" s="116">
        <f t="shared" si="672"/>
        <v>5.9417027538616871</v>
      </c>
      <c r="O370" s="116" t="e">
        <f t="shared" si="672"/>
        <v>#DIV/0!</v>
      </c>
      <c r="P370" s="116" t="e">
        <f t="shared" si="672"/>
        <v>#DIV/0!</v>
      </c>
      <c r="Q370" s="116" t="e">
        <f t="shared" si="672"/>
        <v>#DIV/0!</v>
      </c>
      <c r="R370" s="116" t="e">
        <f t="shared" si="672"/>
        <v>#DIV/0!</v>
      </c>
      <c r="S370" s="116" t="e">
        <f t="shared" si="672"/>
        <v>#DIV/0!</v>
      </c>
      <c r="T370" s="116" t="e">
        <f t="shared" si="672"/>
        <v>#DIV/0!</v>
      </c>
      <c r="U370" s="116" t="e">
        <f t="shared" si="672"/>
        <v>#DIV/0!</v>
      </c>
      <c r="V370" s="116" t="e">
        <f t="shared" si="672"/>
        <v>#DIV/0!</v>
      </c>
      <c r="W370" s="116" t="e">
        <f t="shared" si="672"/>
        <v>#DIV/0!</v>
      </c>
      <c r="X370" s="116" t="e">
        <f t="shared" si="672"/>
        <v>#DIV/0!</v>
      </c>
      <c r="Y370" s="116" t="e">
        <f t="shared" si="672"/>
        <v>#DIV/0!</v>
      </c>
      <c r="Z370" s="116" t="e">
        <f t="shared" si="672"/>
        <v>#DIV/0!</v>
      </c>
    </row>
    <row r="371" spans="1:26" outlineLevel="1" x14ac:dyDescent="0.25">
      <c r="A371" s="39" t="str">
        <f t="shared" si="656"/>
        <v>TZCO TZE240</v>
      </c>
      <c r="B371" s="39"/>
      <c r="D371" s="113" t="str">
        <f t="shared" si="667"/>
        <v>Смазочные</v>
      </c>
      <c r="E371" s="114" t="str">
        <f t="shared" si="668"/>
        <v>руб/ткм</v>
      </c>
      <c r="F371" s="115"/>
      <c r="G371" s="116">
        <f>G309/G290</f>
        <v>0</v>
      </c>
      <c r="H371" s="116">
        <f t="shared" ref="H371:I371" si="673">H309/H290</f>
        <v>0</v>
      </c>
      <c r="I371" s="116">
        <f t="shared" si="673"/>
        <v>0</v>
      </c>
      <c r="J371" s="116">
        <f t="shared" ref="J371:Z371" si="674">J309/J290</f>
        <v>0</v>
      </c>
      <c r="K371" s="116">
        <f t="shared" si="674"/>
        <v>0</v>
      </c>
      <c r="L371" s="116">
        <f t="shared" si="674"/>
        <v>0</v>
      </c>
      <c r="M371" s="116">
        <f t="shared" si="674"/>
        <v>0</v>
      </c>
      <c r="N371" s="116">
        <f t="shared" si="674"/>
        <v>0</v>
      </c>
      <c r="O371" s="116" t="e">
        <f t="shared" si="674"/>
        <v>#DIV/0!</v>
      </c>
      <c r="P371" s="116" t="e">
        <f t="shared" si="674"/>
        <v>#DIV/0!</v>
      </c>
      <c r="Q371" s="116" t="e">
        <f t="shared" si="674"/>
        <v>#DIV/0!</v>
      </c>
      <c r="R371" s="116" t="e">
        <f t="shared" si="674"/>
        <v>#DIV/0!</v>
      </c>
      <c r="S371" s="116" t="e">
        <f t="shared" si="674"/>
        <v>#DIV/0!</v>
      </c>
      <c r="T371" s="116" t="e">
        <f t="shared" si="674"/>
        <v>#DIV/0!</v>
      </c>
      <c r="U371" s="116" t="e">
        <f t="shared" si="674"/>
        <v>#DIV/0!</v>
      </c>
      <c r="V371" s="116" t="e">
        <f t="shared" si="674"/>
        <v>#DIV/0!</v>
      </c>
      <c r="W371" s="116" t="e">
        <f t="shared" si="674"/>
        <v>#DIV/0!</v>
      </c>
      <c r="X371" s="116" t="e">
        <f t="shared" si="674"/>
        <v>#DIV/0!</v>
      </c>
      <c r="Y371" s="116" t="e">
        <f t="shared" si="674"/>
        <v>#DIV/0!</v>
      </c>
      <c r="Z371" s="116" t="e">
        <f t="shared" si="674"/>
        <v>#DIV/0!</v>
      </c>
    </row>
    <row r="372" spans="1:26" outlineLevel="1" x14ac:dyDescent="0.25">
      <c r="A372" s="39" t="str">
        <f t="shared" si="656"/>
        <v>TZCO TZE240</v>
      </c>
      <c r="B372" s="39"/>
      <c r="D372" s="113" t="str">
        <f t="shared" si="667"/>
        <v>Затраты на персонал</v>
      </c>
      <c r="E372" s="114" t="str">
        <f t="shared" si="668"/>
        <v>руб/ткм</v>
      </c>
      <c r="F372" s="115"/>
      <c r="G372" s="116">
        <f>G311/G290</f>
        <v>1.6722282103653157</v>
      </c>
      <c r="H372" s="116">
        <f t="shared" ref="H372:I372" si="675">H311/H290</f>
        <v>1.6636564459611989</v>
      </c>
      <c r="I372" s="116">
        <f t="shared" si="675"/>
        <v>1.7842937004669541</v>
      </c>
      <c r="J372" s="116">
        <f t="shared" ref="J372:Z372" si="676">J311/J290</f>
        <v>1.5784472453730742</v>
      </c>
      <c r="K372" s="116">
        <f t="shared" si="676"/>
        <v>1.4519494006394309</v>
      </c>
      <c r="L372" s="116">
        <f t="shared" si="676"/>
        <v>1.7196960751155386</v>
      </c>
      <c r="M372" s="116">
        <f t="shared" si="676"/>
        <v>1.4824545368214603</v>
      </c>
      <c r="N372" s="116">
        <f t="shared" si="676"/>
        <v>1.5163611998643582</v>
      </c>
      <c r="O372" s="116" t="e">
        <f t="shared" si="676"/>
        <v>#DIV/0!</v>
      </c>
      <c r="P372" s="116" t="e">
        <f t="shared" si="676"/>
        <v>#DIV/0!</v>
      </c>
      <c r="Q372" s="116" t="e">
        <f t="shared" si="676"/>
        <v>#DIV/0!</v>
      </c>
      <c r="R372" s="116" t="e">
        <f t="shared" si="676"/>
        <v>#DIV/0!</v>
      </c>
      <c r="S372" s="116" t="e">
        <f t="shared" si="676"/>
        <v>#DIV/0!</v>
      </c>
      <c r="T372" s="116" t="e">
        <f t="shared" si="676"/>
        <v>#DIV/0!</v>
      </c>
      <c r="U372" s="116" t="e">
        <f t="shared" si="676"/>
        <v>#DIV/0!</v>
      </c>
      <c r="V372" s="116" t="e">
        <f t="shared" si="676"/>
        <v>#DIV/0!</v>
      </c>
      <c r="W372" s="116" t="e">
        <f t="shared" si="676"/>
        <v>#DIV/0!</v>
      </c>
      <c r="X372" s="116" t="e">
        <f t="shared" si="676"/>
        <v>#DIV/0!</v>
      </c>
      <c r="Y372" s="116" t="e">
        <f t="shared" si="676"/>
        <v>#DIV/0!</v>
      </c>
      <c r="Z372" s="116" t="e">
        <f t="shared" si="676"/>
        <v>#DIV/0!</v>
      </c>
    </row>
    <row r="373" spans="1:26" outlineLevel="1" x14ac:dyDescent="0.25">
      <c r="A373" s="39" t="str">
        <f t="shared" si="656"/>
        <v>TZCO TZE240</v>
      </c>
      <c r="B373" s="39"/>
      <c r="D373" s="113" t="str">
        <f t="shared" si="667"/>
        <v>Транспортный налог</v>
      </c>
      <c r="E373" s="114" t="str">
        <f t="shared" si="668"/>
        <v>руб/ткм</v>
      </c>
      <c r="F373" s="115"/>
      <c r="G373" s="116">
        <f>G315/G290</f>
        <v>1.9233397941472618E-2</v>
      </c>
      <c r="H373" s="116">
        <f t="shared" ref="H373:I373" si="677">H315/H290</f>
        <v>1.9134808433878488E-2</v>
      </c>
      <c r="I373" s="116">
        <f t="shared" si="677"/>
        <v>2.0522336947088424E-2</v>
      </c>
      <c r="J373" s="116">
        <f t="shared" ref="J373:Z373" si="678">J315/J290</f>
        <v>1.8154761300940729E-2</v>
      </c>
      <c r="K373" s="116">
        <f t="shared" si="678"/>
        <v>1.6699826279859324E-2</v>
      </c>
      <c r="L373" s="116">
        <f t="shared" si="678"/>
        <v>1.9779357115294705E-2</v>
      </c>
      <c r="M373" s="116">
        <f t="shared" si="678"/>
        <v>1.7050685941125066E-2</v>
      </c>
      <c r="N373" s="116">
        <f t="shared" si="678"/>
        <v>1.7440668802991159E-2</v>
      </c>
      <c r="O373" s="116" t="e">
        <f t="shared" si="678"/>
        <v>#DIV/0!</v>
      </c>
      <c r="P373" s="116" t="e">
        <f t="shared" si="678"/>
        <v>#DIV/0!</v>
      </c>
      <c r="Q373" s="116" t="e">
        <f t="shared" si="678"/>
        <v>#DIV/0!</v>
      </c>
      <c r="R373" s="116" t="e">
        <f t="shared" si="678"/>
        <v>#DIV/0!</v>
      </c>
      <c r="S373" s="116" t="e">
        <f t="shared" si="678"/>
        <v>#DIV/0!</v>
      </c>
      <c r="T373" s="116" t="e">
        <f t="shared" si="678"/>
        <v>#DIV/0!</v>
      </c>
      <c r="U373" s="116" t="e">
        <f t="shared" si="678"/>
        <v>#DIV/0!</v>
      </c>
      <c r="V373" s="116" t="e">
        <f t="shared" si="678"/>
        <v>#DIV/0!</v>
      </c>
      <c r="W373" s="116" t="e">
        <f t="shared" si="678"/>
        <v>#DIV/0!</v>
      </c>
      <c r="X373" s="116" t="e">
        <f t="shared" si="678"/>
        <v>#DIV/0!</v>
      </c>
      <c r="Y373" s="116" t="e">
        <f t="shared" si="678"/>
        <v>#DIV/0!</v>
      </c>
      <c r="Z373" s="116" t="e">
        <f t="shared" si="678"/>
        <v>#DIV/0!</v>
      </c>
    </row>
    <row r="374" spans="1:26" outlineLevel="1" x14ac:dyDescent="0.25">
      <c r="A374" s="39" t="str">
        <f t="shared" si="656"/>
        <v>TZCO TZE240</v>
      </c>
      <c r="B374" s="39"/>
      <c r="D374" s="121"/>
      <c r="E374" s="12"/>
      <c r="F374" s="122"/>
      <c r="G374" s="131">
        <f>G367-(G294-G320)/G290</f>
        <v>0</v>
      </c>
      <c r="H374" s="131">
        <f t="shared" ref="H374:I374" si="679">H367-(H294-H320)/H290</f>
        <v>0</v>
      </c>
      <c r="I374" s="131">
        <f t="shared" si="679"/>
        <v>0</v>
      </c>
      <c r="J374" s="131">
        <f t="shared" ref="J374:Z374" si="680">J367-(J294-J320)/J290</f>
        <v>0</v>
      </c>
      <c r="K374" s="131">
        <f t="shared" si="680"/>
        <v>0</v>
      </c>
      <c r="L374" s="131">
        <f t="shared" si="680"/>
        <v>0</v>
      </c>
      <c r="M374" s="131">
        <f t="shared" si="680"/>
        <v>0</v>
      </c>
      <c r="N374" s="131">
        <f t="shared" si="680"/>
        <v>0</v>
      </c>
      <c r="O374" s="131" t="e">
        <f t="shared" si="680"/>
        <v>#DIV/0!</v>
      </c>
      <c r="P374" s="131" t="e">
        <f t="shared" si="680"/>
        <v>#DIV/0!</v>
      </c>
      <c r="Q374" s="131" t="e">
        <f t="shared" si="680"/>
        <v>#DIV/0!</v>
      </c>
      <c r="R374" s="131" t="e">
        <f t="shared" si="680"/>
        <v>#DIV/0!</v>
      </c>
      <c r="S374" s="131" t="e">
        <f t="shared" si="680"/>
        <v>#DIV/0!</v>
      </c>
      <c r="T374" s="131" t="e">
        <f t="shared" si="680"/>
        <v>#DIV/0!</v>
      </c>
      <c r="U374" s="131" t="e">
        <f t="shared" si="680"/>
        <v>#DIV/0!</v>
      </c>
      <c r="V374" s="131" t="e">
        <f t="shared" si="680"/>
        <v>#DIV/0!</v>
      </c>
      <c r="W374" s="131" t="e">
        <f t="shared" si="680"/>
        <v>#DIV/0!</v>
      </c>
      <c r="X374" s="131" t="e">
        <f t="shared" si="680"/>
        <v>#DIV/0!</v>
      </c>
      <c r="Y374" s="131" t="e">
        <f t="shared" si="680"/>
        <v>#DIV/0!</v>
      </c>
      <c r="Z374" s="131" t="e">
        <f t="shared" si="680"/>
        <v>#DIV/0!</v>
      </c>
    </row>
    <row r="375" spans="1:26" outlineLevel="1" x14ac:dyDescent="0.25">
      <c r="A375" s="2" t="s">
        <v>45</v>
      </c>
    </row>
    <row r="376" spans="1:26" x14ac:dyDescent="0.25">
      <c r="A376" s="2" t="s">
        <v>45</v>
      </c>
    </row>
    <row r="377" spans="1:26" ht="14.3" x14ac:dyDescent="0.25">
      <c r="A377" s="2" t="s">
        <v>45</v>
      </c>
      <c r="C377" s="57" t="e">
        <f>SUM(F427:Z427,F439:Z439,F458:Z458,AA411)</f>
        <v>#DIV/0!</v>
      </c>
      <c r="D377" s="58" t="str">
        <f>Свод!J23</f>
        <v>БелАЗ 7531 (ГПФК)</v>
      </c>
      <c r="E377" s="59">
        <f>SUMIFS(Производительность!$Y$55:$Y$71,Производительность!$C$55:$C$71,$D377)</f>
        <v>10</v>
      </c>
      <c r="F377" s="60" t="str">
        <f>$F$2</f>
        <v>лет</v>
      </c>
    </row>
    <row r="378" spans="1:26" outlineLevel="1" x14ac:dyDescent="0.25">
      <c r="A378" s="2" t="s">
        <v>45</v>
      </c>
    </row>
    <row r="379" spans="1:26" outlineLevel="1" x14ac:dyDescent="0.25">
      <c r="A379" s="61" t="str">
        <f>D377</f>
        <v>БелАЗ 7531 (ГПФК)</v>
      </c>
      <c r="D379" s="62" t="str">
        <f>D$1</f>
        <v>Показатель</v>
      </c>
      <c r="E379" s="62" t="str">
        <f t="shared" ref="E379:Z379" si="681">E$1</f>
        <v>Ед. изм.</v>
      </c>
      <c r="F379" s="62">
        <f t="shared" si="681"/>
        <v>0</v>
      </c>
      <c r="G379" s="62">
        <f t="shared" si="681"/>
        <v>1</v>
      </c>
      <c r="H379" s="62">
        <f t="shared" si="681"/>
        <v>2</v>
      </c>
      <c r="I379" s="62">
        <f t="shared" si="681"/>
        <v>3</v>
      </c>
      <c r="J379" s="62">
        <f t="shared" si="681"/>
        <v>4</v>
      </c>
      <c r="K379" s="62">
        <f t="shared" si="681"/>
        <v>5</v>
      </c>
      <c r="L379" s="62">
        <f t="shared" si="681"/>
        <v>6</v>
      </c>
      <c r="M379" s="62">
        <f t="shared" si="681"/>
        <v>7</v>
      </c>
      <c r="N379" s="62">
        <f t="shared" si="681"/>
        <v>8</v>
      </c>
      <c r="O379" s="62">
        <f t="shared" si="681"/>
        <v>9</v>
      </c>
      <c r="P379" s="62">
        <f t="shared" si="681"/>
        <v>10</v>
      </c>
      <c r="Q379" s="62">
        <f t="shared" si="681"/>
        <v>11</v>
      </c>
      <c r="R379" s="62">
        <f t="shared" si="681"/>
        <v>12</v>
      </c>
      <c r="S379" s="62">
        <f t="shared" si="681"/>
        <v>13</v>
      </c>
      <c r="T379" s="62">
        <f t="shared" si="681"/>
        <v>14</v>
      </c>
      <c r="U379" s="62">
        <f t="shared" si="681"/>
        <v>15</v>
      </c>
      <c r="V379" s="62">
        <f t="shared" si="681"/>
        <v>16</v>
      </c>
      <c r="W379" s="62">
        <f t="shared" si="681"/>
        <v>17</v>
      </c>
      <c r="X379" s="62">
        <f t="shared" si="681"/>
        <v>18</v>
      </c>
      <c r="Y379" s="62">
        <f t="shared" si="681"/>
        <v>19</v>
      </c>
      <c r="Z379" s="62">
        <f t="shared" si="681"/>
        <v>20</v>
      </c>
    </row>
    <row r="380" spans="1:26" outlineLevel="1" x14ac:dyDescent="0.25">
      <c r="A380" s="39" t="str">
        <f>A379</f>
        <v>БелАЗ 7531 (ГПФК)</v>
      </c>
      <c r="B380" s="39"/>
      <c r="D380" s="63" t="s">
        <v>50</v>
      </c>
      <c r="E380" s="64" t="s">
        <v>51</v>
      </c>
      <c r="F380" s="65"/>
      <c r="G380" s="66">
        <f>SUMIFS(Производительность!E$55:E$71,Производительность!$C$55:$C$71,$A380)</f>
        <v>0.90830416032470829</v>
      </c>
      <c r="H380" s="66">
        <f>SUMIFS(Производительность!F$55:F$71,Производительность!$C$55:$C$71,$A380)</f>
        <v>0.88577435312024355</v>
      </c>
      <c r="I380" s="66">
        <f>SUMIFS(Производительность!G$55:G$71,Производительность!$C$55:$C$71,$A380)</f>
        <v>0.86468734145103998</v>
      </c>
      <c r="J380" s="66">
        <f>SUMIFS(Производительность!H$55:H$71,Производительность!$C$55:$C$71,$A380)</f>
        <v>0.87460193641129713</v>
      </c>
      <c r="K380" s="66">
        <f>SUMIFS(Производительность!I$55:I$71,Производительность!$C$55:$C$71,$A380)</f>
        <v>0.88129798748520216</v>
      </c>
      <c r="L380" s="66">
        <f>SUMIFS(Производительность!J$55:J$71,Производительность!$C$55:$C$71,$A380)</f>
        <v>0.8456720361914426</v>
      </c>
      <c r="M380" s="66">
        <f>SUMIFS(Производительность!K$55:K$71,Производительность!$C$55:$C$71,$A380)</f>
        <v>0.89713174361576187</v>
      </c>
      <c r="N380" s="66">
        <f>SUMIFS(Производительность!L$55:L$71,Производительность!$C$55:$C$71,$A380)</f>
        <v>0.85462476746152538</v>
      </c>
      <c r="O380" s="66">
        <f>SUMIFS(Производительность!M$55:M$71,Производительность!$C$55:$C$71,$A380)</f>
        <v>0.84219452900388969</v>
      </c>
      <c r="P380" s="66">
        <f>SUMIFS(Производительность!N$55:N$71,Производительность!$C$55:$C$71,$A380)</f>
        <v>0.86135781329274486</v>
      </c>
      <c r="Q380" s="66">
        <f>SUMIFS(Производительность!O$55:O$71,Производительность!$C$55:$C$71,$A380)</f>
        <v>0</v>
      </c>
      <c r="R380" s="66">
        <f>SUMIFS(Производительность!P$55:P$71,Производительность!$C$55:$C$71,$A380)</f>
        <v>0</v>
      </c>
      <c r="S380" s="66">
        <f>SUMIFS(Производительность!Q$55:Q$71,Производительность!$C$55:$C$71,$A380)</f>
        <v>0</v>
      </c>
      <c r="T380" s="66">
        <f>SUMIFS(Производительность!R$55:R$71,Производительность!$C$55:$C$71,$A380)</f>
        <v>0</v>
      </c>
      <c r="U380" s="66">
        <f>SUMIFS(Производительность!S$55:S$71,Производительность!$C$55:$C$71,$A380)</f>
        <v>0</v>
      </c>
      <c r="V380" s="66">
        <f>SUMIFS(Производительность!T$55:T$71,Производительность!$C$55:$C$71,$A380)</f>
        <v>0</v>
      </c>
      <c r="W380" s="66">
        <f>SUMIFS(Производительность!U$55:U$71,Производительность!$C$55:$C$71,$A380)</f>
        <v>0</v>
      </c>
      <c r="X380" s="66">
        <f>SUMIFS(Производительность!V$55:V$71,Производительность!$C$55:$C$71,$A380)</f>
        <v>0</v>
      </c>
      <c r="Y380" s="66">
        <f>SUMIFS(Производительность!W$55:W$71,Производительность!$C$55:$C$71,$A380)</f>
        <v>0</v>
      </c>
      <c r="Z380" s="66">
        <f>SUMIFS(Производительность!X$55:X$71,Производительность!$C$55:$C$71,$A380)</f>
        <v>0</v>
      </c>
    </row>
    <row r="381" spans="1:26" outlineLevel="1" x14ac:dyDescent="0.25">
      <c r="A381" s="39" t="str">
        <f t="shared" ref="A381:A444" si="682">A380</f>
        <v>БелАЗ 7531 (ГПФК)</v>
      </c>
      <c r="B381" s="39"/>
      <c r="D381" s="63" t="s">
        <v>52</v>
      </c>
      <c r="E381" s="64" t="str">
        <f>E380</f>
        <v>%</v>
      </c>
      <c r="F381" s="65"/>
      <c r="G381" s="66">
        <f>SUMIFS(Производительность!E$119:E$135,Производительность!$C$119:$C$135,$A381)</f>
        <v>0.77914814805197918</v>
      </c>
      <c r="H381" s="66">
        <f>SUMIFS(Производительность!F$119:F$135,Производительность!$C$119:$C$135,$A381)</f>
        <v>0.75982195939613117</v>
      </c>
      <c r="I381" s="66">
        <f>SUMIFS(Производительность!G$119:G$135,Производительность!$C$119:$C$135,$A381)</f>
        <v>0.74763974273698475</v>
      </c>
      <c r="J381" s="66">
        <f>SUMIFS(Производительность!H$119:H$135,Производительность!$C$119:$C$135,$A381)</f>
        <v>0.75621225776072609</v>
      </c>
      <c r="K381" s="66">
        <f>SUMIFS(Производительность!I$119:I$135,Производительность!$C$119:$C$135,$A381)</f>
        <v>0.76200190410138724</v>
      </c>
      <c r="L381" s="66">
        <f>SUMIFS(Производительность!J$119:J$135,Производительность!$C$119:$C$135,$A381)</f>
        <v>0.73119842660936152</v>
      </c>
      <c r="M381" s="66">
        <f>SUMIFS(Производительность!K$119:K$135,Производительность!$C$119:$C$135,$A381)</f>
        <v>0.77569233854228758</v>
      </c>
      <c r="N381" s="66">
        <f>SUMIFS(Производительность!L$119:L$135,Производительность!$C$119:$C$135,$A381)</f>
        <v>0.73893927972781437</v>
      </c>
      <c r="O381" s="66">
        <f>SUMIFS(Производительность!M$119:M$135,Производительность!$C$119:$C$135,$A381)</f>
        <v>0.72819164895178057</v>
      </c>
      <c r="P381" s="66">
        <f>SUMIFS(Производительность!N$119:N$135,Производительность!$C$119:$C$135,$A381)</f>
        <v>0.74476091306483283</v>
      </c>
      <c r="Q381" s="66">
        <f>SUMIFS(Производительность!O$119:O$135,Производительность!$C$119:$C$135,$A381)</f>
        <v>0</v>
      </c>
      <c r="R381" s="66">
        <f>SUMIFS(Производительность!P$119:P$135,Производительность!$C$119:$C$135,$A381)</f>
        <v>0</v>
      </c>
      <c r="S381" s="66">
        <f>SUMIFS(Производительность!Q$119:Q$135,Производительность!$C$119:$C$135,$A381)</f>
        <v>0</v>
      </c>
      <c r="T381" s="66">
        <f>SUMIFS(Производительность!R$119:R$135,Производительность!$C$119:$C$135,$A381)</f>
        <v>0</v>
      </c>
      <c r="U381" s="66">
        <f>SUMIFS(Производительность!S$119:S$135,Производительность!$C$119:$C$135,$A381)</f>
        <v>0</v>
      </c>
      <c r="V381" s="66">
        <f>SUMIFS(Производительность!T$119:T$135,Производительность!$C$119:$C$135,$A381)</f>
        <v>0</v>
      </c>
      <c r="W381" s="66">
        <f>SUMIFS(Производительность!U$119:U$135,Производительность!$C$119:$C$135,$A381)</f>
        <v>0</v>
      </c>
      <c r="X381" s="66">
        <f>SUMIFS(Производительность!V$119:V$135,Производительность!$C$119:$C$135,$A381)</f>
        <v>0</v>
      </c>
      <c r="Y381" s="66">
        <f>SUMIFS(Производительность!W$119:W$135,Производительность!$C$119:$C$135,$A381)</f>
        <v>0</v>
      </c>
      <c r="Z381" s="66">
        <f>SUMIFS(Производительность!X$119:X$135,Производительность!$C$119:$C$135,$A381)</f>
        <v>0</v>
      </c>
    </row>
    <row r="382" spans="1:26" outlineLevel="1" x14ac:dyDescent="0.25">
      <c r="A382" s="39" t="str">
        <f t="shared" si="682"/>
        <v>БелАЗ 7531 (ГПФК)</v>
      </c>
      <c r="B382" s="39"/>
      <c r="D382" s="67" t="s">
        <v>53</v>
      </c>
      <c r="E382" s="68" t="s">
        <v>23</v>
      </c>
      <c r="F382" s="69"/>
      <c r="G382" s="69">
        <f>SUMIFS(Производительность!E$247:E$263,Производительность!$C$247:$C$263,$A382)</f>
        <v>3776.7276982276098</v>
      </c>
      <c r="H382" s="69">
        <f>SUMIFS(Производительность!F$247:F$263,Производительность!$C$247:$C$263,$A382)</f>
        <v>3436.9378140103181</v>
      </c>
      <c r="I382" s="69">
        <f>SUMIFS(Производительность!G$247:G$263,Производительность!$C$247:$C$263,$A382)</f>
        <v>2974.4403173373257</v>
      </c>
      <c r="J382" s="69">
        <f>SUMIFS(Производительность!H$247:H$263,Производительность!$C$247:$C$263,$A382)</f>
        <v>3085.871622868051</v>
      </c>
      <c r="K382" s="69">
        <f>SUMIFS(Производительность!I$247:I$263,Производительность!$C$247:$C$263,$A382)</f>
        <v>2675.2115329137619</v>
      </c>
      <c r="L382" s="69">
        <f>SUMIFS(Производительность!J$247:J$263,Производительность!$C$247:$C$263,$A382)</f>
        <v>2359.2431682374499</v>
      </c>
      <c r="M382" s="69">
        <f>SUMIFS(Производительность!K$247:K$263,Производительность!$C$247:$C$263,$A382)</f>
        <v>2894.1914242736389</v>
      </c>
      <c r="N382" s="69">
        <f>SUMIFS(Производительность!L$247:L$263,Производительность!$C$247:$C$263,$A382)</f>
        <v>2708.6615117645538</v>
      </c>
      <c r="O382" s="69">
        <f>SUMIFS(Производительность!M$247:M$263,Производительность!$C$247:$C$263,$A382)</f>
        <v>2340.1013196333156</v>
      </c>
      <c r="P382" s="69">
        <f>SUMIFS(Производительность!N$247:N$263,Производительность!$C$247:$C$263,$A382)</f>
        <v>2604.6401560824283</v>
      </c>
      <c r="Q382" s="69">
        <f>SUMIFS(Производительность!O$247:O$263,Производительность!$C$247:$C$263,$A382)</f>
        <v>0</v>
      </c>
      <c r="R382" s="69">
        <f>SUMIFS(Производительность!P$247:P$263,Производительность!$C$247:$C$263,$A382)</f>
        <v>0</v>
      </c>
      <c r="S382" s="69">
        <f>SUMIFS(Производительность!Q$247:Q$263,Производительность!$C$247:$C$263,$A382)</f>
        <v>0</v>
      </c>
      <c r="T382" s="69">
        <f>SUMIFS(Производительность!R$247:R$263,Производительность!$C$247:$C$263,$A382)</f>
        <v>0</v>
      </c>
      <c r="U382" s="69">
        <f>SUMIFS(Производительность!S$247:S$263,Производительность!$C$247:$C$263,$A382)</f>
        <v>0</v>
      </c>
      <c r="V382" s="69">
        <f>SUMIFS(Производительность!T$247:T$263,Производительность!$C$247:$C$263,$A382)</f>
        <v>0</v>
      </c>
      <c r="W382" s="69">
        <f>SUMIFS(Производительность!U$247:U$263,Производительность!$C$247:$C$263,$A382)</f>
        <v>0</v>
      </c>
      <c r="X382" s="69">
        <f>SUMIFS(Производительность!V$247:V$263,Производительность!$C$247:$C$263,$A382)</f>
        <v>0</v>
      </c>
      <c r="Y382" s="69">
        <f>SUMIFS(Производительность!W$247:W$263,Производительность!$C$247:$C$263,$A382)</f>
        <v>0</v>
      </c>
      <c r="Z382" s="69">
        <f>SUMIFS(Производительность!X$247:X$263,Производительность!$C$247:$C$263,$A382)</f>
        <v>0</v>
      </c>
    </row>
    <row r="383" spans="1:26" outlineLevel="1" x14ac:dyDescent="0.25">
      <c r="A383" s="39" t="str">
        <f t="shared" si="682"/>
        <v>БелАЗ 7531 (ГПФК)</v>
      </c>
      <c r="B383" s="39"/>
      <c r="D383" s="67" t="s">
        <v>54</v>
      </c>
      <c r="E383" s="68" t="s">
        <v>24</v>
      </c>
      <c r="F383" s="69"/>
      <c r="G383" s="69">
        <f>SUMIFS(Производительность!E$263:E$279,Производительность!$C$263:$C$279,$A383)</f>
        <v>11479.681497591326</v>
      </c>
      <c r="H383" s="69">
        <f>SUMIFS(Производительность!F$263:F$279,Производительность!$C$263:$C$279,$A383)</f>
        <v>11581.872228686147</v>
      </c>
      <c r="I383" s="69">
        <f>SUMIFS(Производительность!G$263:G$279,Производительность!$C$263:$C$279,$A383)</f>
        <v>12036.683657217869</v>
      </c>
      <c r="J383" s="69">
        <f>SUMIFS(Производительность!H$263:H$279,Производительность!$C$263:$C$279,$A383)</f>
        <v>12053.125486325915</v>
      </c>
      <c r="K383" s="69">
        <f>SUMIFS(Производительность!I$263:I$279,Производительность!$C$263:$C$279,$A383)</f>
        <v>12828.189821196389</v>
      </c>
      <c r="L383" s="69">
        <f>SUMIFS(Производительность!J$263:J$279,Производительность!$C$263:$C$279,$A383)</f>
        <v>12636.359519439371</v>
      </c>
      <c r="M383" s="69">
        <f>SUMIFS(Производительность!K$263:K$279,Производительность!$C$263:$C$279,$A383)</f>
        <v>12789.952198089773</v>
      </c>
      <c r="N383" s="69">
        <f>SUMIFS(Производительность!L$263:L$279,Производительность!$C$263:$C$279,$A383)</f>
        <v>12260.046756815291</v>
      </c>
      <c r="O383" s="69">
        <f>SUMIFS(Производительность!M$263:M$279,Производительность!$C$263:$C$279,$A383)</f>
        <v>12599.239378589557</v>
      </c>
      <c r="P383" s="69">
        <f>SUMIFS(Производительность!N$263:N$279,Производительность!$C$263:$C$279,$A383)</f>
        <v>12553.728726378233</v>
      </c>
      <c r="Q383" s="69">
        <f>SUMIFS(Производительность!O$263:O$279,Производительность!$C$263:$C$279,$A383)</f>
        <v>0</v>
      </c>
      <c r="R383" s="69">
        <f>SUMIFS(Производительность!P$263:P$279,Производительность!$C$263:$C$279,$A383)</f>
        <v>0</v>
      </c>
      <c r="S383" s="69">
        <f>SUMIFS(Производительность!Q$263:Q$279,Производительность!$C$263:$C$279,$A383)</f>
        <v>0</v>
      </c>
      <c r="T383" s="69">
        <f>SUMIFS(Производительность!R$263:R$279,Производительность!$C$263:$C$279,$A383)</f>
        <v>0</v>
      </c>
      <c r="U383" s="69">
        <f>SUMIFS(Производительность!S$263:S$279,Производительность!$C$263:$C$279,$A383)</f>
        <v>0</v>
      </c>
      <c r="V383" s="69">
        <f>SUMIFS(Производительность!T$263:T$279,Производительность!$C$263:$C$279,$A383)</f>
        <v>0</v>
      </c>
      <c r="W383" s="69">
        <f>SUMIFS(Производительность!U$263:U$279,Производительность!$C$263:$C$279,$A383)</f>
        <v>0</v>
      </c>
      <c r="X383" s="69">
        <f>SUMIFS(Производительность!V$263:V$279,Производительность!$C$263:$C$279,$A383)</f>
        <v>0</v>
      </c>
      <c r="Y383" s="69">
        <f>SUMIFS(Производительность!W$263:W$279,Производительность!$C$263:$C$279,$A383)</f>
        <v>0</v>
      </c>
      <c r="Z383" s="69">
        <f>SUMIFS(Производительность!X$263:X$279,Производительность!$C$263:$C$279,$A383)</f>
        <v>0</v>
      </c>
    </row>
    <row r="384" spans="1:26" outlineLevel="1" x14ac:dyDescent="0.25">
      <c r="A384" s="39" t="str">
        <f t="shared" si="682"/>
        <v>БелАЗ 7531 (ГПФК)</v>
      </c>
      <c r="B384" s="39"/>
      <c r="D384" s="70" t="s">
        <v>55</v>
      </c>
      <c r="E384" s="64" t="str">
        <f>E383</f>
        <v>тыс. ткм</v>
      </c>
      <c r="F384" s="65"/>
      <c r="G384" s="530">
        <f>G383</f>
        <v>11479.681497591326</v>
      </c>
      <c r="H384" s="65">
        <f>IF(H379&gt;$E377,0,G384+H383)</f>
        <v>23061.553726277474</v>
      </c>
      <c r="I384" s="65">
        <f t="shared" ref="I384" si="683">IF(I379&gt;$E377,0,H384+I383)</f>
        <v>35098.237383495347</v>
      </c>
      <c r="J384" s="65">
        <f t="shared" ref="J384" si="684">IF(J379&gt;$E377,0,I384+J383)</f>
        <v>47151.362869821263</v>
      </c>
      <c r="K384" s="65">
        <f t="shared" ref="K384" si="685">IF(K379&gt;$E377,0,J384+K383)</f>
        <v>59979.552691017656</v>
      </c>
      <c r="L384" s="65">
        <f t="shared" ref="L384" si="686">IF(L379&gt;$E377,0,K384+L383)</f>
        <v>72615.912210457027</v>
      </c>
      <c r="M384" s="65">
        <f t="shared" ref="M384" si="687">IF(M379&gt;$E377,0,L384+M383)</f>
        <v>85405.864408546797</v>
      </c>
      <c r="N384" s="65">
        <f t="shared" ref="N384" si="688">IF(N379&gt;$E377,0,M384+N383)</f>
        <v>97665.911165362093</v>
      </c>
      <c r="O384" s="65">
        <f t="shared" ref="O384" si="689">IF(O379&gt;$E377,0,N384+O383)</f>
        <v>110265.15054395165</v>
      </c>
      <c r="P384" s="65">
        <f t="shared" ref="P384" si="690">IF(P379&gt;$E377,0,O384+P383)</f>
        <v>122818.87927032988</v>
      </c>
      <c r="Q384" s="65">
        <f t="shared" ref="Q384" si="691">IF(Q379&gt;$E377,0,P384+Q383)</f>
        <v>0</v>
      </c>
      <c r="R384" s="65">
        <f t="shared" ref="R384" si="692">IF(R379&gt;$E377,0,Q384+R383)</f>
        <v>0</v>
      </c>
      <c r="S384" s="65">
        <f t="shared" ref="S384" si="693">IF(S379&gt;$E377,0,R384+S383)</f>
        <v>0</v>
      </c>
      <c r="T384" s="65">
        <f t="shared" ref="T384" si="694">IF(T379&gt;$E377,0,S384+T383)</f>
        <v>0</v>
      </c>
      <c r="U384" s="65">
        <f t="shared" ref="U384" si="695">IF(U379&gt;$E377,0,T384+U383)</f>
        <v>0</v>
      </c>
      <c r="V384" s="65">
        <f t="shared" ref="V384" si="696">IF(V379&gt;$E377,0,U384+V383)</f>
        <v>0</v>
      </c>
      <c r="W384" s="65">
        <f t="shared" ref="W384" si="697">IF(W379&gt;$E377,0,V384+W383)</f>
        <v>0</v>
      </c>
      <c r="X384" s="65">
        <f t="shared" ref="X384" si="698">IF(X379&gt;$E377,0,W384+X383)</f>
        <v>0</v>
      </c>
      <c r="Y384" s="65">
        <f t="shared" ref="Y384" si="699">IF(Y379&gt;$E377,0,X384+Y383)</f>
        <v>0</v>
      </c>
      <c r="Z384" s="65">
        <f t="shared" ref="Z384" si="700">IF(Z379&gt;$E377,0,Y384+Z383)</f>
        <v>0</v>
      </c>
    </row>
    <row r="385" spans="1:28" outlineLevel="1" x14ac:dyDescent="0.25">
      <c r="A385" s="39" t="str">
        <f t="shared" si="682"/>
        <v>БелАЗ 7531 (ГПФК)</v>
      </c>
      <c r="B385" s="39"/>
      <c r="D385" s="63" t="s">
        <v>56</v>
      </c>
      <c r="E385" s="64" t="s">
        <v>57</v>
      </c>
      <c r="F385" s="65"/>
      <c r="G385" s="65">
        <f>SUMIFS(Производительность!E$279:E$295,Производительность!$C$279:$C$295,$A385)/1000</f>
        <v>101.03668710532018</v>
      </c>
      <c r="H385" s="65">
        <f>SUMIFS(Производительность!F$279:F$295,Производительность!$C$279:$C$295,$A385)/1000</f>
        <v>101.93610342840003</v>
      </c>
      <c r="I385" s="65">
        <f>SUMIFS(Производительность!G$279:G$295,Производительность!$C$279:$C$295,$A385)/1000</f>
        <v>105.93905769208106</v>
      </c>
      <c r="J385" s="65">
        <f>SUMIFS(Производительность!H$279:H$295,Производительность!$C$279:$C$295,$A385)/1000</f>
        <v>106.08376797375371</v>
      </c>
      <c r="K385" s="65">
        <f>SUMIFS(Производительность!I$279:I$295,Производительность!$C$279:$C$295,$A385)/1000</f>
        <v>112.90537994140561</v>
      </c>
      <c r="L385" s="65">
        <f>SUMIFS(Производительность!J$279:J$295,Производительность!$C$279:$C$295,$A385)/1000</f>
        <v>111.21701444276269</v>
      </c>
      <c r="M385" s="65">
        <f>SUMIFS(Производительность!K$279:K$295,Производительность!$C$279:$C$295,$A385)/1000</f>
        <v>112.56883726273594</v>
      </c>
      <c r="N385" s="65">
        <f>SUMIFS(Производительность!L$279:L$295,Производительность!$C$279:$C$295,$A385)/1000</f>
        <v>107.90495436000118</v>
      </c>
      <c r="O385" s="65">
        <f>SUMIFS(Производительность!M$279:M$295,Производительность!$C$279:$C$295,$A385)/1000</f>
        <v>110.89030711580985</v>
      </c>
      <c r="P385" s="65">
        <f>SUMIFS(Производительность!N$279:N$295,Производительность!$C$279:$C$295,$A385)/1000</f>
        <v>110.48975196727203</v>
      </c>
      <c r="Q385" s="65">
        <f>SUMIFS(Производительность!O$279:O$295,Производительность!$C$279:$C$295,$A385)/1000</f>
        <v>0</v>
      </c>
      <c r="R385" s="65">
        <f>SUMIFS(Производительность!P$279:P$295,Производительность!$C$279:$C$295,$A385)/1000</f>
        <v>0</v>
      </c>
      <c r="S385" s="65">
        <f>SUMIFS(Производительность!Q$279:Q$295,Производительность!$C$279:$C$295,$A385)/1000</f>
        <v>0</v>
      </c>
      <c r="T385" s="65">
        <f>SUMIFS(Производительность!R$279:R$295,Производительность!$C$279:$C$295,$A385)/1000</f>
        <v>0</v>
      </c>
      <c r="U385" s="65">
        <f>SUMIFS(Производительность!S$279:S$295,Производительность!$C$279:$C$295,$A385)/1000</f>
        <v>0</v>
      </c>
      <c r="V385" s="65">
        <f>SUMIFS(Производительность!T$279:T$295,Производительность!$C$279:$C$295,$A385)/1000</f>
        <v>0</v>
      </c>
      <c r="W385" s="65">
        <f>SUMIFS(Производительность!U$279:U$295,Производительность!$C$279:$C$295,$A385)/1000</f>
        <v>0</v>
      </c>
      <c r="X385" s="65">
        <f>SUMIFS(Производительность!V$279:V$295,Производительность!$C$279:$C$295,$A385)/1000</f>
        <v>0</v>
      </c>
      <c r="Y385" s="65">
        <f>SUMIFS(Производительность!W$279:W$295,Производительность!$C$279:$C$295,$A385)/1000</f>
        <v>0</v>
      </c>
      <c r="Z385" s="65">
        <f>SUMIFS(Производительность!X$279:X$295,Производительность!$C$279:$C$295,$A385)/1000</f>
        <v>0</v>
      </c>
    </row>
    <row r="386" spans="1:28" outlineLevel="1" x14ac:dyDescent="0.25">
      <c r="A386" s="39" t="str">
        <f t="shared" si="682"/>
        <v>БелАЗ 7531 (ГПФК)</v>
      </c>
      <c r="B386" s="39"/>
      <c r="D386" s="31"/>
      <c r="E386" s="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8" outlineLevel="1" x14ac:dyDescent="0.25">
      <c r="A387" s="39" t="str">
        <f t="shared" si="682"/>
        <v>БелАЗ 7531 (ГПФК)</v>
      </c>
      <c r="B387" s="39"/>
      <c r="D387" s="71" t="s">
        <v>58</v>
      </c>
      <c r="E387" s="72" t="s">
        <v>33</v>
      </c>
      <c r="F387" s="73">
        <f>F412+F413-F411</f>
        <v>0</v>
      </c>
      <c r="G387" s="73">
        <f t="shared" ref="G387:H387" si="701">G412+G413-G411</f>
        <v>89859.30933619343</v>
      </c>
      <c r="H387" s="73">
        <f t="shared" si="701"/>
        <v>102401.20640991032</v>
      </c>
      <c r="I387" s="73">
        <f t="shared" ref="I387:Z387" si="702">I412+I413-I411</f>
        <v>122941.36790046547</v>
      </c>
      <c r="J387" s="73">
        <f t="shared" si="702"/>
        <v>133963.83469684608</v>
      </c>
      <c r="K387" s="73">
        <f t="shared" si="702"/>
        <v>131651.25940728289</v>
      </c>
      <c r="L387" s="73">
        <f t="shared" si="702"/>
        <v>134578.73083324902</v>
      </c>
      <c r="M387" s="73">
        <f t="shared" si="702"/>
        <v>99612.506969759212</v>
      </c>
      <c r="N387" s="73">
        <f t="shared" si="702"/>
        <v>143620.23368332628</v>
      </c>
      <c r="O387" s="73">
        <f t="shared" si="702"/>
        <v>153632.94685517487</v>
      </c>
      <c r="P387" s="73">
        <f t="shared" si="702"/>
        <v>101865.10357002579</v>
      </c>
      <c r="Q387" s="73">
        <f t="shared" si="702"/>
        <v>0</v>
      </c>
      <c r="R387" s="73">
        <f t="shared" si="702"/>
        <v>0</v>
      </c>
      <c r="S387" s="73">
        <f t="shared" si="702"/>
        <v>0</v>
      </c>
      <c r="T387" s="73">
        <f t="shared" si="702"/>
        <v>0</v>
      </c>
      <c r="U387" s="73">
        <f t="shared" si="702"/>
        <v>0</v>
      </c>
      <c r="V387" s="73">
        <f t="shared" si="702"/>
        <v>0</v>
      </c>
      <c r="W387" s="73">
        <f t="shared" si="702"/>
        <v>0</v>
      </c>
      <c r="X387" s="73">
        <f t="shared" si="702"/>
        <v>0</v>
      </c>
      <c r="Y387" s="73">
        <f t="shared" si="702"/>
        <v>0</v>
      </c>
      <c r="Z387" s="73">
        <f t="shared" si="702"/>
        <v>0</v>
      </c>
    </row>
    <row r="388" spans="1:28" outlineLevel="1" x14ac:dyDescent="0.25">
      <c r="A388" s="39" t="str">
        <f t="shared" si="682"/>
        <v>БелАЗ 7531 (ГПФК)</v>
      </c>
      <c r="B388" s="39"/>
      <c r="C388" s="619" t="str">
        <f>D388</f>
        <v>ТО, ТР, ППР</v>
      </c>
      <c r="D388" s="430" t="s">
        <v>59</v>
      </c>
      <c r="E388" s="68" t="str">
        <f>E387</f>
        <v>тыс. руб.</v>
      </c>
      <c r="F388" s="74"/>
      <c r="G388" s="455">
        <f>(G389+G390+G391)*'ФОТ, МТР, макро'!AK$7</f>
        <v>13923.625553565003</v>
      </c>
      <c r="H388" s="455">
        <f>(H389+H390+H391)*'ФОТ, МТР, макро'!AL$7</f>
        <v>29869.931505960001</v>
      </c>
      <c r="I388" s="455">
        <f>(I389+I390+I391)*'ФОТ, МТР, макро'!AM$7</f>
        <v>53802.142940910009</v>
      </c>
      <c r="J388" s="455">
        <f>(J389+J390+J391)*'ФОТ, МТР, макро'!AN$7</f>
        <v>68373.875987917505</v>
      </c>
      <c r="K388" s="455">
        <f>(K389+K390+K391)*'ФОТ, МТР, макро'!AO$7</f>
        <v>59403.184899922504</v>
      </c>
      <c r="L388" s="455">
        <f>(L389+L390+L391)*'ФОТ, МТР, макро'!AP$7</f>
        <v>64763.590604894998</v>
      </c>
      <c r="M388" s="455">
        <f>(M389+M390+M391)*'ФОТ, МТР, макро'!AQ$7</f>
        <v>16975.2948230775</v>
      </c>
      <c r="N388" s="455">
        <f>(N389+N390+N391)*'ФОТ, МТР, макро'!AR$7</f>
        <v>79677.335724577511</v>
      </c>
      <c r="O388" s="455">
        <f>(O389+O390+O391)*'ФОТ, МТР, макро'!AS$7</f>
        <v>90451.170268095011</v>
      </c>
      <c r="P388" s="455">
        <f>(P389+P390+P391)*'ФОТ, МТР, макро'!AT$7</f>
        <v>21773.070424560003</v>
      </c>
      <c r="Q388" s="455"/>
      <c r="R388" s="455"/>
      <c r="S388" s="455"/>
      <c r="T388" s="455"/>
      <c r="U388" s="455"/>
      <c r="V388" s="455"/>
      <c r="W388" s="455"/>
      <c r="X388" s="455"/>
      <c r="Y388" s="455"/>
      <c r="Z388" s="455"/>
      <c r="AB388" s="76">
        <f>SUM(F388:Z388,F402:Z402)/E377</f>
        <v>49901.322273348007</v>
      </c>
    </row>
    <row r="389" spans="1:28" outlineLevel="1" x14ac:dyDescent="0.25">
      <c r="A389" s="39" t="str">
        <f t="shared" si="682"/>
        <v>БелАЗ 7531 (ГПФК)</v>
      </c>
      <c r="B389" s="39"/>
      <c r="D389" s="427" t="s">
        <v>60</v>
      </c>
      <c r="E389" s="428" t="s">
        <v>35</v>
      </c>
      <c r="F389" s="30"/>
      <c r="G389" s="456">
        <f>БелАЗ!E19</f>
        <v>62.264750000000014</v>
      </c>
      <c r="H389" s="456">
        <f>БелАЗ!F19</f>
        <v>51.099770000000007</v>
      </c>
      <c r="I389" s="456">
        <f>БелАЗ!G19</f>
        <v>51.099770000000007</v>
      </c>
      <c r="J389" s="456">
        <f>БелАЗ!H19</f>
        <v>51.099770000000007</v>
      </c>
      <c r="K389" s="456">
        <f>БелАЗ!I19</f>
        <v>51.099770000000007</v>
      </c>
      <c r="L389" s="456">
        <f>БелАЗ!J19</f>
        <v>51.099770000000007</v>
      </c>
      <c r="M389" s="456">
        <f>БелАЗ!K19</f>
        <v>51.099770000000007</v>
      </c>
      <c r="N389" s="456">
        <f>БелАЗ!L19</f>
        <v>51.099770000000007</v>
      </c>
      <c r="O389" s="456">
        <f>БелАЗ!M19</f>
        <v>51.099770000000007</v>
      </c>
      <c r="P389" s="456">
        <f>БелАЗ!N19</f>
        <v>51.099770000000007</v>
      </c>
      <c r="Q389" s="456"/>
      <c r="R389" s="456"/>
      <c r="S389" s="456"/>
      <c r="T389" s="456"/>
      <c r="U389" s="456"/>
      <c r="V389" s="456"/>
      <c r="W389" s="456"/>
      <c r="X389" s="456"/>
      <c r="Y389" s="456"/>
      <c r="Z389" s="456"/>
    </row>
    <row r="390" spans="1:28" outlineLevel="1" x14ac:dyDescent="0.25">
      <c r="A390" s="39" t="str">
        <f t="shared" si="682"/>
        <v>БелАЗ 7531 (ГПФК)</v>
      </c>
      <c r="B390" s="39"/>
      <c r="D390" s="427" t="s">
        <v>61</v>
      </c>
      <c r="E390" s="428" t="s">
        <v>35</v>
      </c>
      <c r="F390" s="30"/>
      <c r="G390" s="456">
        <f>БелАЗ!E20+БелАЗ!E21</f>
        <v>16.5</v>
      </c>
      <c r="H390" s="456">
        <f>БелАЗ!F20+БелАЗ!F21</f>
        <v>183.7</v>
      </c>
      <c r="I390" s="456">
        <f>БелАЗ!G20+БелАЗ!G21</f>
        <v>425.9</v>
      </c>
      <c r="J390" s="456">
        <f>БелАЗ!H20+БелАЗ!H21</f>
        <v>580.70000000000005</v>
      </c>
      <c r="K390" s="456">
        <f>БелАЗ!I20+БелАЗ!I21</f>
        <v>490.5</v>
      </c>
      <c r="L390" s="456">
        <f>БелАЗ!J20+БелАЗ!J21</f>
        <v>526.9</v>
      </c>
      <c r="M390" s="456">
        <f>БелАЗ!K20+БелАЗ!K21</f>
        <v>49.7</v>
      </c>
      <c r="N390" s="456">
        <f>БелАЗ!L20+БелАЗ!L21</f>
        <v>688.7</v>
      </c>
      <c r="O390" s="456">
        <f>БелАЗ!M20+БелАЗ!M21</f>
        <v>793.7</v>
      </c>
      <c r="P390" s="456">
        <f>БелАЗ!N20+БелАЗ!N21</f>
        <v>70.7</v>
      </c>
      <c r="Q390" s="456"/>
      <c r="R390" s="456"/>
      <c r="S390" s="456"/>
      <c r="T390" s="456"/>
      <c r="U390" s="456"/>
      <c r="V390" s="456"/>
      <c r="W390" s="456"/>
      <c r="X390" s="456"/>
      <c r="Y390" s="456"/>
      <c r="Z390" s="456"/>
    </row>
    <row r="391" spans="1:28" outlineLevel="1" x14ac:dyDescent="0.25">
      <c r="A391" s="39" t="str">
        <f t="shared" si="682"/>
        <v>БелАЗ 7531 (ГПФК)</v>
      </c>
      <c r="B391" s="39"/>
      <c r="D391" s="427" t="s">
        <v>62</v>
      </c>
      <c r="E391" s="428" t="s">
        <v>35</v>
      </c>
      <c r="F391" s="30"/>
      <c r="G391" s="456">
        <f>БелАЗ!E22+БелАЗ!E23</f>
        <v>69.282540000000012</v>
      </c>
      <c r="H391" s="456">
        <f>БелАЗ!F22+БелАЗ!F23</f>
        <v>82.801590000000004</v>
      </c>
      <c r="I391" s="456">
        <f>БелАЗ!G22+БелАЗ!G23</f>
        <v>95.068290000000019</v>
      </c>
      <c r="J391" s="456">
        <f>БелАЗ!H22+БелАЗ!H23</f>
        <v>95.206785000000011</v>
      </c>
      <c r="K391" s="456">
        <f>БелАЗ!I22+БелАЗ!I23</f>
        <v>90.023115000000004</v>
      </c>
      <c r="L391" s="456">
        <f>БелАЗ!J22+БелАЗ!J23</f>
        <v>110.61930000000001</v>
      </c>
      <c r="M391" s="456">
        <f>БелАЗ!K22+БелАЗ!K23</f>
        <v>79.695345000000003</v>
      </c>
      <c r="N391" s="456">
        <f>БелАЗ!L22+БелАЗ!L23</f>
        <v>107.39434500000002</v>
      </c>
      <c r="O391" s="456">
        <f>БелАЗ!M22+БелАЗ!M23</f>
        <v>116.95050000000001</v>
      </c>
      <c r="P391" s="456">
        <f>БелАЗ!N22+БелАЗ!N23</f>
        <v>109.70919000000001</v>
      </c>
      <c r="Q391" s="456"/>
      <c r="R391" s="456"/>
      <c r="S391" s="456"/>
      <c r="T391" s="456"/>
      <c r="U391" s="456"/>
      <c r="V391" s="456"/>
      <c r="W391" s="456"/>
      <c r="X391" s="456"/>
      <c r="Y391" s="456"/>
      <c r="Z391" s="456"/>
    </row>
    <row r="392" spans="1:28" outlineLevel="1" x14ac:dyDescent="0.25">
      <c r="A392" s="39" t="str">
        <f t="shared" si="682"/>
        <v>БелАЗ 7531 (ГПФК)</v>
      </c>
      <c r="B392" s="39"/>
      <c r="D392" s="80" t="s">
        <v>63</v>
      </c>
      <c r="E392" s="81"/>
      <c r="F392" s="82"/>
      <c r="G392" s="83" t="e">
        <f>G388/$F416</f>
        <v>#DIV/0!</v>
      </c>
      <c r="H392" s="83" t="e">
        <f t="shared" ref="H392" si="703">H388/$F416</f>
        <v>#DIV/0!</v>
      </c>
      <c r="I392" s="83" t="e">
        <f t="shared" ref="I392:Z392" si="704">I388/$F416</f>
        <v>#DIV/0!</v>
      </c>
      <c r="J392" s="83" t="e">
        <f t="shared" si="704"/>
        <v>#DIV/0!</v>
      </c>
      <c r="K392" s="83" t="e">
        <f t="shared" si="704"/>
        <v>#DIV/0!</v>
      </c>
      <c r="L392" s="83" t="e">
        <f t="shared" si="704"/>
        <v>#DIV/0!</v>
      </c>
      <c r="M392" s="83" t="e">
        <f t="shared" si="704"/>
        <v>#DIV/0!</v>
      </c>
      <c r="N392" s="83" t="e">
        <f t="shared" si="704"/>
        <v>#DIV/0!</v>
      </c>
      <c r="O392" s="83" t="e">
        <f t="shared" si="704"/>
        <v>#DIV/0!</v>
      </c>
      <c r="P392" s="83" t="e">
        <f t="shared" si="704"/>
        <v>#DIV/0!</v>
      </c>
      <c r="Q392" s="83" t="e">
        <f t="shared" si="704"/>
        <v>#DIV/0!</v>
      </c>
      <c r="R392" s="83" t="e">
        <f t="shared" si="704"/>
        <v>#DIV/0!</v>
      </c>
      <c r="S392" s="83" t="e">
        <f t="shared" si="704"/>
        <v>#DIV/0!</v>
      </c>
      <c r="T392" s="83" t="e">
        <f t="shared" si="704"/>
        <v>#DIV/0!</v>
      </c>
      <c r="U392" s="83" t="e">
        <f t="shared" si="704"/>
        <v>#DIV/0!</v>
      </c>
      <c r="V392" s="83" t="e">
        <f t="shared" si="704"/>
        <v>#DIV/0!</v>
      </c>
      <c r="W392" s="83" t="e">
        <f t="shared" si="704"/>
        <v>#DIV/0!</v>
      </c>
      <c r="X392" s="83" t="e">
        <f t="shared" si="704"/>
        <v>#DIV/0!</v>
      </c>
      <c r="Y392" s="83" t="e">
        <f t="shared" si="704"/>
        <v>#DIV/0!</v>
      </c>
      <c r="Z392" s="83" t="e">
        <f t="shared" si="704"/>
        <v>#DIV/0!</v>
      </c>
      <c r="AA392" s="84" t="e">
        <f>SUM(F388:Z388)/$F416</f>
        <v>#DIV/0!</v>
      </c>
    </row>
    <row r="393" spans="1:28" outlineLevel="1" x14ac:dyDescent="0.25">
      <c r="A393" s="39" t="str">
        <f t="shared" si="682"/>
        <v>БелАЗ 7531 (ГПФК)</v>
      </c>
      <c r="B393" s="39"/>
      <c r="D393" s="67" t="s">
        <v>39</v>
      </c>
      <c r="E393" s="68" t="str">
        <f>E387</f>
        <v>тыс. руб.</v>
      </c>
      <c r="F393" s="74"/>
      <c r="G393" s="85">
        <f>G395*G396</f>
        <v>18988.860486337369</v>
      </c>
      <c r="H393" s="85">
        <f t="shared" ref="H393" si="705">H395*H396</f>
        <v>19157.897017199619</v>
      </c>
      <c r="I393" s="85">
        <f t="shared" ref="I393:Z393" si="706">I395*I396</f>
        <v>19910.213252261783</v>
      </c>
      <c r="J393" s="85">
        <f t="shared" si="706"/>
        <v>19937.410139138687</v>
      </c>
      <c r="K393" s="85">
        <f t="shared" si="706"/>
        <v>21219.465614796205</v>
      </c>
      <c r="L393" s="85">
        <f t="shared" si="706"/>
        <v>20902.153776668969</v>
      </c>
      <c r="M393" s="85">
        <f t="shared" si="706"/>
        <v>21156.215698790002</v>
      </c>
      <c r="N393" s="85">
        <f t="shared" si="706"/>
        <v>20279.684368419599</v>
      </c>
      <c r="O393" s="85">
        <f t="shared" si="706"/>
        <v>20840.75231914785</v>
      </c>
      <c r="P393" s="85">
        <f t="shared" si="706"/>
        <v>20765.471883391478</v>
      </c>
      <c r="Q393" s="85">
        <f t="shared" si="706"/>
        <v>0</v>
      </c>
      <c r="R393" s="85">
        <f t="shared" si="706"/>
        <v>0</v>
      </c>
      <c r="S393" s="85">
        <f t="shared" si="706"/>
        <v>0</v>
      </c>
      <c r="T393" s="85">
        <f t="shared" si="706"/>
        <v>0</v>
      </c>
      <c r="U393" s="85">
        <f t="shared" si="706"/>
        <v>0</v>
      </c>
      <c r="V393" s="85">
        <f t="shared" si="706"/>
        <v>0</v>
      </c>
      <c r="W393" s="85">
        <f t="shared" si="706"/>
        <v>0</v>
      </c>
      <c r="X393" s="85">
        <f t="shared" si="706"/>
        <v>0</v>
      </c>
      <c r="Y393" s="85">
        <f t="shared" si="706"/>
        <v>0</v>
      </c>
      <c r="Z393" s="85">
        <f t="shared" si="706"/>
        <v>0</v>
      </c>
    </row>
    <row r="394" spans="1:28" outlineLevel="1" x14ac:dyDescent="0.25">
      <c r="A394" s="39" t="str">
        <f t="shared" si="682"/>
        <v>БелАЗ 7531 (ГПФК)</v>
      </c>
      <c r="B394" s="39"/>
      <c r="D394" s="31" t="s">
        <v>64</v>
      </c>
      <c r="E394" s="9" t="s">
        <v>65</v>
      </c>
      <c r="F394" s="86">
        <f>SUMIFS('ФОТ, МТР, макро'!$Z$4:$Z$20,'ФОТ, МТР, макро'!$W$4:$W$20,$A394)</f>
        <v>6.6666666666666666E-2</v>
      </c>
      <c r="G394" s="87">
        <f>F394</f>
        <v>6.6666666666666666E-2</v>
      </c>
      <c r="H394" s="87">
        <f t="shared" ref="H394" si="707">G394</f>
        <v>6.6666666666666666E-2</v>
      </c>
      <c r="I394" s="87">
        <f t="shared" ref="I394" si="708">H394</f>
        <v>6.6666666666666666E-2</v>
      </c>
      <c r="J394" s="87">
        <f t="shared" ref="J394" si="709">I394</f>
        <v>6.6666666666666666E-2</v>
      </c>
      <c r="K394" s="87">
        <f t="shared" ref="K394" si="710">J394</f>
        <v>6.6666666666666666E-2</v>
      </c>
      <c r="L394" s="87">
        <f t="shared" ref="L394" si="711">K394</f>
        <v>6.6666666666666666E-2</v>
      </c>
      <c r="M394" s="87">
        <f t="shared" ref="M394" si="712">L394</f>
        <v>6.6666666666666666E-2</v>
      </c>
      <c r="N394" s="87">
        <f t="shared" ref="N394" si="713">M394</f>
        <v>6.6666666666666666E-2</v>
      </c>
      <c r="O394" s="87">
        <f t="shared" ref="O394" si="714">N394</f>
        <v>6.6666666666666666E-2</v>
      </c>
      <c r="P394" s="87">
        <f t="shared" ref="P394" si="715">O394</f>
        <v>6.6666666666666666E-2</v>
      </c>
      <c r="Q394" s="87">
        <f t="shared" ref="Q394" si="716">P394</f>
        <v>6.6666666666666666E-2</v>
      </c>
      <c r="R394" s="87">
        <f t="shared" ref="R394" si="717">Q394</f>
        <v>6.6666666666666666E-2</v>
      </c>
      <c r="S394" s="87">
        <f t="shared" ref="S394" si="718">R394</f>
        <v>6.6666666666666666E-2</v>
      </c>
      <c r="T394" s="87">
        <f t="shared" ref="T394" si="719">S394</f>
        <v>6.6666666666666666E-2</v>
      </c>
      <c r="U394" s="87">
        <f t="shared" ref="U394" si="720">T394</f>
        <v>6.6666666666666666E-2</v>
      </c>
      <c r="V394" s="87">
        <f t="shared" ref="V394" si="721">U394</f>
        <v>6.6666666666666666E-2</v>
      </c>
      <c r="W394" s="87">
        <f t="shared" ref="W394" si="722">V394</f>
        <v>6.6666666666666666E-2</v>
      </c>
      <c r="X394" s="87">
        <f t="shared" ref="X394" si="723">W394</f>
        <v>6.6666666666666666E-2</v>
      </c>
      <c r="Y394" s="87">
        <f t="shared" ref="Y394" si="724">X394</f>
        <v>6.6666666666666666E-2</v>
      </c>
      <c r="Z394" s="87">
        <f t="shared" ref="Z394" si="725">Y394</f>
        <v>6.6666666666666666E-2</v>
      </c>
    </row>
    <row r="395" spans="1:28" outlineLevel="1" x14ac:dyDescent="0.25">
      <c r="A395" s="39" t="str">
        <f t="shared" si="682"/>
        <v>БелАЗ 7531 (ГПФК)</v>
      </c>
      <c r="B395" s="39"/>
      <c r="D395" s="31" t="s">
        <v>66</v>
      </c>
      <c r="E395" s="9" t="s">
        <v>67</v>
      </c>
      <c r="F395" s="74"/>
      <c r="G395" s="78">
        <f>G385*G394</f>
        <v>6.735779140354679</v>
      </c>
      <c r="H395" s="78">
        <f t="shared" ref="H395" si="726">H385*H394</f>
        <v>6.7957402285600024</v>
      </c>
      <c r="I395" s="78">
        <f t="shared" ref="I395:Z395" si="727">I385*I394</f>
        <v>7.0626038461387379</v>
      </c>
      <c r="J395" s="78">
        <f t="shared" si="727"/>
        <v>7.072251198250247</v>
      </c>
      <c r="K395" s="78">
        <f t="shared" si="727"/>
        <v>7.5270253294270404</v>
      </c>
      <c r="L395" s="78">
        <f t="shared" si="727"/>
        <v>7.4144676295175129</v>
      </c>
      <c r="M395" s="78">
        <f t="shared" si="727"/>
        <v>7.5045891508490623</v>
      </c>
      <c r="N395" s="78">
        <f t="shared" si="727"/>
        <v>7.1936636240000791</v>
      </c>
      <c r="O395" s="78">
        <f t="shared" si="727"/>
        <v>7.3926871410539894</v>
      </c>
      <c r="P395" s="78">
        <f t="shared" si="727"/>
        <v>7.3659834644848017</v>
      </c>
      <c r="Q395" s="78">
        <f t="shared" si="727"/>
        <v>0</v>
      </c>
      <c r="R395" s="78">
        <f t="shared" si="727"/>
        <v>0</v>
      </c>
      <c r="S395" s="78">
        <f t="shared" si="727"/>
        <v>0</v>
      </c>
      <c r="T395" s="78">
        <f t="shared" si="727"/>
        <v>0</v>
      </c>
      <c r="U395" s="78">
        <f t="shared" si="727"/>
        <v>0</v>
      </c>
      <c r="V395" s="78">
        <f t="shared" si="727"/>
        <v>0</v>
      </c>
      <c r="W395" s="78">
        <f t="shared" si="727"/>
        <v>0</v>
      </c>
      <c r="X395" s="78">
        <f t="shared" si="727"/>
        <v>0</v>
      </c>
      <c r="Y395" s="78">
        <f t="shared" si="727"/>
        <v>0</v>
      </c>
      <c r="Z395" s="78">
        <f t="shared" si="727"/>
        <v>0</v>
      </c>
      <c r="AA395" s="88">
        <f>SUM(F385:Z385)*F394-SUM(F395:Z395)</f>
        <v>0</v>
      </c>
    </row>
    <row r="396" spans="1:28" outlineLevel="1" x14ac:dyDescent="0.25">
      <c r="A396" s="39" t="str">
        <f t="shared" si="682"/>
        <v>БелАЗ 7531 (ГПФК)</v>
      </c>
      <c r="B396" s="39"/>
      <c r="D396" s="31" t="s">
        <v>68</v>
      </c>
      <c r="E396" s="9" t="s">
        <v>69</v>
      </c>
      <c r="F396" s="78">
        <f>SUMIFS('ФОТ, МТР, макро'!$AA$4:$AA$20,'ФОТ, МТР, макро'!$W$4:$W$20,$A396)</f>
        <v>2819.1037875000002</v>
      </c>
      <c r="G396" s="89">
        <f>F396</f>
        <v>2819.1037875000002</v>
      </c>
      <c r="H396" s="89">
        <f t="shared" ref="H396" si="728">G396</f>
        <v>2819.1037875000002</v>
      </c>
      <c r="I396" s="89">
        <f t="shared" ref="I396" si="729">H396</f>
        <v>2819.1037875000002</v>
      </c>
      <c r="J396" s="89">
        <f t="shared" ref="J396" si="730">I396</f>
        <v>2819.1037875000002</v>
      </c>
      <c r="K396" s="89">
        <f t="shared" ref="K396" si="731">J396</f>
        <v>2819.1037875000002</v>
      </c>
      <c r="L396" s="89">
        <f t="shared" ref="L396" si="732">K396</f>
        <v>2819.1037875000002</v>
      </c>
      <c r="M396" s="89">
        <f t="shared" ref="M396" si="733">L396</f>
        <v>2819.1037875000002</v>
      </c>
      <c r="N396" s="89">
        <f t="shared" ref="N396" si="734">M396</f>
        <v>2819.1037875000002</v>
      </c>
      <c r="O396" s="89">
        <f t="shared" ref="O396" si="735">N396</f>
        <v>2819.1037875000002</v>
      </c>
      <c r="P396" s="89">
        <f t="shared" ref="P396" si="736">O396</f>
        <v>2819.1037875000002</v>
      </c>
      <c r="Q396" s="89">
        <f t="shared" ref="Q396" si="737">P396</f>
        <v>2819.1037875000002</v>
      </c>
      <c r="R396" s="89">
        <f t="shared" ref="R396" si="738">Q396</f>
        <v>2819.1037875000002</v>
      </c>
      <c r="S396" s="89">
        <f t="shared" ref="S396" si="739">R396</f>
        <v>2819.1037875000002</v>
      </c>
      <c r="T396" s="89">
        <f t="shared" ref="T396" si="740">S396</f>
        <v>2819.1037875000002</v>
      </c>
      <c r="U396" s="89">
        <f t="shared" ref="U396" si="741">T396</f>
        <v>2819.1037875000002</v>
      </c>
      <c r="V396" s="89">
        <f t="shared" ref="V396" si="742">U396</f>
        <v>2819.1037875000002</v>
      </c>
      <c r="W396" s="89">
        <f t="shared" ref="W396" si="743">V396</f>
        <v>2819.1037875000002</v>
      </c>
      <c r="X396" s="89">
        <f t="shared" ref="X396" si="744">W396</f>
        <v>2819.1037875000002</v>
      </c>
      <c r="Y396" s="89">
        <f t="shared" ref="Y396" si="745">X396</f>
        <v>2819.1037875000002</v>
      </c>
      <c r="Z396" s="89">
        <f t="shared" ref="Z396" si="746">Y396</f>
        <v>2819.1037875000002</v>
      </c>
    </row>
    <row r="397" spans="1:28" outlineLevel="1" x14ac:dyDescent="0.25">
      <c r="A397" s="39" t="str">
        <f t="shared" si="682"/>
        <v>БелАЗ 7531 (ГПФК)</v>
      </c>
      <c r="B397" s="39"/>
      <c r="D397" s="67" t="s">
        <v>70</v>
      </c>
      <c r="E397" s="68" t="str">
        <f>E387</f>
        <v>тыс. руб.</v>
      </c>
      <c r="F397" s="89"/>
      <c r="G397" s="85">
        <f>G400*G401</f>
        <v>68208.855167693429</v>
      </c>
      <c r="H397" s="85">
        <f t="shared" ref="H397" si="747">H400*H401</f>
        <v>68816.04211605867</v>
      </c>
      <c r="I397" s="85">
        <f t="shared" ref="I397:Z397" si="748">I400*I401</f>
        <v>71518.396433453381</v>
      </c>
      <c r="J397" s="85">
        <f t="shared" si="748"/>
        <v>71616.088894743167</v>
      </c>
      <c r="K397" s="85">
        <f t="shared" si="748"/>
        <v>76221.290787663049</v>
      </c>
      <c r="L397" s="85">
        <f t="shared" si="748"/>
        <v>75081.492155439264</v>
      </c>
      <c r="M397" s="85">
        <f t="shared" si="748"/>
        <v>75994.094197149345</v>
      </c>
      <c r="N397" s="85">
        <f t="shared" si="748"/>
        <v>72845.553577442464</v>
      </c>
      <c r="O397" s="85">
        <f t="shared" si="748"/>
        <v>74860.935312328191</v>
      </c>
      <c r="P397" s="85">
        <f t="shared" si="748"/>
        <v>74590.524544754124</v>
      </c>
      <c r="Q397" s="85">
        <f t="shared" si="748"/>
        <v>0</v>
      </c>
      <c r="R397" s="85">
        <f t="shared" si="748"/>
        <v>0</v>
      </c>
      <c r="S397" s="85">
        <f t="shared" si="748"/>
        <v>0</v>
      </c>
      <c r="T397" s="85">
        <f t="shared" si="748"/>
        <v>0</v>
      </c>
      <c r="U397" s="85">
        <f t="shared" si="748"/>
        <v>0</v>
      </c>
      <c r="V397" s="85">
        <f t="shared" si="748"/>
        <v>0</v>
      </c>
      <c r="W397" s="85">
        <f t="shared" si="748"/>
        <v>0</v>
      </c>
      <c r="X397" s="85">
        <f t="shared" si="748"/>
        <v>0</v>
      </c>
      <c r="Y397" s="85">
        <f t="shared" si="748"/>
        <v>0</v>
      </c>
      <c r="Z397" s="85">
        <f t="shared" si="748"/>
        <v>0</v>
      </c>
    </row>
    <row r="398" spans="1:28" outlineLevel="1" x14ac:dyDescent="0.25">
      <c r="A398" s="39" t="str">
        <f t="shared" si="682"/>
        <v>БелАЗ 7531 (ГПФК)</v>
      </c>
      <c r="B398" s="39"/>
      <c r="D398" s="31" t="s">
        <v>64</v>
      </c>
      <c r="E398" s="77" t="str">
        <f>VLOOKUP($A398,'ФОТ, МТР, макро'!$N$4:$Q$20,4,FALSE)</f>
        <v>г/ткм</v>
      </c>
      <c r="F398" s="90">
        <f>IF($E398="г/ткм",SUMIFS('ФОТ, МТР, макро'!$O$4:$O$20,'ФОТ, МТР, макро'!$N$4:$N$20,$A398),SUMIFS('ФОТ, МТР, макро'!$P$4:$P$20,'ФОТ, МТР, макро'!$N$4:$N$20,$A398))</f>
        <v>90</v>
      </c>
      <c r="G398" s="91">
        <f>F398</f>
        <v>90</v>
      </c>
      <c r="H398" s="91">
        <f t="shared" ref="H398" si="749">G398</f>
        <v>90</v>
      </c>
      <c r="I398" s="91">
        <f t="shared" ref="I398" si="750">H398</f>
        <v>90</v>
      </c>
      <c r="J398" s="91">
        <f t="shared" ref="J398" si="751">I398</f>
        <v>90</v>
      </c>
      <c r="K398" s="91">
        <f t="shared" ref="K398" si="752">J398</f>
        <v>90</v>
      </c>
      <c r="L398" s="91">
        <f t="shared" ref="L398" si="753">K398</f>
        <v>90</v>
      </c>
      <c r="M398" s="91">
        <f t="shared" ref="M398" si="754">L398</f>
        <v>90</v>
      </c>
      <c r="N398" s="91">
        <f t="shared" ref="N398" si="755">M398</f>
        <v>90</v>
      </c>
      <c r="O398" s="91">
        <f t="shared" ref="O398" si="756">N398</f>
        <v>90</v>
      </c>
      <c r="P398" s="91">
        <f t="shared" ref="P398" si="757">O398</f>
        <v>90</v>
      </c>
      <c r="Q398" s="91">
        <f t="shared" ref="Q398" si="758">P398</f>
        <v>90</v>
      </c>
      <c r="R398" s="91">
        <f t="shared" ref="R398" si="759">Q398</f>
        <v>90</v>
      </c>
      <c r="S398" s="91">
        <f t="shared" ref="S398" si="760">R398</f>
        <v>90</v>
      </c>
      <c r="T398" s="91">
        <f t="shared" ref="T398" si="761">S398</f>
        <v>90</v>
      </c>
      <c r="U398" s="91">
        <f t="shared" ref="U398" si="762">T398</f>
        <v>90</v>
      </c>
      <c r="V398" s="91">
        <f t="shared" ref="V398" si="763">U398</f>
        <v>90</v>
      </c>
      <c r="W398" s="91">
        <f t="shared" ref="W398" si="764">V398</f>
        <v>90</v>
      </c>
      <c r="X398" s="91">
        <f t="shared" ref="X398" si="765">W398</f>
        <v>90</v>
      </c>
      <c r="Y398" s="91">
        <f t="shared" ref="Y398" si="766">X398</f>
        <v>90</v>
      </c>
      <c r="Z398" s="91">
        <f t="shared" ref="Z398" si="767">Y398</f>
        <v>90</v>
      </c>
    </row>
    <row r="399" spans="1:28" outlineLevel="1" x14ac:dyDescent="0.25">
      <c r="A399" s="39" t="str">
        <f t="shared" si="682"/>
        <v>БелАЗ 7531 (ГПФК)</v>
      </c>
      <c r="B399" s="39"/>
      <c r="D399" s="93" t="s">
        <v>71</v>
      </c>
      <c r="E399" s="94" t="str">
        <f>IF(E398='ФОТ, МТР, макро'!$O$4,'ФОТ, МТР, макро'!$P$4,'ФОТ, МТР, макро'!$O$4)</f>
        <v>л/час</v>
      </c>
      <c r="F399" s="95"/>
      <c r="G399" s="96">
        <f>IF($E398="г/ткм",G400*1000/(365*24*G381),G400/G383*1000)</f>
        <v>151.37292373640241</v>
      </c>
      <c r="H399" s="96">
        <f t="shared" ref="H399" si="768">IF($E398="г/ткм",H400*1000/(365*24*H381),H400/H383*1000)</f>
        <v>156.60489473155312</v>
      </c>
      <c r="I399" s="96">
        <f t="shared" ref="I399:Z399" si="769">IF($E398="г/ткм",I400*1000/(365*24*I381),I400/I383*1000)</f>
        <v>165.40661371128564</v>
      </c>
      <c r="J399" s="96">
        <f t="shared" si="769"/>
        <v>163.75492429941366</v>
      </c>
      <c r="K399" s="96">
        <f t="shared" si="769"/>
        <v>172.96081552596792</v>
      </c>
      <c r="L399" s="96">
        <f t="shared" si="769"/>
        <v>177.55182010320163</v>
      </c>
      <c r="M399" s="96">
        <f t="shared" si="769"/>
        <v>169.40172275062565</v>
      </c>
      <c r="N399" s="96">
        <f t="shared" si="769"/>
        <v>170.45972239319178</v>
      </c>
      <c r="O399" s="96">
        <f t="shared" si="769"/>
        <v>177.76122587689844</v>
      </c>
      <c r="P399" s="96">
        <f t="shared" si="769"/>
        <v>173.17861710313602</v>
      </c>
      <c r="Q399" s="96" t="e">
        <f t="shared" si="769"/>
        <v>#DIV/0!</v>
      </c>
      <c r="R399" s="96" t="e">
        <f t="shared" si="769"/>
        <v>#DIV/0!</v>
      </c>
      <c r="S399" s="96" t="e">
        <f t="shared" si="769"/>
        <v>#DIV/0!</v>
      </c>
      <c r="T399" s="96" t="e">
        <f t="shared" si="769"/>
        <v>#DIV/0!</v>
      </c>
      <c r="U399" s="96" t="e">
        <f t="shared" si="769"/>
        <v>#DIV/0!</v>
      </c>
      <c r="V399" s="96" t="e">
        <f t="shared" si="769"/>
        <v>#DIV/0!</v>
      </c>
      <c r="W399" s="96" t="e">
        <f t="shared" si="769"/>
        <v>#DIV/0!</v>
      </c>
      <c r="X399" s="96" t="e">
        <f t="shared" si="769"/>
        <v>#DIV/0!</v>
      </c>
      <c r="Y399" s="96" t="e">
        <f t="shared" si="769"/>
        <v>#DIV/0!</v>
      </c>
      <c r="Z399" s="96" t="e">
        <f t="shared" si="769"/>
        <v>#DIV/0!</v>
      </c>
    </row>
    <row r="400" spans="1:28" outlineLevel="1" x14ac:dyDescent="0.25">
      <c r="A400" s="39" t="str">
        <f t="shared" si="682"/>
        <v>БелАЗ 7531 (ГПФК)</v>
      </c>
      <c r="B400" s="39"/>
      <c r="D400" s="31" t="s">
        <v>66</v>
      </c>
      <c r="E400" s="9" t="s">
        <v>11</v>
      </c>
      <c r="F400" s="89"/>
      <c r="G400" s="78">
        <f>IF($E398="г/ткм",G383*G398/1000,365*24*G381*G398*0.85/1000)</f>
        <v>1033.1713347832192</v>
      </c>
      <c r="H400" s="78">
        <f t="shared" ref="H400" si="770">IF($E398="г/ткм",H383*H398/1000,365*24*H381*H398*0.85/1000)</f>
        <v>1042.3685005817531</v>
      </c>
      <c r="I400" s="78">
        <f t="shared" ref="I400:Z400" si="771">IF($E398="г/ткм",I383*I398/1000,365*24*I381*I398*0.85/1000)</f>
        <v>1083.3015291496083</v>
      </c>
      <c r="J400" s="78">
        <f t="shared" si="771"/>
        <v>1084.7812937693323</v>
      </c>
      <c r="K400" s="78">
        <f t="shared" si="771"/>
        <v>1154.537083907675</v>
      </c>
      <c r="L400" s="78">
        <f t="shared" si="771"/>
        <v>1137.2723567495434</v>
      </c>
      <c r="M400" s="78">
        <f t="shared" si="771"/>
        <v>1151.0956978280797</v>
      </c>
      <c r="N400" s="78">
        <f t="shared" si="771"/>
        <v>1103.4042081133762</v>
      </c>
      <c r="O400" s="78">
        <f t="shared" si="771"/>
        <v>1133.9315440730602</v>
      </c>
      <c r="P400" s="78">
        <f t="shared" si="771"/>
        <v>1129.8355853740411</v>
      </c>
      <c r="Q400" s="78">
        <f t="shared" si="771"/>
        <v>0</v>
      </c>
      <c r="R400" s="78">
        <f t="shared" si="771"/>
        <v>0</v>
      </c>
      <c r="S400" s="78">
        <f t="shared" si="771"/>
        <v>0</v>
      </c>
      <c r="T400" s="78">
        <f t="shared" si="771"/>
        <v>0</v>
      </c>
      <c r="U400" s="78">
        <f t="shared" si="771"/>
        <v>0</v>
      </c>
      <c r="V400" s="78">
        <f t="shared" si="771"/>
        <v>0</v>
      </c>
      <c r="W400" s="78">
        <f t="shared" si="771"/>
        <v>0</v>
      </c>
      <c r="X400" s="78">
        <f t="shared" si="771"/>
        <v>0</v>
      </c>
      <c r="Y400" s="78">
        <f t="shared" si="771"/>
        <v>0</v>
      </c>
      <c r="Z400" s="78">
        <f t="shared" si="771"/>
        <v>0</v>
      </c>
    </row>
    <row r="401" spans="1:28" outlineLevel="1" x14ac:dyDescent="0.25">
      <c r="A401" s="39" t="str">
        <f t="shared" si="682"/>
        <v>БелАЗ 7531 (ГПФК)</v>
      </c>
      <c r="B401" s="39"/>
      <c r="D401" s="31" t="s">
        <v>68</v>
      </c>
      <c r="E401" s="9" t="s">
        <v>72</v>
      </c>
      <c r="F401" s="78">
        <f>'ФОТ, МТР, макро'!$G$2</f>
        <v>66.018919487352079</v>
      </c>
      <c r="G401" s="89">
        <f>F401</f>
        <v>66.018919487352079</v>
      </c>
      <c r="H401" s="89">
        <f t="shared" ref="H401" si="772">G401</f>
        <v>66.018919487352079</v>
      </c>
      <c r="I401" s="89">
        <f t="shared" ref="I401" si="773">H401</f>
        <v>66.018919487352079</v>
      </c>
      <c r="J401" s="89">
        <f t="shared" ref="J401" si="774">I401</f>
        <v>66.018919487352079</v>
      </c>
      <c r="K401" s="89">
        <f t="shared" ref="K401" si="775">J401</f>
        <v>66.018919487352079</v>
      </c>
      <c r="L401" s="89">
        <f t="shared" ref="L401" si="776">K401</f>
        <v>66.018919487352079</v>
      </c>
      <c r="M401" s="89">
        <f t="shared" ref="M401" si="777">L401</f>
        <v>66.018919487352079</v>
      </c>
      <c r="N401" s="89">
        <f t="shared" ref="N401" si="778">M401</f>
        <v>66.018919487352079</v>
      </c>
      <c r="O401" s="89">
        <f t="shared" ref="O401" si="779">N401</f>
        <v>66.018919487352079</v>
      </c>
      <c r="P401" s="89">
        <f t="shared" ref="P401" si="780">O401</f>
        <v>66.018919487352079</v>
      </c>
      <c r="Q401" s="89">
        <f t="shared" ref="Q401" si="781">P401</f>
        <v>66.018919487352079</v>
      </c>
      <c r="R401" s="89">
        <f t="shared" ref="R401" si="782">Q401</f>
        <v>66.018919487352079</v>
      </c>
      <c r="S401" s="89">
        <f t="shared" ref="S401" si="783">R401</f>
        <v>66.018919487352079</v>
      </c>
      <c r="T401" s="89">
        <f t="shared" ref="T401" si="784">S401</f>
        <v>66.018919487352079</v>
      </c>
      <c r="U401" s="89">
        <f t="shared" ref="U401" si="785">T401</f>
        <v>66.018919487352079</v>
      </c>
      <c r="V401" s="89">
        <f t="shared" ref="V401" si="786">U401</f>
        <v>66.018919487352079</v>
      </c>
      <c r="W401" s="89">
        <f t="shared" ref="W401" si="787">V401</f>
        <v>66.018919487352079</v>
      </c>
      <c r="X401" s="89">
        <f t="shared" ref="X401" si="788">W401</f>
        <v>66.018919487352079</v>
      </c>
      <c r="Y401" s="89">
        <f t="shared" ref="Y401" si="789">X401</f>
        <v>66.018919487352079</v>
      </c>
      <c r="Z401" s="89">
        <f t="shared" ref="Z401" si="790">Y401</f>
        <v>66.018919487352079</v>
      </c>
      <c r="AB401" s="92"/>
    </row>
    <row r="402" spans="1:28" outlineLevel="1" x14ac:dyDescent="0.25">
      <c r="A402" s="39" t="str">
        <f t="shared" si="682"/>
        <v>БелАЗ 7531 (ГПФК)</v>
      </c>
      <c r="B402" s="39"/>
      <c r="C402" s="619" t="str">
        <f>C388</f>
        <v>ТО, ТР, ППР</v>
      </c>
      <c r="D402" s="218" t="s">
        <v>73</v>
      </c>
      <c r="E402" s="68" t="str">
        <f>E387</f>
        <v>тыс. руб.</v>
      </c>
      <c r="F402" s="30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8" outlineLevel="1" x14ac:dyDescent="0.25">
      <c r="A403" s="39" t="str">
        <f t="shared" si="682"/>
        <v>БелАЗ 7531 (ГПФК)</v>
      </c>
      <c r="B403" s="39"/>
      <c r="D403" s="67"/>
      <c r="E403" s="68"/>
      <c r="F403" s="30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8" outlineLevel="1" x14ac:dyDescent="0.25">
      <c r="A404" s="39" t="str">
        <f t="shared" si="682"/>
        <v>БелАЗ 7531 (ГПФК)</v>
      </c>
      <c r="B404" s="39"/>
      <c r="D404" s="67" t="s">
        <v>74</v>
      </c>
      <c r="E404" s="68" t="str">
        <f>E387</f>
        <v>тыс. руб.</v>
      </c>
      <c r="F404" s="74"/>
      <c r="G404" s="85">
        <f>G405+G406+G407</f>
        <v>18475.596240662097</v>
      </c>
      <c r="H404" s="85">
        <f t="shared" ref="H404:I404" si="791">H405+H406+H407</f>
        <v>18475.596240662097</v>
      </c>
      <c r="I404" s="85">
        <f t="shared" si="791"/>
        <v>18475.596240662097</v>
      </c>
      <c r="J404" s="85">
        <f t="shared" ref="J404:Z404" si="792">J405+J406+J407</f>
        <v>18475.596240662097</v>
      </c>
      <c r="K404" s="85">
        <f t="shared" si="792"/>
        <v>18475.596240662097</v>
      </c>
      <c r="L404" s="85">
        <f t="shared" si="792"/>
        <v>18475.596240662097</v>
      </c>
      <c r="M404" s="85">
        <f t="shared" si="792"/>
        <v>18475.596240662097</v>
      </c>
      <c r="N404" s="85">
        <f t="shared" si="792"/>
        <v>18475.596240662097</v>
      </c>
      <c r="O404" s="85">
        <f t="shared" si="792"/>
        <v>18475.596240662097</v>
      </c>
      <c r="P404" s="85">
        <f t="shared" si="792"/>
        <v>18475.596240662097</v>
      </c>
      <c r="Q404" s="85">
        <f t="shared" si="792"/>
        <v>0</v>
      </c>
      <c r="R404" s="85">
        <f t="shared" si="792"/>
        <v>0</v>
      </c>
      <c r="S404" s="85">
        <f t="shared" si="792"/>
        <v>0</v>
      </c>
      <c r="T404" s="85">
        <f t="shared" si="792"/>
        <v>0</v>
      </c>
      <c r="U404" s="85">
        <f t="shared" si="792"/>
        <v>0</v>
      </c>
      <c r="V404" s="85">
        <f t="shared" si="792"/>
        <v>0</v>
      </c>
      <c r="W404" s="85">
        <f t="shared" si="792"/>
        <v>0</v>
      </c>
      <c r="X404" s="85">
        <f t="shared" si="792"/>
        <v>0</v>
      </c>
      <c r="Y404" s="85">
        <f t="shared" si="792"/>
        <v>0</v>
      </c>
      <c r="Z404" s="85">
        <f t="shared" si="792"/>
        <v>0</v>
      </c>
    </row>
    <row r="405" spans="1:28" outlineLevel="1" x14ac:dyDescent="0.25">
      <c r="A405" s="39" t="str">
        <f t="shared" si="682"/>
        <v>БелАЗ 7531 (ГПФК)</v>
      </c>
      <c r="B405" s="39"/>
      <c r="D405" s="31" t="s">
        <v>257</v>
      </c>
      <c r="E405" s="9" t="str">
        <f>E404</f>
        <v>тыс. руб.</v>
      </c>
      <c r="F405" s="78">
        <f>'ФОТ, МТР, макро'!$B$4*'ФОТ, МТР, макро'!$B$7</f>
        <v>11107.5</v>
      </c>
      <c r="G405" s="89">
        <f>IF(G382=0,0,$F405)</f>
        <v>11107.5</v>
      </c>
      <c r="H405" s="89">
        <f t="shared" ref="H405:I405" si="793">IF(H382=0,0,$F405)</f>
        <v>11107.5</v>
      </c>
      <c r="I405" s="89">
        <f t="shared" si="793"/>
        <v>11107.5</v>
      </c>
      <c r="J405" s="89">
        <f t="shared" ref="J405:Z405" si="794">IF(J382=0,0,$F405)</f>
        <v>11107.5</v>
      </c>
      <c r="K405" s="89">
        <f t="shared" si="794"/>
        <v>11107.5</v>
      </c>
      <c r="L405" s="89">
        <f t="shared" si="794"/>
        <v>11107.5</v>
      </c>
      <c r="M405" s="89">
        <f t="shared" si="794"/>
        <v>11107.5</v>
      </c>
      <c r="N405" s="89">
        <f t="shared" si="794"/>
        <v>11107.5</v>
      </c>
      <c r="O405" s="89">
        <f t="shared" si="794"/>
        <v>11107.5</v>
      </c>
      <c r="P405" s="89">
        <f t="shared" si="794"/>
        <v>11107.5</v>
      </c>
      <c r="Q405" s="89">
        <f t="shared" si="794"/>
        <v>0</v>
      </c>
      <c r="R405" s="89">
        <f t="shared" si="794"/>
        <v>0</v>
      </c>
      <c r="S405" s="89">
        <f t="shared" si="794"/>
        <v>0</v>
      </c>
      <c r="T405" s="89">
        <f t="shared" si="794"/>
        <v>0</v>
      </c>
      <c r="U405" s="89">
        <f t="shared" si="794"/>
        <v>0</v>
      </c>
      <c r="V405" s="89">
        <f t="shared" si="794"/>
        <v>0</v>
      </c>
      <c r="W405" s="89">
        <f t="shared" si="794"/>
        <v>0</v>
      </c>
      <c r="X405" s="89">
        <f t="shared" si="794"/>
        <v>0</v>
      </c>
      <c r="Y405" s="89">
        <f t="shared" si="794"/>
        <v>0</v>
      </c>
      <c r="Z405" s="89">
        <f t="shared" si="794"/>
        <v>0</v>
      </c>
    </row>
    <row r="406" spans="1:28" outlineLevel="1" x14ac:dyDescent="0.25">
      <c r="A406" s="39" t="str">
        <f t="shared" si="682"/>
        <v>БелАЗ 7531 (ГПФК)</v>
      </c>
      <c r="B406" s="39"/>
      <c r="D406" s="31" t="s">
        <v>75</v>
      </c>
      <c r="E406" s="9" t="str">
        <f>E404</f>
        <v>тыс. руб.</v>
      </c>
      <c r="F406" s="97">
        <f>'ФОТ, МТР, макро'!$B$5</f>
        <v>0.377</v>
      </c>
      <c r="G406" s="89">
        <f>G405*$F406</f>
        <v>4187.5275000000001</v>
      </c>
      <c r="H406" s="89">
        <f t="shared" ref="H406:I406" si="795">H405*$F406</f>
        <v>4187.5275000000001</v>
      </c>
      <c r="I406" s="89">
        <f t="shared" si="795"/>
        <v>4187.5275000000001</v>
      </c>
      <c r="J406" s="89">
        <f t="shared" ref="J406:Z406" si="796">J405*$F406</f>
        <v>4187.5275000000001</v>
      </c>
      <c r="K406" s="89">
        <f t="shared" si="796"/>
        <v>4187.5275000000001</v>
      </c>
      <c r="L406" s="89">
        <f t="shared" si="796"/>
        <v>4187.5275000000001</v>
      </c>
      <c r="M406" s="89">
        <f t="shared" si="796"/>
        <v>4187.5275000000001</v>
      </c>
      <c r="N406" s="89">
        <f t="shared" si="796"/>
        <v>4187.5275000000001</v>
      </c>
      <c r="O406" s="89">
        <f t="shared" si="796"/>
        <v>4187.5275000000001</v>
      </c>
      <c r="P406" s="89">
        <f t="shared" si="796"/>
        <v>4187.5275000000001</v>
      </c>
      <c r="Q406" s="89">
        <f t="shared" si="796"/>
        <v>0</v>
      </c>
      <c r="R406" s="89">
        <f t="shared" si="796"/>
        <v>0</v>
      </c>
      <c r="S406" s="89">
        <f t="shared" si="796"/>
        <v>0</v>
      </c>
      <c r="T406" s="89">
        <f t="shared" si="796"/>
        <v>0</v>
      </c>
      <c r="U406" s="89">
        <f t="shared" si="796"/>
        <v>0</v>
      </c>
      <c r="V406" s="89">
        <f t="shared" si="796"/>
        <v>0</v>
      </c>
      <c r="W406" s="89">
        <f t="shared" si="796"/>
        <v>0</v>
      </c>
      <c r="X406" s="89">
        <f t="shared" si="796"/>
        <v>0</v>
      </c>
      <c r="Y406" s="89">
        <f t="shared" si="796"/>
        <v>0</v>
      </c>
      <c r="Z406" s="89">
        <f t="shared" si="796"/>
        <v>0</v>
      </c>
    </row>
    <row r="407" spans="1:28" outlineLevel="1" x14ac:dyDescent="0.25">
      <c r="A407" s="39" t="str">
        <f t="shared" si="682"/>
        <v>БелАЗ 7531 (ГПФК)</v>
      </c>
      <c r="B407" s="39"/>
      <c r="D407" s="31" t="s">
        <v>76</v>
      </c>
      <c r="E407" s="9"/>
      <c r="F407" s="78">
        <f>'ФОТ, МТР, макро'!$C$13*'ФОТ, МТР, макро'!$B$7</f>
        <v>3180.5687406620973</v>
      </c>
      <c r="G407" s="89">
        <f>IF(G382=0,0,$F407)</f>
        <v>3180.5687406620973</v>
      </c>
      <c r="H407" s="89">
        <f t="shared" ref="H407:I407" si="797">IF(H382=0,0,$F407)</f>
        <v>3180.5687406620973</v>
      </c>
      <c r="I407" s="89">
        <f t="shared" si="797"/>
        <v>3180.5687406620973</v>
      </c>
      <c r="J407" s="89">
        <f t="shared" ref="J407:Z407" si="798">IF(J382=0,0,$F407)</f>
        <v>3180.5687406620973</v>
      </c>
      <c r="K407" s="89">
        <f t="shared" si="798"/>
        <v>3180.5687406620973</v>
      </c>
      <c r="L407" s="89">
        <f t="shared" si="798"/>
        <v>3180.5687406620973</v>
      </c>
      <c r="M407" s="89">
        <f t="shared" si="798"/>
        <v>3180.5687406620973</v>
      </c>
      <c r="N407" s="89">
        <f t="shared" si="798"/>
        <v>3180.5687406620973</v>
      </c>
      <c r="O407" s="89">
        <f t="shared" si="798"/>
        <v>3180.5687406620973</v>
      </c>
      <c r="P407" s="89">
        <f t="shared" si="798"/>
        <v>3180.5687406620973</v>
      </c>
      <c r="Q407" s="89">
        <f t="shared" si="798"/>
        <v>0</v>
      </c>
      <c r="R407" s="89">
        <f t="shared" si="798"/>
        <v>0</v>
      </c>
      <c r="S407" s="89">
        <f t="shared" si="798"/>
        <v>0</v>
      </c>
      <c r="T407" s="89">
        <f t="shared" si="798"/>
        <v>0</v>
      </c>
      <c r="U407" s="89">
        <f t="shared" si="798"/>
        <v>0</v>
      </c>
      <c r="V407" s="89">
        <f t="shared" si="798"/>
        <v>0</v>
      </c>
      <c r="W407" s="89">
        <f t="shared" si="798"/>
        <v>0</v>
      </c>
      <c r="X407" s="89">
        <f t="shared" si="798"/>
        <v>0</v>
      </c>
      <c r="Y407" s="89">
        <f t="shared" si="798"/>
        <v>0</v>
      </c>
      <c r="Z407" s="89">
        <f t="shared" si="798"/>
        <v>0</v>
      </c>
    </row>
    <row r="408" spans="1:28" outlineLevel="1" x14ac:dyDescent="0.25">
      <c r="A408" s="39" t="str">
        <f t="shared" si="682"/>
        <v>БелАЗ 7531 (ГПФК)</v>
      </c>
      <c r="B408" s="39"/>
      <c r="D408" s="98" t="s">
        <v>77</v>
      </c>
      <c r="E408" s="68" t="str">
        <f>E387</f>
        <v>тыс. руб.</v>
      </c>
      <c r="F408" s="74"/>
      <c r="G408" s="85">
        <f>IF(G382=0,0,G409*G410/1000)</f>
        <v>215.47499999999999</v>
      </c>
      <c r="H408" s="85">
        <f t="shared" ref="H408:I408" si="799">IF(H382=0,0,H409*H410/1000)</f>
        <v>215.47499999999999</v>
      </c>
      <c r="I408" s="85">
        <f t="shared" si="799"/>
        <v>215.47499999999999</v>
      </c>
      <c r="J408" s="85">
        <f t="shared" ref="J408:Z408" si="800">IF(J382=0,0,J409*J410/1000)</f>
        <v>215.47499999999999</v>
      </c>
      <c r="K408" s="85">
        <f t="shared" si="800"/>
        <v>215.47499999999999</v>
      </c>
      <c r="L408" s="85">
        <f t="shared" si="800"/>
        <v>215.47499999999999</v>
      </c>
      <c r="M408" s="85">
        <f t="shared" si="800"/>
        <v>215.47499999999999</v>
      </c>
      <c r="N408" s="85">
        <f t="shared" si="800"/>
        <v>215.47499999999999</v>
      </c>
      <c r="O408" s="85">
        <f t="shared" si="800"/>
        <v>215.47499999999999</v>
      </c>
      <c r="P408" s="85">
        <f t="shared" si="800"/>
        <v>215.47499999999999</v>
      </c>
      <c r="Q408" s="85">
        <f t="shared" si="800"/>
        <v>0</v>
      </c>
      <c r="R408" s="85">
        <f t="shared" si="800"/>
        <v>0</v>
      </c>
      <c r="S408" s="85">
        <f t="shared" si="800"/>
        <v>0</v>
      </c>
      <c r="T408" s="85">
        <f t="shared" si="800"/>
        <v>0</v>
      </c>
      <c r="U408" s="85">
        <f t="shared" si="800"/>
        <v>0</v>
      </c>
      <c r="V408" s="85">
        <f t="shared" si="800"/>
        <v>0</v>
      </c>
      <c r="W408" s="85">
        <f t="shared" si="800"/>
        <v>0</v>
      </c>
      <c r="X408" s="85">
        <f t="shared" si="800"/>
        <v>0</v>
      </c>
      <c r="Y408" s="85">
        <f t="shared" si="800"/>
        <v>0</v>
      </c>
      <c r="Z408" s="85">
        <f t="shared" si="800"/>
        <v>0</v>
      </c>
    </row>
    <row r="409" spans="1:28" outlineLevel="1" x14ac:dyDescent="0.25">
      <c r="A409" s="39" t="str">
        <f t="shared" si="682"/>
        <v>БелАЗ 7531 (ГПФК)</v>
      </c>
      <c r="B409" s="39"/>
      <c r="D409" s="31" t="s">
        <v>78</v>
      </c>
      <c r="E409" s="9" t="s">
        <v>13</v>
      </c>
      <c r="F409" s="78">
        <f>SUMIFS('ФОТ, МТР, макро'!$AC$4:$AC$20,'ФОТ, МТР, макро'!$W$4:$W$20,$A409)</f>
        <v>2535</v>
      </c>
      <c r="G409" s="89">
        <f>F409</f>
        <v>2535</v>
      </c>
      <c r="H409" s="89">
        <f t="shared" ref="H409:H410" si="801">G409</f>
        <v>2535</v>
      </c>
      <c r="I409" s="89">
        <f t="shared" ref="I409:I410" si="802">H409</f>
        <v>2535</v>
      </c>
      <c r="J409" s="89">
        <f t="shared" ref="J409:J410" si="803">I409</f>
        <v>2535</v>
      </c>
      <c r="K409" s="89">
        <f t="shared" ref="K409:K410" si="804">J409</f>
        <v>2535</v>
      </c>
      <c r="L409" s="89">
        <f t="shared" ref="L409:L410" si="805">K409</f>
        <v>2535</v>
      </c>
      <c r="M409" s="89">
        <f t="shared" ref="M409:M410" si="806">L409</f>
        <v>2535</v>
      </c>
      <c r="N409" s="89">
        <f t="shared" ref="N409:N410" si="807">M409</f>
        <v>2535</v>
      </c>
      <c r="O409" s="89">
        <f t="shared" ref="O409:O410" si="808">N409</f>
        <v>2535</v>
      </c>
      <c r="P409" s="89">
        <f t="shared" ref="P409:P410" si="809">O409</f>
        <v>2535</v>
      </c>
      <c r="Q409" s="89">
        <f t="shared" ref="Q409:Q410" si="810">P409</f>
        <v>2535</v>
      </c>
      <c r="R409" s="89">
        <f t="shared" ref="R409:R410" si="811">Q409</f>
        <v>2535</v>
      </c>
      <c r="S409" s="89">
        <f t="shared" ref="S409:S410" si="812">R409</f>
        <v>2535</v>
      </c>
      <c r="T409" s="89">
        <f t="shared" ref="T409:T410" si="813">S409</f>
        <v>2535</v>
      </c>
      <c r="U409" s="89">
        <f t="shared" ref="U409:U410" si="814">T409</f>
        <v>2535</v>
      </c>
      <c r="V409" s="89">
        <f t="shared" ref="V409:V410" si="815">U409</f>
        <v>2535</v>
      </c>
      <c r="W409" s="89">
        <f t="shared" ref="W409:W410" si="816">V409</f>
        <v>2535</v>
      </c>
      <c r="X409" s="89">
        <f t="shared" ref="X409:X410" si="817">W409</f>
        <v>2535</v>
      </c>
      <c r="Y409" s="89">
        <f t="shared" ref="Y409:Y410" si="818">X409</f>
        <v>2535</v>
      </c>
      <c r="Z409" s="89">
        <f t="shared" ref="Z409:Z410" si="819">Y409</f>
        <v>2535</v>
      </c>
    </row>
    <row r="410" spans="1:28" outlineLevel="1" x14ac:dyDescent="0.25">
      <c r="A410" s="39" t="str">
        <f t="shared" si="682"/>
        <v>БелАЗ 7531 (ГПФК)</v>
      </c>
      <c r="B410" s="39"/>
      <c r="D410" s="31" t="s">
        <v>79</v>
      </c>
      <c r="E410" s="9" t="s">
        <v>80</v>
      </c>
      <c r="F410" s="78">
        <f>SUMIFS('ФОТ, МТР, макро'!$AD$4:$AD$20,'ФОТ, МТР, макро'!$W$4:$W$20,$A410)</f>
        <v>85</v>
      </c>
      <c r="G410" s="89">
        <f>F410</f>
        <v>85</v>
      </c>
      <c r="H410" s="89">
        <f t="shared" si="801"/>
        <v>85</v>
      </c>
      <c r="I410" s="89">
        <f t="shared" si="802"/>
        <v>85</v>
      </c>
      <c r="J410" s="89">
        <f t="shared" si="803"/>
        <v>85</v>
      </c>
      <c r="K410" s="89">
        <f t="shared" si="804"/>
        <v>85</v>
      </c>
      <c r="L410" s="89">
        <f t="shared" si="805"/>
        <v>85</v>
      </c>
      <c r="M410" s="89">
        <f t="shared" si="806"/>
        <v>85</v>
      </c>
      <c r="N410" s="89">
        <f t="shared" si="807"/>
        <v>85</v>
      </c>
      <c r="O410" s="89">
        <f t="shared" si="808"/>
        <v>85</v>
      </c>
      <c r="P410" s="89">
        <f t="shared" si="809"/>
        <v>85</v>
      </c>
      <c r="Q410" s="89">
        <f t="shared" si="810"/>
        <v>85</v>
      </c>
      <c r="R410" s="89">
        <f t="shared" si="811"/>
        <v>85</v>
      </c>
      <c r="S410" s="89">
        <f t="shared" si="812"/>
        <v>85</v>
      </c>
      <c r="T410" s="89">
        <f t="shared" si="813"/>
        <v>85</v>
      </c>
      <c r="U410" s="89">
        <f t="shared" si="814"/>
        <v>85</v>
      </c>
      <c r="V410" s="89">
        <f t="shared" si="815"/>
        <v>85</v>
      </c>
      <c r="W410" s="89">
        <f t="shared" si="816"/>
        <v>85</v>
      </c>
      <c r="X410" s="89">
        <f t="shared" si="817"/>
        <v>85</v>
      </c>
      <c r="Y410" s="89">
        <f t="shared" si="818"/>
        <v>85</v>
      </c>
      <c r="Z410" s="89">
        <f t="shared" si="819"/>
        <v>85</v>
      </c>
    </row>
    <row r="411" spans="1:28" outlineLevel="1" x14ac:dyDescent="0.25">
      <c r="A411" s="39" t="str">
        <f t="shared" si="682"/>
        <v>БелАЗ 7531 (ГПФК)</v>
      </c>
      <c r="B411" s="39"/>
      <c r="C411" s="99">
        <f>SUMIFS('ФОТ, МТР, макро'!$AG$4:$AG$20,'ФОТ, МТР, макро'!$W$4:$W$20,$A411)</f>
        <v>14.117647058823531</v>
      </c>
      <c r="D411" s="98" t="s">
        <v>81</v>
      </c>
      <c r="E411" s="68" t="str">
        <f>E387</f>
        <v>тыс. руб.</v>
      </c>
      <c r="F411" s="85"/>
      <c r="G411" s="100">
        <f>IF(G379&lt;=$C412,$F416*$C411%,"ОШИБКА")</f>
        <v>0</v>
      </c>
      <c r="H411" s="75">
        <f>IF(H379&lt;=$C412,$F416*$C411%,$F416-SUM($G411:G411))</f>
        <v>0</v>
      </c>
      <c r="I411" s="75">
        <f>IF(I379&lt;=$C412,$F416*$C411%,$F416-SUM($G411:H411))</f>
        <v>0</v>
      </c>
      <c r="J411" s="75">
        <f>IF(J379&lt;=$C412,$F416*$C411%,$F416-SUM($G411:I411))</f>
        <v>0</v>
      </c>
      <c r="K411" s="75">
        <f>IF(K379&lt;=$C412,$F416*$C411%,$F416-SUM($G411:J411))</f>
        <v>0</v>
      </c>
      <c r="L411" s="75">
        <f>IF(L379&lt;=$C412,$F416*$C411%,$F416-SUM($G411:K411))</f>
        <v>0</v>
      </c>
      <c r="M411" s="75">
        <f>IF(M379&lt;=$C412,$F416*$C411%,$F416-SUM($G411:L411))</f>
        <v>0</v>
      </c>
      <c r="N411" s="75">
        <f>IF(N379&lt;=$C412,$F416*$C411%,$F416-SUM($G411:M411))</f>
        <v>0</v>
      </c>
      <c r="O411" s="75">
        <f>IF(O379&lt;=$C412,$F416*$C411%,$F416-SUM($G411:N411))</f>
        <v>0</v>
      </c>
      <c r="P411" s="75">
        <f>IF(P379&lt;=$C412,$F416*$C411%,$F416-SUM($G411:O411))</f>
        <v>0</v>
      </c>
      <c r="Q411" s="75">
        <f>IF(Q379&lt;=$C412,$F416*$C411%,$F416-SUM($G411:P411))</f>
        <v>0</v>
      </c>
      <c r="R411" s="75">
        <f>IF(R379&lt;=$C412,$F416*$C411%,$F416-SUM($G411:Q411))</f>
        <v>0</v>
      </c>
      <c r="S411" s="75">
        <f>IF(S379&lt;=$C412,$F416*$C411%,$F416-SUM($G411:R411))</f>
        <v>0</v>
      </c>
      <c r="T411" s="75">
        <f>IF(T379&lt;=$C412,$F416*$C411%,$F416-SUM($G411:S411))</f>
        <v>0</v>
      </c>
      <c r="U411" s="75">
        <f>IF(U379&lt;=$C412,$F416*$C411%,$F416-SUM($G411:T411))</f>
        <v>0</v>
      </c>
      <c r="V411" s="75">
        <f>IF(V379&lt;=$C412,$F416*$C411%,$F416-SUM($G411:U411))</f>
        <v>0</v>
      </c>
      <c r="W411" s="75">
        <f>IF(W379&lt;=$C412,$F416*$C411%,$F416-SUM($G411:V411))</f>
        <v>0</v>
      </c>
      <c r="X411" s="75">
        <f>IF(X379&lt;=$C412,$F416*$C411%,$F416-SUM($G411:W411))</f>
        <v>0</v>
      </c>
      <c r="Y411" s="75">
        <f>IF(Y379&lt;=$C412,$F416*$C411%,$F416-SUM($G411:X411))</f>
        <v>0</v>
      </c>
      <c r="Z411" s="75">
        <f>IF(Z379&lt;=$C412,$F416*$C411%,$F416-SUM($G411:Y411))</f>
        <v>0</v>
      </c>
      <c r="AA411" s="88">
        <f>F416-SUM(G411:Z411)</f>
        <v>0</v>
      </c>
    </row>
    <row r="412" spans="1:28" outlineLevel="1" x14ac:dyDescent="0.25">
      <c r="A412" s="39" t="str">
        <f t="shared" si="682"/>
        <v>БелАЗ 7531 (ГПФК)</v>
      </c>
      <c r="B412" s="39"/>
      <c r="C412" s="99">
        <f>SUMIFS('ФОТ, МТР, макро'!$AF$4:$AF$20,'ФОТ, МТР, макро'!$W$4:$W$20,$A412)/12</f>
        <v>7.083333333333333</v>
      </c>
      <c r="D412" s="98" t="s">
        <v>82</v>
      </c>
      <c r="E412" s="68" t="str">
        <f>E387</f>
        <v>тыс. руб.</v>
      </c>
      <c r="F412" s="69"/>
      <c r="G412" s="69">
        <f>SUM(G388,G393,G397,G402,G404,G408,G411)</f>
        <v>119812.41244825791</v>
      </c>
      <c r="H412" s="69">
        <f>SUM(H388,H393,H397,H402,H404,H408,H411)</f>
        <v>136534.94187988041</v>
      </c>
      <c r="I412" s="69">
        <f>SUM(I388,I393,I397,I402,I404,I408,I411)</f>
        <v>163921.82386728728</v>
      </c>
      <c r="J412" s="69">
        <f t="shared" ref="J412:Z412" si="820">SUM(J388,J393,J397,J402,J404,J408,J411)</f>
        <v>178618.44626246145</v>
      </c>
      <c r="K412" s="69">
        <f t="shared" si="820"/>
        <v>175535.01254304385</v>
      </c>
      <c r="L412" s="69">
        <f t="shared" si="820"/>
        <v>179438.30777766535</v>
      </c>
      <c r="M412" s="69">
        <f t="shared" si="820"/>
        <v>132816.67595967895</v>
      </c>
      <c r="N412" s="69">
        <f t="shared" si="820"/>
        <v>191493.6449111017</v>
      </c>
      <c r="O412" s="69">
        <f t="shared" si="820"/>
        <v>204843.92914023317</v>
      </c>
      <c r="P412" s="69">
        <f t="shared" si="820"/>
        <v>135820.13809336771</v>
      </c>
      <c r="Q412" s="69">
        <f t="shared" si="820"/>
        <v>0</v>
      </c>
      <c r="R412" s="69">
        <f t="shared" si="820"/>
        <v>0</v>
      </c>
      <c r="S412" s="69">
        <f t="shared" si="820"/>
        <v>0</v>
      </c>
      <c r="T412" s="69">
        <f t="shared" si="820"/>
        <v>0</v>
      </c>
      <c r="U412" s="69">
        <f t="shared" si="820"/>
        <v>0</v>
      </c>
      <c r="V412" s="69">
        <f t="shared" si="820"/>
        <v>0</v>
      </c>
      <c r="W412" s="69">
        <f t="shared" si="820"/>
        <v>0</v>
      </c>
      <c r="X412" s="69">
        <f t="shared" si="820"/>
        <v>0</v>
      </c>
      <c r="Y412" s="69">
        <f t="shared" si="820"/>
        <v>0</v>
      </c>
      <c r="Z412" s="69">
        <f t="shared" si="820"/>
        <v>0</v>
      </c>
      <c r="AB412" s="42"/>
    </row>
    <row r="413" spans="1:28" outlineLevel="1" x14ac:dyDescent="0.25">
      <c r="A413" s="39" t="str">
        <f t="shared" si="682"/>
        <v>БелАЗ 7531 (ГПФК)</v>
      </c>
      <c r="B413" s="39"/>
      <c r="D413" s="98" t="s">
        <v>83</v>
      </c>
      <c r="E413" s="68" t="str">
        <f>E387</f>
        <v>тыс. руб.</v>
      </c>
      <c r="F413" s="69"/>
      <c r="G413" s="69">
        <f>-G412*'ФОТ, МТР, макро'!AK$11</f>
        <v>-29953.103112064477</v>
      </c>
      <c r="H413" s="69">
        <f>-H412*'ФОТ, МТР, макро'!AL$11</f>
        <v>-34133.735469970103</v>
      </c>
      <c r="I413" s="69">
        <f>-I412*'ФОТ, МТР, макро'!AM$11</f>
        <v>-40980.455966821821</v>
      </c>
      <c r="J413" s="69">
        <f>-J412*'ФОТ, МТР, макро'!AN$11</f>
        <v>-44654.611565615363</v>
      </c>
      <c r="K413" s="69">
        <f>-K412*'ФОТ, МТР, макро'!AO$11</f>
        <v>-43883.753135760962</v>
      </c>
      <c r="L413" s="69">
        <f>-L412*'ФОТ, МТР, макро'!AP$11</f>
        <v>-44859.576944416338</v>
      </c>
      <c r="M413" s="69">
        <f>-M412*'ФОТ, МТР, макро'!AQ$11</f>
        <v>-33204.168989919737</v>
      </c>
      <c r="N413" s="69">
        <f>-N412*'ФОТ, МТР, макро'!AR$11</f>
        <v>-47873.411227775425</v>
      </c>
      <c r="O413" s="69">
        <f>-O412*'ФОТ, МТР, макро'!AS$11</f>
        <v>-51210.982285058293</v>
      </c>
      <c r="P413" s="69">
        <f>-P412*'ФОТ, МТР, макро'!AT$11</f>
        <v>-33955.034523341928</v>
      </c>
      <c r="Q413" s="69">
        <f>-Q412*'ФОТ, МТР, макро'!AU$11</f>
        <v>0</v>
      </c>
      <c r="R413" s="69">
        <f>-R412*'ФОТ, МТР, макро'!AV$11</f>
        <v>0</v>
      </c>
      <c r="S413" s="69">
        <f>-S412*'ФОТ, МТР, макро'!AW$11</f>
        <v>0</v>
      </c>
      <c r="T413" s="69">
        <f>-T412*'ФОТ, МТР, макро'!AX$11</f>
        <v>0</v>
      </c>
      <c r="U413" s="69">
        <f>-U412*'ФОТ, МТР, макро'!AY$11</f>
        <v>0</v>
      </c>
      <c r="V413" s="69">
        <f>-V412*'ФОТ, МТР, макро'!AZ$11</f>
        <v>0</v>
      </c>
      <c r="W413" s="69">
        <f>-W412*'ФОТ, МТР, макро'!BA$11</f>
        <v>0</v>
      </c>
      <c r="X413" s="69">
        <f>-X412*'ФОТ, МТР, макро'!BB$11</f>
        <v>0</v>
      </c>
      <c r="Y413" s="69">
        <f>-Y412*'ФОТ, МТР, макро'!BC$11</f>
        <v>0</v>
      </c>
      <c r="Z413" s="69">
        <f>-Z412*'ФОТ, МТР, макро'!BD$11</f>
        <v>0</v>
      </c>
    </row>
    <row r="414" spans="1:28" outlineLevel="1" x14ac:dyDescent="0.25">
      <c r="A414" s="39" t="str">
        <f t="shared" si="682"/>
        <v>БелАЗ 7531 (ГПФК)</v>
      </c>
      <c r="B414" s="39"/>
      <c r="D414" s="101"/>
      <c r="E414" s="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8" outlineLevel="1" x14ac:dyDescent="0.25">
      <c r="A415" s="39" t="str">
        <f t="shared" si="682"/>
        <v>БелАЗ 7531 (ГПФК)</v>
      </c>
      <c r="B415" s="39"/>
      <c r="D415" s="71" t="s">
        <v>84</v>
      </c>
      <c r="E415" s="72" t="str">
        <f>E387</f>
        <v>тыс. руб.</v>
      </c>
      <c r="F415" s="73">
        <f>F416</f>
        <v>0</v>
      </c>
      <c r="G415" s="73">
        <f t="shared" ref="G415:Z415" si="821">G416</f>
        <v>0</v>
      </c>
      <c r="H415" s="73">
        <f t="shared" si="821"/>
        <v>0</v>
      </c>
      <c r="I415" s="73">
        <f t="shared" si="821"/>
        <v>0</v>
      </c>
      <c r="J415" s="73">
        <f t="shared" si="821"/>
        <v>0</v>
      </c>
      <c r="K415" s="73">
        <f t="shared" si="821"/>
        <v>0</v>
      </c>
      <c r="L415" s="73">
        <f t="shared" si="821"/>
        <v>0</v>
      </c>
      <c r="M415" s="73">
        <f t="shared" si="821"/>
        <v>0</v>
      </c>
      <c r="N415" s="73">
        <f t="shared" si="821"/>
        <v>0</v>
      </c>
      <c r="O415" s="73">
        <f t="shared" si="821"/>
        <v>0</v>
      </c>
      <c r="P415" s="73">
        <f t="shared" si="821"/>
        <v>0</v>
      </c>
      <c r="Q415" s="73">
        <f t="shared" si="821"/>
        <v>0</v>
      </c>
      <c r="R415" s="73">
        <f t="shared" si="821"/>
        <v>0</v>
      </c>
      <c r="S415" s="73">
        <f t="shared" si="821"/>
        <v>0</v>
      </c>
      <c r="T415" s="73">
        <f t="shared" si="821"/>
        <v>0</v>
      </c>
      <c r="U415" s="73">
        <f t="shared" si="821"/>
        <v>0</v>
      </c>
      <c r="V415" s="73">
        <f t="shared" si="821"/>
        <v>0</v>
      </c>
      <c r="W415" s="73">
        <f t="shared" si="821"/>
        <v>0</v>
      </c>
      <c r="X415" s="73">
        <f t="shared" si="821"/>
        <v>0</v>
      </c>
      <c r="Y415" s="73">
        <f t="shared" si="821"/>
        <v>0</v>
      </c>
      <c r="Z415" s="73">
        <f t="shared" si="821"/>
        <v>0</v>
      </c>
    </row>
    <row r="416" spans="1:28" outlineLevel="1" x14ac:dyDescent="0.25">
      <c r="A416" s="39" t="str">
        <f t="shared" si="682"/>
        <v>БелАЗ 7531 (ГПФК)</v>
      </c>
      <c r="B416" s="39"/>
      <c r="D416" s="101" t="s">
        <v>85</v>
      </c>
      <c r="E416" s="9" t="str">
        <f>E415</f>
        <v>тыс. руб.</v>
      </c>
      <c r="F416" s="78">
        <f>SUMIFS(Свод!$D$41:$U$41,Свод!$D$23:$U$23,$A416)</f>
        <v>0</v>
      </c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outlineLevel="1" x14ac:dyDescent="0.25">
      <c r="A417" s="39" t="str">
        <f t="shared" si="682"/>
        <v>БелАЗ 7531 (ГПФК)</v>
      </c>
      <c r="B417" s="39"/>
      <c r="D417" s="101"/>
      <c r="E417" s="9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outlineLevel="1" x14ac:dyDescent="0.25">
      <c r="A418" s="39" t="str">
        <f t="shared" si="682"/>
        <v>БелАЗ 7531 (ГПФК)</v>
      </c>
      <c r="B418" s="39"/>
      <c r="D418" s="71" t="s">
        <v>86</v>
      </c>
      <c r="E418" s="72" t="str">
        <f>E387</f>
        <v>тыс. руб.</v>
      </c>
      <c r="F418" s="73">
        <f>F387+F415</f>
        <v>0</v>
      </c>
      <c r="G418" s="73">
        <f t="shared" ref="G418:I418" si="822">G387+G415</f>
        <v>89859.30933619343</v>
      </c>
      <c r="H418" s="73">
        <f t="shared" si="822"/>
        <v>102401.20640991032</v>
      </c>
      <c r="I418" s="73">
        <f t="shared" si="822"/>
        <v>122941.36790046547</v>
      </c>
      <c r="J418" s="73">
        <f t="shared" ref="J418:Z418" si="823">J387+J415</f>
        <v>133963.83469684608</v>
      </c>
      <c r="K418" s="73">
        <f t="shared" si="823"/>
        <v>131651.25940728289</v>
      </c>
      <c r="L418" s="73">
        <f t="shared" si="823"/>
        <v>134578.73083324902</v>
      </c>
      <c r="M418" s="73">
        <f t="shared" si="823"/>
        <v>99612.506969759212</v>
      </c>
      <c r="N418" s="73">
        <f t="shared" si="823"/>
        <v>143620.23368332628</v>
      </c>
      <c r="O418" s="73">
        <f t="shared" si="823"/>
        <v>153632.94685517487</v>
      </c>
      <c r="P418" s="73">
        <f t="shared" si="823"/>
        <v>101865.10357002579</v>
      </c>
      <c r="Q418" s="73">
        <f t="shared" si="823"/>
        <v>0</v>
      </c>
      <c r="R418" s="73">
        <f t="shared" si="823"/>
        <v>0</v>
      </c>
      <c r="S418" s="73">
        <f t="shared" si="823"/>
        <v>0</v>
      </c>
      <c r="T418" s="73">
        <f t="shared" si="823"/>
        <v>0</v>
      </c>
      <c r="U418" s="73">
        <f t="shared" si="823"/>
        <v>0</v>
      </c>
      <c r="V418" s="73">
        <f t="shared" si="823"/>
        <v>0</v>
      </c>
      <c r="W418" s="73">
        <f t="shared" si="823"/>
        <v>0</v>
      </c>
      <c r="X418" s="73">
        <f t="shared" si="823"/>
        <v>0</v>
      </c>
      <c r="Y418" s="73">
        <f t="shared" si="823"/>
        <v>0</v>
      </c>
      <c r="Z418" s="73">
        <f t="shared" si="823"/>
        <v>0</v>
      </c>
    </row>
    <row r="419" spans="1:26" outlineLevel="1" x14ac:dyDescent="0.25">
      <c r="A419" s="39" t="str">
        <f t="shared" si="682"/>
        <v>БелАЗ 7531 (ГПФК)</v>
      </c>
      <c r="B419" s="39"/>
      <c r="D419" s="67" t="s">
        <v>87</v>
      </c>
      <c r="E419" s="68" t="str">
        <f>E418</f>
        <v>тыс. руб.</v>
      </c>
      <c r="F419" s="102"/>
      <c r="G419" s="69">
        <f>G387*'ФОТ, МТР, макро'!AK$13</f>
        <v>80231.526193029844</v>
      </c>
      <c r="H419" s="69">
        <f>H387*'ФОТ, МТР, макро'!AL$13</f>
        <v>81633.614803818797</v>
      </c>
      <c r="I419" s="69">
        <f>I387*'ФОТ, МТР, макро'!AM$13</f>
        <v>87507.237310713026</v>
      </c>
      <c r="J419" s="69">
        <f>J387*'ФОТ, МТР, макро'!AN$13</f>
        <v>85136.438802282064</v>
      </c>
      <c r="K419" s="69">
        <f>K387*'ФОТ, МТР, макро'!AO$13</f>
        <v>74702.46017686819</v>
      </c>
      <c r="L419" s="69">
        <f>L387*'ФОТ, МТР, макро'!AP$13</f>
        <v>68181.773288669807</v>
      </c>
      <c r="M419" s="69">
        <f>M387*'ФОТ, МТР, макро'!AQ$13</f>
        <v>45059.639365511408</v>
      </c>
      <c r="N419" s="69">
        <f>N387*'ФОТ, МТР, макро'!AR$13</f>
        <v>58005.803583173132</v>
      </c>
      <c r="O419" s="69">
        <f>O387*'ФОТ, МТР, макро'!AS$13</f>
        <v>55401.580803438286</v>
      </c>
      <c r="P419" s="69">
        <f>P387*'ФОТ, МТР, макро'!AT$13</f>
        <v>32797.837092087662</v>
      </c>
      <c r="Q419" s="69">
        <f>Q387*'ФОТ, МТР, макро'!AU$13</f>
        <v>0</v>
      </c>
      <c r="R419" s="69">
        <f>R387*'ФОТ, МТР, макро'!AV$13</f>
        <v>0</v>
      </c>
      <c r="S419" s="69">
        <f>S387*'ФОТ, МТР, макро'!AW$13</f>
        <v>0</v>
      </c>
      <c r="T419" s="69">
        <f>T387*'ФОТ, МТР, макро'!AX$13</f>
        <v>0</v>
      </c>
      <c r="U419" s="69">
        <f>U387*'ФОТ, МТР, макро'!AY$13</f>
        <v>0</v>
      </c>
      <c r="V419" s="69">
        <f>V387*'ФОТ, МТР, макро'!AZ$13</f>
        <v>0</v>
      </c>
      <c r="W419" s="69">
        <f>W387*'ФОТ, МТР, макро'!BA$13</f>
        <v>0</v>
      </c>
      <c r="X419" s="69">
        <f>X387*'ФОТ, МТР, макро'!BB$13</f>
        <v>0</v>
      </c>
      <c r="Y419" s="69">
        <f>Y387*'ФОТ, МТР, макро'!BC$13</f>
        <v>0</v>
      </c>
      <c r="Z419" s="69">
        <f>Z387*'ФОТ, МТР, макро'!BD$13</f>
        <v>0</v>
      </c>
    </row>
    <row r="420" spans="1:26" outlineLevel="1" x14ac:dyDescent="0.25">
      <c r="A420" s="39" t="str">
        <f t="shared" si="682"/>
        <v>БелАЗ 7531 (ГПФК)</v>
      </c>
      <c r="B420" s="39"/>
      <c r="D420" s="18" t="str">
        <f>D388</f>
        <v>ТО, ТР, ППР</v>
      </c>
      <c r="E420" s="9" t="str">
        <f>E419</f>
        <v>тыс. руб.</v>
      </c>
      <c r="F420" s="103"/>
      <c r="G420" s="74">
        <f>G388*'ФОТ, МТР, макро'!AK$13</f>
        <v>12431.808529968752</v>
      </c>
      <c r="H420" s="74">
        <f>H388*'ФОТ, МТР, макро'!AL$13</f>
        <v>23812.126519419638</v>
      </c>
      <c r="I420" s="74">
        <f>I388*'ФОТ, МТР, макро'!AM$13</f>
        <v>38295.302635373482</v>
      </c>
      <c r="J420" s="74">
        <f>J388*'ФОТ, МТР, макро'!AN$13</f>
        <v>43452.834280931558</v>
      </c>
      <c r="K420" s="74">
        <f>K388*'ФОТ, МТР, макро'!AO$13</f>
        <v>33706.962427433595</v>
      </c>
      <c r="L420" s="74">
        <f>L388*'ФОТ, МТР, макро'!AP$13</f>
        <v>32811.250519626941</v>
      </c>
      <c r="M420" s="74">
        <f>M388*'ФОТ, МТР, макро'!AQ$13</f>
        <v>7678.7612933315359</v>
      </c>
      <c r="N420" s="74">
        <f>N388*'ФОТ, МТР, макро'!AR$13</f>
        <v>32180.33954923827</v>
      </c>
      <c r="O420" s="74">
        <f>O388*'ФОТ, МТР, макро'!AS$13</f>
        <v>32617.598769990844</v>
      </c>
      <c r="P420" s="74">
        <f>P388*'ФОТ, МТР, макро'!AT$13</f>
        <v>7010.3459551127435</v>
      </c>
      <c r="Q420" s="74">
        <f>Q388*'ФОТ, МТР, макро'!AU$13</f>
        <v>0</v>
      </c>
      <c r="R420" s="74">
        <f>R388*'ФОТ, МТР, макро'!AV$13</f>
        <v>0</v>
      </c>
      <c r="S420" s="74">
        <f>S388*'ФОТ, МТР, макро'!AW$13</f>
        <v>0</v>
      </c>
      <c r="T420" s="74">
        <f>T388*'ФОТ, МТР, макро'!AX$13</f>
        <v>0</v>
      </c>
      <c r="U420" s="74">
        <f>U388*'ФОТ, МТР, макро'!AY$13</f>
        <v>0</v>
      </c>
      <c r="V420" s="74">
        <f>V388*'ФОТ, МТР, макро'!AZ$13</f>
        <v>0</v>
      </c>
      <c r="W420" s="74">
        <f>W388*'ФОТ, МТР, макро'!BA$13</f>
        <v>0</v>
      </c>
      <c r="X420" s="74">
        <f>X388*'ФОТ, МТР, макро'!BB$13</f>
        <v>0</v>
      </c>
      <c r="Y420" s="74">
        <f>Y388*'ФОТ, МТР, макро'!BC$13</f>
        <v>0</v>
      </c>
      <c r="Z420" s="74">
        <f>Z388*'ФОТ, МТР, макро'!BD$13</f>
        <v>0</v>
      </c>
    </row>
    <row r="421" spans="1:26" outlineLevel="1" x14ac:dyDescent="0.25">
      <c r="A421" s="39" t="str">
        <f t="shared" si="682"/>
        <v>БелАЗ 7531 (ГПФК)</v>
      </c>
      <c r="B421" s="39"/>
      <c r="D421" s="18" t="str">
        <f>D393</f>
        <v>Шины</v>
      </c>
      <c r="E421" s="9" t="str">
        <f t="shared" ref="E421:E426" si="824">E420</f>
        <v>тыс. руб.</v>
      </c>
      <c r="F421" s="103"/>
      <c r="G421" s="74">
        <f>G393*'ФОТ, МТР, макро'!AK$13</f>
        <v>16954.339719944077</v>
      </c>
      <c r="H421" s="74">
        <f>H393*'ФОТ, МТР, макро'!AL$13</f>
        <v>15272.558208864488</v>
      </c>
      <c r="I421" s="74">
        <f>I393*'ФОТ, МТР, макро'!AM$13</f>
        <v>14171.696522712749</v>
      </c>
      <c r="J421" s="74">
        <f>J393*'ФОТ, МТР, макро'!AN$13</f>
        <v>12670.584579994415</v>
      </c>
      <c r="K421" s="74">
        <f>K393*'ФОТ, МТР, макро'!AO$13</f>
        <v>12040.494653832742</v>
      </c>
      <c r="L421" s="74">
        <f>L393*'ФОТ, МТР, макро'!AP$13</f>
        <v>10589.681602894567</v>
      </c>
      <c r="M421" s="74">
        <f>M393*'ФОТ, МТР, макро'!AQ$13</f>
        <v>9569.9975708457241</v>
      </c>
      <c r="N421" s="74">
        <f>N393*'ФОТ, МТР, макро'!AR$13</f>
        <v>8190.6243851200607</v>
      </c>
      <c r="O421" s="74">
        <f>O393*'ФОТ, МТР, макро'!AS$13</f>
        <v>7515.3842144428172</v>
      </c>
      <c r="P421" s="74">
        <f>P393*'ФОТ, МТР, макро'!AT$13</f>
        <v>6685.9261916286496</v>
      </c>
      <c r="Q421" s="74">
        <f>Q393*'ФОТ, МТР, макро'!AU$13</f>
        <v>0</v>
      </c>
      <c r="R421" s="74">
        <f>R393*'ФОТ, МТР, макро'!AV$13</f>
        <v>0</v>
      </c>
      <c r="S421" s="74">
        <f>S393*'ФОТ, МТР, макро'!AW$13</f>
        <v>0</v>
      </c>
      <c r="T421" s="74">
        <f>T393*'ФОТ, МТР, макро'!AX$13</f>
        <v>0</v>
      </c>
      <c r="U421" s="74">
        <f>U393*'ФОТ, МТР, макро'!AY$13</f>
        <v>0</v>
      </c>
      <c r="V421" s="74">
        <f>V393*'ФОТ, МТР, макро'!AZ$13</f>
        <v>0</v>
      </c>
      <c r="W421" s="74">
        <f>W393*'ФОТ, МТР, макро'!BA$13</f>
        <v>0</v>
      </c>
      <c r="X421" s="74">
        <f>X393*'ФОТ, МТР, макро'!BB$13</f>
        <v>0</v>
      </c>
      <c r="Y421" s="74">
        <f>Y393*'ФОТ, МТР, макро'!BC$13</f>
        <v>0</v>
      </c>
      <c r="Z421" s="74">
        <f>Z393*'ФОТ, МТР, макро'!BD$13</f>
        <v>0</v>
      </c>
    </row>
    <row r="422" spans="1:26" outlineLevel="1" x14ac:dyDescent="0.25">
      <c r="A422" s="39" t="str">
        <f t="shared" si="682"/>
        <v>БелАЗ 7531 (ГПФК)</v>
      </c>
      <c r="B422" s="39"/>
      <c r="D422" s="18" t="str">
        <f>D397</f>
        <v>Топливо</v>
      </c>
      <c r="E422" s="9" t="str">
        <f t="shared" si="824"/>
        <v>тыс. руб.</v>
      </c>
      <c r="F422" s="103"/>
      <c r="G422" s="74">
        <f>G397*'ФОТ, МТР, макро'!AK$13</f>
        <v>60900.763542583416</v>
      </c>
      <c r="H422" s="74">
        <f>H397*'ФОТ, МТР, макро'!AL$13</f>
        <v>54859.727452215127</v>
      </c>
      <c r="I422" s="74">
        <f>I397*'ФОТ, МТР, макро'!AM$13</f>
        <v>50905.381936621205</v>
      </c>
      <c r="J422" s="74">
        <f>J397*'ФОТ, МТР, макро'!AN$13</f>
        <v>45513.319197256744</v>
      </c>
      <c r="K422" s="74">
        <f>K397*'ФОТ, МТР, макро'!AO$13</f>
        <v>43250.007370456675</v>
      </c>
      <c r="L422" s="74">
        <f>L397*'ФОТ, МТР, макро'!AP$13</f>
        <v>38038.620550376399</v>
      </c>
      <c r="M422" s="74">
        <f>M397*'ФОТ, МТР, макро'!AQ$13</f>
        <v>34375.86888031847</v>
      </c>
      <c r="N422" s="74">
        <f>N397*'ФОТ, МТР, макро'!AR$13</f>
        <v>29421.097322801539</v>
      </c>
      <c r="O422" s="74">
        <f>O397*'ФОТ, МТР, макро'!AS$13</f>
        <v>26995.603753123076</v>
      </c>
      <c r="P422" s="74">
        <f>P397*'ФОТ, МТР, макро'!AT$13</f>
        <v>24016.152606672236</v>
      </c>
      <c r="Q422" s="74">
        <f>Q397*'ФОТ, МТР, макро'!AU$13</f>
        <v>0</v>
      </c>
      <c r="R422" s="74">
        <f>R397*'ФОТ, МТР, макро'!AV$13</f>
        <v>0</v>
      </c>
      <c r="S422" s="74">
        <f>S397*'ФОТ, МТР, макро'!AW$13</f>
        <v>0</v>
      </c>
      <c r="T422" s="74">
        <f>T397*'ФОТ, МТР, макро'!AX$13</f>
        <v>0</v>
      </c>
      <c r="U422" s="74">
        <f>U397*'ФОТ, МТР, макро'!AY$13</f>
        <v>0</v>
      </c>
      <c r="V422" s="74">
        <f>V397*'ФОТ, МТР, макро'!AZ$13</f>
        <v>0</v>
      </c>
      <c r="W422" s="74">
        <f>W397*'ФОТ, МТР, макро'!BA$13</f>
        <v>0</v>
      </c>
      <c r="X422" s="74">
        <f>X397*'ФОТ, МТР, макро'!BB$13</f>
        <v>0</v>
      </c>
      <c r="Y422" s="74">
        <f>Y397*'ФОТ, МТР, макро'!BC$13</f>
        <v>0</v>
      </c>
      <c r="Z422" s="74">
        <f>Z397*'ФОТ, МТР, макро'!BD$13</f>
        <v>0</v>
      </c>
    </row>
    <row r="423" spans="1:26" outlineLevel="1" x14ac:dyDescent="0.25">
      <c r="A423" s="39" t="str">
        <f t="shared" si="682"/>
        <v>БелАЗ 7531 (ГПФК)</v>
      </c>
      <c r="B423" s="39"/>
      <c r="D423" s="18" t="str">
        <f>D402</f>
        <v>Смазочные</v>
      </c>
      <c r="E423" s="9" t="str">
        <f t="shared" si="824"/>
        <v>тыс. руб.</v>
      </c>
      <c r="F423" s="103"/>
      <c r="G423" s="74">
        <f>G402*'ФОТ, МТР, макро'!AK$13</f>
        <v>0</v>
      </c>
      <c r="H423" s="74">
        <f>H402*'ФОТ, МТР, макро'!AL$13</f>
        <v>0</v>
      </c>
      <c r="I423" s="74">
        <f>I402*'ФОТ, МТР, макро'!AM$13</f>
        <v>0</v>
      </c>
      <c r="J423" s="74">
        <f>J402*'ФОТ, МТР, макро'!AN$13</f>
        <v>0</v>
      </c>
      <c r="K423" s="74">
        <f>K402*'ФОТ, МТР, макро'!AO$13</f>
        <v>0</v>
      </c>
      <c r="L423" s="74">
        <f>L402*'ФОТ, МТР, макро'!AP$13</f>
        <v>0</v>
      </c>
      <c r="M423" s="74">
        <f>M402*'ФОТ, МТР, макро'!AQ$13</f>
        <v>0</v>
      </c>
      <c r="N423" s="74">
        <f>N402*'ФОТ, МТР, макро'!AR$13</f>
        <v>0</v>
      </c>
      <c r="O423" s="74">
        <f>O402*'ФОТ, МТР, макро'!AS$13</f>
        <v>0</v>
      </c>
      <c r="P423" s="74">
        <f>P402*'ФОТ, МТР, макро'!AT$13</f>
        <v>0</v>
      </c>
      <c r="Q423" s="74">
        <f>Q402*'ФОТ, МТР, макро'!AU$13</f>
        <v>0</v>
      </c>
      <c r="R423" s="74">
        <f>R402*'ФОТ, МТР, макро'!AV$13</f>
        <v>0</v>
      </c>
      <c r="S423" s="74">
        <f>S402*'ФОТ, МТР, макро'!AW$13</f>
        <v>0</v>
      </c>
      <c r="T423" s="74">
        <f>T402*'ФОТ, МТР, макро'!AX$13</f>
        <v>0</v>
      </c>
      <c r="U423" s="74">
        <f>U402*'ФОТ, МТР, макро'!AY$13</f>
        <v>0</v>
      </c>
      <c r="V423" s="74">
        <f>V402*'ФОТ, МТР, макро'!AZ$13</f>
        <v>0</v>
      </c>
      <c r="W423" s="74">
        <f>W402*'ФОТ, МТР, макро'!BA$13</f>
        <v>0</v>
      </c>
      <c r="X423" s="74">
        <f>X402*'ФОТ, МТР, макро'!BB$13</f>
        <v>0</v>
      </c>
      <c r="Y423" s="74">
        <f>Y402*'ФОТ, МТР, макро'!BC$13</f>
        <v>0</v>
      </c>
      <c r="Z423" s="74">
        <f>Z402*'ФОТ, МТР, макро'!BD$13</f>
        <v>0</v>
      </c>
    </row>
    <row r="424" spans="1:26" outlineLevel="1" x14ac:dyDescent="0.25">
      <c r="A424" s="39" t="str">
        <f t="shared" si="682"/>
        <v>БелАЗ 7531 (ГПФК)</v>
      </c>
      <c r="B424" s="39"/>
      <c r="D424" s="18" t="str">
        <f>D404</f>
        <v>Затраты на персонал</v>
      </c>
      <c r="E424" s="9" t="str">
        <f t="shared" si="824"/>
        <v>тыс. руб.</v>
      </c>
      <c r="F424" s="103"/>
      <c r="G424" s="74">
        <f>G404*'ФОТ, МТР, макро'!AK$13</f>
        <v>16496.068072019727</v>
      </c>
      <c r="H424" s="74">
        <f>H404*'ФОТ, МТР, макро'!AL$13</f>
        <v>14728.632207160468</v>
      </c>
      <c r="I424" s="74">
        <f>I404*'ФОТ, МТР, макро'!AM$13</f>
        <v>13150.56447067899</v>
      </c>
      <c r="J424" s="74">
        <f>J404*'ФОТ, МТР, макро'!AN$13</f>
        <v>11741.575420249097</v>
      </c>
      <c r="K424" s="74">
        <f>K404*'ФОТ, МТР, макро'!AO$13</f>
        <v>10483.549482365264</v>
      </c>
      <c r="L424" s="74">
        <f>L404*'ФОТ, МТР, макро'!AP$13</f>
        <v>9360.3120378261283</v>
      </c>
      <c r="M424" s="74">
        <f>M404*'ФОТ, МТР, макро'!AQ$13</f>
        <v>8357.4214623447569</v>
      </c>
      <c r="N424" s="74">
        <f>N404*'ФОТ, МТР, макро'!AR$13</f>
        <v>7461.9834485221045</v>
      </c>
      <c r="O424" s="74">
        <f>O404*'ФОТ, МТР, макро'!AS$13</f>
        <v>6662.4852218947353</v>
      </c>
      <c r="P424" s="74">
        <f>P404*'ФОТ, МТР, макро'!AT$13</f>
        <v>5948.6475195488702</v>
      </c>
      <c r="Q424" s="74">
        <f>Q404*'ФОТ, МТР, макро'!AU$13</f>
        <v>0</v>
      </c>
      <c r="R424" s="74">
        <f>R404*'ФОТ, МТР, макро'!AV$13</f>
        <v>0</v>
      </c>
      <c r="S424" s="74">
        <f>S404*'ФОТ, МТР, макро'!AW$13</f>
        <v>0</v>
      </c>
      <c r="T424" s="74">
        <f>T404*'ФОТ, МТР, макро'!AX$13</f>
        <v>0</v>
      </c>
      <c r="U424" s="74">
        <f>U404*'ФОТ, МТР, макро'!AY$13</f>
        <v>0</v>
      </c>
      <c r="V424" s="74">
        <f>V404*'ФОТ, МТР, макро'!AZ$13</f>
        <v>0</v>
      </c>
      <c r="W424" s="74">
        <f>W404*'ФОТ, МТР, макро'!BA$13</f>
        <v>0</v>
      </c>
      <c r="X424" s="74">
        <f>X404*'ФОТ, МТР, макро'!BB$13</f>
        <v>0</v>
      </c>
      <c r="Y424" s="74">
        <f>Y404*'ФОТ, МТР, макро'!BC$13</f>
        <v>0</v>
      </c>
      <c r="Z424" s="74">
        <f>Z404*'ФОТ, МТР, макро'!BD$13</f>
        <v>0</v>
      </c>
    </row>
    <row r="425" spans="1:26" outlineLevel="1" x14ac:dyDescent="0.25">
      <c r="A425" s="39" t="str">
        <f t="shared" si="682"/>
        <v>БелАЗ 7531 (ГПФК)</v>
      </c>
      <c r="B425" s="39"/>
      <c r="D425" s="18" t="str">
        <f>D408</f>
        <v>Транспортный налог</v>
      </c>
      <c r="E425" s="9" t="str">
        <f t="shared" si="824"/>
        <v>тыс. руб.</v>
      </c>
      <c r="F425" s="103"/>
      <c r="G425" s="74">
        <f>G408*'ФОТ, МТР, макро'!AK$13</f>
        <v>192.38839285714283</v>
      </c>
      <c r="H425" s="74">
        <f>H408*'ФОТ, МТР, макро'!AL$13</f>
        <v>171.77535076530609</v>
      </c>
      <c r="I425" s="74">
        <f>I408*'ФОТ, МТР, макро'!AM$13</f>
        <v>153.3708488975947</v>
      </c>
      <c r="J425" s="74">
        <f>J408*'ФОТ, МТР, макро'!AN$13</f>
        <v>136.93825794428099</v>
      </c>
      <c r="K425" s="74">
        <f>K408*'ФОТ, МТР, макро'!AO$13</f>
        <v>122.26630173596516</v>
      </c>
      <c r="L425" s="74">
        <f>L408*'ФОТ, МТР, макро'!AP$13</f>
        <v>109.16634083568317</v>
      </c>
      <c r="M425" s="74">
        <f>M408*'ФОТ, МТР, макро'!AQ$13</f>
        <v>97.469947174717106</v>
      </c>
      <c r="N425" s="74">
        <f>N408*'ФОТ, МТР, макро'!AR$13</f>
        <v>87.026738548854553</v>
      </c>
      <c r="O425" s="74">
        <f>O408*'ФОТ, МТР, макро'!AS$13</f>
        <v>77.702445132905837</v>
      </c>
      <c r="P425" s="74">
        <f>P408*'ФОТ, МТР, макро'!AT$13</f>
        <v>69.377183154380219</v>
      </c>
      <c r="Q425" s="74">
        <f>Q408*'ФОТ, МТР, макро'!AU$13</f>
        <v>0</v>
      </c>
      <c r="R425" s="74">
        <f>R408*'ФОТ, МТР, макро'!AV$13</f>
        <v>0</v>
      </c>
      <c r="S425" s="74">
        <f>S408*'ФОТ, МТР, макро'!AW$13</f>
        <v>0</v>
      </c>
      <c r="T425" s="74">
        <f>T408*'ФОТ, МТР, макро'!AX$13</f>
        <v>0</v>
      </c>
      <c r="U425" s="74">
        <f>U408*'ФОТ, МТР, макро'!AY$13</f>
        <v>0</v>
      </c>
      <c r="V425" s="74">
        <f>V408*'ФОТ, МТР, макро'!AZ$13</f>
        <v>0</v>
      </c>
      <c r="W425" s="74">
        <f>W408*'ФОТ, МТР, макро'!BA$13</f>
        <v>0</v>
      </c>
      <c r="X425" s="74">
        <f>X408*'ФОТ, МТР, макро'!BB$13</f>
        <v>0</v>
      </c>
      <c r="Y425" s="74">
        <f>Y408*'ФОТ, МТР, макро'!BC$13</f>
        <v>0</v>
      </c>
      <c r="Z425" s="74">
        <f>Z408*'ФОТ, МТР, макро'!BD$13</f>
        <v>0</v>
      </c>
    </row>
    <row r="426" spans="1:26" outlineLevel="1" x14ac:dyDescent="0.25">
      <c r="A426" s="39" t="str">
        <f t="shared" si="682"/>
        <v>БелАЗ 7531 (ГПФК)</v>
      </c>
      <c r="B426" s="39"/>
      <c r="D426" s="18" t="str">
        <f>D413</f>
        <v>Налог на прибыль</v>
      </c>
      <c r="E426" s="9" t="str">
        <f t="shared" si="824"/>
        <v>тыс. руб.</v>
      </c>
      <c r="F426" s="103"/>
      <c r="G426" s="74">
        <f>G413*'ФОТ, МТР, макро'!AK$13</f>
        <v>-26743.84206434328</v>
      </c>
      <c r="H426" s="74">
        <f>H413*'ФОТ, МТР, макро'!AL$13</f>
        <v>-27211.204934606263</v>
      </c>
      <c r="I426" s="74">
        <f>I413*'ФОТ, МТР, макро'!AM$13</f>
        <v>-29169.079103571006</v>
      </c>
      <c r="J426" s="74">
        <f>J413*'ФОТ, МТР, макро'!AN$13</f>
        <v>-28378.812934094021</v>
      </c>
      <c r="K426" s="74">
        <f>K413*'ФОТ, МТР, макро'!AO$13</f>
        <v>-24900.820058956062</v>
      </c>
      <c r="L426" s="74">
        <f>L413*'ФОТ, МТР, макро'!AP$13</f>
        <v>-22727.257762889934</v>
      </c>
      <c r="M426" s="74">
        <f>M413*'ФОТ, МТР, макро'!AQ$13</f>
        <v>-15019.879788503802</v>
      </c>
      <c r="N426" s="74">
        <f>N413*'ФОТ, МТР, макро'!AR$13</f>
        <v>-19335.26786105771</v>
      </c>
      <c r="O426" s="74">
        <f>O413*'ФОТ, МТР, макро'!AS$13</f>
        <v>-18467.193601146097</v>
      </c>
      <c r="P426" s="74">
        <f>P413*'ФОТ, МТР, макро'!AT$13</f>
        <v>-10932.612364029221</v>
      </c>
      <c r="Q426" s="74">
        <f>Q413*'ФОТ, МТР, макро'!AU$13</f>
        <v>0</v>
      </c>
      <c r="R426" s="74">
        <f>R413*'ФОТ, МТР, макро'!AV$13</f>
        <v>0</v>
      </c>
      <c r="S426" s="74">
        <f>S413*'ФОТ, МТР, макро'!AW$13</f>
        <v>0</v>
      </c>
      <c r="T426" s="74">
        <f>T413*'ФОТ, МТР, макро'!AX$13</f>
        <v>0</v>
      </c>
      <c r="U426" s="74">
        <f>U413*'ФОТ, МТР, макро'!AY$13</f>
        <v>0</v>
      </c>
      <c r="V426" s="74">
        <f>V413*'ФОТ, МТР, макро'!AZ$13</f>
        <v>0</v>
      </c>
      <c r="W426" s="74">
        <f>W413*'ФОТ, МТР, макро'!BA$13</f>
        <v>0</v>
      </c>
      <c r="X426" s="74">
        <f>X413*'ФОТ, МТР, макро'!BB$13</f>
        <v>0</v>
      </c>
      <c r="Y426" s="74">
        <f>Y413*'ФОТ, МТР, макро'!BC$13</f>
        <v>0</v>
      </c>
      <c r="Z426" s="74">
        <f>Z413*'ФОТ, МТР, макро'!BD$13</f>
        <v>0</v>
      </c>
    </row>
    <row r="427" spans="1:26" outlineLevel="1" x14ac:dyDescent="0.25">
      <c r="A427" s="39" t="str">
        <f t="shared" si="682"/>
        <v>БелАЗ 7531 (ГПФК)</v>
      </c>
      <c r="B427" s="39"/>
      <c r="D427" s="104" t="s">
        <v>88</v>
      </c>
      <c r="E427" s="9"/>
      <c r="F427" s="105"/>
      <c r="G427" s="106">
        <f>G419-SUM(G420:G426)</f>
        <v>0</v>
      </c>
      <c r="H427" s="106">
        <f t="shared" ref="H427:I427" si="825">H419-SUM(H420:H426)</f>
        <v>0</v>
      </c>
      <c r="I427" s="106">
        <f t="shared" si="825"/>
        <v>0</v>
      </c>
      <c r="J427" s="106">
        <f t="shared" ref="J427:Z427" si="826">J419-SUM(J420:J426)</f>
        <v>0</v>
      </c>
      <c r="K427" s="106">
        <f t="shared" si="826"/>
        <v>0</v>
      </c>
      <c r="L427" s="106">
        <f t="shared" si="826"/>
        <v>0</v>
      </c>
      <c r="M427" s="106">
        <f t="shared" si="826"/>
        <v>0</v>
      </c>
      <c r="N427" s="106">
        <f t="shared" si="826"/>
        <v>0</v>
      </c>
      <c r="O427" s="106">
        <f t="shared" si="826"/>
        <v>0</v>
      </c>
      <c r="P427" s="106">
        <f t="shared" si="826"/>
        <v>0</v>
      </c>
      <c r="Q427" s="106">
        <f t="shared" si="826"/>
        <v>0</v>
      </c>
      <c r="R427" s="106">
        <f t="shared" si="826"/>
        <v>0</v>
      </c>
      <c r="S427" s="106">
        <f t="shared" si="826"/>
        <v>0</v>
      </c>
      <c r="T427" s="106">
        <f t="shared" si="826"/>
        <v>0</v>
      </c>
      <c r="U427" s="106">
        <f t="shared" si="826"/>
        <v>0</v>
      </c>
      <c r="V427" s="106">
        <f t="shared" si="826"/>
        <v>0</v>
      </c>
      <c r="W427" s="106">
        <f t="shared" si="826"/>
        <v>0</v>
      </c>
      <c r="X427" s="106">
        <f t="shared" si="826"/>
        <v>0</v>
      </c>
      <c r="Y427" s="106">
        <f t="shared" si="826"/>
        <v>0</v>
      </c>
      <c r="Z427" s="106">
        <f t="shared" si="826"/>
        <v>0</v>
      </c>
    </row>
    <row r="428" spans="1:26" ht="27.2" outlineLevel="1" x14ac:dyDescent="0.25">
      <c r="A428" s="39" t="str">
        <f t="shared" si="682"/>
        <v>БелАЗ 7531 (ГПФК)</v>
      </c>
      <c r="B428" s="39"/>
      <c r="D428" s="107" t="s">
        <v>89</v>
      </c>
      <c r="E428" s="68" t="str">
        <f>E419</f>
        <v>тыс. руб.</v>
      </c>
      <c r="F428" s="69">
        <f>F419</f>
        <v>0</v>
      </c>
      <c r="G428" s="69">
        <f>F428+G419</f>
        <v>80231.526193029844</v>
      </c>
      <c r="H428" s="69">
        <f t="shared" ref="H428:H435" si="827">G428+H419</f>
        <v>161865.14099684864</v>
      </c>
      <c r="I428" s="69">
        <f t="shared" ref="I428:I435" si="828">H428+I419</f>
        <v>249372.37830756168</v>
      </c>
      <c r="J428" s="69">
        <f t="shared" ref="J428:J435" si="829">I428+J419</f>
        <v>334508.81710984372</v>
      </c>
      <c r="K428" s="69">
        <f t="shared" ref="K428:K435" si="830">J428+K419</f>
        <v>409211.27728671191</v>
      </c>
      <c r="L428" s="69">
        <f t="shared" ref="L428:L435" si="831">K428+L419</f>
        <v>477393.05057538173</v>
      </c>
      <c r="M428" s="69">
        <f t="shared" ref="M428:M435" si="832">L428+M419</f>
        <v>522452.68994089315</v>
      </c>
      <c r="N428" s="69">
        <f t="shared" ref="N428:N435" si="833">M428+N419</f>
        <v>580458.49352406629</v>
      </c>
      <c r="O428" s="69">
        <f t="shared" ref="O428:O435" si="834">N428+O419</f>
        <v>635860.07432750461</v>
      </c>
      <c r="P428" s="69">
        <f t="shared" ref="P428:P435" si="835">O428+P419</f>
        <v>668657.91141959233</v>
      </c>
      <c r="Q428" s="69">
        <f t="shared" ref="Q428:Q435" si="836">P428+Q419</f>
        <v>668657.91141959233</v>
      </c>
      <c r="R428" s="69">
        <f t="shared" ref="R428:R435" si="837">Q428+R419</f>
        <v>668657.91141959233</v>
      </c>
      <c r="S428" s="69">
        <f t="shared" ref="S428:S435" si="838">R428+S419</f>
        <v>668657.91141959233</v>
      </c>
      <c r="T428" s="69">
        <f t="shared" ref="T428:T435" si="839">S428+T419</f>
        <v>668657.91141959233</v>
      </c>
      <c r="U428" s="69">
        <f t="shared" ref="U428:U435" si="840">T428+U419</f>
        <v>668657.91141959233</v>
      </c>
      <c r="V428" s="69">
        <f t="shared" ref="V428:V435" si="841">U428+V419</f>
        <v>668657.91141959233</v>
      </c>
      <c r="W428" s="69">
        <f t="shared" ref="W428:W435" si="842">V428+W419</f>
        <v>668657.91141959233</v>
      </c>
      <c r="X428" s="69">
        <f t="shared" ref="X428:X435" si="843">W428+X419</f>
        <v>668657.91141959233</v>
      </c>
      <c r="Y428" s="69">
        <f t="shared" ref="Y428:Y435" si="844">X428+Y419</f>
        <v>668657.91141959233</v>
      </c>
      <c r="Z428" s="69">
        <f t="shared" ref="Z428:Z435" si="845">Y428+Z419</f>
        <v>668657.91141959233</v>
      </c>
    </row>
    <row r="429" spans="1:26" outlineLevel="1" x14ac:dyDescent="0.25">
      <c r="A429" s="39" t="str">
        <f t="shared" si="682"/>
        <v>БелАЗ 7531 (ГПФК)</v>
      </c>
      <c r="B429" s="39"/>
      <c r="D429" s="101" t="str">
        <f>D420</f>
        <v>ТО, ТР, ППР</v>
      </c>
      <c r="E429" s="9" t="str">
        <f>E420</f>
        <v>тыс. руб.</v>
      </c>
      <c r="F429" s="74">
        <f>F420</f>
        <v>0</v>
      </c>
      <c r="G429" s="74">
        <f>F429+G420</f>
        <v>12431.808529968752</v>
      </c>
      <c r="H429" s="74">
        <f t="shared" si="827"/>
        <v>36243.93504938839</v>
      </c>
      <c r="I429" s="74">
        <f t="shared" si="828"/>
        <v>74539.237684761873</v>
      </c>
      <c r="J429" s="74">
        <f t="shared" si="829"/>
        <v>117992.07196569344</v>
      </c>
      <c r="K429" s="74">
        <f t="shared" si="830"/>
        <v>151699.03439312702</v>
      </c>
      <c r="L429" s="74">
        <f t="shared" si="831"/>
        <v>184510.28491275397</v>
      </c>
      <c r="M429" s="74">
        <f t="shared" si="832"/>
        <v>192189.04620608551</v>
      </c>
      <c r="N429" s="74">
        <f t="shared" si="833"/>
        <v>224369.38575532378</v>
      </c>
      <c r="O429" s="74">
        <f t="shared" si="834"/>
        <v>256986.98452531462</v>
      </c>
      <c r="P429" s="74">
        <f t="shared" si="835"/>
        <v>263997.33048042736</v>
      </c>
      <c r="Q429" s="74">
        <f t="shared" si="836"/>
        <v>263997.33048042736</v>
      </c>
      <c r="R429" s="74">
        <f t="shared" si="837"/>
        <v>263997.33048042736</v>
      </c>
      <c r="S429" s="74">
        <f t="shared" si="838"/>
        <v>263997.33048042736</v>
      </c>
      <c r="T429" s="74">
        <f t="shared" si="839"/>
        <v>263997.33048042736</v>
      </c>
      <c r="U429" s="74">
        <f t="shared" si="840"/>
        <v>263997.33048042736</v>
      </c>
      <c r="V429" s="74">
        <f t="shared" si="841"/>
        <v>263997.33048042736</v>
      </c>
      <c r="W429" s="74">
        <f t="shared" si="842"/>
        <v>263997.33048042736</v>
      </c>
      <c r="X429" s="74">
        <f t="shared" si="843"/>
        <v>263997.33048042736</v>
      </c>
      <c r="Y429" s="74">
        <f t="shared" si="844"/>
        <v>263997.33048042736</v>
      </c>
      <c r="Z429" s="74">
        <f t="shared" si="845"/>
        <v>263997.33048042736</v>
      </c>
    </row>
    <row r="430" spans="1:26" outlineLevel="1" x14ac:dyDescent="0.25">
      <c r="A430" s="39" t="str">
        <f t="shared" si="682"/>
        <v>БелАЗ 7531 (ГПФК)</v>
      </c>
      <c r="B430" s="39"/>
      <c r="D430" s="101" t="str">
        <f t="shared" ref="D430:F430" si="846">D421</f>
        <v>Шины</v>
      </c>
      <c r="E430" s="9" t="str">
        <f t="shared" si="846"/>
        <v>тыс. руб.</v>
      </c>
      <c r="F430" s="74">
        <f t="shared" si="846"/>
        <v>0</v>
      </c>
      <c r="G430" s="74">
        <f t="shared" ref="G430:G435" si="847">F430+G421</f>
        <v>16954.339719944077</v>
      </c>
      <c r="H430" s="74">
        <f t="shared" si="827"/>
        <v>32226.897928808565</v>
      </c>
      <c r="I430" s="74">
        <f t="shared" si="828"/>
        <v>46398.594451521312</v>
      </c>
      <c r="J430" s="74">
        <f t="shared" si="829"/>
        <v>59069.179031515727</v>
      </c>
      <c r="K430" s="74">
        <f t="shared" si="830"/>
        <v>71109.673685348476</v>
      </c>
      <c r="L430" s="74">
        <f t="shared" si="831"/>
        <v>81699.355288243038</v>
      </c>
      <c r="M430" s="74">
        <f t="shared" si="832"/>
        <v>91269.352859088758</v>
      </c>
      <c r="N430" s="74">
        <f t="shared" si="833"/>
        <v>99459.977244208814</v>
      </c>
      <c r="O430" s="74">
        <f t="shared" si="834"/>
        <v>106975.36145865163</v>
      </c>
      <c r="P430" s="74">
        <f t="shared" si="835"/>
        <v>113661.28765028028</v>
      </c>
      <c r="Q430" s="74">
        <f t="shared" si="836"/>
        <v>113661.28765028028</v>
      </c>
      <c r="R430" s="74">
        <f t="shared" si="837"/>
        <v>113661.28765028028</v>
      </c>
      <c r="S430" s="74">
        <f t="shared" si="838"/>
        <v>113661.28765028028</v>
      </c>
      <c r="T430" s="74">
        <f t="shared" si="839"/>
        <v>113661.28765028028</v>
      </c>
      <c r="U430" s="74">
        <f t="shared" si="840"/>
        <v>113661.28765028028</v>
      </c>
      <c r="V430" s="74">
        <f t="shared" si="841"/>
        <v>113661.28765028028</v>
      </c>
      <c r="W430" s="74">
        <f t="shared" si="842"/>
        <v>113661.28765028028</v>
      </c>
      <c r="X430" s="74">
        <f t="shared" si="843"/>
        <v>113661.28765028028</v>
      </c>
      <c r="Y430" s="74">
        <f t="shared" si="844"/>
        <v>113661.28765028028</v>
      </c>
      <c r="Z430" s="74">
        <f t="shared" si="845"/>
        <v>113661.28765028028</v>
      </c>
    </row>
    <row r="431" spans="1:26" outlineLevel="1" x14ac:dyDescent="0.25">
      <c r="A431" s="39" t="str">
        <f t="shared" si="682"/>
        <v>БелАЗ 7531 (ГПФК)</v>
      </c>
      <c r="B431" s="39"/>
      <c r="D431" s="101" t="str">
        <f t="shared" ref="D431:F431" si="848">D422</f>
        <v>Топливо</v>
      </c>
      <c r="E431" s="9" t="str">
        <f t="shared" si="848"/>
        <v>тыс. руб.</v>
      </c>
      <c r="F431" s="74">
        <f t="shared" si="848"/>
        <v>0</v>
      </c>
      <c r="G431" s="74">
        <f t="shared" si="847"/>
        <v>60900.763542583416</v>
      </c>
      <c r="H431" s="74">
        <f t="shared" si="827"/>
        <v>115760.49099479854</v>
      </c>
      <c r="I431" s="74">
        <f t="shared" si="828"/>
        <v>166665.87293141976</v>
      </c>
      <c r="J431" s="74">
        <f t="shared" si="829"/>
        <v>212179.19212867651</v>
      </c>
      <c r="K431" s="74">
        <f t="shared" si="830"/>
        <v>255429.19949913319</v>
      </c>
      <c r="L431" s="74">
        <f t="shared" si="831"/>
        <v>293467.82004950958</v>
      </c>
      <c r="M431" s="74">
        <f t="shared" si="832"/>
        <v>327843.68892982806</v>
      </c>
      <c r="N431" s="74">
        <f t="shared" si="833"/>
        <v>357264.78625262959</v>
      </c>
      <c r="O431" s="74">
        <f t="shared" si="834"/>
        <v>384260.39000575268</v>
      </c>
      <c r="P431" s="74">
        <f t="shared" si="835"/>
        <v>408276.54261242494</v>
      </c>
      <c r="Q431" s="74">
        <f t="shared" si="836"/>
        <v>408276.54261242494</v>
      </c>
      <c r="R431" s="74">
        <f t="shared" si="837"/>
        <v>408276.54261242494</v>
      </c>
      <c r="S431" s="74">
        <f t="shared" si="838"/>
        <v>408276.54261242494</v>
      </c>
      <c r="T431" s="74">
        <f t="shared" si="839"/>
        <v>408276.54261242494</v>
      </c>
      <c r="U431" s="74">
        <f t="shared" si="840"/>
        <v>408276.54261242494</v>
      </c>
      <c r="V431" s="74">
        <f t="shared" si="841"/>
        <v>408276.54261242494</v>
      </c>
      <c r="W431" s="74">
        <f t="shared" si="842"/>
        <v>408276.54261242494</v>
      </c>
      <c r="X431" s="74">
        <f t="shared" si="843"/>
        <v>408276.54261242494</v>
      </c>
      <c r="Y431" s="74">
        <f t="shared" si="844"/>
        <v>408276.54261242494</v>
      </c>
      <c r="Z431" s="74">
        <f t="shared" si="845"/>
        <v>408276.54261242494</v>
      </c>
    </row>
    <row r="432" spans="1:26" outlineLevel="1" x14ac:dyDescent="0.25">
      <c r="A432" s="39" t="str">
        <f t="shared" si="682"/>
        <v>БелАЗ 7531 (ГПФК)</v>
      </c>
      <c r="B432" s="39"/>
      <c r="D432" s="101" t="str">
        <f t="shared" ref="D432:F432" si="849">D423</f>
        <v>Смазочные</v>
      </c>
      <c r="E432" s="9" t="str">
        <f t="shared" si="849"/>
        <v>тыс. руб.</v>
      </c>
      <c r="F432" s="74">
        <f t="shared" si="849"/>
        <v>0</v>
      </c>
      <c r="G432" s="74">
        <f t="shared" si="847"/>
        <v>0</v>
      </c>
      <c r="H432" s="74">
        <f t="shared" si="827"/>
        <v>0</v>
      </c>
      <c r="I432" s="74">
        <f t="shared" si="828"/>
        <v>0</v>
      </c>
      <c r="J432" s="74">
        <f t="shared" si="829"/>
        <v>0</v>
      </c>
      <c r="K432" s="74">
        <f t="shared" si="830"/>
        <v>0</v>
      </c>
      <c r="L432" s="74">
        <f t="shared" si="831"/>
        <v>0</v>
      </c>
      <c r="M432" s="74">
        <f t="shared" si="832"/>
        <v>0</v>
      </c>
      <c r="N432" s="74">
        <f t="shared" si="833"/>
        <v>0</v>
      </c>
      <c r="O432" s="74">
        <f t="shared" si="834"/>
        <v>0</v>
      </c>
      <c r="P432" s="74">
        <f t="shared" si="835"/>
        <v>0</v>
      </c>
      <c r="Q432" s="74">
        <f t="shared" si="836"/>
        <v>0</v>
      </c>
      <c r="R432" s="74">
        <f t="shared" si="837"/>
        <v>0</v>
      </c>
      <c r="S432" s="74">
        <f t="shared" si="838"/>
        <v>0</v>
      </c>
      <c r="T432" s="74">
        <f t="shared" si="839"/>
        <v>0</v>
      </c>
      <c r="U432" s="74">
        <f t="shared" si="840"/>
        <v>0</v>
      </c>
      <c r="V432" s="74">
        <f t="shared" si="841"/>
        <v>0</v>
      </c>
      <c r="W432" s="74">
        <f t="shared" si="842"/>
        <v>0</v>
      </c>
      <c r="X432" s="74">
        <f t="shared" si="843"/>
        <v>0</v>
      </c>
      <c r="Y432" s="74">
        <f t="shared" si="844"/>
        <v>0</v>
      </c>
      <c r="Z432" s="74">
        <f t="shared" si="845"/>
        <v>0</v>
      </c>
    </row>
    <row r="433" spans="1:29" outlineLevel="1" x14ac:dyDescent="0.25">
      <c r="A433" s="39" t="str">
        <f t="shared" si="682"/>
        <v>БелАЗ 7531 (ГПФК)</v>
      </c>
      <c r="B433" s="39"/>
      <c r="D433" s="101" t="str">
        <f t="shared" ref="D433:F433" si="850">D424</f>
        <v>Затраты на персонал</v>
      </c>
      <c r="E433" s="9" t="str">
        <f t="shared" si="850"/>
        <v>тыс. руб.</v>
      </c>
      <c r="F433" s="74">
        <f t="shared" si="850"/>
        <v>0</v>
      </c>
      <c r="G433" s="74">
        <f t="shared" si="847"/>
        <v>16496.068072019727</v>
      </c>
      <c r="H433" s="74">
        <f t="shared" si="827"/>
        <v>31224.700279180193</v>
      </c>
      <c r="I433" s="74">
        <f t="shared" si="828"/>
        <v>44375.264749859183</v>
      </c>
      <c r="J433" s="74">
        <f t="shared" si="829"/>
        <v>56116.840170108277</v>
      </c>
      <c r="K433" s="74">
        <f t="shared" si="830"/>
        <v>66600.389652473546</v>
      </c>
      <c r="L433" s="74">
        <f t="shared" si="831"/>
        <v>75960.701690299669</v>
      </c>
      <c r="M433" s="74">
        <f t="shared" si="832"/>
        <v>84318.123152644432</v>
      </c>
      <c r="N433" s="74">
        <f t="shared" si="833"/>
        <v>91780.106601166539</v>
      </c>
      <c r="O433" s="74">
        <f t="shared" si="834"/>
        <v>98442.591823061273</v>
      </c>
      <c r="P433" s="74">
        <f t="shared" si="835"/>
        <v>104391.23934261015</v>
      </c>
      <c r="Q433" s="74">
        <f t="shared" si="836"/>
        <v>104391.23934261015</v>
      </c>
      <c r="R433" s="74">
        <f t="shared" si="837"/>
        <v>104391.23934261015</v>
      </c>
      <c r="S433" s="74">
        <f t="shared" si="838"/>
        <v>104391.23934261015</v>
      </c>
      <c r="T433" s="74">
        <f t="shared" si="839"/>
        <v>104391.23934261015</v>
      </c>
      <c r="U433" s="74">
        <f t="shared" si="840"/>
        <v>104391.23934261015</v>
      </c>
      <c r="V433" s="74">
        <f t="shared" si="841"/>
        <v>104391.23934261015</v>
      </c>
      <c r="W433" s="74">
        <f t="shared" si="842"/>
        <v>104391.23934261015</v>
      </c>
      <c r="X433" s="74">
        <f t="shared" si="843"/>
        <v>104391.23934261015</v>
      </c>
      <c r="Y433" s="74">
        <f t="shared" si="844"/>
        <v>104391.23934261015</v>
      </c>
      <c r="Z433" s="74">
        <f t="shared" si="845"/>
        <v>104391.23934261015</v>
      </c>
    </row>
    <row r="434" spans="1:29" outlineLevel="1" x14ac:dyDescent="0.25">
      <c r="A434" s="39" t="str">
        <f t="shared" si="682"/>
        <v>БелАЗ 7531 (ГПФК)</v>
      </c>
      <c r="B434" s="39"/>
      <c r="D434" s="101" t="str">
        <f t="shared" ref="D434:F434" si="851">D425</f>
        <v>Транспортный налог</v>
      </c>
      <c r="E434" s="9" t="str">
        <f t="shared" si="851"/>
        <v>тыс. руб.</v>
      </c>
      <c r="F434" s="74">
        <f t="shared" si="851"/>
        <v>0</v>
      </c>
      <c r="G434" s="74">
        <f t="shared" si="847"/>
        <v>192.38839285714283</v>
      </c>
      <c r="H434" s="74">
        <f t="shared" si="827"/>
        <v>364.16374362244892</v>
      </c>
      <c r="I434" s="74">
        <f t="shared" si="828"/>
        <v>517.53459252004359</v>
      </c>
      <c r="J434" s="74">
        <f t="shared" si="829"/>
        <v>654.47285046432455</v>
      </c>
      <c r="K434" s="74">
        <f t="shared" si="830"/>
        <v>776.73915220028971</v>
      </c>
      <c r="L434" s="74">
        <f t="shared" si="831"/>
        <v>885.90549303597288</v>
      </c>
      <c r="M434" s="74">
        <f t="shared" si="832"/>
        <v>983.37544021068993</v>
      </c>
      <c r="N434" s="74">
        <f t="shared" si="833"/>
        <v>1070.4021787595445</v>
      </c>
      <c r="O434" s="74">
        <f t="shared" si="834"/>
        <v>1148.1046238924505</v>
      </c>
      <c r="P434" s="74">
        <f t="shared" si="835"/>
        <v>1217.4818070468307</v>
      </c>
      <c r="Q434" s="74">
        <f t="shared" si="836"/>
        <v>1217.4818070468307</v>
      </c>
      <c r="R434" s="74">
        <f t="shared" si="837"/>
        <v>1217.4818070468307</v>
      </c>
      <c r="S434" s="74">
        <f t="shared" si="838"/>
        <v>1217.4818070468307</v>
      </c>
      <c r="T434" s="74">
        <f t="shared" si="839"/>
        <v>1217.4818070468307</v>
      </c>
      <c r="U434" s="74">
        <f t="shared" si="840"/>
        <v>1217.4818070468307</v>
      </c>
      <c r="V434" s="74">
        <f t="shared" si="841"/>
        <v>1217.4818070468307</v>
      </c>
      <c r="W434" s="74">
        <f t="shared" si="842"/>
        <v>1217.4818070468307</v>
      </c>
      <c r="X434" s="74">
        <f t="shared" si="843"/>
        <v>1217.4818070468307</v>
      </c>
      <c r="Y434" s="74">
        <f t="shared" si="844"/>
        <v>1217.4818070468307</v>
      </c>
      <c r="Z434" s="74">
        <f t="shared" si="845"/>
        <v>1217.4818070468307</v>
      </c>
    </row>
    <row r="435" spans="1:29" outlineLevel="1" x14ac:dyDescent="0.25">
      <c r="A435" s="39" t="str">
        <f t="shared" si="682"/>
        <v>БелАЗ 7531 (ГПФК)</v>
      </c>
      <c r="B435" s="39"/>
      <c r="D435" s="101" t="str">
        <f t="shared" ref="D435:F435" si="852">D426</f>
        <v>Налог на прибыль</v>
      </c>
      <c r="E435" s="9" t="str">
        <f t="shared" si="852"/>
        <v>тыс. руб.</v>
      </c>
      <c r="F435" s="74">
        <f t="shared" si="852"/>
        <v>0</v>
      </c>
      <c r="G435" s="74">
        <f t="shared" si="847"/>
        <v>-26743.84206434328</v>
      </c>
      <c r="H435" s="74">
        <f t="shared" si="827"/>
        <v>-53955.046998949547</v>
      </c>
      <c r="I435" s="74">
        <f t="shared" si="828"/>
        <v>-83124.12610252056</v>
      </c>
      <c r="J435" s="74">
        <f t="shared" si="829"/>
        <v>-111502.93903661458</v>
      </c>
      <c r="K435" s="74">
        <f t="shared" si="830"/>
        <v>-136403.75909557065</v>
      </c>
      <c r="L435" s="74">
        <f t="shared" si="831"/>
        <v>-159131.01685846059</v>
      </c>
      <c r="M435" s="74">
        <f t="shared" si="832"/>
        <v>-174150.89664696439</v>
      </c>
      <c r="N435" s="74">
        <f t="shared" si="833"/>
        <v>-193486.16450802211</v>
      </c>
      <c r="O435" s="74">
        <f t="shared" si="834"/>
        <v>-211953.35810916821</v>
      </c>
      <c r="P435" s="74">
        <f t="shared" si="835"/>
        <v>-222885.97047319743</v>
      </c>
      <c r="Q435" s="74">
        <f t="shared" si="836"/>
        <v>-222885.97047319743</v>
      </c>
      <c r="R435" s="74">
        <f t="shared" si="837"/>
        <v>-222885.97047319743</v>
      </c>
      <c r="S435" s="74">
        <f t="shared" si="838"/>
        <v>-222885.97047319743</v>
      </c>
      <c r="T435" s="74">
        <f t="shared" si="839"/>
        <v>-222885.97047319743</v>
      </c>
      <c r="U435" s="74">
        <f t="shared" si="840"/>
        <v>-222885.97047319743</v>
      </c>
      <c r="V435" s="74">
        <f t="shared" si="841"/>
        <v>-222885.97047319743</v>
      </c>
      <c r="W435" s="74">
        <f t="shared" si="842"/>
        <v>-222885.97047319743</v>
      </c>
      <c r="X435" s="74">
        <f t="shared" si="843"/>
        <v>-222885.97047319743</v>
      </c>
      <c r="Y435" s="74">
        <f t="shared" si="844"/>
        <v>-222885.97047319743</v>
      </c>
      <c r="Z435" s="74">
        <f t="shared" si="845"/>
        <v>-222885.97047319743</v>
      </c>
    </row>
    <row r="436" spans="1:29" outlineLevel="1" x14ac:dyDescent="0.25">
      <c r="A436" s="39" t="str">
        <f t="shared" si="682"/>
        <v>БелАЗ 7531 (ГПФК)</v>
      </c>
      <c r="B436" s="39"/>
      <c r="D436" s="101"/>
      <c r="E436" s="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9" outlineLevel="1" x14ac:dyDescent="0.25">
      <c r="A437" s="39" t="str">
        <f t="shared" si="682"/>
        <v>БелАЗ 7531 (ГПФК)</v>
      </c>
      <c r="B437" s="39"/>
      <c r="D437" s="67" t="s">
        <v>90</v>
      </c>
      <c r="E437" s="68" t="str">
        <f>E418</f>
        <v>тыс. руб.</v>
      </c>
      <c r="F437" s="69">
        <f>F415*'ФОТ, МТР, макро'!AJ$13</f>
        <v>0</v>
      </c>
      <c r="G437" s="69">
        <f>G415*'ФОТ, МТР, макро'!AK$13</f>
        <v>0</v>
      </c>
      <c r="H437" s="69">
        <f>H415*'ФОТ, МТР, макро'!AL$13</f>
        <v>0</v>
      </c>
      <c r="I437" s="69">
        <f>I415*'ФОТ, МТР, макро'!AM$13</f>
        <v>0</v>
      </c>
      <c r="J437" s="69">
        <f>J415*'ФОТ, МТР, макро'!AN$13</f>
        <v>0</v>
      </c>
      <c r="K437" s="69">
        <f>K415*'ФОТ, МТР, макро'!AO$13</f>
        <v>0</v>
      </c>
      <c r="L437" s="69">
        <f>L415*'ФОТ, МТР, макро'!AP$13</f>
        <v>0</v>
      </c>
      <c r="M437" s="69">
        <f>M415*'ФОТ, МТР, макро'!AQ$13</f>
        <v>0</v>
      </c>
      <c r="N437" s="69">
        <f>N415*'ФОТ, МТР, макро'!AR$13</f>
        <v>0</v>
      </c>
      <c r="O437" s="69">
        <f>O415*'ФОТ, МТР, макро'!AS$13</f>
        <v>0</v>
      </c>
      <c r="P437" s="69">
        <f>P415*'ФОТ, МТР, макро'!AT$13</f>
        <v>0</v>
      </c>
      <c r="Q437" s="69">
        <f>Q415*'ФОТ, МТР, макро'!AU$13</f>
        <v>0</v>
      </c>
      <c r="R437" s="69">
        <f>R415*'ФОТ, МТР, макро'!AV$13</f>
        <v>0</v>
      </c>
      <c r="S437" s="69">
        <f>S415*'ФОТ, МТР, макро'!AW$13</f>
        <v>0</v>
      </c>
      <c r="T437" s="69">
        <f>T415*'ФОТ, МТР, макро'!AX$13</f>
        <v>0</v>
      </c>
      <c r="U437" s="69">
        <f>U415*'ФОТ, МТР, макро'!AY$13</f>
        <v>0</v>
      </c>
      <c r="V437" s="69">
        <f>V415*'ФОТ, МТР, макро'!AZ$13</f>
        <v>0</v>
      </c>
      <c r="W437" s="69">
        <f>W415*'ФОТ, МТР, макро'!BA$13</f>
        <v>0</v>
      </c>
      <c r="X437" s="69">
        <f>X415*'ФОТ, МТР, макро'!BB$13</f>
        <v>0</v>
      </c>
      <c r="Y437" s="69">
        <f>Y415*'ФОТ, МТР, макро'!BC$13</f>
        <v>0</v>
      </c>
      <c r="Z437" s="69">
        <f>Z415*'ФОТ, МТР, макро'!BD$13</f>
        <v>0</v>
      </c>
    </row>
    <row r="438" spans="1:29" outlineLevel="1" x14ac:dyDescent="0.25">
      <c r="A438" s="39" t="str">
        <f t="shared" si="682"/>
        <v>БелАЗ 7531 (ГПФК)</v>
      </c>
      <c r="B438" s="39"/>
      <c r="D438" s="101" t="str">
        <f>D416</f>
        <v>Самосвал</v>
      </c>
      <c r="E438" s="9" t="str">
        <f>E437</f>
        <v>тыс. руб.</v>
      </c>
      <c r="F438" s="74">
        <f>F416*'ФОТ, МТР, макро'!AJ$13</f>
        <v>0</v>
      </c>
      <c r="G438" s="74">
        <f>G416*'ФОТ, МТР, макро'!AK$13</f>
        <v>0</v>
      </c>
      <c r="H438" s="74">
        <f>H416*'ФОТ, МТР, макро'!AL$13</f>
        <v>0</v>
      </c>
      <c r="I438" s="74">
        <f>I416*'ФОТ, МТР, макро'!AM$13</f>
        <v>0</v>
      </c>
      <c r="J438" s="74">
        <f>J416*'ФОТ, МТР, макро'!AN$13</f>
        <v>0</v>
      </c>
      <c r="K438" s="74">
        <f>K416*'ФОТ, МТР, макро'!AO$13</f>
        <v>0</v>
      </c>
      <c r="L438" s="74">
        <f>L416*'ФОТ, МТР, макро'!AP$13</f>
        <v>0</v>
      </c>
      <c r="M438" s="74">
        <f>M416*'ФОТ, МТР, макро'!AQ$13</f>
        <v>0</v>
      </c>
      <c r="N438" s="74">
        <f>N416*'ФОТ, МТР, макро'!AR$13</f>
        <v>0</v>
      </c>
      <c r="O438" s="74">
        <f>O416*'ФОТ, МТР, макро'!AS$13</f>
        <v>0</v>
      </c>
      <c r="P438" s="74">
        <f>P416*'ФОТ, МТР, макро'!AT$13</f>
        <v>0</v>
      </c>
      <c r="Q438" s="74">
        <f>Q416*'ФОТ, МТР, макро'!AU$13</f>
        <v>0</v>
      </c>
      <c r="R438" s="74">
        <f>R416*'ФОТ, МТР, макро'!AV$13</f>
        <v>0</v>
      </c>
      <c r="S438" s="74">
        <f>S416*'ФОТ, МТР, макро'!AW$13</f>
        <v>0</v>
      </c>
      <c r="T438" s="74">
        <f>T416*'ФОТ, МТР, макро'!AX$13</f>
        <v>0</v>
      </c>
      <c r="U438" s="74">
        <f>U416*'ФОТ, МТР, макро'!AY$13</f>
        <v>0</v>
      </c>
      <c r="V438" s="74">
        <f>V416*'ФОТ, МТР, макро'!AZ$13</f>
        <v>0</v>
      </c>
      <c r="W438" s="74">
        <f>W416*'ФОТ, МТР, макро'!BA$13</f>
        <v>0</v>
      </c>
      <c r="X438" s="74">
        <f>X416*'ФОТ, МТР, макро'!BB$13</f>
        <v>0</v>
      </c>
      <c r="Y438" s="74">
        <f>Y416*'ФОТ, МТР, макро'!BC$13</f>
        <v>0</v>
      </c>
      <c r="Z438" s="74">
        <f>Z416*'ФОТ, МТР, макро'!BD$13</f>
        <v>0</v>
      </c>
    </row>
    <row r="439" spans="1:29" outlineLevel="1" x14ac:dyDescent="0.25">
      <c r="A439" s="39" t="str">
        <f t="shared" si="682"/>
        <v>БелАЗ 7531 (ГПФК)</v>
      </c>
      <c r="B439" s="39"/>
      <c r="D439" s="104" t="s">
        <v>88</v>
      </c>
      <c r="E439" s="9"/>
      <c r="F439" s="106">
        <f>F437-F438</f>
        <v>0</v>
      </c>
      <c r="G439" s="106">
        <f t="shared" ref="G439:I439" si="853">G437-G438</f>
        <v>0</v>
      </c>
      <c r="H439" s="106">
        <f t="shared" si="853"/>
        <v>0</v>
      </c>
      <c r="I439" s="106">
        <f t="shared" si="853"/>
        <v>0</v>
      </c>
      <c r="J439" s="106">
        <f t="shared" ref="J439:Z439" si="854">J437-J438</f>
        <v>0</v>
      </c>
      <c r="K439" s="106">
        <f t="shared" si="854"/>
        <v>0</v>
      </c>
      <c r="L439" s="106">
        <f t="shared" si="854"/>
        <v>0</v>
      </c>
      <c r="M439" s="106">
        <f t="shared" si="854"/>
        <v>0</v>
      </c>
      <c r="N439" s="106">
        <f t="shared" si="854"/>
        <v>0</v>
      </c>
      <c r="O439" s="106">
        <f t="shared" si="854"/>
        <v>0</v>
      </c>
      <c r="P439" s="106">
        <f t="shared" si="854"/>
        <v>0</v>
      </c>
      <c r="Q439" s="106">
        <f t="shared" si="854"/>
        <v>0</v>
      </c>
      <c r="R439" s="106">
        <f t="shared" si="854"/>
        <v>0</v>
      </c>
      <c r="S439" s="106">
        <f t="shared" si="854"/>
        <v>0</v>
      </c>
      <c r="T439" s="106">
        <f t="shared" si="854"/>
        <v>0</v>
      </c>
      <c r="U439" s="106">
        <f t="shared" si="854"/>
        <v>0</v>
      </c>
      <c r="V439" s="106">
        <f t="shared" si="854"/>
        <v>0</v>
      </c>
      <c r="W439" s="106">
        <f t="shared" si="854"/>
        <v>0</v>
      </c>
      <c r="X439" s="106">
        <f t="shared" si="854"/>
        <v>0</v>
      </c>
      <c r="Y439" s="106">
        <f t="shared" si="854"/>
        <v>0</v>
      </c>
      <c r="Z439" s="106">
        <f t="shared" si="854"/>
        <v>0</v>
      </c>
    </row>
    <row r="440" spans="1:29" outlineLevel="1" x14ac:dyDescent="0.25">
      <c r="A440" s="39" t="str">
        <f t="shared" si="682"/>
        <v>БелАЗ 7531 (ГПФК)</v>
      </c>
      <c r="B440" s="39"/>
      <c r="D440" s="107" t="s">
        <v>91</v>
      </c>
      <c r="E440" s="68" t="str">
        <f>E437</f>
        <v>тыс. руб.</v>
      </c>
      <c r="F440" s="69">
        <f>F437</f>
        <v>0</v>
      </c>
      <c r="G440" s="69">
        <f>F440+G437</f>
        <v>0</v>
      </c>
      <c r="H440" s="69">
        <f t="shared" ref="H440:H441" si="855">G440+H437</f>
        <v>0</v>
      </c>
      <c r="I440" s="69">
        <f t="shared" ref="I440:I441" si="856">H440+I437</f>
        <v>0</v>
      </c>
      <c r="J440" s="69">
        <f t="shared" ref="J440:J441" si="857">I440+J437</f>
        <v>0</v>
      </c>
      <c r="K440" s="69">
        <f t="shared" ref="K440:K441" si="858">J440+K437</f>
        <v>0</v>
      </c>
      <c r="L440" s="69">
        <f t="shared" ref="L440:L441" si="859">K440+L437</f>
        <v>0</v>
      </c>
      <c r="M440" s="69">
        <f t="shared" ref="M440:M441" si="860">L440+M437</f>
        <v>0</v>
      </c>
      <c r="N440" s="69">
        <f t="shared" ref="N440:N441" si="861">M440+N437</f>
        <v>0</v>
      </c>
      <c r="O440" s="69">
        <f t="shared" ref="O440:O441" si="862">N440+O437</f>
        <v>0</v>
      </c>
      <c r="P440" s="69">
        <f t="shared" ref="P440:P441" si="863">O440+P437</f>
        <v>0</v>
      </c>
      <c r="Q440" s="69">
        <f t="shared" ref="Q440:Q441" si="864">P440+Q437</f>
        <v>0</v>
      </c>
      <c r="R440" s="69">
        <f t="shared" ref="R440:R441" si="865">Q440+R437</f>
        <v>0</v>
      </c>
      <c r="S440" s="69">
        <f t="shared" ref="S440:S441" si="866">R440+S437</f>
        <v>0</v>
      </c>
      <c r="T440" s="69">
        <f t="shared" ref="T440:T441" si="867">S440+T437</f>
        <v>0</v>
      </c>
      <c r="U440" s="69">
        <f t="shared" ref="U440:U441" si="868">T440+U437</f>
        <v>0</v>
      </c>
      <c r="V440" s="69">
        <f t="shared" ref="V440:V441" si="869">U440+V437</f>
        <v>0</v>
      </c>
      <c r="W440" s="69">
        <f t="shared" ref="W440:W441" si="870">V440+W437</f>
        <v>0</v>
      </c>
      <c r="X440" s="69">
        <f t="shared" ref="X440:X441" si="871">W440+X437</f>
        <v>0</v>
      </c>
      <c r="Y440" s="69">
        <f t="shared" ref="Y440:Y441" si="872">X440+Y437</f>
        <v>0</v>
      </c>
      <c r="Z440" s="69">
        <f t="shared" ref="Z440:Z441" si="873">Y440+Z437</f>
        <v>0</v>
      </c>
    </row>
    <row r="441" spans="1:29" outlineLevel="1" x14ac:dyDescent="0.25">
      <c r="A441" s="39" t="str">
        <f t="shared" si="682"/>
        <v>БелАЗ 7531 (ГПФК)</v>
      </c>
      <c r="B441" s="39"/>
      <c r="D441" s="101" t="str">
        <f>D438</f>
        <v>Самосвал</v>
      </c>
      <c r="E441" s="9" t="str">
        <f>E438</f>
        <v>тыс. руб.</v>
      </c>
      <c r="F441" s="74">
        <f>F438</f>
        <v>0</v>
      </c>
      <c r="G441" s="74">
        <f>F441+G438</f>
        <v>0</v>
      </c>
      <c r="H441" s="74">
        <f t="shared" si="855"/>
        <v>0</v>
      </c>
      <c r="I441" s="74">
        <f t="shared" si="856"/>
        <v>0</v>
      </c>
      <c r="J441" s="74">
        <f t="shared" si="857"/>
        <v>0</v>
      </c>
      <c r="K441" s="74">
        <f t="shared" si="858"/>
        <v>0</v>
      </c>
      <c r="L441" s="74">
        <f t="shared" si="859"/>
        <v>0</v>
      </c>
      <c r="M441" s="74">
        <f t="shared" si="860"/>
        <v>0</v>
      </c>
      <c r="N441" s="74">
        <f t="shared" si="861"/>
        <v>0</v>
      </c>
      <c r="O441" s="74">
        <f t="shared" si="862"/>
        <v>0</v>
      </c>
      <c r="P441" s="74">
        <f t="shared" si="863"/>
        <v>0</v>
      </c>
      <c r="Q441" s="74">
        <f t="shared" si="864"/>
        <v>0</v>
      </c>
      <c r="R441" s="74">
        <f t="shared" si="865"/>
        <v>0</v>
      </c>
      <c r="S441" s="74">
        <f t="shared" si="866"/>
        <v>0</v>
      </c>
      <c r="T441" s="74">
        <f t="shared" si="867"/>
        <v>0</v>
      </c>
      <c r="U441" s="74">
        <f t="shared" si="868"/>
        <v>0</v>
      </c>
      <c r="V441" s="74">
        <f t="shared" si="869"/>
        <v>0</v>
      </c>
      <c r="W441" s="74">
        <f t="shared" si="870"/>
        <v>0</v>
      </c>
      <c r="X441" s="74">
        <f t="shared" si="871"/>
        <v>0</v>
      </c>
      <c r="Y441" s="74">
        <f t="shared" si="872"/>
        <v>0</v>
      </c>
      <c r="Z441" s="74">
        <f t="shared" si="873"/>
        <v>0</v>
      </c>
    </row>
    <row r="442" spans="1:29" outlineLevel="1" x14ac:dyDescent="0.25">
      <c r="A442" s="39" t="str">
        <f t="shared" si="682"/>
        <v>БелАЗ 7531 (ГПФК)</v>
      </c>
      <c r="B442" s="39"/>
      <c r="D442" s="101"/>
      <c r="E442" s="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9" outlineLevel="1" x14ac:dyDescent="0.25">
      <c r="A443" s="39" t="str">
        <f t="shared" si="682"/>
        <v>БелАЗ 7531 (ГПФК)</v>
      </c>
      <c r="B443" s="39"/>
      <c r="D443" s="67" t="s">
        <v>92</v>
      </c>
      <c r="E443" s="68" t="str">
        <f>E418</f>
        <v>тыс. руб.</v>
      </c>
      <c r="F443" s="69">
        <f>F418*'ФОТ, МТР, макро'!AJ$13</f>
        <v>0</v>
      </c>
      <c r="G443" s="69">
        <f>G418*'ФОТ, МТР, макро'!AK$13</f>
        <v>80231.526193029844</v>
      </c>
      <c r="H443" s="69">
        <f>H418*'ФОТ, МТР, макро'!AL$13</f>
        <v>81633.614803818797</v>
      </c>
      <c r="I443" s="69">
        <f>I418*'ФОТ, МТР, макро'!AM$13</f>
        <v>87507.237310713026</v>
      </c>
      <c r="J443" s="69">
        <f>J418*'ФОТ, МТР, макро'!AN$13</f>
        <v>85136.438802282064</v>
      </c>
      <c r="K443" s="69">
        <f>K418*'ФОТ, МТР, макро'!AO$13</f>
        <v>74702.46017686819</v>
      </c>
      <c r="L443" s="69">
        <f>L418*'ФОТ, МТР, макро'!AP$13</f>
        <v>68181.773288669807</v>
      </c>
      <c r="M443" s="69">
        <f>M418*'ФОТ, МТР, макро'!AQ$13</f>
        <v>45059.639365511408</v>
      </c>
      <c r="N443" s="69">
        <f>N418*'ФОТ, МТР, макро'!AR$13</f>
        <v>58005.803583173132</v>
      </c>
      <c r="O443" s="69">
        <f>O418*'ФОТ, МТР, макро'!AS$13</f>
        <v>55401.580803438286</v>
      </c>
      <c r="P443" s="69">
        <f>P418*'ФОТ, МТР, макро'!AT$13</f>
        <v>32797.837092087662</v>
      </c>
      <c r="Q443" s="69">
        <f>Q418*'ФОТ, МТР, макро'!AU$13</f>
        <v>0</v>
      </c>
      <c r="R443" s="69">
        <f>R418*'ФОТ, МТР, макро'!AV$13</f>
        <v>0</v>
      </c>
      <c r="S443" s="69">
        <f>S418*'ФОТ, МТР, макро'!AW$13</f>
        <v>0</v>
      </c>
      <c r="T443" s="69">
        <f>T418*'ФОТ, МТР, макро'!AX$13</f>
        <v>0</v>
      </c>
      <c r="U443" s="69">
        <f>U418*'ФОТ, МТР, макро'!AY$13</f>
        <v>0</v>
      </c>
      <c r="V443" s="69">
        <f>V418*'ФОТ, МТР, макро'!AZ$13</f>
        <v>0</v>
      </c>
      <c r="W443" s="69">
        <f>W418*'ФОТ, МТР, макро'!BA$13</f>
        <v>0</v>
      </c>
      <c r="X443" s="69">
        <f>X418*'ФОТ, МТР, макро'!BB$13</f>
        <v>0</v>
      </c>
      <c r="Y443" s="69">
        <f>Y418*'ФОТ, МТР, макро'!BC$13</f>
        <v>0</v>
      </c>
      <c r="Z443" s="69">
        <f>Z418*'ФОТ, МТР, макро'!BD$13</f>
        <v>0</v>
      </c>
    </row>
    <row r="444" spans="1:29" outlineLevel="1" x14ac:dyDescent="0.25">
      <c r="A444" s="39" t="str">
        <f t="shared" si="682"/>
        <v>БелАЗ 7531 (ГПФК)</v>
      </c>
      <c r="B444" s="39"/>
      <c r="D444" s="107" t="s">
        <v>93</v>
      </c>
      <c r="E444" s="68" t="str">
        <f>E443</f>
        <v>тыс. руб.</v>
      </c>
      <c r="F444" s="69">
        <f>F443</f>
        <v>0</v>
      </c>
      <c r="G444" s="69">
        <f>F444+G443</f>
        <v>80231.526193029844</v>
      </c>
      <c r="H444" s="69">
        <f t="shared" ref="H444" si="874">G444+H443</f>
        <v>161865.14099684864</v>
      </c>
      <c r="I444" s="69">
        <f t="shared" ref="I444" si="875">H444+I443</f>
        <v>249372.37830756168</v>
      </c>
      <c r="J444" s="69">
        <f t="shared" ref="J444" si="876">I444+J443</f>
        <v>334508.81710984372</v>
      </c>
      <c r="K444" s="69">
        <f t="shared" ref="K444" si="877">J444+K443</f>
        <v>409211.27728671191</v>
      </c>
      <c r="L444" s="69">
        <f t="shared" ref="L444" si="878">K444+L443</f>
        <v>477393.05057538173</v>
      </c>
      <c r="M444" s="69">
        <f t="shared" ref="M444" si="879">L444+M443</f>
        <v>522452.68994089315</v>
      </c>
      <c r="N444" s="69">
        <f t="shared" ref="N444" si="880">M444+N443</f>
        <v>580458.49352406629</v>
      </c>
      <c r="O444" s="69">
        <f t="shared" ref="O444" si="881">N444+O443</f>
        <v>635860.07432750461</v>
      </c>
      <c r="P444" s="69">
        <f t="shared" ref="P444" si="882">O444+P443</f>
        <v>668657.91141959233</v>
      </c>
      <c r="Q444" s="69">
        <f t="shared" ref="Q444" si="883">P444+Q443</f>
        <v>668657.91141959233</v>
      </c>
      <c r="R444" s="69">
        <f t="shared" ref="R444" si="884">Q444+R443</f>
        <v>668657.91141959233</v>
      </c>
      <c r="S444" s="69">
        <f t="shared" ref="S444" si="885">R444+S443</f>
        <v>668657.91141959233</v>
      </c>
      <c r="T444" s="69">
        <f t="shared" ref="T444" si="886">S444+T443</f>
        <v>668657.91141959233</v>
      </c>
      <c r="U444" s="69">
        <f t="shared" ref="U444" si="887">T444+U443</f>
        <v>668657.91141959233</v>
      </c>
      <c r="V444" s="69">
        <f t="shared" ref="V444" si="888">U444+V443</f>
        <v>668657.91141959233</v>
      </c>
      <c r="W444" s="69">
        <f t="shared" ref="W444" si="889">V444+W443</f>
        <v>668657.91141959233</v>
      </c>
      <c r="X444" s="69">
        <f t="shared" ref="X444" si="890">W444+X443</f>
        <v>668657.91141959233</v>
      </c>
      <c r="Y444" s="69">
        <f t="shared" ref="Y444" si="891">X444+Y443</f>
        <v>668657.91141959233</v>
      </c>
      <c r="Z444" s="69">
        <f t="shared" ref="Z444" si="892">Y444+Z443</f>
        <v>668657.91141959233</v>
      </c>
    </row>
    <row r="445" spans="1:29" outlineLevel="1" x14ac:dyDescent="0.25">
      <c r="A445" s="39" t="str">
        <f t="shared" ref="A445:A467" si="893">A444</f>
        <v>БелАЗ 7531 (ГПФК)</v>
      </c>
      <c r="B445" s="39"/>
      <c r="D445" s="101"/>
      <c r="E445" s="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9" outlineLevel="1" x14ac:dyDescent="0.25">
      <c r="A446" s="39" t="str">
        <f t="shared" si="893"/>
        <v>БелАЗ 7531 (ГПФК)</v>
      </c>
      <c r="B446" s="39" t="str">
        <f>D446</f>
        <v>Аннуитет операционный</v>
      </c>
      <c r="C446" s="61">
        <f>E377</f>
        <v>10</v>
      </c>
      <c r="D446" s="108" t="s">
        <v>94</v>
      </c>
      <c r="E446" s="109" t="s">
        <v>95</v>
      </c>
      <c r="F446" s="110"/>
      <c r="G446" s="111">
        <f>G428/'ФОТ, МТР, макро'!AK$14/(G384/G379)</f>
        <v>7.8276831421714768</v>
      </c>
      <c r="H446" s="111">
        <f>H428/'ФОТ, МТР, макро'!AL$14/(H384/H379)</f>
        <v>8.3060577495069499</v>
      </c>
      <c r="I446" s="111">
        <f>I428/'ФОТ, МТР, макро'!AM$14/(I384/I379)</f>
        <v>8.8744572287447383</v>
      </c>
      <c r="J446" s="111">
        <f>J428/'ФОТ, МТР, макро'!AN$14/(J384/J379)</f>
        <v>9.3428325407689332</v>
      </c>
      <c r="K446" s="111">
        <f>K428/'ФОТ, МТР, макро'!AO$14/(K384/K379)</f>
        <v>9.4631574967014789</v>
      </c>
      <c r="L446" s="111">
        <f>L428/'ФОТ, МТР, макро'!AP$14/(L384/L379)</f>
        <v>9.5941176661609138</v>
      </c>
      <c r="M446" s="111">
        <f>M428/'ФОТ, МТР, макро'!AQ$14/(M384/M379)</f>
        <v>9.3828516261453103</v>
      </c>
      <c r="N446" s="111">
        <f>N428/'ФОТ, МТР, макро'!AR$14/(N384/N379)</f>
        <v>9.5712366907414026</v>
      </c>
      <c r="O446" s="111">
        <f>O428/'ФОТ, МТР, макро'!AS$14/(O384/O379)</f>
        <v>9.7404991889957095</v>
      </c>
      <c r="P446" s="111">
        <f>P428/'ФОТ, МТР, макро'!AT$14/(P384/P379)</f>
        <v>9.6354780522779304</v>
      </c>
      <c r="Q446" s="111" t="e">
        <f>Q428/'ФОТ, МТР, макро'!AU$14/(Q384/Q379)</f>
        <v>#DIV/0!</v>
      </c>
      <c r="R446" s="111" t="e">
        <f>R428/'ФОТ, МТР, макро'!AV$14/(R384/R379)</f>
        <v>#DIV/0!</v>
      </c>
      <c r="S446" s="111" t="e">
        <f>S428/'ФОТ, МТР, макро'!AW$14/(S384/S379)</f>
        <v>#DIV/0!</v>
      </c>
      <c r="T446" s="111" t="e">
        <f>T428/'ФОТ, МТР, макро'!AX$14/(T384/T379)</f>
        <v>#DIV/0!</v>
      </c>
      <c r="U446" s="111" t="e">
        <f>U428/'ФОТ, МТР, макро'!AY$14/(U384/U379)</f>
        <v>#DIV/0!</v>
      </c>
      <c r="V446" s="111" t="e">
        <f>V428/'ФОТ, МТР, макро'!AZ$14/(V384/V379)</f>
        <v>#DIV/0!</v>
      </c>
      <c r="W446" s="111" t="e">
        <f>W428/'ФОТ, МТР, макро'!BA$14/(W384/W379)</f>
        <v>#DIV/0!</v>
      </c>
      <c r="X446" s="111" t="e">
        <f>X428/'ФОТ, МТР, макро'!BB$14/(X384/X379)</f>
        <v>#DIV/0!</v>
      </c>
      <c r="Y446" s="111" t="e">
        <f>Y428/'ФОТ, МТР, макро'!BC$14/(Y384/Y379)</f>
        <v>#DIV/0!</v>
      </c>
      <c r="Z446" s="111" t="e">
        <f>Z428/'ФОТ, МТР, макро'!BD$14/(Z384/Z379)</f>
        <v>#DIV/0!</v>
      </c>
      <c r="AC446" s="112" cm="1">
        <f t="array" ref="AC446">INDEX(G446:Z446,1,$C446)</f>
        <v>9.6354780522779304</v>
      </c>
    </row>
    <row r="447" spans="1:29" outlineLevel="1" x14ac:dyDescent="0.25">
      <c r="A447" s="39" t="str">
        <f t="shared" si="893"/>
        <v>БелАЗ 7531 (ГПФК)</v>
      </c>
      <c r="B447" s="39" t="str">
        <f t="shared" ref="B447:B456" si="894">D447</f>
        <v>ТО, ТР, ППР</v>
      </c>
      <c r="C447" s="39">
        <f>C446</f>
        <v>10</v>
      </c>
      <c r="D447" s="113" t="str">
        <f>D429</f>
        <v>ТО, ТР, ППР</v>
      </c>
      <c r="E447" s="114" t="str">
        <f>E446</f>
        <v>руб/ткм</v>
      </c>
      <c r="F447" s="115"/>
      <c r="G447" s="116">
        <f>G429/'ФОТ, МТР, макро'!AK$14/(G384/G379)</f>
        <v>1.212893019417522</v>
      </c>
      <c r="H447" s="116">
        <f>H429/'ФОТ, МТР, макро'!AL$14/(H384/H379)</f>
        <v>1.8598458923003072</v>
      </c>
      <c r="I447" s="116">
        <f>I429/'ФОТ, МТР, макро'!AM$14/(I384/I379)</f>
        <v>2.6526405257313885</v>
      </c>
      <c r="J447" s="116">
        <f>J429/'ФОТ, МТР, макро'!AN$14/(J384/J379)</f>
        <v>3.2955190211080092</v>
      </c>
      <c r="K447" s="116">
        <f>K429/'ФОТ, МТР, макро'!AO$14/(K384/K379)</f>
        <v>3.5080945571152551</v>
      </c>
      <c r="L447" s="116">
        <f>L429/'ФОТ, МТР, макро'!AP$14/(L384/L379)</f>
        <v>3.7080836889776103</v>
      </c>
      <c r="M447" s="116">
        <f>M429/'ФОТ, МТР, макро'!AQ$14/(M384/M379)</f>
        <v>3.4515686098316332</v>
      </c>
      <c r="N447" s="116">
        <f>N429/'ФОТ, МТР, макро'!AR$14/(N384/N379)</f>
        <v>3.6996486763121665</v>
      </c>
      <c r="O447" s="116">
        <f>O429/'ФОТ, МТР, макро'!AS$14/(O384/O379)</f>
        <v>3.9366860971711164</v>
      </c>
      <c r="P447" s="116">
        <f>P429/'ФОТ, МТР, макро'!AT$14/(P384/P379)</f>
        <v>3.8042479424249094</v>
      </c>
      <c r="Q447" s="116" t="e">
        <f>Q429/'ФОТ, МТР, макро'!AU$14/(Q384/Q379)</f>
        <v>#DIV/0!</v>
      </c>
      <c r="R447" s="116" t="e">
        <f>R429/'ФОТ, МТР, макро'!AV$14/(R384/R379)</f>
        <v>#DIV/0!</v>
      </c>
      <c r="S447" s="116" t="e">
        <f>S429/'ФОТ, МТР, макро'!AW$14/(S384/S379)</f>
        <v>#DIV/0!</v>
      </c>
      <c r="T447" s="116" t="e">
        <f>T429/'ФОТ, МТР, макро'!AX$14/(T384/T379)</f>
        <v>#DIV/0!</v>
      </c>
      <c r="U447" s="116" t="e">
        <f>U429/'ФОТ, МТР, макро'!AY$14/(U384/U379)</f>
        <v>#DIV/0!</v>
      </c>
      <c r="V447" s="116" t="e">
        <f>V429/'ФОТ, МТР, макро'!AZ$14/(V384/V379)</f>
        <v>#DIV/0!</v>
      </c>
      <c r="W447" s="116" t="e">
        <f>W429/'ФОТ, МТР, макро'!BA$14/(W384/W379)</f>
        <v>#DIV/0!</v>
      </c>
      <c r="X447" s="116" t="e">
        <f>X429/'ФОТ, МТР, макро'!BB$14/(X384/X379)</f>
        <v>#DIV/0!</v>
      </c>
      <c r="Y447" s="116" t="e">
        <f>Y429/'ФОТ, МТР, макро'!BC$14/(Y384/Y379)</f>
        <v>#DIV/0!</v>
      </c>
      <c r="Z447" s="116" t="e">
        <f>Z429/'ФОТ, МТР, макро'!BD$14/(Z384/Z379)</f>
        <v>#DIV/0!</v>
      </c>
      <c r="AC447" s="117" cm="1">
        <f t="array" ref="AC447">INDEX(G447:Z447,1,$C447)</f>
        <v>3.8042479424249094</v>
      </c>
    </row>
    <row r="448" spans="1:29" outlineLevel="1" x14ac:dyDescent="0.25">
      <c r="A448" s="39" t="str">
        <f t="shared" si="893"/>
        <v>БелАЗ 7531 (ГПФК)</v>
      </c>
      <c r="B448" s="39" t="str">
        <f t="shared" si="894"/>
        <v>Шины</v>
      </c>
      <c r="C448" s="39">
        <f t="shared" ref="C448:C456" si="895">C447</f>
        <v>10</v>
      </c>
      <c r="D448" s="113" t="str">
        <f t="shared" ref="D448:D453" si="896">D430</f>
        <v>Шины</v>
      </c>
      <c r="E448" s="114" t="str">
        <f t="shared" ref="E448:E453" si="897">E447</f>
        <v>руб/ткм</v>
      </c>
      <c r="F448" s="115"/>
      <c r="G448" s="116">
        <f>G430/'ФОТ, МТР, макро'!AK$14/(G384/G379)</f>
        <v>1.6541278162047981</v>
      </c>
      <c r="H448" s="116">
        <f>H430/'ФОТ, МТР, макро'!AL$14/(H384/H379)</f>
        <v>1.6537129219771987</v>
      </c>
      <c r="I448" s="116">
        <f>I430/'ФОТ, МТР, макро'!AM$14/(I384/I379)</f>
        <v>1.6511946701091913</v>
      </c>
      <c r="J448" s="116">
        <f>J430/'ФОТ, МТР, макро'!AN$14/(J384/J379)</f>
        <v>1.64980239618297</v>
      </c>
      <c r="K448" s="116">
        <f>K430/'ФОТ, МТР, макро'!AO$14/(K384/K379)</f>
        <v>1.6444366980434453</v>
      </c>
      <c r="L448" s="116">
        <f>L430/'ФОТ, МТР, макро'!AP$14/(L384/L379)</f>
        <v>1.6419033057564798</v>
      </c>
      <c r="M448" s="116">
        <f>M430/'ФОТ, МТР, макро'!AQ$14/(M384/M379)</f>
        <v>1.639127929436089</v>
      </c>
      <c r="N448" s="116">
        <f>N430/'ФОТ, МТР, макро'!AR$14/(N384/N379)</f>
        <v>1.6400052614969749</v>
      </c>
      <c r="O448" s="116">
        <f>O430/'ФОТ, МТР, макро'!AS$14/(O384/O379)</f>
        <v>1.6387149682774897</v>
      </c>
      <c r="P448" s="116">
        <f>P430/'ФОТ, МТР, макро'!AT$14/(P384/P379)</f>
        <v>1.6378791364672609</v>
      </c>
      <c r="Q448" s="116" t="e">
        <f>Q430/'ФОТ, МТР, макро'!AU$14/(Q384/Q379)</f>
        <v>#DIV/0!</v>
      </c>
      <c r="R448" s="116" t="e">
        <f>R430/'ФОТ, МТР, макро'!AV$14/(R384/R379)</f>
        <v>#DIV/0!</v>
      </c>
      <c r="S448" s="116" t="e">
        <f>S430/'ФОТ, МТР, макро'!AW$14/(S384/S379)</f>
        <v>#DIV/0!</v>
      </c>
      <c r="T448" s="116" t="e">
        <f>T430/'ФОТ, МТР, макро'!AX$14/(T384/T379)</f>
        <v>#DIV/0!</v>
      </c>
      <c r="U448" s="116" t="e">
        <f>U430/'ФОТ, МТР, макро'!AY$14/(U384/U379)</f>
        <v>#DIV/0!</v>
      </c>
      <c r="V448" s="116" t="e">
        <f>V430/'ФОТ, МТР, макро'!AZ$14/(V384/V379)</f>
        <v>#DIV/0!</v>
      </c>
      <c r="W448" s="116" t="e">
        <f>W430/'ФОТ, МТР, макро'!BA$14/(W384/W379)</f>
        <v>#DIV/0!</v>
      </c>
      <c r="X448" s="116" t="e">
        <f>X430/'ФОТ, МТР, макро'!BB$14/(X384/X379)</f>
        <v>#DIV/0!</v>
      </c>
      <c r="Y448" s="116" t="e">
        <f>Y430/'ФОТ, МТР, макро'!BC$14/(Y384/Y379)</f>
        <v>#DIV/0!</v>
      </c>
      <c r="Z448" s="116" t="e">
        <f>Z430/'ФОТ, МТР, макро'!BD$14/(Z384/Z379)</f>
        <v>#DIV/0!</v>
      </c>
      <c r="AC448" s="117" cm="1">
        <f t="array" ref="AC448">INDEX(G448:Z448,1,$C448)</f>
        <v>1.6378791364672609</v>
      </c>
    </row>
    <row r="449" spans="1:29" outlineLevel="1" x14ac:dyDescent="0.25">
      <c r="A449" s="39" t="str">
        <f t="shared" si="893"/>
        <v>БелАЗ 7531 (ГПФК)</v>
      </c>
      <c r="B449" s="39" t="str">
        <f t="shared" si="894"/>
        <v>Топливо</v>
      </c>
      <c r="C449" s="39">
        <f t="shared" si="895"/>
        <v>10</v>
      </c>
      <c r="D449" s="113" t="str">
        <f t="shared" si="896"/>
        <v>Топливо</v>
      </c>
      <c r="E449" s="114" t="str">
        <f t="shared" si="897"/>
        <v>руб/ткм</v>
      </c>
      <c r="F449" s="115"/>
      <c r="G449" s="116">
        <f>G431/'ФОТ, МТР, макро'!AK$14/(G384/G379)</f>
        <v>5.9417027538616862</v>
      </c>
      <c r="H449" s="116">
        <f>H431/'ФОТ, МТР, макро'!AL$14/(H384/H379)</f>
        <v>5.9402124348243426</v>
      </c>
      <c r="I449" s="116">
        <f>I431/'ФОТ, МТР, макро'!AM$14/(I384/I379)</f>
        <v>5.9311667589627364</v>
      </c>
      <c r="J449" s="116">
        <f>J431/'ФОТ, МТР, макро'!AN$14/(J384/J379)</f>
        <v>5.9261656473554485</v>
      </c>
      <c r="K449" s="116">
        <f>K431/'ФОТ, МТР, макро'!AO$14/(K384/K379)</f>
        <v>5.9068918142818028</v>
      </c>
      <c r="L449" s="116">
        <f>L431/'ФОТ, МТР, макро'!AP$14/(L384/L379)</f>
        <v>5.8977917533429745</v>
      </c>
      <c r="M449" s="116">
        <f>M431/'ФОТ, МТР, макро'!AQ$14/(M384/M379)</f>
        <v>5.8878224746909149</v>
      </c>
      <c r="N449" s="116">
        <f>N431/'ФОТ, МТР, макро'!AR$14/(N384/N379)</f>
        <v>5.8909738915712486</v>
      </c>
      <c r="O449" s="116">
        <f>O431/'ФОТ, МТР, макро'!AS$14/(O384/O379)</f>
        <v>5.8863390993258147</v>
      </c>
      <c r="P449" s="116">
        <f>P431/'ФОТ, МТР, макро'!AT$14/(P384/P379)</f>
        <v>5.8833367532435172</v>
      </c>
      <c r="Q449" s="116" t="e">
        <f>Q431/'ФОТ, МТР, макро'!AU$14/(Q384/Q379)</f>
        <v>#DIV/0!</v>
      </c>
      <c r="R449" s="116" t="e">
        <f>R431/'ФОТ, МТР, макро'!AV$14/(R384/R379)</f>
        <v>#DIV/0!</v>
      </c>
      <c r="S449" s="116" t="e">
        <f>S431/'ФОТ, МТР, макро'!AW$14/(S384/S379)</f>
        <v>#DIV/0!</v>
      </c>
      <c r="T449" s="116" t="e">
        <f>T431/'ФОТ, МТР, макро'!AX$14/(T384/T379)</f>
        <v>#DIV/0!</v>
      </c>
      <c r="U449" s="116" t="e">
        <f>U431/'ФОТ, МТР, макро'!AY$14/(U384/U379)</f>
        <v>#DIV/0!</v>
      </c>
      <c r="V449" s="116" t="e">
        <f>V431/'ФОТ, МТР, макро'!AZ$14/(V384/V379)</f>
        <v>#DIV/0!</v>
      </c>
      <c r="W449" s="116" t="e">
        <f>W431/'ФОТ, МТР, макро'!BA$14/(W384/W379)</f>
        <v>#DIV/0!</v>
      </c>
      <c r="X449" s="116" t="e">
        <f>X431/'ФОТ, МТР, макро'!BB$14/(X384/X379)</f>
        <v>#DIV/0!</v>
      </c>
      <c r="Y449" s="116" t="e">
        <f>Y431/'ФОТ, МТР, макро'!BC$14/(Y384/Y379)</f>
        <v>#DIV/0!</v>
      </c>
      <c r="Z449" s="116" t="e">
        <f>Z431/'ФОТ, МТР, макро'!BD$14/(Z384/Z379)</f>
        <v>#DIV/0!</v>
      </c>
      <c r="AC449" s="117" cm="1">
        <f t="array" ref="AC449">INDEX(G449:Z449,1,$C449)</f>
        <v>5.8833367532435172</v>
      </c>
    </row>
    <row r="450" spans="1:29" outlineLevel="1" x14ac:dyDescent="0.25">
      <c r="A450" s="39" t="str">
        <f t="shared" si="893"/>
        <v>БелАЗ 7531 (ГПФК)</v>
      </c>
      <c r="B450" s="39" t="str">
        <f t="shared" si="894"/>
        <v>Смазочные</v>
      </c>
      <c r="C450" s="39">
        <f t="shared" si="895"/>
        <v>10</v>
      </c>
      <c r="D450" s="113" t="str">
        <f t="shared" si="896"/>
        <v>Смазочные</v>
      </c>
      <c r="E450" s="114" t="str">
        <f t="shared" si="897"/>
        <v>руб/ткм</v>
      </c>
      <c r="F450" s="115"/>
      <c r="G450" s="116">
        <f>G432/'ФОТ, МТР, макро'!AK$14/(G384/G379)</f>
        <v>0</v>
      </c>
      <c r="H450" s="116">
        <f>H432/'ФОТ, МТР, макро'!AL$14/(H384/H379)</f>
        <v>0</v>
      </c>
      <c r="I450" s="116">
        <f>I432/'ФОТ, МТР, макро'!AM$14/(I384/I379)</f>
        <v>0</v>
      </c>
      <c r="J450" s="116">
        <f>J432/'ФОТ, МТР, макро'!AN$14/(J384/J379)</f>
        <v>0</v>
      </c>
      <c r="K450" s="116">
        <f>K432/'ФОТ, МТР, макро'!AO$14/(K384/K379)</f>
        <v>0</v>
      </c>
      <c r="L450" s="116">
        <f>L432/'ФОТ, МТР, макро'!AP$14/(L384/L379)</f>
        <v>0</v>
      </c>
      <c r="M450" s="116">
        <f>M432/'ФОТ, МТР, макро'!AQ$14/(M384/M379)</f>
        <v>0</v>
      </c>
      <c r="N450" s="116">
        <f>N432/'ФОТ, МТР, макро'!AR$14/(N384/N379)</f>
        <v>0</v>
      </c>
      <c r="O450" s="116">
        <f>O432/'ФОТ, МТР, макро'!AS$14/(O384/O379)</f>
        <v>0</v>
      </c>
      <c r="P450" s="116">
        <f>P432/'ФОТ, МТР, макро'!AT$14/(P384/P379)</f>
        <v>0</v>
      </c>
      <c r="Q450" s="116" t="e">
        <f>Q432/'ФОТ, МТР, макро'!AU$14/(Q384/Q379)</f>
        <v>#DIV/0!</v>
      </c>
      <c r="R450" s="116" t="e">
        <f>R432/'ФОТ, МТР, макро'!AV$14/(R384/R379)</f>
        <v>#DIV/0!</v>
      </c>
      <c r="S450" s="116" t="e">
        <f>S432/'ФОТ, МТР, макро'!AW$14/(S384/S379)</f>
        <v>#DIV/0!</v>
      </c>
      <c r="T450" s="116" t="e">
        <f>T432/'ФОТ, МТР, макро'!AX$14/(T384/T379)</f>
        <v>#DIV/0!</v>
      </c>
      <c r="U450" s="116" t="e">
        <f>U432/'ФОТ, МТР, макро'!AY$14/(U384/U379)</f>
        <v>#DIV/0!</v>
      </c>
      <c r="V450" s="116" t="e">
        <f>V432/'ФОТ, МТР, макро'!AZ$14/(V384/V379)</f>
        <v>#DIV/0!</v>
      </c>
      <c r="W450" s="116" t="e">
        <f>W432/'ФОТ, МТР, макро'!BA$14/(W384/W379)</f>
        <v>#DIV/0!</v>
      </c>
      <c r="X450" s="116" t="e">
        <f>X432/'ФОТ, МТР, макро'!BB$14/(X384/X379)</f>
        <v>#DIV/0!</v>
      </c>
      <c r="Y450" s="116" t="e">
        <f>Y432/'ФОТ, МТР, макро'!BC$14/(Y384/Y379)</f>
        <v>#DIV/0!</v>
      </c>
      <c r="Z450" s="116" t="e">
        <f>Z432/'ФОТ, МТР, макро'!BD$14/(Z384/Z379)</f>
        <v>#DIV/0!</v>
      </c>
      <c r="AC450" s="117" cm="1">
        <f t="array" ref="AC450">INDEX(G450:Z450,1,$C450)</f>
        <v>0</v>
      </c>
    </row>
    <row r="451" spans="1:29" outlineLevel="1" x14ac:dyDescent="0.25">
      <c r="A451" s="39" t="str">
        <f t="shared" si="893"/>
        <v>БелАЗ 7531 (ГПФК)</v>
      </c>
      <c r="B451" s="39" t="str">
        <f t="shared" si="894"/>
        <v>Затраты на персонал</v>
      </c>
      <c r="C451" s="39">
        <f t="shared" si="895"/>
        <v>10</v>
      </c>
      <c r="D451" s="113" t="str">
        <f t="shared" si="896"/>
        <v>Затраты на персонал</v>
      </c>
      <c r="E451" s="114" t="str">
        <f t="shared" si="897"/>
        <v>руб/ткм</v>
      </c>
      <c r="F451" s="115"/>
      <c r="G451" s="116">
        <f>G433/'ФОТ, МТР, макро'!AK$14/(G384/G379)</f>
        <v>1.609417146681174</v>
      </c>
      <c r="H451" s="116">
        <f>H433/'ФОТ, МТР, макро'!AL$14/(H384/H379)</f>
        <v>1.6022854713045709</v>
      </c>
      <c r="I451" s="116">
        <f>I433/'ФОТ, МТР, макро'!AM$14/(I384/I379)</f>
        <v>1.5791900919802393</v>
      </c>
      <c r="J451" s="116">
        <f>J433/'ФОТ, МТР, макро'!AN$14/(J384/J379)</f>
        <v>1.5673435604965056</v>
      </c>
      <c r="K451" s="116">
        <f>K433/'ФОТ, МТР, макро'!AO$14/(K384/K379)</f>
        <v>1.5401578881255098</v>
      </c>
      <c r="L451" s="116">
        <f>L433/'ФОТ, МТР, макро'!AP$14/(L384/L379)</f>
        <v>1.5265741911042072</v>
      </c>
      <c r="M451" s="116">
        <f>M433/'ФОТ, МТР, макро'!AQ$14/(M384/M379)</f>
        <v>1.5142891484122998</v>
      </c>
      <c r="N451" s="116">
        <f>N433/'ФОТ, МТР, макро'!AR$14/(N384/N379)</f>
        <v>1.5133711257251525</v>
      </c>
      <c r="O451" s="116">
        <f>O433/'ФОТ, МТР, макро'!AS$14/(O384/O379)</f>
        <v>1.5080047081573571</v>
      </c>
      <c r="P451" s="116">
        <f>P433/'ФОТ, МТР, макро'!AT$14/(P384/P379)</f>
        <v>1.5042961106978086</v>
      </c>
      <c r="Q451" s="116" t="e">
        <f>Q433/'ФОТ, МТР, макро'!AU$14/(Q384/Q379)</f>
        <v>#DIV/0!</v>
      </c>
      <c r="R451" s="116" t="e">
        <f>R433/'ФОТ, МТР, макро'!AV$14/(R384/R379)</f>
        <v>#DIV/0!</v>
      </c>
      <c r="S451" s="116" t="e">
        <f>S433/'ФОТ, МТР, макро'!AW$14/(S384/S379)</f>
        <v>#DIV/0!</v>
      </c>
      <c r="T451" s="116" t="e">
        <f>T433/'ФОТ, МТР, макро'!AX$14/(T384/T379)</f>
        <v>#DIV/0!</v>
      </c>
      <c r="U451" s="116" t="e">
        <f>U433/'ФОТ, МТР, макро'!AY$14/(U384/U379)</f>
        <v>#DIV/0!</v>
      </c>
      <c r="V451" s="116" t="e">
        <f>V433/'ФОТ, МТР, макро'!AZ$14/(V384/V379)</f>
        <v>#DIV/0!</v>
      </c>
      <c r="W451" s="116" t="e">
        <f>W433/'ФОТ, МТР, макро'!BA$14/(W384/W379)</f>
        <v>#DIV/0!</v>
      </c>
      <c r="X451" s="116" t="e">
        <f>X433/'ФОТ, МТР, макро'!BB$14/(X384/X379)</f>
        <v>#DIV/0!</v>
      </c>
      <c r="Y451" s="116" t="e">
        <f>Y433/'ФОТ, МТР, макро'!BC$14/(Y384/Y379)</f>
        <v>#DIV/0!</v>
      </c>
      <c r="Z451" s="116" t="e">
        <f>Z433/'ФОТ, МТР, макро'!BD$14/(Z384/Z379)</f>
        <v>#DIV/0!</v>
      </c>
      <c r="AC451" s="117" cm="1">
        <f t="array" ref="AC451">INDEX(G451:Z451,1,$C451)</f>
        <v>1.5042961106978086</v>
      </c>
    </row>
    <row r="452" spans="1:29" outlineLevel="1" x14ac:dyDescent="0.25">
      <c r="A452" s="39" t="str">
        <f t="shared" si="893"/>
        <v>БелАЗ 7531 (ГПФК)</v>
      </c>
      <c r="B452" s="39" t="str">
        <f t="shared" si="894"/>
        <v>Транспортный налог</v>
      </c>
      <c r="C452" s="39">
        <f t="shared" si="895"/>
        <v>10</v>
      </c>
      <c r="D452" s="113" t="str">
        <f t="shared" si="896"/>
        <v>Транспортный налог</v>
      </c>
      <c r="E452" s="114" t="str">
        <f t="shared" si="897"/>
        <v>руб/ткм</v>
      </c>
      <c r="F452" s="115"/>
      <c r="G452" s="116">
        <f>G434/'ФОТ, МТР, макро'!AK$14/(G384/G379)</f>
        <v>1.8770120063453948E-2</v>
      </c>
      <c r="H452" s="116">
        <f>H434/'ФОТ, МТР, макро'!AL$14/(H384/H379)</f>
        <v>1.8686945602843501E-2</v>
      </c>
      <c r="I452" s="116">
        <f>I434/'ФОТ, МТР, макро'!AM$14/(I384/I379)</f>
        <v>1.8417591542758668E-2</v>
      </c>
      <c r="J452" s="116">
        <f>J434/'ФОТ, МТР, макро'!AN$14/(J384/J379)</f>
        <v>1.8279429215643097E-2</v>
      </c>
      <c r="K452" s="116">
        <f>K434/'ФОТ, МТР, макро'!AO$14/(K384/K379)</f>
        <v>1.7962371369290724E-2</v>
      </c>
      <c r="L452" s="116">
        <f>L434/'ФОТ, МТР, макро'!AP$14/(L384/L379)</f>
        <v>1.7803949033278459E-2</v>
      </c>
      <c r="M452" s="116">
        <f>M434/'ФОТ, МТР, макро'!AQ$14/(M384/M379)</f>
        <v>1.7660672489476701E-2</v>
      </c>
      <c r="N452" s="116">
        <f>N434/'ФОТ, МТР, макро'!AR$14/(N384/N379)</f>
        <v>1.7649965882992322E-2</v>
      </c>
      <c r="O452" s="116">
        <f>O434/'ФОТ, МТР, макро'!AS$14/(O384/O379)</f>
        <v>1.7587379062499041E-2</v>
      </c>
      <c r="P452" s="116">
        <f>P434/'ФОТ, МТР, макро'!AT$14/(P384/P379)</f>
        <v>1.7544126870408072E-2</v>
      </c>
      <c r="Q452" s="116" t="e">
        <f>Q434/'ФОТ, МТР, макро'!AU$14/(Q384/Q379)</f>
        <v>#DIV/0!</v>
      </c>
      <c r="R452" s="116" t="e">
        <f>R434/'ФОТ, МТР, макро'!AV$14/(R384/R379)</f>
        <v>#DIV/0!</v>
      </c>
      <c r="S452" s="116" t="e">
        <f>S434/'ФОТ, МТР, макро'!AW$14/(S384/S379)</f>
        <v>#DIV/0!</v>
      </c>
      <c r="T452" s="116" t="e">
        <f>T434/'ФОТ, МТР, макро'!AX$14/(T384/T379)</f>
        <v>#DIV/0!</v>
      </c>
      <c r="U452" s="116" t="e">
        <f>U434/'ФОТ, МТР, макро'!AY$14/(U384/U379)</f>
        <v>#DIV/0!</v>
      </c>
      <c r="V452" s="116" t="e">
        <f>V434/'ФОТ, МТР, макро'!AZ$14/(V384/V379)</f>
        <v>#DIV/0!</v>
      </c>
      <c r="W452" s="116" t="e">
        <f>W434/'ФОТ, МТР, макро'!BA$14/(W384/W379)</f>
        <v>#DIV/0!</v>
      </c>
      <c r="X452" s="116" t="e">
        <f>X434/'ФОТ, МТР, макро'!BB$14/(X384/X379)</f>
        <v>#DIV/0!</v>
      </c>
      <c r="Y452" s="116" t="e">
        <f>Y434/'ФОТ, МТР, макро'!BC$14/(Y384/Y379)</f>
        <v>#DIV/0!</v>
      </c>
      <c r="Z452" s="116" t="e">
        <f>Z434/'ФОТ, МТР, макро'!BD$14/(Z384/Z379)</f>
        <v>#DIV/0!</v>
      </c>
      <c r="AC452" s="117" cm="1">
        <f t="array" ref="AC452">INDEX(G452:Z452,1,$C452)</f>
        <v>1.7544126870408072E-2</v>
      </c>
    </row>
    <row r="453" spans="1:29" outlineLevel="1" x14ac:dyDescent="0.25">
      <c r="A453" s="39" t="str">
        <f t="shared" si="893"/>
        <v>БелАЗ 7531 (ГПФК)</v>
      </c>
      <c r="B453" s="39" t="str">
        <f t="shared" si="894"/>
        <v>Налог на прибыль</v>
      </c>
      <c r="C453" s="39">
        <f t="shared" si="895"/>
        <v>10</v>
      </c>
      <c r="D453" s="113" t="str">
        <f t="shared" si="896"/>
        <v>Налог на прибыль</v>
      </c>
      <c r="E453" s="114" t="str">
        <f t="shared" si="897"/>
        <v>руб/ткм</v>
      </c>
      <c r="F453" s="30"/>
      <c r="G453" s="116">
        <f>G435/'ФОТ, МТР, макро'!AK$14/(G384/G379)</f>
        <v>-2.6092277140571589</v>
      </c>
      <c r="H453" s="116">
        <f>H435/'ФОТ, МТР, макро'!AL$14/(H384/H379)</f>
        <v>-2.7686859165023163</v>
      </c>
      <c r="I453" s="116">
        <f>I435/'ФОТ, МТР, макро'!AM$14/(I384/I379)</f>
        <v>-2.9581524095815794</v>
      </c>
      <c r="J453" s="116">
        <f>J435/'ФОТ, МТР, макро'!AN$14/(J384/J379)</f>
        <v>-3.1142775135896441</v>
      </c>
      <c r="K453" s="116">
        <f>K435/'ФОТ, МТР, макро'!AO$14/(K384/K379)</f>
        <v>-3.1543858322338263</v>
      </c>
      <c r="L453" s="116">
        <f>L435/'ФОТ, МТР, макро'!AP$14/(L384/L379)</f>
        <v>-3.1980392220536382</v>
      </c>
      <c r="M453" s="116">
        <f>M435/'ФОТ, МТР, макро'!AQ$14/(M384/M379)</f>
        <v>-3.1276172087151037</v>
      </c>
      <c r="N453" s="116">
        <f>N435/'ФОТ, МТР, макро'!AR$14/(N384/N379)</f>
        <v>-3.1904122302471341</v>
      </c>
      <c r="O453" s="116">
        <f>O435/'ФОТ, МТР, макро'!AS$14/(O384/O379)</f>
        <v>-3.24683306299857</v>
      </c>
      <c r="P453" s="116">
        <f>P435/'ФОТ, МТР, макро'!AT$14/(P384/P379)</f>
        <v>-3.211826017425977</v>
      </c>
      <c r="Q453" s="116" t="e">
        <f>Q435/'ФОТ, МТР, макро'!AU$14/(Q384/Q379)</f>
        <v>#DIV/0!</v>
      </c>
      <c r="R453" s="116" t="e">
        <f>R435/'ФОТ, МТР, макро'!AV$14/(R384/R379)</f>
        <v>#DIV/0!</v>
      </c>
      <c r="S453" s="116" t="e">
        <f>S435/'ФОТ, МТР, макро'!AW$14/(S384/S379)</f>
        <v>#DIV/0!</v>
      </c>
      <c r="T453" s="116" t="e">
        <f>T435/'ФОТ, МТР, макро'!AX$14/(T384/T379)</f>
        <v>#DIV/0!</v>
      </c>
      <c r="U453" s="116" t="e">
        <f>U435/'ФОТ, МТР, макро'!AY$14/(U384/U379)</f>
        <v>#DIV/0!</v>
      </c>
      <c r="V453" s="116" t="e">
        <f>V435/'ФОТ, МТР, макро'!AZ$14/(V384/V379)</f>
        <v>#DIV/0!</v>
      </c>
      <c r="W453" s="116" t="e">
        <f>W435/'ФОТ, МТР, макро'!BA$14/(W384/W379)</f>
        <v>#DIV/0!</v>
      </c>
      <c r="X453" s="116" t="e">
        <f>X435/'ФОТ, МТР, макро'!BB$14/(X384/X379)</f>
        <v>#DIV/0!</v>
      </c>
      <c r="Y453" s="116" t="e">
        <f>Y435/'ФОТ, МТР, макро'!BC$14/(Y384/Y379)</f>
        <v>#DIV/0!</v>
      </c>
      <c r="Z453" s="116" t="e">
        <f>Z435/'ФОТ, МТР, макро'!BD$14/(Z384/Z379)</f>
        <v>#DIV/0!</v>
      </c>
      <c r="AC453" s="117" cm="1">
        <f t="array" ref="AC453">INDEX(G453:Z453,1,$C453)</f>
        <v>-3.211826017425977</v>
      </c>
    </row>
    <row r="454" spans="1:29" outlineLevel="1" x14ac:dyDescent="0.25">
      <c r="A454" s="39" t="str">
        <f t="shared" si="893"/>
        <v>БелАЗ 7531 (ГПФК)</v>
      </c>
      <c r="B454" s="39" t="str">
        <f t="shared" si="894"/>
        <v>Аннуитет инвестиционный</v>
      </c>
      <c r="C454" s="39">
        <f t="shared" si="895"/>
        <v>10</v>
      </c>
      <c r="D454" s="108" t="s">
        <v>96</v>
      </c>
      <c r="E454" s="118" t="str">
        <f>E446</f>
        <v>руб/ткм</v>
      </c>
      <c r="F454" s="119"/>
      <c r="G454" s="111">
        <f>G440/'ФОТ, МТР, макро'!AK$14/(G384/G379)</f>
        <v>0</v>
      </c>
      <c r="H454" s="111">
        <f>H440/'ФОТ, МТР, макро'!AL$14/(H384/H379)</f>
        <v>0</v>
      </c>
      <c r="I454" s="111">
        <f>I440/'ФОТ, МТР, макро'!AM$14/(I384/I379)</f>
        <v>0</v>
      </c>
      <c r="J454" s="111">
        <f>J440/'ФОТ, МТР, макро'!AN$14/(J384/J379)</f>
        <v>0</v>
      </c>
      <c r="K454" s="111">
        <f>K440/'ФОТ, МТР, макро'!AO$14/(K384/K379)</f>
        <v>0</v>
      </c>
      <c r="L454" s="111">
        <f>L440/'ФОТ, МТР, макро'!AP$14/(L384/L379)</f>
        <v>0</v>
      </c>
      <c r="M454" s="111">
        <f>M440/'ФОТ, МТР, макро'!AQ$14/(M384/M379)</f>
        <v>0</v>
      </c>
      <c r="N454" s="111">
        <f>N440/'ФОТ, МТР, макро'!AR$14/(N384/N379)</f>
        <v>0</v>
      </c>
      <c r="O454" s="111">
        <f>O440/'ФОТ, МТР, макро'!AS$14/(O384/O379)</f>
        <v>0</v>
      </c>
      <c r="P454" s="111">
        <f>P440/'ФОТ, МТР, макро'!AT$14/(P384/P379)</f>
        <v>0</v>
      </c>
      <c r="Q454" s="111" t="e">
        <f>Q440/'ФОТ, МТР, макро'!AU$14/(Q384/Q379)</f>
        <v>#DIV/0!</v>
      </c>
      <c r="R454" s="111" t="e">
        <f>R440/'ФОТ, МТР, макро'!AV$14/(R384/R379)</f>
        <v>#DIV/0!</v>
      </c>
      <c r="S454" s="111" t="e">
        <f>S440/'ФОТ, МТР, макро'!AW$14/(S384/S379)</f>
        <v>#DIV/0!</v>
      </c>
      <c r="T454" s="111" t="e">
        <f>T440/'ФОТ, МТР, макро'!AX$14/(T384/T379)</f>
        <v>#DIV/0!</v>
      </c>
      <c r="U454" s="111" t="e">
        <f>U440/'ФОТ, МТР, макро'!AY$14/(U384/U379)</f>
        <v>#DIV/0!</v>
      </c>
      <c r="V454" s="111" t="e">
        <f>V440/'ФОТ, МТР, макро'!AZ$14/(V384/V379)</f>
        <v>#DIV/0!</v>
      </c>
      <c r="W454" s="111" t="e">
        <f>W440/'ФОТ, МТР, макро'!BA$14/(W384/W379)</f>
        <v>#DIV/0!</v>
      </c>
      <c r="X454" s="111" t="e">
        <f>X440/'ФОТ, МТР, макро'!BB$14/(X384/X379)</f>
        <v>#DIV/0!</v>
      </c>
      <c r="Y454" s="111" t="e">
        <f>Y440/'ФОТ, МТР, макро'!BC$14/(Y384/Y379)</f>
        <v>#DIV/0!</v>
      </c>
      <c r="Z454" s="111" t="e">
        <f>Z440/'ФОТ, МТР, макро'!BD$14/(Z384/Z379)</f>
        <v>#DIV/0!</v>
      </c>
      <c r="AC454" s="112" cm="1">
        <f t="array" ref="AC454">INDEX(G454:Z454,1,$C454)</f>
        <v>0</v>
      </c>
    </row>
    <row r="455" spans="1:29" outlineLevel="1" x14ac:dyDescent="0.25">
      <c r="A455" s="39" t="str">
        <f t="shared" si="893"/>
        <v>БелАЗ 7531 (ГПФК)</v>
      </c>
      <c r="B455" s="39" t="str">
        <f t="shared" si="894"/>
        <v>Самосвал</v>
      </c>
      <c r="C455" s="39">
        <f t="shared" si="895"/>
        <v>10</v>
      </c>
      <c r="D455" s="101" t="str">
        <f>D441</f>
        <v>Самосвал</v>
      </c>
      <c r="E455" s="9" t="str">
        <f>E454</f>
        <v>руб/ткм</v>
      </c>
      <c r="F455" s="30"/>
      <c r="G455" s="120">
        <f>G441/'ФОТ, МТР, макро'!AK$14/(G384/G379)</f>
        <v>0</v>
      </c>
      <c r="H455" s="120">
        <f>H441/'ФОТ, МТР, макро'!AL$14/(H384/H379)</f>
        <v>0</v>
      </c>
      <c r="I455" s="120">
        <f>I441/'ФОТ, МТР, макро'!AM$14/(I384/I379)</f>
        <v>0</v>
      </c>
      <c r="J455" s="120">
        <f>J441/'ФОТ, МТР, макро'!AN$14/(J384/J379)</f>
        <v>0</v>
      </c>
      <c r="K455" s="120">
        <f>K441/'ФОТ, МТР, макро'!AO$14/(K384/K379)</f>
        <v>0</v>
      </c>
      <c r="L455" s="120">
        <f>L441/'ФОТ, МТР, макро'!AP$14/(L384/L379)</f>
        <v>0</v>
      </c>
      <c r="M455" s="120">
        <f>M441/'ФОТ, МТР, макро'!AQ$14/(M384/M379)</f>
        <v>0</v>
      </c>
      <c r="N455" s="120">
        <f>N441/'ФОТ, МТР, макро'!AR$14/(N384/N379)</f>
        <v>0</v>
      </c>
      <c r="O455" s="120">
        <f>O441/'ФОТ, МТР, макро'!AS$14/(O384/O379)</f>
        <v>0</v>
      </c>
      <c r="P455" s="120">
        <f>P441/'ФОТ, МТР, макро'!AT$14/(P384/P379)</f>
        <v>0</v>
      </c>
      <c r="Q455" s="120" t="e">
        <f>Q441/'ФОТ, МТР, макро'!AU$14/(Q384/Q379)</f>
        <v>#DIV/0!</v>
      </c>
      <c r="R455" s="120" t="e">
        <f>R441/'ФОТ, МТР, макро'!AV$14/(R384/R379)</f>
        <v>#DIV/0!</v>
      </c>
      <c r="S455" s="120" t="e">
        <f>S441/'ФОТ, МТР, макро'!AW$14/(S384/S379)</f>
        <v>#DIV/0!</v>
      </c>
      <c r="T455" s="120" t="e">
        <f>T441/'ФОТ, МТР, макро'!AX$14/(T384/T379)</f>
        <v>#DIV/0!</v>
      </c>
      <c r="U455" s="120" t="e">
        <f>U441/'ФОТ, МТР, макро'!AY$14/(U384/U379)</f>
        <v>#DIV/0!</v>
      </c>
      <c r="V455" s="120" t="e">
        <f>V441/'ФОТ, МТР, макро'!AZ$14/(V384/V379)</f>
        <v>#DIV/0!</v>
      </c>
      <c r="W455" s="120" t="e">
        <f>W441/'ФОТ, МТР, макро'!BA$14/(W384/W379)</f>
        <v>#DIV/0!</v>
      </c>
      <c r="X455" s="120" t="e">
        <f>X441/'ФОТ, МТР, макро'!BB$14/(X384/X379)</f>
        <v>#DIV/0!</v>
      </c>
      <c r="Y455" s="120" t="e">
        <f>Y441/'ФОТ, МТР, макро'!BC$14/(Y384/Y379)</f>
        <v>#DIV/0!</v>
      </c>
      <c r="Z455" s="120" t="e">
        <f>Z441/'ФОТ, МТР, макро'!BD$14/(Z384/Z379)</f>
        <v>#DIV/0!</v>
      </c>
      <c r="AC455" s="117" cm="1">
        <f t="array" ref="AC455">INDEX(G455:Z455,1,$C455)</f>
        <v>0</v>
      </c>
    </row>
    <row r="456" spans="1:29" outlineLevel="1" x14ac:dyDescent="0.25">
      <c r="A456" s="39" t="str">
        <f t="shared" si="893"/>
        <v>БелАЗ 7531 (ГПФК)</v>
      </c>
      <c r="B456" s="39" t="str">
        <f t="shared" si="894"/>
        <v>Аннуитет общий</v>
      </c>
      <c r="C456" s="39">
        <f t="shared" si="895"/>
        <v>10</v>
      </c>
      <c r="D456" s="108" t="s">
        <v>97</v>
      </c>
      <c r="E456" s="118" t="str">
        <f>E446</f>
        <v>руб/ткм</v>
      </c>
      <c r="F456" s="119"/>
      <c r="G456" s="111">
        <f>G444/'ФОТ, МТР, макро'!AK$14/(G384/G379)</f>
        <v>7.8276831421714768</v>
      </c>
      <c r="H456" s="111">
        <f>H444/'ФОТ, МТР, макро'!AL$14/(H384/H379)</f>
        <v>8.3060577495069499</v>
      </c>
      <c r="I456" s="111">
        <f>I444/'ФОТ, МТР, макро'!AM$14/(I384/I379)</f>
        <v>8.8744572287447383</v>
      </c>
      <c r="J456" s="111">
        <f>J444/'ФОТ, МТР, макро'!AN$14/(J384/J379)</f>
        <v>9.3428325407689332</v>
      </c>
      <c r="K456" s="111">
        <f>K444/'ФОТ, МТР, макро'!AO$14/(K384/K379)</f>
        <v>9.4631574967014789</v>
      </c>
      <c r="L456" s="111">
        <f>L444/'ФОТ, МТР, макро'!AP$14/(L384/L379)</f>
        <v>9.5941176661609138</v>
      </c>
      <c r="M456" s="111">
        <f>M444/'ФОТ, МТР, макро'!AQ$14/(M384/M379)</f>
        <v>9.3828516261453103</v>
      </c>
      <c r="N456" s="111">
        <f>N444/'ФОТ, МТР, макро'!AR$14/(N384/N379)</f>
        <v>9.5712366907414026</v>
      </c>
      <c r="O456" s="111">
        <f>O444/'ФОТ, МТР, макро'!AS$14/(O384/O379)</f>
        <v>9.7404991889957095</v>
      </c>
      <c r="P456" s="111">
        <f>P444/'ФОТ, МТР, макро'!AT$14/(P384/P379)</f>
        <v>9.6354780522779304</v>
      </c>
      <c r="Q456" s="111" t="e">
        <f>Q444/'ФОТ, МТР, макро'!AU$14/(Q384/Q379)</f>
        <v>#DIV/0!</v>
      </c>
      <c r="R456" s="111" t="e">
        <f>R444/'ФОТ, МТР, макро'!AV$14/(R384/R379)</f>
        <v>#DIV/0!</v>
      </c>
      <c r="S456" s="111" t="e">
        <f>S444/'ФОТ, МТР, макро'!AW$14/(S384/S379)</f>
        <v>#DIV/0!</v>
      </c>
      <c r="T456" s="111" t="e">
        <f>T444/'ФОТ, МТР, макро'!AX$14/(T384/T379)</f>
        <v>#DIV/0!</v>
      </c>
      <c r="U456" s="111" t="e">
        <f>U444/'ФОТ, МТР, макро'!AY$14/(U384/U379)</f>
        <v>#DIV/0!</v>
      </c>
      <c r="V456" s="111" t="e">
        <f>V444/'ФОТ, МТР, макро'!AZ$14/(V384/V379)</f>
        <v>#DIV/0!</v>
      </c>
      <c r="W456" s="111" t="e">
        <f>W444/'ФОТ, МТР, макро'!BA$14/(W384/W379)</f>
        <v>#DIV/0!</v>
      </c>
      <c r="X456" s="111" t="e">
        <f>X444/'ФОТ, МТР, макро'!BB$14/(X384/X379)</f>
        <v>#DIV/0!</v>
      </c>
      <c r="Y456" s="111" t="e">
        <f>Y444/'ФОТ, МТР, макро'!BC$14/(Y384/Y379)</f>
        <v>#DIV/0!</v>
      </c>
      <c r="Z456" s="111" t="e">
        <f>Z444/'ФОТ, МТР, макро'!BD$14/(Z384/Z379)</f>
        <v>#DIV/0!</v>
      </c>
      <c r="AC456" s="112" cm="1">
        <f t="array" ref="AC456">INDEX(G456:Z456,1,$C456)</f>
        <v>9.6354780522779304</v>
      </c>
    </row>
    <row r="457" spans="1:29" outlineLevel="1" x14ac:dyDescent="0.25">
      <c r="A457" s="39" t="str">
        <f t="shared" si="893"/>
        <v>БелАЗ 7531 (ГПФК)</v>
      </c>
      <c r="B457" s="39"/>
      <c r="D457" s="121"/>
      <c r="E457" s="1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9" outlineLevel="1" x14ac:dyDescent="0.25">
      <c r="A458" s="39" t="str">
        <f t="shared" si="893"/>
        <v>БелАЗ 7531 (ГПФК)</v>
      </c>
      <c r="B458" s="39"/>
      <c r="D458" s="123" t="s">
        <v>88</v>
      </c>
      <c r="E458" s="124"/>
      <c r="F458" s="125"/>
      <c r="G458" s="126">
        <f>G456-G446-G454+G446-SUM(G447:G453)+G454-G455</f>
        <v>0</v>
      </c>
      <c r="H458" s="126">
        <f t="shared" ref="H458:I458" si="898">H456-H446-H454+H446-SUM(H447:H453)+H454-H455</f>
        <v>5.3290705182007514E-15</v>
      </c>
      <c r="I458" s="126">
        <f t="shared" si="898"/>
        <v>3.5527136788005009E-15</v>
      </c>
      <c r="J458" s="126">
        <f t="shared" ref="J458:Z458" si="899">J456-J446-J454+J446-SUM(J447:J453)+J454-J455</f>
        <v>1.7763568394002505E-15</v>
      </c>
      <c r="K458" s="126">
        <f t="shared" si="899"/>
        <v>1.7763568394002505E-15</v>
      </c>
      <c r="L458" s="126">
        <f t="shared" si="899"/>
        <v>1.7763568394002505E-15</v>
      </c>
      <c r="M458" s="126">
        <f t="shared" si="899"/>
        <v>0</v>
      </c>
      <c r="N458" s="126">
        <f t="shared" si="899"/>
        <v>1.7763568394002505E-15</v>
      </c>
      <c r="O458" s="126">
        <f t="shared" si="899"/>
        <v>3.5527136788005009E-15</v>
      </c>
      <c r="P458" s="126">
        <f t="shared" si="899"/>
        <v>3.5527136788005009E-15</v>
      </c>
      <c r="Q458" s="126" t="e">
        <f t="shared" si="899"/>
        <v>#DIV/0!</v>
      </c>
      <c r="R458" s="126" t="e">
        <f t="shared" si="899"/>
        <v>#DIV/0!</v>
      </c>
      <c r="S458" s="126" t="e">
        <f t="shared" si="899"/>
        <v>#DIV/0!</v>
      </c>
      <c r="T458" s="126" t="e">
        <f t="shared" si="899"/>
        <v>#DIV/0!</v>
      </c>
      <c r="U458" s="126" t="e">
        <f t="shared" si="899"/>
        <v>#DIV/0!</v>
      </c>
      <c r="V458" s="126" t="e">
        <f t="shared" si="899"/>
        <v>#DIV/0!</v>
      </c>
      <c r="W458" s="126" t="e">
        <f t="shared" si="899"/>
        <v>#DIV/0!</v>
      </c>
      <c r="X458" s="126" t="e">
        <f t="shared" si="899"/>
        <v>#DIV/0!</v>
      </c>
      <c r="Y458" s="126" t="e">
        <f t="shared" si="899"/>
        <v>#DIV/0!</v>
      </c>
      <c r="Z458" s="126" t="e">
        <f t="shared" si="899"/>
        <v>#DIV/0!</v>
      </c>
    </row>
    <row r="459" spans="1:29" outlineLevel="1" x14ac:dyDescent="0.25">
      <c r="A459" s="39" t="str">
        <f t="shared" si="893"/>
        <v>БелАЗ 7531 (ГПФК)</v>
      </c>
      <c r="B459" s="39"/>
      <c r="D459" s="125"/>
      <c r="E459" s="124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9" outlineLevel="1" x14ac:dyDescent="0.25">
      <c r="A460" s="39" t="str">
        <f t="shared" si="893"/>
        <v>БелАЗ 7531 (ГПФК)</v>
      </c>
      <c r="B460" s="39"/>
      <c r="D460" s="127" t="s">
        <v>98</v>
      </c>
      <c r="E460" s="128" t="str">
        <f>E456</f>
        <v>руб/ткм</v>
      </c>
      <c r="F460" s="129"/>
      <c r="G460" s="130">
        <f>SUM(G461:G466)</f>
        <v>10.436910856228636</v>
      </c>
      <c r="H460" s="130">
        <f t="shared" ref="H460:I460" si="900">SUM(H461:H466)</f>
        <v>11.788676233338913</v>
      </c>
      <c r="I460" s="130">
        <f t="shared" si="900"/>
        <v>13.618520560602301</v>
      </c>
      <c r="J460" s="130">
        <f t="shared" ref="J460:Z460" si="901">SUM(J461:J466)</f>
        <v>14.819263805483592</v>
      </c>
      <c r="K460" s="130">
        <f t="shared" si="901"/>
        <v>13.683537193455171</v>
      </c>
      <c r="L460" s="130">
        <f t="shared" si="901"/>
        <v>14.200158479317022</v>
      </c>
      <c r="M460" s="130">
        <f t="shared" si="901"/>
        <v>10.384454445382181</v>
      </c>
      <c r="N460" s="130">
        <f t="shared" si="901"/>
        <v>15.619324192597507</v>
      </c>
      <c r="O460" s="130">
        <f t="shared" si="901"/>
        <v>16.258436163085648</v>
      </c>
      <c r="P460" s="130">
        <f t="shared" si="901"/>
        <v>10.819107299011391</v>
      </c>
      <c r="Q460" s="130" t="e">
        <f t="shared" si="901"/>
        <v>#DIV/0!</v>
      </c>
      <c r="R460" s="130" t="e">
        <f t="shared" si="901"/>
        <v>#DIV/0!</v>
      </c>
      <c r="S460" s="130" t="e">
        <f t="shared" si="901"/>
        <v>#DIV/0!</v>
      </c>
      <c r="T460" s="130" t="e">
        <f t="shared" si="901"/>
        <v>#DIV/0!</v>
      </c>
      <c r="U460" s="130" t="e">
        <f t="shared" si="901"/>
        <v>#DIV/0!</v>
      </c>
      <c r="V460" s="130" t="e">
        <f t="shared" si="901"/>
        <v>#DIV/0!</v>
      </c>
      <c r="W460" s="130" t="e">
        <f t="shared" si="901"/>
        <v>#DIV/0!</v>
      </c>
      <c r="X460" s="130" t="e">
        <f t="shared" si="901"/>
        <v>#DIV/0!</v>
      </c>
      <c r="Y460" s="130" t="e">
        <f t="shared" si="901"/>
        <v>#DIV/0!</v>
      </c>
      <c r="Z460" s="130" t="e">
        <f t="shared" si="901"/>
        <v>#DIV/0!</v>
      </c>
    </row>
    <row r="461" spans="1:29" outlineLevel="1" x14ac:dyDescent="0.25">
      <c r="A461" s="39" t="str">
        <f t="shared" si="893"/>
        <v>БелАЗ 7531 (ГПФК)</v>
      </c>
      <c r="B461" s="39"/>
      <c r="D461" s="113" t="str">
        <f>D447</f>
        <v>ТО, ТР, ППР</v>
      </c>
      <c r="E461" s="114" t="str">
        <f>E460</f>
        <v>руб/ткм</v>
      </c>
      <c r="F461" s="115"/>
      <c r="G461" s="116">
        <f>G388/G383</f>
        <v>1.212893019417522</v>
      </c>
      <c r="H461" s="116">
        <f t="shared" ref="H461:I461" si="902">H388/H383</f>
        <v>2.579024437169815</v>
      </c>
      <c r="I461" s="116">
        <f t="shared" si="902"/>
        <v>4.4698477149598626</v>
      </c>
      <c r="J461" s="116">
        <f t="shared" ref="J461:Z461" si="903">J388/J383</f>
        <v>5.6727092126840146</v>
      </c>
      <c r="K461" s="116">
        <f t="shared" si="903"/>
        <v>4.6306755456462687</v>
      </c>
      <c r="L461" s="116">
        <f t="shared" si="903"/>
        <v>5.1251779047014896</v>
      </c>
      <c r="M461" s="116">
        <f t="shared" si="903"/>
        <v>1.3272367683761026</v>
      </c>
      <c r="N461" s="116">
        <f t="shared" si="903"/>
        <v>6.4989422393748484</v>
      </c>
      <c r="O461" s="116">
        <f t="shared" si="903"/>
        <v>7.1790976859922733</v>
      </c>
      <c r="P461" s="116">
        <f t="shared" si="903"/>
        <v>1.7343907056721595</v>
      </c>
      <c r="Q461" s="116" t="e">
        <f t="shared" si="903"/>
        <v>#DIV/0!</v>
      </c>
      <c r="R461" s="116" t="e">
        <f t="shared" si="903"/>
        <v>#DIV/0!</v>
      </c>
      <c r="S461" s="116" t="e">
        <f t="shared" si="903"/>
        <v>#DIV/0!</v>
      </c>
      <c r="T461" s="116" t="e">
        <f t="shared" si="903"/>
        <v>#DIV/0!</v>
      </c>
      <c r="U461" s="116" t="e">
        <f t="shared" si="903"/>
        <v>#DIV/0!</v>
      </c>
      <c r="V461" s="116" t="e">
        <f t="shared" si="903"/>
        <v>#DIV/0!</v>
      </c>
      <c r="W461" s="116" t="e">
        <f t="shared" si="903"/>
        <v>#DIV/0!</v>
      </c>
      <c r="X461" s="116" t="e">
        <f t="shared" si="903"/>
        <v>#DIV/0!</v>
      </c>
      <c r="Y461" s="116" t="e">
        <f t="shared" si="903"/>
        <v>#DIV/0!</v>
      </c>
      <c r="Z461" s="116" t="e">
        <f t="shared" si="903"/>
        <v>#DIV/0!</v>
      </c>
    </row>
    <row r="462" spans="1:29" outlineLevel="1" x14ac:dyDescent="0.25">
      <c r="A462" s="39" t="str">
        <f t="shared" si="893"/>
        <v>БелАЗ 7531 (ГПФК)</v>
      </c>
      <c r="B462" s="39"/>
      <c r="D462" s="113" t="str">
        <f t="shared" ref="D462:D466" si="904">D448</f>
        <v>Шины</v>
      </c>
      <c r="E462" s="114" t="str">
        <f t="shared" ref="E462:E466" si="905">E461</f>
        <v>руб/ткм</v>
      </c>
      <c r="F462" s="115"/>
      <c r="G462" s="116">
        <f>G393/G383</f>
        <v>1.6541278162047983</v>
      </c>
      <c r="H462" s="116">
        <f t="shared" ref="H462:I462" si="906">H393/H383</f>
        <v>1.6541278162047985</v>
      </c>
      <c r="I462" s="116">
        <f t="shared" si="906"/>
        <v>1.6541278162047988</v>
      </c>
      <c r="J462" s="116">
        <f t="shared" ref="J462:Z462" si="907">J393/J383</f>
        <v>1.6541278162047985</v>
      </c>
      <c r="K462" s="116">
        <f t="shared" si="907"/>
        <v>1.6541278162047983</v>
      </c>
      <c r="L462" s="116">
        <f t="shared" si="907"/>
        <v>1.654127816204799</v>
      </c>
      <c r="M462" s="116">
        <f t="shared" si="907"/>
        <v>1.6541278162047988</v>
      </c>
      <c r="N462" s="116">
        <f t="shared" si="907"/>
        <v>1.6541278162047985</v>
      </c>
      <c r="O462" s="116">
        <f t="shared" si="907"/>
        <v>1.654127816204799</v>
      </c>
      <c r="P462" s="116">
        <f t="shared" si="907"/>
        <v>1.654127816204799</v>
      </c>
      <c r="Q462" s="116" t="e">
        <f t="shared" si="907"/>
        <v>#DIV/0!</v>
      </c>
      <c r="R462" s="116" t="e">
        <f t="shared" si="907"/>
        <v>#DIV/0!</v>
      </c>
      <c r="S462" s="116" t="e">
        <f t="shared" si="907"/>
        <v>#DIV/0!</v>
      </c>
      <c r="T462" s="116" t="e">
        <f t="shared" si="907"/>
        <v>#DIV/0!</v>
      </c>
      <c r="U462" s="116" t="e">
        <f t="shared" si="907"/>
        <v>#DIV/0!</v>
      </c>
      <c r="V462" s="116" t="e">
        <f t="shared" si="907"/>
        <v>#DIV/0!</v>
      </c>
      <c r="W462" s="116" t="e">
        <f t="shared" si="907"/>
        <v>#DIV/0!</v>
      </c>
      <c r="X462" s="116" t="e">
        <f t="shared" si="907"/>
        <v>#DIV/0!</v>
      </c>
      <c r="Y462" s="116" t="e">
        <f t="shared" si="907"/>
        <v>#DIV/0!</v>
      </c>
      <c r="Z462" s="116" t="e">
        <f t="shared" si="907"/>
        <v>#DIV/0!</v>
      </c>
    </row>
    <row r="463" spans="1:29" outlineLevel="1" x14ac:dyDescent="0.25">
      <c r="A463" s="39" t="str">
        <f t="shared" si="893"/>
        <v>БелАЗ 7531 (ГПФК)</v>
      </c>
      <c r="B463" s="39"/>
      <c r="D463" s="113" t="str">
        <f t="shared" si="904"/>
        <v>Топливо</v>
      </c>
      <c r="E463" s="114" t="str">
        <f t="shared" si="905"/>
        <v>руб/ткм</v>
      </c>
      <c r="F463" s="115"/>
      <c r="G463" s="116">
        <f>G397/G383</f>
        <v>5.9417027538616862</v>
      </c>
      <c r="H463" s="116">
        <f t="shared" ref="H463:I463" si="908">H397/H383</f>
        <v>5.9417027538616871</v>
      </c>
      <c r="I463" s="116">
        <f t="shared" si="908"/>
        <v>5.9417027538616871</v>
      </c>
      <c r="J463" s="116">
        <f t="shared" ref="J463:Z463" si="909">J397/J383</f>
        <v>5.9417027538616862</v>
      </c>
      <c r="K463" s="116">
        <f t="shared" si="909"/>
        <v>5.9417027538616871</v>
      </c>
      <c r="L463" s="116">
        <f t="shared" si="909"/>
        <v>5.941702753861688</v>
      </c>
      <c r="M463" s="116">
        <f t="shared" si="909"/>
        <v>5.9417027538616871</v>
      </c>
      <c r="N463" s="116">
        <f t="shared" si="909"/>
        <v>5.9417027538616871</v>
      </c>
      <c r="O463" s="116">
        <f t="shared" si="909"/>
        <v>5.941702753861688</v>
      </c>
      <c r="P463" s="116">
        <f t="shared" si="909"/>
        <v>5.941702753861688</v>
      </c>
      <c r="Q463" s="116" t="e">
        <f t="shared" si="909"/>
        <v>#DIV/0!</v>
      </c>
      <c r="R463" s="116" t="e">
        <f t="shared" si="909"/>
        <v>#DIV/0!</v>
      </c>
      <c r="S463" s="116" t="e">
        <f t="shared" si="909"/>
        <v>#DIV/0!</v>
      </c>
      <c r="T463" s="116" t="e">
        <f t="shared" si="909"/>
        <v>#DIV/0!</v>
      </c>
      <c r="U463" s="116" t="e">
        <f t="shared" si="909"/>
        <v>#DIV/0!</v>
      </c>
      <c r="V463" s="116" t="e">
        <f t="shared" si="909"/>
        <v>#DIV/0!</v>
      </c>
      <c r="W463" s="116" t="e">
        <f t="shared" si="909"/>
        <v>#DIV/0!</v>
      </c>
      <c r="X463" s="116" t="e">
        <f t="shared" si="909"/>
        <v>#DIV/0!</v>
      </c>
      <c r="Y463" s="116" t="e">
        <f t="shared" si="909"/>
        <v>#DIV/0!</v>
      </c>
      <c r="Z463" s="116" t="e">
        <f t="shared" si="909"/>
        <v>#DIV/0!</v>
      </c>
    </row>
    <row r="464" spans="1:29" outlineLevel="1" x14ac:dyDescent="0.25">
      <c r="A464" s="39" t="str">
        <f t="shared" si="893"/>
        <v>БелАЗ 7531 (ГПФК)</v>
      </c>
      <c r="B464" s="39"/>
      <c r="D464" s="113" t="str">
        <f t="shared" si="904"/>
        <v>Смазочные</v>
      </c>
      <c r="E464" s="114" t="str">
        <f t="shared" si="905"/>
        <v>руб/ткм</v>
      </c>
      <c r="F464" s="115"/>
      <c r="G464" s="116">
        <f>G402/G383</f>
        <v>0</v>
      </c>
      <c r="H464" s="116">
        <f t="shared" ref="H464:I464" si="910">H402/H383</f>
        <v>0</v>
      </c>
      <c r="I464" s="116">
        <f t="shared" si="910"/>
        <v>0</v>
      </c>
      <c r="J464" s="116">
        <f t="shared" ref="J464:Z464" si="911">J402/J383</f>
        <v>0</v>
      </c>
      <c r="K464" s="116">
        <f t="shared" si="911"/>
        <v>0</v>
      </c>
      <c r="L464" s="116">
        <f t="shared" si="911"/>
        <v>0</v>
      </c>
      <c r="M464" s="116">
        <f t="shared" si="911"/>
        <v>0</v>
      </c>
      <c r="N464" s="116">
        <f t="shared" si="911"/>
        <v>0</v>
      </c>
      <c r="O464" s="116">
        <f t="shared" si="911"/>
        <v>0</v>
      </c>
      <c r="P464" s="116">
        <f t="shared" si="911"/>
        <v>0</v>
      </c>
      <c r="Q464" s="116" t="e">
        <f t="shared" si="911"/>
        <v>#DIV/0!</v>
      </c>
      <c r="R464" s="116" t="e">
        <f t="shared" si="911"/>
        <v>#DIV/0!</v>
      </c>
      <c r="S464" s="116" t="e">
        <f t="shared" si="911"/>
        <v>#DIV/0!</v>
      </c>
      <c r="T464" s="116" t="e">
        <f t="shared" si="911"/>
        <v>#DIV/0!</v>
      </c>
      <c r="U464" s="116" t="e">
        <f t="shared" si="911"/>
        <v>#DIV/0!</v>
      </c>
      <c r="V464" s="116" t="e">
        <f t="shared" si="911"/>
        <v>#DIV/0!</v>
      </c>
      <c r="W464" s="116" t="e">
        <f t="shared" si="911"/>
        <v>#DIV/0!</v>
      </c>
      <c r="X464" s="116" t="e">
        <f t="shared" si="911"/>
        <v>#DIV/0!</v>
      </c>
      <c r="Y464" s="116" t="e">
        <f t="shared" si="911"/>
        <v>#DIV/0!</v>
      </c>
      <c r="Z464" s="116" t="e">
        <f t="shared" si="911"/>
        <v>#DIV/0!</v>
      </c>
    </row>
    <row r="465" spans="1:26" outlineLevel="1" x14ac:dyDescent="0.25">
      <c r="A465" s="39" t="str">
        <f t="shared" si="893"/>
        <v>БелАЗ 7531 (ГПФК)</v>
      </c>
      <c r="B465" s="39"/>
      <c r="D465" s="113" t="str">
        <f t="shared" si="904"/>
        <v>Затраты на персонал</v>
      </c>
      <c r="E465" s="114" t="str">
        <f t="shared" si="905"/>
        <v>руб/ткм</v>
      </c>
      <c r="F465" s="115"/>
      <c r="G465" s="116">
        <f>G404/G383</f>
        <v>1.609417146681174</v>
      </c>
      <c r="H465" s="116">
        <f t="shared" ref="H465:I465" si="912">H404/H383</f>
        <v>1.5952167210843058</v>
      </c>
      <c r="I465" s="116">
        <f t="shared" si="912"/>
        <v>1.5349407500281935</v>
      </c>
      <c r="J465" s="116">
        <f t="shared" ref="J465:Z465" si="913">J404/J383</f>
        <v>1.5328469168949064</v>
      </c>
      <c r="K465" s="116">
        <f t="shared" si="913"/>
        <v>1.4402340858828215</v>
      </c>
      <c r="L465" s="116">
        <f t="shared" si="913"/>
        <v>1.462098020576245</v>
      </c>
      <c r="M465" s="116">
        <f t="shared" si="913"/>
        <v>1.4445398977661148</v>
      </c>
      <c r="N465" s="116">
        <f t="shared" si="913"/>
        <v>1.5069760015712514</v>
      </c>
      <c r="O465" s="116">
        <f t="shared" si="913"/>
        <v>1.4664056841445916</v>
      </c>
      <c r="P465" s="116">
        <f t="shared" si="913"/>
        <v>1.4717218002202546</v>
      </c>
      <c r="Q465" s="116" t="e">
        <f t="shared" si="913"/>
        <v>#DIV/0!</v>
      </c>
      <c r="R465" s="116" t="e">
        <f t="shared" si="913"/>
        <v>#DIV/0!</v>
      </c>
      <c r="S465" s="116" t="e">
        <f t="shared" si="913"/>
        <v>#DIV/0!</v>
      </c>
      <c r="T465" s="116" t="e">
        <f t="shared" si="913"/>
        <v>#DIV/0!</v>
      </c>
      <c r="U465" s="116" t="e">
        <f t="shared" si="913"/>
        <v>#DIV/0!</v>
      </c>
      <c r="V465" s="116" t="e">
        <f t="shared" si="913"/>
        <v>#DIV/0!</v>
      </c>
      <c r="W465" s="116" t="e">
        <f t="shared" si="913"/>
        <v>#DIV/0!</v>
      </c>
      <c r="X465" s="116" t="e">
        <f t="shared" si="913"/>
        <v>#DIV/0!</v>
      </c>
      <c r="Y465" s="116" t="e">
        <f t="shared" si="913"/>
        <v>#DIV/0!</v>
      </c>
      <c r="Z465" s="116" t="e">
        <f t="shared" si="913"/>
        <v>#DIV/0!</v>
      </c>
    </row>
    <row r="466" spans="1:26" outlineLevel="1" x14ac:dyDescent="0.25">
      <c r="A466" s="39" t="str">
        <f t="shared" si="893"/>
        <v>БелАЗ 7531 (ГПФК)</v>
      </c>
      <c r="B466" s="39"/>
      <c r="D466" s="113" t="str">
        <f t="shared" si="904"/>
        <v>Транспортный налог</v>
      </c>
      <c r="E466" s="114" t="str">
        <f t="shared" si="905"/>
        <v>руб/ткм</v>
      </c>
      <c r="F466" s="115"/>
      <c r="G466" s="116">
        <f>G408/G383</f>
        <v>1.8770120063453948E-2</v>
      </c>
      <c r="H466" s="116">
        <f t="shared" ref="H466:I466" si="914">H408/H383</f>
        <v>1.8604505018308563E-2</v>
      </c>
      <c r="I466" s="116">
        <f t="shared" si="914"/>
        <v>1.7901525547760751E-2</v>
      </c>
      <c r="J466" s="116">
        <f t="shared" ref="J466:Z466" si="915">J408/J383</f>
        <v>1.7877105838187204E-2</v>
      </c>
      <c r="K466" s="116">
        <f t="shared" si="915"/>
        <v>1.6796991859596933E-2</v>
      </c>
      <c r="L466" s="116">
        <f t="shared" si="915"/>
        <v>1.7051983972798508E-2</v>
      </c>
      <c r="M466" s="116">
        <f t="shared" si="915"/>
        <v>1.6847209173477755E-2</v>
      </c>
      <c r="N466" s="116">
        <f t="shared" si="915"/>
        <v>1.7575381584920845E-2</v>
      </c>
      <c r="O466" s="116">
        <f t="shared" si="915"/>
        <v>1.7102222882292892E-2</v>
      </c>
      <c r="P466" s="116">
        <f t="shared" si="915"/>
        <v>1.7164223052489425E-2</v>
      </c>
      <c r="Q466" s="116" t="e">
        <f t="shared" si="915"/>
        <v>#DIV/0!</v>
      </c>
      <c r="R466" s="116" t="e">
        <f t="shared" si="915"/>
        <v>#DIV/0!</v>
      </c>
      <c r="S466" s="116" t="e">
        <f t="shared" si="915"/>
        <v>#DIV/0!</v>
      </c>
      <c r="T466" s="116" t="e">
        <f t="shared" si="915"/>
        <v>#DIV/0!</v>
      </c>
      <c r="U466" s="116" t="e">
        <f t="shared" si="915"/>
        <v>#DIV/0!</v>
      </c>
      <c r="V466" s="116" t="e">
        <f t="shared" si="915"/>
        <v>#DIV/0!</v>
      </c>
      <c r="W466" s="116" t="e">
        <f t="shared" si="915"/>
        <v>#DIV/0!</v>
      </c>
      <c r="X466" s="116" t="e">
        <f t="shared" si="915"/>
        <v>#DIV/0!</v>
      </c>
      <c r="Y466" s="116" t="e">
        <f t="shared" si="915"/>
        <v>#DIV/0!</v>
      </c>
      <c r="Z466" s="116" t="e">
        <f t="shared" si="915"/>
        <v>#DIV/0!</v>
      </c>
    </row>
    <row r="467" spans="1:26" outlineLevel="1" x14ac:dyDescent="0.25">
      <c r="A467" s="39" t="str">
        <f t="shared" si="893"/>
        <v>БелАЗ 7531 (ГПФК)</v>
      </c>
      <c r="B467" s="39"/>
      <c r="D467" s="121"/>
      <c r="E467" s="12"/>
      <c r="F467" s="122"/>
      <c r="G467" s="131">
        <f>G460-(G387-G413)/G383</f>
        <v>0</v>
      </c>
      <c r="H467" s="131">
        <f t="shared" ref="H467:I467" si="916">H460-(H387-H413)/H383</f>
        <v>0</v>
      </c>
      <c r="I467" s="131">
        <f t="shared" si="916"/>
        <v>0</v>
      </c>
      <c r="J467" s="131">
        <f t="shared" ref="J467:Z467" si="917">J460-(J387-J413)/J383</f>
        <v>0</v>
      </c>
      <c r="K467" s="131">
        <f t="shared" si="917"/>
        <v>0</v>
      </c>
      <c r="L467" s="131">
        <f t="shared" si="917"/>
        <v>0</v>
      </c>
      <c r="M467" s="131">
        <f t="shared" si="917"/>
        <v>0</v>
      </c>
      <c r="N467" s="131">
        <f t="shared" si="917"/>
        <v>0</v>
      </c>
      <c r="O467" s="131">
        <f t="shared" si="917"/>
        <v>0</v>
      </c>
      <c r="P467" s="131">
        <f t="shared" si="917"/>
        <v>0</v>
      </c>
      <c r="Q467" s="131" t="e">
        <f t="shared" si="917"/>
        <v>#DIV/0!</v>
      </c>
      <c r="R467" s="131" t="e">
        <f t="shared" si="917"/>
        <v>#DIV/0!</v>
      </c>
      <c r="S467" s="131" t="e">
        <f t="shared" si="917"/>
        <v>#DIV/0!</v>
      </c>
      <c r="T467" s="131" t="e">
        <f t="shared" si="917"/>
        <v>#DIV/0!</v>
      </c>
      <c r="U467" s="131" t="e">
        <f t="shared" si="917"/>
        <v>#DIV/0!</v>
      </c>
      <c r="V467" s="131" t="e">
        <f t="shared" si="917"/>
        <v>#DIV/0!</v>
      </c>
      <c r="W467" s="131" t="e">
        <f t="shared" si="917"/>
        <v>#DIV/0!</v>
      </c>
      <c r="X467" s="131" t="e">
        <f t="shared" si="917"/>
        <v>#DIV/0!</v>
      </c>
      <c r="Y467" s="131" t="e">
        <f t="shared" si="917"/>
        <v>#DIV/0!</v>
      </c>
      <c r="Z467" s="131" t="e">
        <f t="shared" si="917"/>
        <v>#DIV/0!</v>
      </c>
    </row>
    <row r="468" spans="1:26" outlineLevel="1" x14ac:dyDescent="0.25">
      <c r="A468" s="2" t="s">
        <v>45</v>
      </c>
    </row>
    <row r="469" spans="1:26" x14ac:dyDescent="0.25">
      <c r="A469" s="2" t="s">
        <v>45</v>
      </c>
    </row>
    <row r="470" spans="1:26" ht="14.3" x14ac:dyDescent="0.25">
      <c r="A470" s="2" t="s">
        <v>45</v>
      </c>
      <c r="C470" s="57" t="e">
        <f>SUM(F520:Z520,F532:Z532,F551:Z551,AA504)</f>
        <v>#DIV/0!</v>
      </c>
      <c r="D470" s="58" t="str">
        <f>Свод!K23</f>
        <v>XCMG 240</v>
      </c>
      <c r="E470" s="59">
        <f>SUMIFS(Производительность!$Y$55:$Y$71,Производительность!$C$55:$C$71,$D470)</f>
        <v>0</v>
      </c>
      <c r="F470" s="60" t="str">
        <f>$F$2</f>
        <v>лет</v>
      </c>
    </row>
    <row r="471" spans="1:26" outlineLevel="1" x14ac:dyDescent="0.25">
      <c r="A471" s="2" t="s">
        <v>45</v>
      </c>
    </row>
    <row r="472" spans="1:26" outlineLevel="1" x14ac:dyDescent="0.25">
      <c r="A472" s="61" t="str">
        <f>D470</f>
        <v>XCMG 240</v>
      </c>
      <c r="D472" s="62" t="str">
        <f>D$1</f>
        <v>Показатель</v>
      </c>
      <c r="E472" s="62" t="str">
        <f t="shared" ref="E472:Z472" si="918">E$1</f>
        <v>Ед. изм.</v>
      </c>
      <c r="F472" s="62">
        <f t="shared" si="918"/>
        <v>0</v>
      </c>
      <c r="G472" s="62">
        <f t="shared" si="918"/>
        <v>1</v>
      </c>
      <c r="H472" s="62">
        <f t="shared" si="918"/>
        <v>2</v>
      </c>
      <c r="I472" s="62">
        <f t="shared" si="918"/>
        <v>3</v>
      </c>
      <c r="J472" s="62">
        <f t="shared" si="918"/>
        <v>4</v>
      </c>
      <c r="K472" s="62">
        <f t="shared" si="918"/>
        <v>5</v>
      </c>
      <c r="L472" s="62">
        <f t="shared" si="918"/>
        <v>6</v>
      </c>
      <c r="M472" s="62">
        <f t="shared" si="918"/>
        <v>7</v>
      </c>
      <c r="N472" s="62">
        <f t="shared" si="918"/>
        <v>8</v>
      </c>
      <c r="O472" s="62">
        <f t="shared" si="918"/>
        <v>9</v>
      </c>
      <c r="P472" s="62">
        <f t="shared" si="918"/>
        <v>10</v>
      </c>
      <c r="Q472" s="62">
        <f t="shared" si="918"/>
        <v>11</v>
      </c>
      <c r="R472" s="62">
        <f t="shared" si="918"/>
        <v>12</v>
      </c>
      <c r="S472" s="62">
        <f t="shared" si="918"/>
        <v>13</v>
      </c>
      <c r="T472" s="62">
        <f t="shared" si="918"/>
        <v>14</v>
      </c>
      <c r="U472" s="62">
        <f t="shared" si="918"/>
        <v>15</v>
      </c>
      <c r="V472" s="62">
        <f t="shared" si="918"/>
        <v>16</v>
      </c>
      <c r="W472" s="62">
        <f t="shared" si="918"/>
        <v>17</v>
      </c>
      <c r="X472" s="62">
        <f t="shared" si="918"/>
        <v>18</v>
      </c>
      <c r="Y472" s="62">
        <f t="shared" si="918"/>
        <v>19</v>
      </c>
      <c r="Z472" s="62">
        <f t="shared" si="918"/>
        <v>20</v>
      </c>
    </row>
    <row r="473" spans="1:26" outlineLevel="1" x14ac:dyDescent="0.25">
      <c r="A473" s="39" t="str">
        <f>A472</f>
        <v>XCMG 240</v>
      </c>
      <c r="B473" s="39"/>
      <c r="D473" s="63" t="s">
        <v>50</v>
      </c>
      <c r="E473" s="64" t="s">
        <v>51</v>
      </c>
      <c r="F473" s="65"/>
      <c r="G473" s="66">
        <f>SUMIFS(Производительность!E$55:E$71,Производительность!$C$55:$C$71,$A473)</f>
        <v>0</v>
      </c>
      <c r="H473" s="66">
        <f>SUMIFS(Производительность!F$55:F$71,Производительность!$C$55:$C$71,$A473)</f>
        <v>0</v>
      </c>
      <c r="I473" s="66">
        <f>SUMIFS(Производительность!G$55:G$71,Производительность!$C$55:$C$71,$A473)</f>
        <v>0</v>
      </c>
      <c r="J473" s="66">
        <f>SUMIFS(Производительность!H$55:H$71,Производительность!$C$55:$C$71,$A473)</f>
        <v>0</v>
      </c>
      <c r="K473" s="66">
        <f>SUMIFS(Производительность!I$55:I$71,Производительность!$C$55:$C$71,$A473)</f>
        <v>0</v>
      </c>
      <c r="L473" s="66">
        <f>SUMIFS(Производительность!J$55:J$71,Производительность!$C$55:$C$71,$A473)</f>
        <v>0</v>
      </c>
      <c r="M473" s="66">
        <f>SUMIFS(Производительность!K$55:K$71,Производительность!$C$55:$C$71,$A473)</f>
        <v>0</v>
      </c>
      <c r="N473" s="66">
        <f>SUMIFS(Производительность!L$55:L$71,Производительность!$C$55:$C$71,$A473)</f>
        <v>0</v>
      </c>
      <c r="O473" s="66">
        <f>SUMIFS(Производительность!M$55:M$71,Производительность!$C$55:$C$71,$A473)</f>
        <v>0</v>
      </c>
      <c r="P473" s="66">
        <f>SUMIFS(Производительность!N$55:N$71,Производительность!$C$55:$C$71,$A473)</f>
        <v>0</v>
      </c>
      <c r="Q473" s="66">
        <f>SUMIFS(Производительность!O$55:O$71,Производительность!$C$55:$C$71,$A473)</f>
        <v>0</v>
      </c>
      <c r="R473" s="66">
        <f>SUMIFS(Производительность!P$55:P$71,Производительность!$C$55:$C$71,$A473)</f>
        <v>0</v>
      </c>
      <c r="S473" s="66">
        <f>SUMIFS(Производительность!Q$55:Q$71,Производительность!$C$55:$C$71,$A473)</f>
        <v>0</v>
      </c>
      <c r="T473" s="66">
        <f>SUMIFS(Производительность!R$55:R$71,Производительность!$C$55:$C$71,$A473)</f>
        <v>0</v>
      </c>
      <c r="U473" s="66">
        <f>SUMIFS(Производительность!S$55:S$71,Производительность!$C$55:$C$71,$A473)</f>
        <v>0</v>
      </c>
      <c r="V473" s="66">
        <f>SUMIFS(Производительность!T$55:T$71,Производительность!$C$55:$C$71,$A473)</f>
        <v>0</v>
      </c>
      <c r="W473" s="66">
        <f>SUMIFS(Производительность!U$55:U$71,Производительность!$C$55:$C$71,$A473)</f>
        <v>0</v>
      </c>
      <c r="X473" s="66">
        <f>SUMIFS(Производительность!V$55:V$71,Производительность!$C$55:$C$71,$A473)</f>
        <v>0</v>
      </c>
      <c r="Y473" s="66">
        <f>SUMIFS(Производительность!W$55:W$71,Производительность!$C$55:$C$71,$A473)</f>
        <v>0</v>
      </c>
      <c r="Z473" s="66">
        <f>SUMIFS(Производительность!X$55:X$71,Производительность!$C$55:$C$71,$A473)</f>
        <v>0</v>
      </c>
    </row>
    <row r="474" spans="1:26" outlineLevel="1" x14ac:dyDescent="0.25">
      <c r="A474" s="39" t="str">
        <f t="shared" ref="A474:A537" si="919">A473</f>
        <v>XCMG 240</v>
      </c>
      <c r="B474" s="39"/>
      <c r="D474" s="63" t="s">
        <v>52</v>
      </c>
      <c r="E474" s="64" t="str">
        <f>E473</f>
        <v>%</v>
      </c>
      <c r="F474" s="65"/>
      <c r="G474" s="66">
        <f>SUMIFS(Производительность!E$119:E$135,Производительность!$C$119:$C$135,$A474)</f>
        <v>0</v>
      </c>
      <c r="H474" s="66">
        <f>SUMIFS(Производительность!F$119:F$135,Производительность!$C$119:$C$135,$A474)</f>
        <v>0</v>
      </c>
      <c r="I474" s="66">
        <f>SUMIFS(Производительность!G$119:G$135,Производительность!$C$119:$C$135,$A474)</f>
        <v>0</v>
      </c>
      <c r="J474" s="66">
        <f>SUMIFS(Производительность!H$119:H$135,Производительность!$C$119:$C$135,$A474)</f>
        <v>0</v>
      </c>
      <c r="K474" s="66">
        <f>SUMIFS(Производительность!I$119:I$135,Производительность!$C$119:$C$135,$A474)</f>
        <v>0</v>
      </c>
      <c r="L474" s="66">
        <f>SUMIFS(Производительность!J$119:J$135,Производительность!$C$119:$C$135,$A474)</f>
        <v>0</v>
      </c>
      <c r="M474" s="66">
        <f>SUMIFS(Производительность!K$119:K$135,Производительность!$C$119:$C$135,$A474)</f>
        <v>0</v>
      </c>
      <c r="N474" s="66">
        <f>SUMIFS(Производительность!L$119:L$135,Производительность!$C$119:$C$135,$A474)</f>
        <v>0</v>
      </c>
      <c r="O474" s="66">
        <f>SUMIFS(Производительность!M$119:M$135,Производительность!$C$119:$C$135,$A474)</f>
        <v>0</v>
      </c>
      <c r="P474" s="66">
        <f>SUMIFS(Производительность!N$119:N$135,Производительность!$C$119:$C$135,$A474)</f>
        <v>0</v>
      </c>
      <c r="Q474" s="66">
        <f>SUMIFS(Производительность!O$119:O$135,Производительность!$C$119:$C$135,$A474)</f>
        <v>0</v>
      </c>
      <c r="R474" s="66">
        <f>SUMIFS(Производительность!P$119:P$135,Производительность!$C$119:$C$135,$A474)</f>
        <v>0</v>
      </c>
      <c r="S474" s="66">
        <f>SUMIFS(Производительность!Q$119:Q$135,Производительность!$C$119:$C$135,$A474)</f>
        <v>0</v>
      </c>
      <c r="T474" s="66">
        <f>SUMIFS(Производительность!R$119:R$135,Производительность!$C$119:$C$135,$A474)</f>
        <v>0</v>
      </c>
      <c r="U474" s="66">
        <f>SUMIFS(Производительность!S$119:S$135,Производительность!$C$119:$C$135,$A474)</f>
        <v>0</v>
      </c>
      <c r="V474" s="66">
        <f>SUMIFS(Производительность!T$119:T$135,Производительность!$C$119:$C$135,$A474)</f>
        <v>0</v>
      </c>
      <c r="W474" s="66">
        <f>SUMIFS(Производительность!U$119:U$135,Производительность!$C$119:$C$135,$A474)</f>
        <v>0</v>
      </c>
      <c r="X474" s="66">
        <f>SUMIFS(Производительность!V$119:V$135,Производительность!$C$119:$C$135,$A474)</f>
        <v>0</v>
      </c>
      <c r="Y474" s="66">
        <f>SUMIFS(Производительность!W$119:W$135,Производительность!$C$119:$C$135,$A474)</f>
        <v>0</v>
      </c>
      <c r="Z474" s="66">
        <f>SUMIFS(Производительность!X$119:X$135,Производительность!$C$119:$C$135,$A474)</f>
        <v>0</v>
      </c>
    </row>
    <row r="475" spans="1:26" outlineLevel="1" x14ac:dyDescent="0.25">
      <c r="A475" s="39" t="str">
        <f t="shared" si="919"/>
        <v>XCMG 240</v>
      </c>
      <c r="B475" s="39"/>
      <c r="D475" s="67" t="s">
        <v>53</v>
      </c>
      <c r="E475" s="68" t="s">
        <v>23</v>
      </c>
      <c r="F475" s="69"/>
      <c r="G475" s="69">
        <f>SUMIFS(Производительность!E$247:E$263,Производительность!$C$247:$C$263,$A475)</f>
        <v>0</v>
      </c>
      <c r="H475" s="69">
        <f>SUMIFS(Производительность!F$247:F$263,Производительность!$C$247:$C$263,$A475)</f>
        <v>0</v>
      </c>
      <c r="I475" s="69">
        <f>SUMIFS(Производительность!G$247:G$263,Производительность!$C$247:$C$263,$A475)</f>
        <v>0</v>
      </c>
      <c r="J475" s="69">
        <f>SUMIFS(Производительность!H$247:H$263,Производительность!$C$247:$C$263,$A475)</f>
        <v>0</v>
      </c>
      <c r="K475" s="69">
        <f>SUMIFS(Производительность!I$247:I$263,Производительность!$C$247:$C$263,$A475)</f>
        <v>0</v>
      </c>
      <c r="L475" s="69">
        <f>SUMIFS(Производительность!J$247:J$263,Производительность!$C$247:$C$263,$A475)</f>
        <v>0</v>
      </c>
      <c r="M475" s="69">
        <f>SUMIFS(Производительность!K$247:K$263,Производительность!$C$247:$C$263,$A475)</f>
        <v>0</v>
      </c>
      <c r="N475" s="69">
        <f>SUMIFS(Производительность!L$247:L$263,Производительность!$C$247:$C$263,$A475)</f>
        <v>0</v>
      </c>
      <c r="O475" s="69">
        <f>SUMIFS(Производительность!M$247:M$263,Производительность!$C$247:$C$263,$A475)</f>
        <v>0</v>
      </c>
      <c r="P475" s="69">
        <f>SUMIFS(Производительность!N$247:N$263,Производительность!$C$247:$C$263,$A475)</f>
        <v>0</v>
      </c>
      <c r="Q475" s="69">
        <f>SUMIFS(Производительность!O$247:O$263,Производительность!$C$247:$C$263,$A475)</f>
        <v>0</v>
      </c>
      <c r="R475" s="69">
        <f>SUMIFS(Производительность!P$247:P$263,Производительность!$C$247:$C$263,$A475)</f>
        <v>0</v>
      </c>
      <c r="S475" s="69">
        <f>SUMIFS(Производительность!Q$247:Q$263,Производительность!$C$247:$C$263,$A475)</f>
        <v>0</v>
      </c>
      <c r="T475" s="69">
        <f>SUMIFS(Производительность!R$247:R$263,Производительность!$C$247:$C$263,$A475)</f>
        <v>0</v>
      </c>
      <c r="U475" s="69">
        <f>SUMIFS(Производительность!S$247:S$263,Производительность!$C$247:$C$263,$A475)</f>
        <v>0</v>
      </c>
      <c r="V475" s="69">
        <f>SUMIFS(Производительность!T$247:T$263,Производительность!$C$247:$C$263,$A475)</f>
        <v>0</v>
      </c>
      <c r="W475" s="69">
        <f>SUMIFS(Производительность!U$247:U$263,Производительность!$C$247:$C$263,$A475)</f>
        <v>0</v>
      </c>
      <c r="X475" s="69">
        <f>SUMIFS(Производительность!V$247:V$263,Производительность!$C$247:$C$263,$A475)</f>
        <v>0</v>
      </c>
      <c r="Y475" s="69">
        <f>SUMIFS(Производительность!W$247:W$263,Производительность!$C$247:$C$263,$A475)</f>
        <v>0</v>
      </c>
      <c r="Z475" s="69">
        <f>SUMIFS(Производительность!X$247:X$263,Производительность!$C$247:$C$263,$A475)</f>
        <v>0</v>
      </c>
    </row>
    <row r="476" spans="1:26" outlineLevel="1" x14ac:dyDescent="0.25">
      <c r="A476" s="39" t="str">
        <f t="shared" si="919"/>
        <v>XCMG 240</v>
      </c>
      <c r="B476" s="39"/>
      <c r="D476" s="67" t="s">
        <v>54</v>
      </c>
      <c r="E476" s="68" t="s">
        <v>24</v>
      </c>
      <c r="F476" s="69"/>
      <c r="G476" s="69">
        <f>SUMIFS(Производительность!E$263:E$279,Производительность!$C$263:$C$279,$A476)</f>
        <v>0</v>
      </c>
      <c r="H476" s="69">
        <f>SUMIFS(Производительность!F$263:F$279,Производительность!$C$263:$C$279,$A476)</f>
        <v>0</v>
      </c>
      <c r="I476" s="69">
        <f>SUMIFS(Производительность!G$263:G$279,Производительность!$C$263:$C$279,$A476)</f>
        <v>0</v>
      </c>
      <c r="J476" s="69">
        <f>SUMIFS(Производительность!H$263:H$279,Производительность!$C$263:$C$279,$A476)</f>
        <v>0</v>
      </c>
      <c r="K476" s="69">
        <f>SUMIFS(Производительность!I$263:I$279,Производительность!$C$263:$C$279,$A476)</f>
        <v>0</v>
      </c>
      <c r="L476" s="69">
        <f>SUMIFS(Производительность!J$263:J$279,Производительность!$C$263:$C$279,$A476)</f>
        <v>0</v>
      </c>
      <c r="M476" s="69">
        <f>SUMIFS(Производительность!K$263:K$279,Производительность!$C$263:$C$279,$A476)</f>
        <v>0</v>
      </c>
      <c r="N476" s="69">
        <f>SUMIFS(Производительность!L$263:L$279,Производительность!$C$263:$C$279,$A476)</f>
        <v>0</v>
      </c>
      <c r="O476" s="69">
        <f>SUMIFS(Производительность!M$263:M$279,Производительность!$C$263:$C$279,$A476)</f>
        <v>0</v>
      </c>
      <c r="P476" s="69">
        <f>SUMIFS(Производительность!N$263:N$279,Производительность!$C$263:$C$279,$A476)</f>
        <v>0</v>
      </c>
      <c r="Q476" s="69">
        <f>SUMIFS(Производительность!O$263:O$279,Производительность!$C$263:$C$279,$A476)</f>
        <v>0</v>
      </c>
      <c r="R476" s="69">
        <f>SUMIFS(Производительность!P$263:P$279,Производительность!$C$263:$C$279,$A476)</f>
        <v>0</v>
      </c>
      <c r="S476" s="69">
        <f>SUMIFS(Производительность!Q$263:Q$279,Производительность!$C$263:$C$279,$A476)</f>
        <v>0</v>
      </c>
      <c r="T476" s="69">
        <f>SUMIFS(Производительность!R$263:R$279,Производительность!$C$263:$C$279,$A476)</f>
        <v>0</v>
      </c>
      <c r="U476" s="69">
        <f>SUMIFS(Производительность!S$263:S$279,Производительность!$C$263:$C$279,$A476)</f>
        <v>0</v>
      </c>
      <c r="V476" s="69">
        <f>SUMIFS(Производительность!T$263:T$279,Производительность!$C$263:$C$279,$A476)</f>
        <v>0</v>
      </c>
      <c r="W476" s="69">
        <f>SUMIFS(Производительность!U$263:U$279,Производительность!$C$263:$C$279,$A476)</f>
        <v>0</v>
      </c>
      <c r="X476" s="69">
        <f>SUMIFS(Производительность!V$263:V$279,Производительность!$C$263:$C$279,$A476)</f>
        <v>0</v>
      </c>
      <c r="Y476" s="69">
        <f>SUMIFS(Производительность!W$263:W$279,Производительность!$C$263:$C$279,$A476)</f>
        <v>0</v>
      </c>
      <c r="Z476" s="69">
        <f>SUMIFS(Производительность!X$263:X$279,Производительность!$C$263:$C$279,$A476)</f>
        <v>0</v>
      </c>
    </row>
    <row r="477" spans="1:26" outlineLevel="1" x14ac:dyDescent="0.25">
      <c r="A477" s="39" t="str">
        <f t="shared" si="919"/>
        <v>XCMG 240</v>
      </c>
      <c r="B477" s="39"/>
      <c r="D477" s="70" t="s">
        <v>55</v>
      </c>
      <c r="E477" s="64" t="str">
        <f>E476</f>
        <v>тыс. ткм</v>
      </c>
      <c r="F477" s="65"/>
      <c r="G477" s="530">
        <f>G476</f>
        <v>0</v>
      </c>
      <c r="H477" s="65">
        <f>IF(H472&gt;$E470,0,G477+H476)</f>
        <v>0</v>
      </c>
      <c r="I477" s="65">
        <f t="shared" ref="I477" si="920">IF(I472&gt;$E470,0,H477+I476)</f>
        <v>0</v>
      </c>
      <c r="J477" s="65">
        <f t="shared" ref="J477" si="921">IF(J472&gt;$E470,0,I477+J476)</f>
        <v>0</v>
      </c>
      <c r="K477" s="65">
        <f t="shared" ref="K477" si="922">IF(K472&gt;$E470,0,J477+K476)</f>
        <v>0</v>
      </c>
      <c r="L477" s="65">
        <f t="shared" ref="L477" si="923">IF(L472&gt;$E470,0,K477+L476)</f>
        <v>0</v>
      </c>
      <c r="M477" s="65">
        <f t="shared" ref="M477" si="924">IF(M472&gt;$E470,0,L477+M476)</f>
        <v>0</v>
      </c>
      <c r="N477" s="65">
        <f t="shared" ref="N477" si="925">IF(N472&gt;$E470,0,M477+N476)</f>
        <v>0</v>
      </c>
      <c r="O477" s="65">
        <f t="shared" ref="O477" si="926">IF(O472&gt;$E470,0,N477+O476)</f>
        <v>0</v>
      </c>
      <c r="P477" s="65">
        <f t="shared" ref="P477" si="927">IF(P472&gt;$E470,0,O477+P476)</f>
        <v>0</v>
      </c>
      <c r="Q477" s="65">
        <f t="shared" ref="Q477" si="928">IF(Q472&gt;$E470,0,P477+Q476)</f>
        <v>0</v>
      </c>
      <c r="R477" s="65">
        <f t="shared" ref="R477" si="929">IF(R472&gt;$E470,0,Q477+R476)</f>
        <v>0</v>
      </c>
      <c r="S477" s="65">
        <f t="shared" ref="S477" si="930">IF(S472&gt;$E470,0,R477+S476)</f>
        <v>0</v>
      </c>
      <c r="T477" s="65">
        <f t="shared" ref="T477" si="931">IF(T472&gt;$E470,0,S477+T476)</f>
        <v>0</v>
      </c>
      <c r="U477" s="65">
        <f t="shared" ref="U477" si="932">IF(U472&gt;$E470,0,T477+U476)</f>
        <v>0</v>
      </c>
      <c r="V477" s="65">
        <f t="shared" ref="V477" si="933">IF(V472&gt;$E470,0,U477+V476)</f>
        <v>0</v>
      </c>
      <c r="W477" s="65">
        <f t="shared" ref="W477" si="934">IF(W472&gt;$E470,0,V477+W476)</f>
        <v>0</v>
      </c>
      <c r="X477" s="65">
        <f t="shared" ref="X477" si="935">IF(X472&gt;$E470,0,W477+X476)</f>
        <v>0</v>
      </c>
      <c r="Y477" s="65">
        <f t="shared" ref="Y477" si="936">IF(Y472&gt;$E470,0,X477+Y476)</f>
        <v>0</v>
      </c>
      <c r="Z477" s="65">
        <f t="shared" ref="Z477" si="937">IF(Z472&gt;$E470,0,Y477+Z476)</f>
        <v>0</v>
      </c>
    </row>
    <row r="478" spans="1:26" outlineLevel="1" x14ac:dyDescent="0.25">
      <c r="A478" s="39" t="str">
        <f t="shared" si="919"/>
        <v>XCMG 240</v>
      </c>
      <c r="B478" s="39"/>
      <c r="D478" s="63" t="s">
        <v>56</v>
      </c>
      <c r="E478" s="64" t="s">
        <v>57</v>
      </c>
      <c r="F478" s="65"/>
      <c r="G478" s="65">
        <f>SUMIFS(Производительность!E$279:E$295,Производительность!$C$279:$C$295,$A478)/1000</f>
        <v>0</v>
      </c>
      <c r="H478" s="65">
        <f>SUMIFS(Производительность!F$279:F$295,Производительность!$C$279:$C$295,$A478)/1000</f>
        <v>0</v>
      </c>
      <c r="I478" s="65">
        <f>SUMIFS(Производительность!G$279:G$295,Производительность!$C$279:$C$295,$A478)/1000</f>
        <v>0</v>
      </c>
      <c r="J478" s="65">
        <f>SUMIFS(Производительность!H$279:H$295,Производительность!$C$279:$C$295,$A478)/1000</f>
        <v>0</v>
      </c>
      <c r="K478" s="65">
        <f>SUMIFS(Производительность!I$279:I$295,Производительность!$C$279:$C$295,$A478)/1000</f>
        <v>0</v>
      </c>
      <c r="L478" s="65">
        <f>SUMIFS(Производительность!J$279:J$295,Производительность!$C$279:$C$295,$A478)/1000</f>
        <v>0</v>
      </c>
      <c r="M478" s="65">
        <f>SUMIFS(Производительность!K$279:K$295,Производительность!$C$279:$C$295,$A478)/1000</f>
        <v>0</v>
      </c>
      <c r="N478" s="65">
        <f>SUMIFS(Производительность!L$279:L$295,Производительность!$C$279:$C$295,$A478)/1000</f>
        <v>0</v>
      </c>
      <c r="O478" s="65">
        <f>SUMIFS(Производительность!M$279:M$295,Производительность!$C$279:$C$295,$A478)/1000</f>
        <v>0</v>
      </c>
      <c r="P478" s="65">
        <f>SUMIFS(Производительность!N$279:N$295,Производительность!$C$279:$C$295,$A478)/1000</f>
        <v>0</v>
      </c>
      <c r="Q478" s="65">
        <f>SUMIFS(Производительность!O$279:O$295,Производительность!$C$279:$C$295,$A478)/1000</f>
        <v>0</v>
      </c>
      <c r="R478" s="65">
        <f>SUMIFS(Производительность!P$279:P$295,Производительность!$C$279:$C$295,$A478)/1000</f>
        <v>0</v>
      </c>
      <c r="S478" s="65">
        <f>SUMIFS(Производительность!Q$279:Q$295,Производительность!$C$279:$C$295,$A478)/1000</f>
        <v>0</v>
      </c>
      <c r="T478" s="65">
        <f>SUMIFS(Производительность!R$279:R$295,Производительность!$C$279:$C$295,$A478)/1000</f>
        <v>0</v>
      </c>
      <c r="U478" s="65">
        <f>SUMIFS(Производительность!S$279:S$295,Производительность!$C$279:$C$295,$A478)/1000</f>
        <v>0</v>
      </c>
      <c r="V478" s="65">
        <f>SUMIFS(Производительность!T$279:T$295,Производительность!$C$279:$C$295,$A478)/1000</f>
        <v>0</v>
      </c>
      <c r="W478" s="65">
        <f>SUMIFS(Производительность!U$279:U$295,Производительность!$C$279:$C$295,$A478)/1000</f>
        <v>0</v>
      </c>
      <c r="X478" s="65">
        <f>SUMIFS(Производительность!V$279:V$295,Производительность!$C$279:$C$295,$A478)/1000</f>
        <v>0</v>
      </c>
      <c r="Y478" s="65">
        <f>SUMIFS(Производительность!W$279:W$295,Производительность!$C$279:$C$295,$A478)/1000</f>
        <v>0</v>
      </c>
      <c r="Z478" s="65">
        <f>SUMIFS(Производительность!X$279:X$295,Производительность!$C$279:$C$295,$A478)/1000</f>
        <v>0</v>
      </c>
    </row>
    <row r="479" spans="1:26" outlineLevel="1" x14ac:dyDescent="0.25">
      <c r="A479" s="39" t="str">
        <f t="shared" si="919"/>
        <v>XCMG 240</v>
      </c>
      <c r="B479" s="39"/>
      <c r="D479" s="31"/>
      <c r="E479" s="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outlineLevel="1" x14ac:dyDescent="0.25">
      <c r="A480" s="39" t="str">
        <f t="shared" si="919"/>
        <v>XCMG 240</v>
      </c>
      <c r="B480" s="39"/>
      <c r="D480" s="71" t="s">
        <v>58</v>
      </c>
      <c r="E480" s="72" t="s">
        <v>33</v>
      </c>
      <c r="F480" s="73">
        <f>F505+F506-F504</f>
        <v>0</v>
      </c>
      <c r="G480" s="73">
        <f t="shared" ref="G480:Z480" si="938">G505+G506-G504</f>
        <v>0</v>
      </c>
      <c r="H480" s="73">
        <f t="shared" si="938"/>
        <v>0</v>
      </c>
      <c r="I480" s="73">
        <f t="shared" si="938"/>
        <v>0</v>
      </c>
      <c r="J480" s="73">
        <f t="shared" si="938"/>
        <v>0</v>
      </c>
      <c r="K480" s="73">
        <f t="shared" si="938"/>
        <v>0</v>
      </c>
      <c r="L480" s="73">
        <f t="shared" si="938"/>
        <v>0</v>
      </c>
      <c r="M480" s="73">
        <f t="shared" si="938"/>
        <v>0</v>
      </c>
      <c r="N480" s="73">
        <f t="shared" si="938"/>
        <v>0</v>
      </c>
      <c r="O480" s="73">
        <f t="shared" si="938"/>
        <v>0</v>
      </c>
      <c r="P480" s="73">
        <f t="shared" si="938"/>
        <v>0</v>
      </c>
      <c r="Q480" s="73">
        <f t="shared" si="938"/>
        <v>0</v>
      </c>
      <c r="R480" s="73">
        <f t="shared" si="938"/>
        <v>0</v>
      </c>
      <c r="S480" s="73">
        <f t="shared" si="938"/>
        <v>0</v>
      </c>
      <c r="T480" s="73">
        <f t="shared" si="938"/>
        <v>0</v>
      </c>
      <c r="U480" s="73">
        <f t="shared" si="938"/>
        <v>0</v>
      </c>
      <c r="V480" s="73">
        <f t="shared" si="938"/>
        <v>0</v>
      </c>
      <c r="W480" s="73">
        <f t="shared" si="938"/>
        <v>0</v>
      </c>
      <c r="X480" s="73">
        <f t="shared" si="938"/>
        <v>0</v>
      </c>
      <c r="Y480" s="73">
        <f t="shared" si="938"/>
        <v>0</v>
      </c>
      <c r="Z480" s="73">
        <f t="shared" si="938"/>
        <v>0</v>
      </c>
    </row>
    <row r="481" spans="1:28" outlineLevel="1" x14ac:dyDescent="0.25">
      <c r="A481" s="39" t="str">
        <f t="shared" si="919"/>
        <v>XCMG 240</v>
      </c>
      <c r="B481" s="39"/>
      <c r="C481" s="619" t="str">
        <f>D481</f>
        <v>ТО, ТР, ППР</v>
      </c>
      <c r="D481" s="208" t="s">
        <v>59</v>
      </c>
      <c r="E481" s="68" t="str">
        <f>E480</f>
        <v>тыс. руб.</v>
      </c>
      <c r="F481" s="74"/>
      <c r="G481" s="453"/>
      <c r="H481" s="453"/>
      <c r="I481" s="453"/>
      <c r="J481" s="453"/>
      <c r="K481" s="453"/>
      <c r="L481" s="453"/>
      <c r="M481" s="453"/>
      <c r="N481" s="453"/>
      <c r="O481" s="453"/>
      <c r="P481" s="453"/>
      <c r="Q481" s="453"/>
      <c r="R481" s="453"/>
      <c r="S481" s="453"/>
      <c r="T481" s="453"/>
      <c r="U481" s="453"/>
      <c r="V481" s="453"/>
      <c r="W481" s="453"/>
      <c r="X481" s="453"/>
      <c r="Y481" s="453"/>
      <c r="Z481" s="453"/>
      <c r="AB481" s="76" t="e">
        <f>SUM(F481:Z481,F495:Z495)/E470</f>
        <v>#DIV/0!</v>
      </c>
    </row>
    <row r="482" spans="1:28" outlineLevel="1" x14ac:dyDescent="0.25">
      <c r="A482" s="39" t="str">
        <f t="shared" si="919"/>
        <v>XCMG 240</v>
      </c>
      <c r="B482" s="39"/>
      <c r="D482" s="177" t="s">
        <v>60</v>
      </c>
      <c r="E482" s="452" t="s">
        <v>35</v>
      </c>
      <c r="F482" s="30"/>
      <c r="G482" s="454"/>
      <c r="H482" s="454"/>
      <c r="I482" s="454"/>
      <c r="J482" s="454"/>
      <c r="K482" s="454"/>
      <c r="L482" s="454"/>
      <c r="M482" s="454"/>
      <c r="N482" s="454"/>
      <c r="O482" s="454"/>
      <c r="P482" s="454"/>
      <c r="Q482" s="454"/>
      <c r="R482" s="454"/>
      <c r="S482" s="454"/>
      <c r="T482" s="454"/>
      <c r="U482" s="454"/>
      <c r="V482" s="454"/>
      <c r="W482" s="454"/>
      <c r="X482" s="454"/>
      <c r="Y482" s="454"/>
      <c r="Z482" s="454"/>
    </row>
    <row r="483" spans="1:28" outlineLevel="1" x14ac:dyDescent="0.25">
      <c r="A483" s="39" t="str">
        <f t="shared" si="919"/>
        <v>XCMG 240</v>
      </c>
      <c r="B483" s="39"/>
      <c r="D483" s="177" t="s">
        <v>61</v>
      </c>
      <c r="E483" s="452" t="s">
        <v>35</v>
      </c>
      <c r="F483" s="30"/>
      <c r="G483" s="454"/>
      <c r="H483" s="454"/>
      <c r="I483" s="454"/>
      <c r="J483" s="454"/>
      <c r="K483" s="454"/>
      <c r="L483" s="454"/>
      <c r="M483" s="454"/>
      <c r="N483" s="454"/>
      <c r="O483" s="454"/>
      <c r="P483" s="454"/>
      <c r="Q483" s="454"/>
      <c r="R483" s="454"/>
      <c r="S483" s="454"/>
      <c r="T483" s="454"/>
      <c r="U483" s="454"/>
      <c r="V483" s="454"/>
      <c r="W483" s="454"/>
      <c r="X483" s="454"/>
      <c r="Y483" s="454"/>
      <c r="Z483" s="454"/>
    </row>
    <row r="484" spans="1:28" outlineLevel="1" x14ac:dyDescent="0.25">
      <c r="A484" s="39" t="str">
        <f t="shared" si="919"/>
        <v>XCMG 240</v>
      </c>
      <c r="B484" s="39"/>
      <c r="D484" s="177" t="s">
        <v>62</v>
      </c>
      <c r="E484" s="452" t="s">
        <v>35</v>
      </c>
      <c r="F484" s="30"/>
      <c r="G484" s="454"/>
      <c r="H484" s="454"/>
      <c r="I484" s="454"/>
      <c r="J484" s="454"/>
      <c r="K484" s="454"/>
      <c r="L484" s="454"/>
      <c r="M484" s="454"/>
      <c r="N484" s="454"/>
      <c r="O484" s="454"/>
      <c r="P484" s="454"/>
      <c r="Q484" s="454"/>
      <c r="R484" s="454"/>
      <c r="S484" s="454"/>
      <c r="T484" s="454"/>
      <c r="U484" s="454"/>
      <c r="V484" s="454"/>
      <c r="W484" s="454"/>
      <c r="X484" s="454"/>
      <c r="Y484" s="454"/>
      <c r="Z484" s="454"/>
    </row>
    <row r="485" spans="1:28" outlineLevel="1" x14ac:dyDescent="0.25">
      <c r="A485" s="39" t="str">
        <f t="shared" si="919"/>
        <v>XCMG 240</v>
      </c>
      <c r="B485" s="39"/>
      <c r="D485" s="80" t="s">
        <v>63</v>
      </c>
      <c r="E485" s="81"/>
      <c r="F485" s="82"/>
      <c r="G485" s="83" t="e">
        <f>G481/$F509</f>
        <v>#DIV/0!</v>
      </c>
      <c r="H485" s="83" t="e">
        <f t="shared" ref="H485:Z485" si="939">H481/$F509</f>
        <v>#DIV/0!</v>
      </c>
      <c r="I485" s="83" t="e">
        <f t="shared" si="939"/>
        <v>#DIV/0!</v>
      </c>
      <c r="J485" s="83" t="e">
        <f t="shared" si="939"/>
        <v>#DIV/0!</v>
      </c>
      <c r="K485" s="83" t="e">
        <f t="shared" si="939"/>
        <v>#DIV/0!</v>
      </c>
      <c r="L485" s="83" t="e">
        <f t="shared" si="939"/>
        <v>#DIV/0!</v>
      </c>
      <c r="M485" s="83" t="e">
        <f t="shared" si="939"/>
        <v>#DIV/0!</v>
      </c>
      <c r="N485" s="83" t="e">
        <f t="shared" si="939"/>
        <v>#DIV/0!</v>
      </c>
      <c r="O485" s="83" t="e">
        <f t="shared" si="939"/>
        <v>#DIV/0!</v>
      </c>
      <c r="P485" s="83" t="e">
        <f t="shared" si="939"/>
        <v>#DIV/0!</v>
      </c>
      <c r="Q485" s="83" t="e">
        <f t="shared" si="939"/>
        <v>#DIV/0!</v>
      </c>
      <c r="R485" s="83" t="e">
        <f t="shared" si="939"/>
        <v>#DIV/0!</v>
      </c>
      <c r="S485" s="83" t="e">
        <f t="shared" si="939"/>
        <v>#DIV/0!</v>
      </c>
      <c r="T485" s="83" t="e">
        <f t="shared" si="939"/>
        <v>#DIV/0!</v>
      </c>
      <c r="U485" s="83" t="e">
        <f t="shared" si="939"/>
        <v>#DIV/0!</v>
      </c>
      <c r="V485" s="83" t="e">
        <f t="shared" si="939"/>
        <v>#DIV/0!</v>
      </c>
      <c r="W485" s="83" t="e">
        <f t="shared" si="939"/>
        <v>#DIV/0!</v>
      </c>
      <c r="X485" s="83" t="e">
        <f t="shared" si="939"/>
        <v>#DIV/0!</v>
      </c>
      <c r="Y485" s="83" t="e">
        <f t="shared" si="939"/>
        <v>#DIV/0!</v>
      </c>
      <c r="Z485" s="83" t="e">
        <f t="shared" si="939"/>
        <v>#DIV/0!</v>
      </c>
      <c r="AA485" s="84" t="e">
        <f>SUM(F481:Z481)/$F509</f>
        <v>#DIV/0!</v>
      </c>
    </row>
    <row r="486" spans="1:28" outlineLevel="1" x14ac:dyDescent="0.25">
      <c r="A486" s="39" t="str">
        <f t="shared" si="919"/>
        <v>XCMG 240</v>
      </c>
      <c r="B486" s="39"/>
      <c r="D486" s="67" t="s">
        <v>39</v>
      </c>
      <c r="E486" s="68" t="str">
        <f>E480</f>
        <v>тыс. руб.</v>
      </c>
      <c r="F486" s="74"/>
      <c r="G486" s="85">
        <f>G488*G489</f>
        <v>0</v>
      </c>
      <c r="H486" s="85">
        <f t="shared" ref="H486:Z486" si="940">H488*H489</f>
        <v>0</v>
      </c>
      <c r="I486" s="85">
        <f t="shared" si="940"/>
        <v>0</v>
      </c>
      <c r="J486" s="85">
        <f t="shared" si="940"/>
        <v>0</v>
      </c>
      <c r="K486" s="85">
        <f t="shared" si="940"/>
        <v>0</v>
      </c>
      <c r="L486" s="85">
        <f t="shared" si="940"/>
        <v>0</v>
      </c>
      <c r="M486" s="85">
        <f t="shared" si="940"/>
        <v>0</v>
      </c>
      <c r="N486" s="85">
        <f t="shared" si="940"/>
        <v>0</v>
      </c>
      <c r="O486" s="85">
        <f t="shared" si="940"/>
        <v>0</v>
      </c>
      <c r="P486" s="85">
        <f t="shared" si="940"/>
        <v>0</v>
      </c>
      <c r="Q486" s="85">
        <f t="shared" si="940"/>
        <v>0</v>
      </c>
      <c r="R486" s="85">
        <f t="shared" si="940"/>
        <v>0</v>
      </c>
      <c r="S486" s="85">
        <f t="shared" si="940"/>
        <v>0</v>
      </c>
      <c r="T486" s="85">
        <f t="shared" si="940"/>
        <v>0</v>
      </c>
      <c r="U486" s="85">
        <f t="shared" si="940"/>
        <v>0</v>
      </c>
      <c r="V486" s="85">
        <f t="shared" si="940"/>
        <v>0</v>
      </c>
      <c r="W486" s="85">
        <f t="shared" si="940"/>
        <v>0</v>
      </c>
      <c r="X486" s="85">
        <f t="shared" si="940"/>
        <v>0</v>
      </c>
      <c r="Y486" s="85">
        <f t="shared" si="940"/>
        <v>0</v>
      </c>
      <c r="Z486" s="85">
        <f t="shared" si="940"/>
        <v>0</v>
      </c>
    </row>
    <row r="487" spans="1:28" outlineLevel="1" x14ac:dyDescent="0.25">
      <c r="A487" s="39" t="str">
        <f t="shared" si="919"/>
        <v>XCMG 240</v>
      </c>
      <c r="B487" s="39"/>
      <c r="D487" s="31" t="s">
        <v>64</v>
      </c>
      <c r="E487" s="9" t="s">
        <v>65</v>
      </c>
      <c r="F487" s="86">
        <f>SUMIFS('ФОТ, МТР, макро'!$Z$4:$Z$20,'ФОТ, МТР, макро'!$W$4:$W$20,$A487)</f>
        <v>7.4999999999999997E-2</v>
      </c>
      <c r="G487" s="87">
        <f>F487</f>
        <v>7.4999999999999997E-2</v>
      </c>
      <c r="H487" s="87">
        <f t="shared" ref="H487" si="941">G487</f>
        <v>7.4999999999999997E-2</v>
      </c>
      <c r="I487" s="87">
        <f t="shared" ref="I487" si="942">H487</f>
        <v>7.4999999999999997E-2</v>
      </c>
      <c r="J487" s="87">
        <f t="shared" ref="J487" si="943">I487</f>
        <v>7.4999999999999997E-2</v>
      </c>
      <c r="K487" s="87">
        <f t="shared" ref="K487" si="944">J487</f>
        <v>7.4999999999999997E-2</v>
      </c>
      <c r="L487" s="87">
        <f t="shared" ref="L487" si="945">K487</f>
        <v>7.4999999999999997E-2</v>
      </c>
      <c r="M487" s="87">
        <f t="shared" ref="M487" si="946">L487</f>
        <v>7.4999999999999997E-2</v>
      </c>
      <c r="N487" s="87">
        <f t="shared" ref="N487" si="947">M487</f>
        <v>7.4999999999999997E-2</v>
      </c>
      <c r="O487" s="87">
        <f t="shared" ref="O487" si="948">N487</f>
        <v>7.4999999999999997E-2</v>
      </c>
      <c r="P487" s="87">
        <f t="shared" ref="P487" si="949">O487</f>
        <v>7.4999999999999997E-2</v>
      </c>
      <c r="Q487" s="87">
        <f t="shared" ref="Q487" si="950">P487</f>
        <v>7.4999999999999997E-2</v>
      </c>
      <c r="R487" s="87">
        <f t="shared" ref="R487" si="951">Q487</f>
        <v>7.4999999999999997E-2</v>
      </c>
      <c r="S487" s="87">
        <f t="shared" ref="S487" si="952">R487</f>
        <v>7.4999999999999997E-2</v>
      </c>
      <c r="T487" s="87">
        <f t="shared" ref="T487" si="953">S487</f>
        <v>7.4999999999999997E-2</v>
      </c>
      <c r="U487" s="87">
        <f t="shared" ref="U487" si="954">T487</f>
        <v>7.4999999999999997E-2</v>
      </c>
      <c r="V487" s="87">
        <f t="shared" ref="V487" si="955">U487</f>
        <v>7.4999999999999997E-2</v>
      </c>
      <c r="W487" s="87">
        <f t="shared" ref="W487" si="956">V487</f>
        <v>7.4999999999999997E-2</v>
      </c>
      <c r="X487" s="87">
        <f t="shared" ref="X487" si="957">W487</f>
        <v>7.4999999999999997E-2</v>
      </c>
      <c r="Y487" s="87">
        <f t="shared" ref="Y487" si="958">X487</f>
        <v>7.4999999999999997E-2</v>
      </c>
      <c r="Z487" s="87">
        <f t="shared" ref="Z487" si="959">Y487</f>
        <v>7.4999999999999997E-2</v>
      </c>
    </row>
    <row r="488" spans="1:28" outlineLevel="1" x14ac:dyDescent="0.25">
      <c r="A488" s="39" t="str">
        <f t="shared" si="919"/>
        <v>XCMG 240</v>
      </c>
      <c r="B488" s="39"/>
      <c r="D488" s="31" t="s">
        <v>66</v>
      </c>
      <c r="E488" s="9" t="s">
        <v>67</v>
      </c>
      <c r="F488" s="74"/>
      <c r="G488" s="78">
        <f>G478*G487</f>
        <v>0</v>
      </c>
      <c r="H488" s="78">
        <f t="shared" ref="H488:Z488" si="960">H478*H487</f>
        <v>0</v>
      </c>
      <c r="I488" s="78">
        <f t="shared" si="960"/>
        <v>0</v>
      </c>
      <c r="J488" s="78">
        <f t="shared" si="960"/>
        <v>0</v>
      </c>
      <c r="K488" s="78">
        <f t="shared" si="960"/>
        <v>0</v>
      </c>
      <c r="L488" s="78">
        <f t="shared" si="960"/>
        <v>0</v>
      </c>
      <c r="M488" s="78">
        <f t="shared" si="960"/>
        <v>0</v>
      </c>
      <c r="N488" s="78">
        <f t="shared" si="960"/>
        <v>0</v>
      </c>
      <c r="O488" s="78">
        <f t="shared" si="960"/>
        <v>0</v>
      </c>
      <c r="P488" s="78">
        <f t="shared" si="960"/>
        <v>0</v>
      </c>
      <c r="Q488" s="78">
        <f t="shared" si="960"/>
        <v>0</v>
      </c>
      <c r="R488" s="78">
        <f t="shared" si="960"/>
        <v>0</v>
      </c>
      <c r="S488" s="78">
        <f t="shared" si="960"/>
        <v>0</v>
      </c>
      <c r="T488" s="78">
        <f t="shared" si="960"/>
        <v>0</v>
      </c>
      <c r="U488" s="78">
        <f t="shared" si="960"/>
        <v>0</v>
      </c>
      <c r="V488" s="78">
        <f t="shared" si="960"/>
        <v>0</v>
      </c>
      <c r="W488" s="78">
        <f t="shared" si="960"/>
        <v>0</v>
      </c>
      <c r="X488" s="78">
        <f t="shared" si="960"/>
        <v>0</v>
      </c>
      <c r="Y488" s="78">
        <f t="shared" si="960"/>
        <v>0</v>
      </c>
      <c r="Z488" s="78">
        <f t="shared" si="960"/>
        <v>0</v>
      </c>
      <c r="AA488" s="88">
        <f>SUM(F478:Z478)*F487-SUM(F488:Z488)</f>
        <v>0</v>
      </c>
    </row>
    <row r="489" spans="1:28" outlineLevel="1" x14ac:dyDescent="0.25">
      <c r="A489" s="39" t="str">
        <f t="shared" si="919"/>
        <v>XCMG 240</v>
      </c>
      <c r="B489" s="39"/>
      <c r="D489" s="31" t="s">
        <v>68</v>
      </c>
      <c r="E489" s="9" t="s">
        <v>69</v>
      </c>
      <c r="F489" s="78">
        <f>SUMIFS('ФОТ, МТР, макро'!$AA$4:$AA$20,'ФОТ, МТР, макро'!$W$4:$W$20,$A489)</f>
        <v>2985.3815355000002</v>
      </c>
      <c r="G489" s="89">
        <f>F489</f>
        <v>2985.3815355000002</v>
      </c>
      <c r="H489" s="89">
        <f t="shared" ref="H489" si="961">G489</f>
        <v>2985.3815355000002</v>
      </c>
      <c r="I489" s="89">
        <f t="shared" ref="I489" si="962">H489</f>
        <v>2985.3815355000002</v>
      </c>
      <c r="J489" s="89">
        <f t="shared" ref="J489" si="963">I489</f>
        <v>2985.3815355000002</v>
      </c>
      <c r="K489" s="89">
        <f t="shared" ref="K489" si="964">J489</f>
        <v>2985.3815355000002</v>
      </c>
      <c r="L489" s="89">
        <f t="shared" ref="L489" si="965">K489</f>
        <v>2985.3815355000002</v>
      </c>
      <c r="M489" s="89">
        <f t="shared" ref="M489" si="966">L489</f>
        <v>2985.3815355000002</v>
      </c>
      <c r="N489" s="89">
        <f t="shared" ref="N489" si="967">M489</f>
        <v>2985.3815355000002</v>
      </c>
      <c r="O489" s="89">
        <f t="shared" ref="O489" si="968">N489</f>
        <v>2985.3815355000002</v>
      </c>
      <c r="P489" s="89">
        <f t="shared" ref="P489" si="969">O489</f>
        <v>2985.3815355000002</v>
      </c>
      <c r="Q489" s="89">
        <f t="shared" ref="Q489" si="970">P489</f>
        <v>2985.3815355000002</v>
      </c>
      <c r="R489" s="89">
        <f t="shared" ref="R489" si="971">Q489</f>
        <v>2985.3815355000002</v>
      </c>
      <c r="S489" s="89">
        <f t="shared" ref="S489" si="972">R489</f>
        <v>2985.3815355000002</v>
      </c>
      <c r="T489" s="89">
        <f t="shared" ref="T489" si="973">S489</f>
        <v>2985.3815355000002</v>
      </c>
      <c r="U489" s="89">
        <f t="shared" ref="U489" si="974">T489</f>
        <v>2985.3815355000002</v>
      </c>
      <c r="V489" s="89">
        <f t="shared" ref="V489" si="975">U489</f>
        <v>2985.3815355000002</v>
      </c>
      <c r="W489" s="89">
        <f t="shared" ref="W489" si="976">V489</f>
        <v>2985.3815355000002</v>
      </c>
      <c r="X489" s="89">
        <f t="shared" ref="X489" si="977">W489</f>
        <v>2985.3815355000002</v>
      </c>
      <c r="Y489" s="89">
        <f t="shared" ref="Y489" si="978">X489</f>
        <v>2985.3815355000002</v>
      </c>
      <c r="Z489" s="89">
        <f t="shared" ref="Z489" si="979">Y489</f>
        <v>2985.3815355000002</v>
      </c>
    </row>
    <row r="490" spans="1:28" outlineLevel="1" x14ac:dyDescent="0.25">
      <c r="A490" s="39" t="str">
        <f t="shared" si="919"/>
        <v>XCMG 240</v>
      </c>
      <c r="B490" s="39"/>
      <c r="D490" s="67" t="s">
        <v>70</v>
      </c>
      <c r="E490" s="68" t="str">
        <f>E480</f>
        <v>тыс. руб.</v>
      </c>
      <c r="F490" s="89"/>
      <c r="G490" s="85">
        <f>G493*G494</f>
        <v>0</v>
      </c>
      <c r="H490" s="85">
        <f t="shared" ref="H490:Z490" si="980">H493*H494</f>
        <v>0</v>
      </c>
      <c r="I490" s="85">
        <f t="shared" si="980"/>
        <v>0</v>
      </c>
      <c r="J490" s="85">
        <f t="shared" si="980"/>
        <v>0</v>
      </c>
      <c r="K490" s="85">
        <f t="shared" si="980"/>
        <v>0</v>
      </c>
      <c r="L490" s="85">
        <f t="shared" si="980"/>
        <v>0</v>
      </c>
      <c r="M490" s="85">
        <f t="shared" si="980"/>
        <v>0</v>
      </c>
      <c r="N490" s="85">
        <f t="shared" si="980"/>
        <v>0</v>
      </c>
      <c r="O490" s="85">
        <f t="shared" si="980"/>
        <v>0</v>
      </c>
      <c r="P490" s="85">
        <f t="shared" si="980"/>
        <v>0</v>
      </c>
      <c r="Q490" s="85">
        <f t="shared" si="980"/>
        <v>0</v>
      </c>
      <c r="R490" s="85">
        <f t="shared" si="980"/>
        <v>0</v>
      </c>
      <c r="S490" s="85">
        <f t="shared" si="980"/>
        <v>0</v>
      </c>
      <c r="T490" s="85">
        <f t="shared" si="980"/>
        <v>0</v>
      </c>
      <c r="U490" s="85">
        <f t="shared" si="980"/>
        <v>0</v>
      </c>
      <c r="V490" s="85">
        <f t="shared" si="980"/>
        <v>0</v>
      </c>
      <c r="W490" s="85">
        <f t="shared" si="980"/>
        <v>0</v>
      </c>
      <c r="X490" s="85">
        <f t="shared" si="980"/>
        <v>0</v>
      </c>
      <c r="Y490" s="85">
        <f t="shared" si="980"/>
        <v>0</v>
      </c>
      <c r="Z490" s="85">
        <f t="shared" si="980"/>
        <v>0</v>
      </c>
    </row>
    <row r="491" spans="1:28" outlineLevel="1" x14ac:dyDescent="0.25">
      <c r="A491" s="39" t="str">
        <f t="shared" si="919"/>
        <v>XCMG 240</v>
      </c>
      <c r="B491" s="39"/>
      <c r="D491" s="31" t="s">
        <v>64</v>
      </c>
      <c r="E491" s="77" t="str">
        <f>VLOOKUP($A491,'ФОТ, МТР, макро'!$N$4:$Q$20,4,FALSE)</f>
        <v>г/ткм</v>
      </c>
      <c r="F491" s="90">
        <f>IF($E491="г/ткм",SUMIFS('ФОТ, МТР, макро'!$O$4:$O$20,'ФОТ, МТР, макро'!$N$4:$N$20,$A491),SUMIFS('ФОТ, МТР, макро'!$P$4:$P$20,'ФОТ, МТР, макро'!$N$4:$N$20,$A491))</f>
        <v>90</v>
      </c>
      <c r="G491" s="91">
        <f>F491</f>
        <v>90</v>
      </c>
      <c r="H491" s="91">
        <f t="shared" ref="H491" si="981">G491</f>
        <v>90</v>
      </c>
      <c r="I491" s="91">
        <f t="shared" ref="I491" si="982">H491</f>
        <v>90</v>
      </c>
      <c r="J491" s="91">
        <f t="shared" ref="J491" si="983">I491</f>
        <v>90</v>
      </c>
      <c r="K491" s="91">
        <f t="shared" ref="K491" si="984">J491</f>
        <v>90</v>
      </c>
      <c r="L491" s="91">
        <f t="shared" ref="L491" si="985">K491</f>
        <v>90</v>
      </c>
      <c r="M491" s="91">
        <f t="shared" ref="M491" si="986">L491</f>
        <v>90</v>
      </c>
      <c r="N491" s="91">
        <f t="shared" ref="N491" si="987">M491</f>
        <v>90</v>
      </c>
      <c r="O491" s="91">
        <f t="shared" ref="O491" si="988">N491</f>
        <v>90</v>
      </c>
      <c r="P491" s="91">
        <f t="shared" ref="P491" si="989">O491</f>
        <v>90</v>
      </c>
      <c r="Q491" s="91">
        <f t="shared" ref="Q491" si="990">P491</f>
        <v>90</v>
      </c>
      <c r="R491" s="91">
        <f t="shared" ref="R491" si="991">Q491</f>
        <v>90</v>
      </c>
      <c r="S491" s="91">
        <f t="shared" ref="S491" si="992">R491</f>
        <v>90</v>
      </c>
      <c r="T491" s="91">
        <f t="shared" ref="T491" si="993">S491</f>
        <v>90</v>
      </c>
      <c r="U491" s="91">
        <f t="shared" ref="U491" si="994">T491</f>
        <v>90</v>
      </c>
      <c r="V491" s="91">
        <f t="shared" ref="V491" si="995">U491</f>
        <v>90</v>
      </c>
      <c r="W491" s="91">
        <f t="shared" ref="W491" si="996">V491</f>
        <v>90</v>
      </c>
      <c r="X491" s="91">
        <f t="shared" ref="X491" si="997">W491</f>
        <v>90</v>
      </c>
      <c r="Y491" s="91">
        <f t="shared" ref="Y491" si="998">X491</f>
        <v>90</v>
      </c>
      <c r="Z491" s="91">
        <f t="shared" ref="Z491" si="999">Y491</f>
        <v>90</v>
      </c>
    </row>
    <row r="492" spans="1:28" outlineLevel="1" x14ac:dyDescent="0.25">
      <c r="A492" s="39" t="str">
        <f t="shared" si="919"/>
        <v>XCMG 240</v>
      </c>
      <c r="B492" s="39"/>
      <c r="D492" s="93" t="s">
        <v>71</v>
      </c>
      <c r="E492" s="94" t="str">
        <f>IF(E491='ФОТ, МТР, макро'!$O$4,'ФОТ, МТР, макро'!$P$4,'ФОТ, МТР, макро'!$O$4)</f>
        <v>л/час</v>
      </c>
      <c r="F492" s="95"/>
      <c r="G492" s="96" t="e">
        <f>IF($E491="г/ткм",G493*1000/(365*24*G474),G493/G476*1000)</f>
        <v>#DIV/0!</v>
      </c>
      <c r="H492" s="96" t="e">
        <f t="shared" ref="H492:Z492" si="1000">IF($E491="г/ткм",H493*1000/(365*24*H474),H493/H476*1000)</f>
        <v>#DIV/0!</v>
      </c>
      <c r="I492" s="96" t="e">
        <f t="shared" si="1000"/>
        <v>#DIV/0!</v>
      </c>
      <c r="J492" s="96" t="e">
        <f t="shared" si="1000"/>
        <v>#DIV/0!</v>
      </c>
      <c r="K492" s="96" t="e">
        <f t="shared" si="1000"/>
        <v>#DIV/0!</v>
      </c>
      <c r="L492" s="96" t="e">
        <f t="shared" si="1000"/>
        <v>#DIV/0!</v>
      </c>
      <c r="M492" s="96" t="e">
        <f t="shared" si="1000"/>
        <v>#DIV/0!</v>
      </c>
      <c r="N492" s="96" t="e">
        <f t="shared" si="1000"/>
        <v>#DIV/0!</v>
      </c>
      <c r="O492" s="96" t="e">
        <f t="shared" si="1000"/>
        <v>#DIV/0!</v>
      </c>
      <c r="P492" s="96" t="e">
        <f t="shared" si="1000"/>
        <v>#DIV/0!</v>
      </c>
      <c r="Q492" s="96" t="e">
        <f t="shared" si="1000"/>
        <v>#DIV/0!</v>
      </c>
      <c r="R492" s="96" t="e">
        <f t="shared" si="1000"/>
        <v>#DIV/0!</v>
      </c>
      <c r="S492" s="96" t="e">
        <f t="shared" si="1000"/>
        <v>#DIV/0!</v>
      </c>
      <c r="T492" s="96" t="e">
        <f t="shared" si="1000"/>
        <v>#DIV/0!</v>
      </c>
      <c r="U492" s="96" t="e">
        <f t="shared" si="1000"/>
        <v>#DIV/0!</v>
      </c>
      <c r="V492" s="96" t="e">
        <f t="shared" si="1000"/>
        <v>#DIV/0!</v>
      </c>
      <c r="W492" s="96" t="e">
        <f t="shared" si="1000"/>
        <v>#DIV/0!</v>
      </c>
      <c r="X492" s="96" t="e">
        <f t="shared" si="1000"/>
        <v>#DIV/0!</v>
      </c>
      <c r="Y492" s="96" t="e">
        <f t="shared" si="1000"/>
        <v>#DIV/0!</v>
      </c>
      <c r="Z492" s="96" t="e">
        <f t="shared" si="1000"/>
        <v>#DIV/0!</v>
      </c>
    </row>
    <row r="493" spans="1:28" outlineLevel="1" x14ac:dyDescent="0.25">
      <c r="A493" s="39" t="str">
        <f t="shared" si="919"/>
        <v>XCMG 240</v>
      </c>
      <c r="B493" s="39"/>
      <c r="D493" s="31" t="s">
        <v>66</v>
      </c>
      <c r="E493" s="9" t="s">
        <v>11</v>
      </c>
      <c r="F493" s="89"/>
      <c r="G493" s="78">
        <f>IF($E491="г/ткм",G476*G491/1000,365*24*G474*G491*0.85/1000)</f>
        <v>0</v>
      </c>
      <c r="H493" s="78">
        <f t="shared" ref="H493:Z493" si="1001">IF($E491="г/ткм",H476*H491/1000,365*24*H474*H491*0.85/1000)</f>
        <v>0</v>
      </c>
      <c r="I493" s="78">
        <f t="shared" si="1001"/>
        <v>0</v>
      </c>
      <c r="J493" s="78">
        <f t="shared" si="1001"/>
        <v>0</v>
      </c>
      <c r="K493" s="78">
        <f t="shared" si="1001"/>
        <v>0</v>
      </c>
      <c r="L493" s="78">
        <f t="shared" si="1001"/>
        <v>0</v>
      </c>
      <c r="M493" s="78">
        <f t="shared" si="1001"/>
        <v>0</v>
      </c>
      <c r="N493" s="78">
        <f t="shared" si="1001"/>
        <v>0</v>
      </c>
      <c r="O493" s="78">
        <f t="shared" si="1001"/>
        <v>0</v>
      </c>
      <c r="P493" s="78">
        <f t="shared" si="1001"/>
        <v>0</v>
      </c>
      <c r="Q493" s="78">
        <f t="shared" si="1001"/>
        <v>0</v>
      </c>
      <c r="R493" s="78">
        <f t="shared" si="1001"/>
        <v>0</v>
      </c>
      <c r="S493" s="78">
        <f t="shared" si="1001"/>
        <v>0</v>
      </c>
      <c r="T493" s="78">
        <f t="shared" si="1001"/>
        <v>0</v>
      </c>
      <c r="U493" s="78">
        <f t="shared" si="1001"/>
        <v>0</v>
      </c>
      <c r="V493" s="78">
        <f t="shared" si="1001"/>
        <v>0</v>
      </c>
      <c r="W493" s="78">
        <f t="shared" si="1001"/>
        <v>0</v>
      </c>
      <c r="X493" s="78">
        <f t="shared" si="1001"/>
        <v>0</v>
      </c>
      <c r="Y493" s="78">
        <f t="shared" si="1001"/>
        <v>0</v>
      </c>
      <c r="Z493" s="78">
        <f t="shared" si="1001"/>
        <v>0</v>
      </c>
    </row>
    <row r="494" spans="1:28" outlineLevel="1" x14ac:dyDescent="0.25">
      <c r="A494" s="39" t="str">
        <f t="shared" si="919"/>
        <v>XCMG 240</v>
      </c>
      <c r="B494" s="39"/>
      <c r="D494" s="31" t="s">
        <v>68</v>
      </c>
      <c r="E494" s="9" t="s">
        <v>72</v>
      </c>
      <c r="F494" s="78">
        <f>'ФОТ, МТР, макро'!$G$2</f>
        <v>66.018919487352079</v>
      </c>
      <c r="G494" s="89">
        <f>F494</f>
        <v>66.018919487352079</v>
      </c>
      <c r="H494" s="89">
        <f t="shared" ref="H494" si="1002">G494</f>
        <v>66.018919487352079</v>
      </c>
      <c r="I494" s="89">
        <f t="shared" ref="I494" si="1003">H494</f>
        <v>66.018919487352079</v>
      </c>
      <c r="J494" s="89">
        <f t="shared" ref="J494" si="1004">I494</f>
        <v>66.018919487352079</v>
      </c>
      <c r="K494" s="89">
        <f t="shared" ref="K494" si="1005">J494</f>
        <v>66.018919487352079</v>
      </c>
      <c r="L494" s="89">
        <f t="shared" ref="L494" si="1006">K494</f>
        <v>66.018919487352079</v>
      </c>
      <c r="M494" s="89">
        <f t="shared" ref="M494" si="1007">L494</f>
        <v>66.018919487352079</v>
      </c>
      <c r="N494" s="89">
        <f t="shared" ref="N494" si="1008">M494</f>
        <v>66.018919487352079</v>
      </c>
      <c r="O494" s="89">
        <f t="shared" ref="O494" si="1009">N494</f>
        <v>66.018919487352079</v>
      </c>
      <c r="P494" s="89">
        <f t="shared" ref="P494" si="1010">O494</f>
        <v>66.018919487352079</v>
      </c>
      <c r="Q494" s="89">
        <f t="shared" ref="Q494" si="1011">P494</f>
        <v>66.018919487352079</v>
      </c>
      <c r="R494" s="89">
        <f t="shared" ref="R494" si="1012">Q494</f>
        <v>66.018919487352079</v>
      </c>
      <c r="S494" s="89">
        <f t="shared" ref="S494" si="1013">R494</f>
        <v>66.018919487352079</v>
      </c>
      <c r="T494" s="89">
        <f t="shared" ref="T494" si="1014">S494</f>
        <v>66.018919487352079</v>
      </c>
      <c r="U494" s="89">
        <f t="shared" ref="U494" si="1015">T494</f>
        <v>66.018919487352079</v>
      </c>
      <c r="V494" s="89">
        <f t="shared" ref="V494" si="1016">U494</f>
        <v>66.018919487352079</v>
      </c>
      <c r="W494" s="89">
        <f t="shared" ref="W494" si="1017">V494</f>
        <v>66.018919487352079</v>
      </c>
      <c r="X494" s="89">
        <f t="shared" ref="X494" si="1018">W494</f>
        <v>66.018919487352079</v>
      </c>
      <c r="Y494" s="89">
        <f t="shared" ref="Y494" si="1019">X494</f>
        <v>66.018919487352079</v>
      </c>
      <c r="Z494" s="89">
        <f t="shared" ref="Z494" si="1020">Y494</f>
        <v>66.018919487352079</v>
      </c>
      <c r="AB494" s="92"/>
    </row>
    <row r="495" spans="1:28" outlineLevel="1" x14ac:dyDescent="0.25">
      <c r="A495" s="39" t="str">
        <f t="shared" si="919"/>
        <v>XCMG 240</v>
      </c>
      <c r="B495" s="39"/>
      <c r="C495" s="619" t="str">
        <f>C481</f>
        <v>ТО, ТР, ППР</v>
      </c>
      <c r="D495" s="218" t="s">
        <v>73</v>
      </c>
      <c r="E495" s="68" t="str">
        <f>E480</f>
        <v>тыс. руб.</v>
      </c>
      <c r="F495" s="30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8" outlineLevel="1" x14ac:dyDescent="0.25">
      <c r="A496" s="39" t="str">
        <f t="shared" si="919"/>
        <v>XCMG 240</v>
      </c>
      <c r="B496" s="39"/>
      <c r="D496" s="67"/>
      <c r="E496" s="68"/>
      <c r="F496" s="30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8" outlineLevel="1" x14ac:dyDescent="0.25">
      <c r="A497" s="39" t="str">
        <f t="shared" si="919"/>
        <v>XCMG 240</v>
      </c>
      <c r="B497" s="39"/>
      <c r="D497" s="67" t="s">
        <v>74</v>
      </c>
      <c r="E497" s="68" t="str">
        <f>E480</f>
        <v>тыс. руб.</v>
      </c>
      <c r="F497" s="74"/>
      <c r="G497" s="85">
        <f>G498+G499+G500</f>
        <v>0</v>
      </c>
      <c r="H497" s="85">
        <f t="shared" ref="H497:Z497" si="1021">H498+H499+H500</f>
        <v>0</v>
      </c>
      <c r="I497" s="85">
        <f t="shared" si="1021"/>
        <v>0</v>
      </c>
      <c r="J497" s="85">
        <f t="shared" si="1021"/>
        <v>0</v>
      </c>
      <c r="K497" s="85">
        <f t="shared" si="1021"/>
        <v>0</v>
      </c>
      <c r="L497" s="85">
        <f t="shared" si="1021"/>
        <v>0</v>
      </c>
      <c r="M497" s="85">
        <f t="shared" si="1021"/>
        <v>0</v>
      </c>
      <c r="N497" s="85">
        <f t="shared" si="1021"/>
        <v>0</v>
      </c>
      <c r="O497" s="85">
        <f t="shared" si="1021"/>
        <v>0</v>
      </c>
      <c r="P497" s="85">
        <f t="shared" si="1021"/>
        <v>0</v>
      </c>
      <c r="Q497" s="85">
        <f t="shared" si="1021"/>
        <v>0</v>
      </c>
      <c r="R497" s="85">
        <f t="shared" si="1021"/>
        <v>0</v>
      </c>
      <c r="S497" s="85">
        <f t="shared" si="1021"/>
        <v>0</v>
      </c>
      <c r="T497" s="85">
        <f t="shared" si="1021"/>
        <v>0</v>
      </c>
      <c r="U497" s="85">
        <f t="shared" si="1021"/>
        <v>0</v>
      </c>
      <c r="V497" s="85">
        <f t="shared" si="1021"/>
        <v>0</v>
      </c>
      <c r="W497" s="85">
        <f t="shared" si="1021"/>
        <v>0</v>
      </c>
      <c r="X497" s="85">
        <f t="shared" si="1021"/>
        <v>0</v>
      </c>
      <c r="Y497" s="85">
        <f t="shared" si="1021"/>
        <v>0</v>
      </c>
      <c r="Z497" s="85">
        <f t="shared" si="1021"/>
        <v>0</v>
      </c>
    </row>
    <row r="498" spans="1:28" outlineLevel="1" x14ac:dyDescent="0.25">
      <c r="A498" s="39" t="str">
        <f t="shared" si="919"/>
        <v>XCMG 240</v>
      </c>
      <c r="B498" s="39"/>
      <c r="D498" s="31" t="s">
        <v>257</v>
      </c>
      <c r="E498" s="9" t="str">
        <f>E497</f>
        <v>тыс. руб.</v>
      </c>
      <c r="F498" s="78">
        <f>'ФОТ, МТР, макро'!$B$4*'ФОТ, МТР, макро'!$B$7</f>
        <v>11107.5</v>
      </c>
      <c r="G498" s="89">
        <f>IF(G475=0,0,$F498)</f>
        <v>0</v>
      </c>
      <c r="H498" s="89">
        <f t="shared" ref="H498:Z498" si="1022">IF(H475=0,0,$F498)</f>
        <v>0</v>
      </c>
      <c r="I498" s="89">
        <f t="shared" si="1022"/>
        <v>0</v>
      </c>
      <c r="J498" s="89">
        <f t="shared" si="1022"/>
        <v>0</v>
      </c>
      <c r="K498" s="89">
        <f t="shared" si="1022"/>
        <v>0</v>
      </c>
      <c r="L498" s="89">
        <f t="shared" si="1022"/>
        <v>0</v>
      </c>
      <c r="M498" s="89">
        <f t="shared" si="1022"/>
        <v>0</v>
      </c>
      <c r="N498" s="89">
        <f t="shared" si="1022"/>
        <v>0</v>
      </c>
      <c r="O498" s="89">
        <f t="shared" si="1022"/>
        <v>0</v>
      </c>
      <c r="P498" s="89">
        <f t="shared" si="1022"/>
        <v>0</v>
      </c>
      <c r="Q498" s="89">
        <f t="shared" si="1022"/>
        <v>0</v>
      </c>
      <c r="R498" s="89">
        <f t="shared" si="1022"/>
        <v>0</v>
      </c>
      <c r="S498" s="89">
        <f t="shared" si="1022"/>
        <v>0</v>
      </c>
      <c r="T498" s="89">
        <f t="shared" si="1022"/>
        <v>0</v>
      </c>
      <c r="U498" s="89">
        <f t="shared" si="1022"/>
        <v>0</v>
      </c>
      <c r="V498" s="89">
        <f t="shared" si="1022"/>
        <v>0</v>
      </c>
      <c r="W498" s="89">
        <f t="shared" si="1022"/>
        <v>0</v>
      </c>
      <c r="X498" s="89">
        <f t="shared" si="1022"/>
        <v>0</v>
      </c>
      <c r="Y498" s="89">
        <f t="shared" si="1022"/>
        <v>0</v>
      </c>
      <c r="Z498" s="89">
        <f t="shared" si="1022"/>
        <v>0</v>
      </c>
    </row>
    <row r="499" spans="1:28" outlineLevel="1" x14ac:dyDescent="0.25">
      <c r="A499" s="39" t="str">
        <f t="shared" si="919"/>
        <v>XCMG 240</v>
      </c>
      <c r="B499" s="39"/>
      <c r="D499" s="31" t="s">
        <v>75</v>
      </c>
      <c r="E499" s="9" t="str">
        <f>E497</f>
        <v>тыс. руб.</v>
      </c>
      <c r="F499" s="97">
        <f>'ФОТ, МТР, макро'!$B$5</f>
        <v>0.377</v>
      </c>
      <c r="G499" s="89">
        <f>G498*$F499</f>
        <v>0</v>
      </c>
      <c r="H499" s="89">
        <f t="shared" ref="H499:Z499" si="1023">H498*$F499</f>
        <v>0</v>
      </c>
      <c r="I499" s="89">
        <f t="shared" si="1023"/>
        <v>0</v>
      </c>
      <c r="J499" s="89">
        <f t="shared" si="1023"/>
        <v>0</v>
      </c>
      <c r="K499" s="89">
        <f t="shared" si="1023"/>
        <v>0</v>
      </c>
      <c r="L499" s="89">
        <f t="shared" si="1023"/>
        <v>0</v>
      </c>
      <c r="M499" s="89">
        <f t="shared" si="1023"/>
        <v>0</v>
      </c>
      <c r="N499" s="89">
        <f t="shared" si="1023"/>
        <v>0</v>
      </c>
      <c r="O499" s="89">
        <f t="shared" si="1023"/>
        <v>0</v>
      </c>
      <c r="P499" s="89">
        <f t="shared" si="1023"/>
        <v>0</v>
      </c>
      <c r="Q499" s="89">
        <f t="shared" si="1023"/>
        <v>0</v>
      </c>
      <c r="R499" s="89">
        <f t="shared" si="1023"/>
        <v>0</v>
      </c>
      <c r="S499" s="89">
        <f t="shared" si="1023"/>
        <v>0</v>
      </c>
      <c r="T499" s="89">
        <f t="shared" si="1023"/>
        <v>0</v>
      </c>
      <c r="U499" s="89">
        <f t="shared" si="1023"/>
        <v>0</v>
      </c>
      <c r="V499" s="89">
        <f t="shared" si="1023"/>
        <v>0</v>
      </c>
      <c r="W499" s="89">
        <f t="shared" si="1023"/>
        <v>0</v>
      </c>
      <c r="X499" s="89">
        <f t="shared" si="1023"/>
        <v>0</v>
      </c>
      <c r="Y499" s="89">
        <f t="shared" si="1023"/>
        <v>0</v>
      </c>
      <c r="Z499" s="89">
        <f t="shared" si="1023"/>
        <v>0</v>
      </c>
    </row>
    <row r="500" spans="1:28" outlineLevel="1" x14ac:dyDescent="0.25">
      <c r="A500" s="39" t="str">
        <f t="shared" si="919"/>
        <v>XCMG 240</v>
      </c>
      <c r="B500" s="39"/>
      <c r="D500" s="31" t="s">
        <v>76</v>
      </c>
      <c r="E500" s="9"/>
      <c r="F500" s="78">
        <f>'ФОТ, МТР, макро'!$C$13*'ФОТ, МТР, макро'!$B$7</f>
        <v>3180.5687406620973</v>
      </c>
      <c r="G500" s="89">
        <f>IF(G475=0,0,$F500)</f>
        <v>0</v>
      </c>
      <c r="H500" s="89">
        <f t="shared" ref="H500:Z500" si="1024">IF(H475=0,0,$F500)</f>
        <v>0</v>
      </c>
      <c r="I500" s="89">
        <f t="shared" si="1024"/>
        <v>0</v>
      </c>
      <c r="J500" s="89">
        <f t="shared" si="1024"/>
        <v>0</v>
      </c>
      <c r="K500" s="89">
        <f t="shared" si="1024"/>
        <v>0</v>
      </c>
      <c r="L500" s="89">
        <f t="shared" si="1024"/>
        <v>0</v>
      </c>
      <c r="M500" s="89">
        <f t="shared" si="1024"/>
        <v>0</v>
      </c>
      <c r="N500" s="89">
        <f t="shared" si="1024"/>
        <v>0</v>
      </c>
      <c r="O500" s="89">
        <f t="shared" si="1024"/>
        <v>0</v>
      </c>
      <c r="P500" s="89">
        <f t="shared" si="1024"/>
        <v>0</v>
      </c>
      <c r="Q500" s="89">
        <f t="shared" si="1024"/>
        <v>0</v>
      </c>
      <c r="R500" s="89">
        <f t="shared" si="1024"/>
        <v>0</v>
      </c>
      <c r="S500" s="89">
        <f t="shared" si="1024"/>
        <v>0</v>
      </c>
      <c r="T500" s="89">
        <f t="shared" si="1024"/>
        <v>0</v>
      </c>
      <c r="U500" s="89">
        <f t="shared" si="1024"/>
        <v>0</v>
      </c>
      <c r="V500" s="89">
        <f t="shared" si="1024"/>
        <v>0</v>
      </c>
      <c r="W500" s="89">
        <f t="shared" si="1024"/>
        <v>0</v>
      </c>
      <c r="X500" s="89">
        <f t="shared" si="1024"/>
        <v>0</v>
      </c>
      <c r="Y500" s="89">
        <f t="shared" si="1024"/>
        <v>0</v>
      </c>
      <c r="Z500" s="89">
        <f t="shared" si="1024"/>
        <v>0</v>
      </c>
    </row>
    <row r="501" spans="1:28" outlineLevel="1" x14ac:dyDescent="0.25">
      <c r="A501" s="39" t="str">
        <f t="shared" si="919"/>
        <v>XCMG 240</v>
      </c>
      <c r="B501" s="39"/>
      <c r="D501" s="98" t="s">
        <v>77</v>
      </c>
      <c r="E501" s="68" t="str">
        <f>E480</f>
        <v>тыс. руб.</v>
      </c>
      <c r="F501" s="74"/>
      <c r="G501" s="85">
        <f>IF(G475=0,0,G502*G503/1000)</f>
        <v>0</v>
      </c>
      <c r="H501" s="85">
        <f t="shared" ref="H501:Z501" si="1025">IF(H475=0,0,H502*H503/1000)</f>
        <v>0</v>
      </c>
      <c r="I501" s="85">
        <f t="shared" si="1025"/>
        <v>0</v>
      </c>
      <c r="J501" s="85">
        <f t="shared" si="1025"/>
        <v>0</v>
      </c>
      <c r="K501" s="85">
        <f t="shared" si="1025"/>
        <v>0</v>
      </c>
      <c r="L501" s="85">
        <f t="shared" si="1025"/>
        <v>0</v>
      </c>
      <c r="M501" s="85">
        <f t="shared" si="1025"/>
        <v>0</v>
      </c>
      <c r="N501" s="85">
        <f t="shared" si="1025"/>
        <v>0</v>
      </c>
      <c r="O501" s="85">
        <f t="shared" si="1025"/>
        <v>0</v>
      </c>
      <c r="P501" s="85">
        <f t="shared" si="1025"/>
        <v>0</v>
      </c>
      <c r="Q501" s="85">
        <f t="shared" si="1025"/>
        <v>0</v>
      </c>
      <c r="R501" s="85">
        <f t="shared" si="1025"/>
        <v>0</v>
      </c>
      <c r="S501" s="85">
        <f t="shared" si="1025"/>
        <v>0</v>
      </c>
      <c r="T501" s="85">
        <f t="shared" si="1025"/>
        <v>0</v>
      </c>
      <c r="U501" s="85">
        <f t="shared" si="1025"/>
        <v>0</v>
      </c>
      <c r="V501" s="85">
        <f t="shared" si="1025"/>
        <v>0</v>
      </c>
      <c r="W501" s="85">
        <f t="shared" si="1025"/>
        <v>0</v>
      </c>
      <c r="X501" s="85">
        <f t="shared" si="1025"/>
        <v>0</v>
      </c>
      <c r="Y501" s="85">
        <f t="shared" si="1025"/>
        <v>0</v>
      </c>
      <c r="Z501" s="85">
        <f t="shared" si="1025"/>
        <v>0</v>
      </c>
    </row>
    <row r="502" spans="1:28" outlineLevel="1" x14ac:dyDescent="0.25">
      <c r="A502" s="39" t="str">
        <f t="shared" si="919"/>
        <v>XCMG 240</v>
      </c>
      <c r="B502" s="39"/>
      <c r="D502" s="31" t="s">
        <v>78</v>
      </c>
      <c r="E502" s="9" t="s">
        <v>13</v>
      </c>
      <c r="F502" s="78">
        <f>SUMIFS('ФОТ, МТР, макро'!$AC$4:$AC$20,'ФОТ, МТР, макро'!$W$4:$W$20,$A502)</f>
        <v>0</v>
      </c>
      <c r="G502" s="89">
        <f>F502</f>
        <v>0</v>
      </c>
      <c r="H502" s="89">
        <f t="shared" ref="H502:H503" si="1026">G502</f>
        <v>0</v>
      </c>
      <c r="I502" s="89">
        <f t="shared" ref="I502:I503" si="1027">H502</f>
        <v>0</v>
      </c>
      <c r="J502" s="89">
        <f t="shared" ref="J502:J503" si="1028">I502</f>
        <v>0</v>
      </c>
      <c r="K502" s="89">
        <f t="shared" ref="K502:K503" si="1029">J502</f>
        <v>0</v>
      </c>
      <c r="L502" s="89">
        <f t="shared" ref="L502:L503" si="1030">K502</f>
        <v>0</v>
      </c>
      <c r="M502" s="89">
        <f t="shared" ref="M502:M503" si="1031">L502</f>
        <v>0</v>
      </c>
      <c r="N502" s="89">
        <f t="shared" ref="N502:N503" si="1032">M502</f>
        <v>0</v>
      </c>
      <c r="O502" s="89">
        <f t="shared" ref="O502:O503" si="1033">N502</f>
        <v>0</v>
      </c>
      <c r="P502" s="89">
        <f t="shared" ref="P502:P503" si="1034">O502</f>
        <v>0</v>
      </c>
      <c r="Q502" s="89">
        <f t="shared" ref="Q502:Q503" si="1035">P502</f>
        <v>0</v>
      </c>
      <c r="R502" s="89">
        <f t="shared" ref="R502:R503" si="1036">Q502</f>
        <v>0</v>
      </c>
      <c r="S502" s="89">
        <f t="shared" ref="S502:S503" si="1037">R502</f>
        <v>0</v>
      </c>
      <c r="T502" s="89">
        <f t="shared" ref="T502:T503" si="1038">S502</f>
        <v>0</v>
      </c>
      <c r="U502" s="89">
        <f t="shared" ref="U502:U503" si="1039">T502</f>
        <v>0</v>
      </c>
      <c r="V502" s="89">
        <f t="shared" ref="V502:V503" si="1040">U502</f>
        <v>0</v>
      </c>
      <c r="W502" s="89">
        <f t="shared" ref="W502:W503" si="1041">V502</f>
        <v>0</v>
      </c>
      <c r="X502" s="89">
        <f t="shared" ref="X502:X503" si="1042">W502</f>
        <v>0</v>
      </c>
      <c r="Y502" s="89">
        <f t="shared" ref="Y502:Y503" si="1043">X502</f>
        <v>0</v>
      </c>
      <c r="Z502" s="89">
        <f t="shared" ref="Z502:Z503" si="1044">Y502</f>
        <v>0</v>
      </c>
    </row>
    <row r="503" spans="1:28" outlineLevel="1" x14ac:dyDescent="0.25">
      <c r="A503" s="39" t="str">
        <f t="shared" si="919"/>
        <v>XCMG 240</v>
      </c>
      <c r="B503" s="39"/>
      <c r="D503" s="31" t="s">
        <v>79</v>
      </c>
      <c r="E503" s="9" t="s">
        <v>80</v>
      </c>
      <c r="F503" s="78">
        <f>SUMIFS('ФОТ, МТР, макро'!$AD$4:$AD$20,'ФОТ, МТР, макро'!$W$4:$W$20,$A503)</f>
        <v>85</v>
      </c>
      <c r="G503" s="89">
        <f>F503</f>
        <v>85</v>
      </c>
      <c r="H503" s="89">
        <f t="shared" si="1026"/>
        <v>85</v>
      </c>
      <c r="I503" s="89">
        <f t="shared" si="1027"/>
        <v>85</v>
      </c>
      <c r="J503" s="89">
        <f t="shared" si="1028"/>
        <v>85</v>
      </c>
      <c r="K503" s="89">
        <f t="shared" si="1029"/>
        <v>85</v>
      </c>
      <c r="L503" s="89">
        <f t="shared" si="1030"/>
        <v>85</v>
      </c>
      <c r="M503" s="89">
        <f t="shared" si="1031"/>
        <v>85</v>
      </c>
      <c r="N503" s="89">
        <f t="shared" si="1032"/>
        <v>85</v>
      </c>
      <c r="O503" s="89">
        <f t="shared" si="1033"/>
        <v>85</v>
      </c>
      <c r="P503" s="89">
        <f t="shared" si="1034"/>
        <v>85</v>
      </c>
      <c r="Q503" s="89">
        <f t="shared" si="1035"/>
        <v>85</v>
      </c>
      <c r="R503" s="89">
        <f t="shared" si="1036"/>
        <v>85</v>
      </c>
      <c r="S503" s="89">
        <f t="shared" si="1037"/>
        <v>85</v>
      </c>
      <c r="T503" s="89">
        <f t="shared" si="1038"/>
        <v>85</v>
      </c>
      <c r="U503" s="89">
        <f t="shared" si="1039"/>
        <v>85</v>
      </c>
      <c r="V503" s="89">
        <f t="shared" si="1040"/>
        <v>85</v>
      </c>
      <c r="W503" s="89">
        <f t="shared" si="1041"/>
        <v>85</v>
      </c>
      <c r="X503" s="89">
        <f t="shared" si="1042"/>
        <v>85</v>
      </c>
      <c r="Y503" s="89">
        <f t="shared" si="1043"/>
        <v>85</v>
      </c>
      <c r="Z503" s="89">
        <f t="shared" si="1044"/>
        <v>85</v>
      </c>
    </row>
    <row r="504" spans="1:28" outlineLevel="1" x14ac:dyDescent="0.25">
      <c r="A504" s="39" t="str">
        <f t="shared" si="919"/>
        <v>XCMG 240</v>
      </c>
      <c r="B504" s="39"/>
      <c r="C504" s="99">
        <f>SUMIFS('ФОТ, МТР, макро'!$AG$4:$AG$20,'ФОТ, МТР, макро'!$W$4:$W$20,$A504)</f>
        <v>14.117647058823531</v>
      </c>
      <c r="D504" s="98" t="s">
        <v>81</v>
      </c>
      <c r="E504" s="68" t="str">
        <f>E480</f>
        <v>тыс. руб.</v>
      </c>
      <c r="F504" s="85"/>
      <c r="G504" s="100">
        <f>IF(G472&lt;=$C505,$F509*$C504%,"ОШИБКА")</f>
        <v>0</v>
      </c>
      <c r="H504" s="75">
        <f>IF(H472&lt;=$C505,$F509*$C504%,$F509-SUM($G504:G504))</f>
        <v>0</v>
      </c>
      <c r="I504" s="75">
        <f>IF(I472&lt;=$C505,$F509*$C504%,$F509-SUM($G504:H504))</f>
        <v>0</v>
      </c>
      <c r="J504" s="75">
        <f>IF(J472&lt;=$C505,$F509*$C504%,$F509-SUM($G504:I504))</f>
        <v>0</v>
      </c>
      <c r="K504" s="75">
        <f>IF(K472&lt;=$C505,$F509*$C504%,$F509-SUM($G504:J504))</f>
        <v>0</v>
      </c>
      <c r="L504" s="75">
        <f>IF(L472&lt;=$C505,$F509*$C504%,$F509-SUM($G504:K504))</f>
        <v>0</v>
      </c>
      <c r="M504" s="75">
        <f>IF(M472&lt;=$C505,$F509*$C504%,$F509-SUM($G504:L504))</f>
        <v>0</v>
      </c>
      <c r="N504" s="75">
        <f>IF(N472&lt;=$C505,$F509*$C504%,$F509-SUM($G504:M504))</f>
        <v>0</v>
      </c>
      <c r="O504" s="75">
        <f>IF(O472&lt;=$C505,$F509*$C504%,$F509-SUM($G504:N504))</f>
        <v>0</v>
      </c>
      <c r="P504" s="75">
        <f>IF(P472&lt;=$C505,$F509*$C504%,$F509-SUM($G504:O504))</f>
        <v>0</v>
      </c>
      <c r="Q504" s="75">
        <f>IF(Q472&lt;=$C505,$F509*$C504%,$F509-SUM($G504:P504))</f>
        <v>0</v>
      </c>
      <c r="R504" s="75">
        <f>IF(R472&lt;=$C505,$F509*$C504%,$F509-SUM($G504:Q504))</f>
        <v>0</v>
      </c>
      <c r="S504" s="75">
        <f>IF(S472&lt;=$C505,$F509*$C504%,$F509-SUM($G504:R504))</f>
        <v>0</v>
      </c>
      <c r="T504" s="75">
        <f>IF(T472&lt;=$C505,$F509*$C504%,$F509-SUM($G504:S504))</f>
        <v>0</v>
      </c>
      <c r="U504" s="75">
        <f>IF(U472&lt;=$C505,$F509*$C504%,$F509-SUM($G504:T504))</f>
        <v>0</v>
      </c>
      <c r="V504" s="75">
        <f>IF(V472&lt;=$C505,$F509*$C504%,$F509-SUM($G504:U504))</f>
        <v>0</v>
      </c>
      <c r="W504" s="75">
        <f>IF(W472&lt;=$C505,$F509*$C504%,$F509-SUM($G504:V504))</f>
        <v>0</v>
      </c>
      <c r="X504" s="75">
        <f>IF(X472&lt;=$C505,$F509*$C504%,$F509-SUM($G504:W504))</f>
        <v>0</v>
      </c>
      <c r="Y504" s="75">
        <f>IF(Y472&lt;=$C505,$F509*$C504%,$F509-SUM($G504:X504))</f>
        <v>0</v>
      </c>
      <c r="Z504" s="75">
        <f>IF(Z472&lt;=$C505,$F509*$C504%,$F509-SUM($G504:Y504))</f>
        <v>0</v>
      </c>
      <c r="AA504" s="88">
        <f>F509-SUM(G504:Z504)</f>
        <v>0</v>
      </c>
    </row>
    <row r="505" spans="1:28" outlineLevel="1" x14ac:dyDescent="0.25">
      <c r="A505" s="39" t="str">
        <f t="shared" si="919"/>
        <v>XCMG 240</v>
      </c>
      <c r="B505" s="39"/>
      <c r="C505" s="99">
        <f>SUMIFS('ФОТ, МТР, макро'!$AF$4:$AF$20,'ФОТ, МТР, макро'!$W$4:$W$20,$A505)/12</f>
        <v>7.083333333333333</v>
      </c>
      <c r="D505" s="98" t="s">
        <v>82</v>
      </c>
      <c r="E505" s="68" t="str">
        <f>E480</f>
        <v>тыс. руб.</v>
      </c>
      <c r="F505" s="69"/>
      <c r="G505" s="69">
        <f>SUM(G481,G486,G490,G495,G497,G501,G504)</f>
        <v>0</v>
      </c>
      <c r="H505" s="69">
        <f>SUM(H481,H486,H490,H495,H497,H501,H504)</f>
        <v>0</v>
      </c>
      <c r="I505" s="69">
        <f>SUM(I481,I486,I490,I495,I497,I501,I504)</f>
        <v>0</v>
      </c>
      <c r="J505" s="69">
        <f t="shared" ref="J505:Z505" si="1045">SUM(J481,J486,J490,J495,J497,J501,J504)</f>
        <v>0</v>
      </c>
      <c r="K505" s="69">
        <f t="shared" si="1045"/>
        <v>0</v>
      </c>
      <c r="L505" s="69">
        <f t="shared" si="1045"/>
        <v>0</v>
      </c>
      <c r="M505" s="69">
        <f t="shared" si="1045"/>
        <v>0</v>
      </c>
      <c r="N505" s="69">
        <f t="shared" si="1045"/>
        <v>0</v>
      </c>
      <c r="O505" s="69">
        <f t="shared" si="1045"/>
        <v>0</v>
      </c>
      <c r="P505" s="69">
        <f t="shared" si="1045"/>
        <v>0</v>
      </c>
      <c r="Q505" s="69">
        <f t="shared" si="1045"/>
        <v>0</v>
      </c>
      <c r="R505" s="69">
        <f t="shared" si="1045"/>
        <v>0</v>
      </c>
      <c r="S505" s="69">
        <f t="shared" si="1045"/>
        <v>0</v>
      </c>
      <c r="T505" s="69">
        <f t="shared" si="1045"/>
        <v>0</v>
      </c>
      <c r="U505" s="69">
        <f t="shared" si="1045"/>
        <v>0</v>
      </c>
      <c r="V505" s="69">
        <f t="shared" si="1045"/>
        <v>0</v>
      </c>
      <c r="W505" s="69">
        <f t="shared" si="1045"/>
        <v>0</v>
      </c>
      <c r="X505" s="69">
        <f t="shared" si="1045"/>
        <v>0</v>
      </c>
      <c r="Y505" s="69">
        <f t="shared" si="1045"/>
        <v>0</v>
      </c>
      <c r="Z505" s="69">
        <f t="shared" si="1045"/>
        <v>0</v>
      </c>
      <c r="AB505" s="42"/>
    </row>
    <row r="506" spans="1:28" outlineLevel="1" x14ac:dyDescent="0.25">
      <c r="A506" s="39" t="str">
        <f t="shared" si="919"/>
        <v>XCMG 240</v>
      </c>
      <c r="B506" s="39"/>
      <c r="D506" s="98" t="s">
        <v>83</v>
      </c>
      <c r="E506" s="68" t="str">
        <f>E480</f>
        <v>тыс. руб.</v>
      </c>
      <c r="F506" s="69"/>
      <c r="G506" s="69">
        <f>-G505*'ФОТ, МТР, макро'!AK$11</f>
        <v>0</v>
      </c>
      <c r="H506" s="69">
        <f>-H505*'ФОТ, МТР, макро'!AL$11</f>
        <v>0</v>
      </c>
      <c r="I506" s="69">
        <f>-I505*'ФОТ, МТР, макро'!AM$11</f>
        <v>0</v>
      </c>
      <c r="J506" s="69">
        <f>-J505*'ФОТ, МТР, макро'!AN$11</f>
        <v>0</v>
      </c>
      <c r="K506" s="69">
        <f>-K505*'ФОТ, МТР, макро'!AO$11</f>
        <v>0</v>
      </c>
      <c r="L506" s="69">
        <f>-L505*'ФОТ, МТР, макро'!AP$11</f>
        <v>0</v>
      </c>
      <c r="M506" s="69">
        <f>-M505*'ФОТ, МТР, макро'!AQ$11</f>
        <v>0</v>
      </c>
      <c r="N506" s="69">
        <f>-N505*'ФОТ, МТР, макро'!AR$11</f>
        <v>0</v>
      </c>
      <c r="O506" s="69">
        <f>-O505*'ФОТ, МТР, макро'!AS$11</f>
        <v>0</v>
      </c>
      <c r="P506" s="69">
        <f>-P505*'ФОТ, МТР, макро'!AT$11</f>
        <v>0</v>
      </c>
      <c r="Q506" s="69">
        <f>-Q505*'ФОТ, МТР, макро'!AU$11</f>
        <v>0</v>
      </c>
      <c r="R506" s="69">
        <f>-R505*'ФОТ, МТР, макро'!AV$11</f>
        <v>0</v>
      </c>
      <c r="S506" s="69">
        <f>-S505*'ФОТ, МТР, макро'!AW$11</f>
        <v>0</v>
      </c>
      <c r="T506" s="69">
        <f>-T505*'ФОТ, МТР, макро'!AX$11</f>
        <v>0</v>
      </c>
      <c r="U506" s="69">
        <f>-U505*'ФОТ, МТР, макро'!AY$11</f>
        <v>0</v>
      </c>
      <c r="V506" s="69">
        <f>-V505*'ФОТ, МТР, макро'!AZ$11</f>
        <v>0</v>
      </c>
      <c r="W506" s="69">
        <f>-W505*'ФОТ, МТР, макро'!BA$11</f>
        <v>0</v>
      </c>
      <c r="X506" s="69">
        <f>-X505*'ФОТ, МТР, макро'!BB$11</f>
        <v>0</v>
      </c>
      <c r="Y506" s="69">
        <f>-Y505*'ФОТ, МТР, макро'!BC$11</f>
        <v>0</v>
      </c>
      <c r="Z506" s="69">
        <f>-Z505*'ФОТ, МТР, макро'!BD$11</f>
        <v>0</v>
      </c>
    </row>
    <row r="507" spans="1:28" outlineLevel="1" x14ac:dyDescent="0.25">
      <c r="A507" s="39" t="str">
        <f t="shared" si="919"/>
        <v>XCMG 240</v>
      </c>
      <c r="B507" s="39"/>
      <c r="D507" s="101"/>
      <c r="E507" s="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8" outlineLevel="1" x14ac:dyDescent="0.25">
      <c r="A508" s="39" t="str">
        <f t="shared" si="919"/>
        <v>XCMG 240</v>
      </c>
      <c r="B508" s="39"/>
      <c r="D508" s="71" t="s">
        <v>84</v>
      </c>
      <c r="E508" s="72" t="str">
        <f>E480</f>
        <v>тыс. руб.</v>
      </c>
      <c r="F508" s="73">
        <f>F509</f>
        <v>0</v>
      </c>
      <c r="G508" s="73">
        <f t="shared" ref="G508:Z508" si="1046">G509</f>
        <v>0</v>
      </c>
      <c r="H508" s="73">
        <f t="shared" si="1046"/>
        <v>0</v>
      </c>
      <c r="I508" s="73">
        <f t="shared" si="1046"/>
        <v>0</v>
      </c>
      <c r="J508" s="73">
        <f t="shared" si="1046"/>
        <v>0</v>
      </c>
      <c r="K508" s="73">
        <f t="shared" si="1046"/>
        <v>0</v>
      </c>
      <c r="L508" s="73">
        <f t="shared" si="1046"/>
        <v>0</v>
      </c>
      <c r="M508" s="73">
        <f t="shared" si="1046"/>
        <v>0</v>
      </c>
      <c r="N508" s="73">
        <f t="shared" si="1046"/>
        <v>0</v>
      </c>
      <c r="O508" s="73">
        <f t="shared" si="1046"/>
        <v>0</v>
      </c>
      <c r="P508" s="73">
        <f t="shared" si="1046"/>
        <v>0</v>
      </c>
      <c r="Q508" s="73">
        <f t="shared" si="1046"/>
        <v>0</v>
      </c>
      <c r="R508" s="73">
        <f t="shared" si="1046"/>
        <v>0</v>
      </c>
      <c r="S508" s="73">
        <f t="shared" si="1046"/>
        <v>0</v>
      </c>
      <c r="T508" s="73">
        <f t="shared" si="1046"/>
        <v>0</v>
      </c>
      <c r="U508" s="73">
        <f t="shared" si="1046"/>
        <v>0</v>
      </c>
      <c r="V508" s="73">
        <f t="shared" si="1046"/>
        <v>0</v>
      </c>
      <c r="W508" s="73">
        <f t="shared" si="1046"/>
        <v>0</v>
      </c>
      <c r="X508" s="73">
        <f t="shared" si="1046"/>
        <v>0</v>
      </c>
      <c r="Y508" s="73">
        <f t="shared" si="1046"/>
        <v>0</v>
      </c>
      <c r="Z508" s="73">
        <f t="shared" si="1046"/>
        <v>0</v>
      </c>
    </row>
    <row r="509" spans="1:28" outlineLevel="1" x14ac:dyDescent="0.25">
      <c r="A509" s="39" t="str">
        <f t="shared" si="919"/>
        <v>XCMG 240</v>
      </c>
      <c r="B509" s="39"/>
      <c r="D509" s="101" t="s">
        <v>85</v>
      </c>
      <c r="E509" s="9" t="str">
        <f>E508</f>
        <v>тыс. руб.</v>
      </c>
      <c r="F509" s="78">
        <f>SUMIFS(Свод!$D$41:$U$41,Свод!$D$23:$U$23,$A509)</f>
        <v>0</v>
      </c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8" outlineLevel="1" x14ac:dyDescent="0.25">
      <c r="A510" s="39" t="str">
        <f t="shared" si="919"/>
        <v>XCMG 240</v>
      </c>
      <c r="B510" s="39"/>
      <c r="D510" s="101"/>
      <c r="E510" s="9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8" outlineLevel="1" x14ac:dyDescent="0.25">
      <c r="A511" s="39" t="str">
        <f t="shared" si="919"/>
        <v>XCMG 240</v>
      </c>
      <c r="B511" s="39"/>
      <c r="D511" s="71" t="s">
        <v>86</v>
      </c>
      <c r="E511" s="72" t="str">
        <f>E480</f>
        <v>тыс. руб.</v>
      </c>
      <c r="F511" s="73">
        <f>F480+F508</f>
        <v>0</v>
      </c>
      <c r="G511" s="73">
        <f t="shared" ref="G511:Z511" si="1047">G480+G508</f>
        <v>0</v>
      </c>
      <c r="H511" s="73">
        <f t="shared" si="1047"/>
        <v>0</v>
      </c>
      <c r="I511" s="73">
        <f t="shared" si="1047"/>
        <v>0</v>
      </c>
      <c r="J511" s="73">
        <f t="shared" si="1047"/>
        <v>0</v>
      </c>
      <c r="K511" s="73">
        <f t="shared" si="1047"/>
        <v>0</v>
      </c>
      <c r="L511" s="73">
        <f t="shared" si="1047"/>
        <v>0</v>
      </c>
      <c r="M511" s="73">
        <f t="shared" si="1047"/>
        <v>0</v>
      </c>
      <c r="N511" s="73">
        <f t="shared" si="1047"/>
        <v>0</v>
      </c>
      <c r="O511" s="73">
        <f t="shared" si="1047"/>
        <v>0</v>
      </c>
      <c r="P511" s="73">
        <f t="shared" si="1047"/>
        <v>0</v>
      </c>
      <c r="Q511" s="73">
        <f t="shared" si="1047"/>
        <v>0</v>
      </c>
      <c r="R511" s="73">
        <f t="shared" si="1047"/>
        <v>0</v>
      </c>
      <c r="S511" s="73">
        <f t="shared" si="1047"/>
        <v>0</v>
      </c>
      <c r="T511" s="73">
        <f t="shared" si="1047"/>
        <v>0</v>
      </c>
      <c r="U511" s="73">
        <f t="shared" si="1047"/>
        <v>0</v>
      </c>
      <c r="V511" s="73">
        <f t="shared" si="1047"/>
        <v>0</v>
      </c>
      <c r="W511" s="73">
        <f t="shared" si="1047"/>
        <v>0</v>
      </c>
      <c r="X511" s="73">
        <f t="shared" si="1047"/>
        <v>0</v>
      </c>
      <c r="Y511" s="73">
        <f t="shared" si="1047"/>
        <v>0</v>
      </c>
      <c r="Z511" s="73">
        <f t="shared" si="1047"/>
        <v>0</v>
      </c>
    </row>
    <row r="512" spans="1:28" outlineLevel="1" x14ac:dyDescent="0.25">
      <c r="A512" s="39" t="str">
        <f t="shared" si="919"/>
        <v>XCMG 240</v>
      </c>
      <c r="B512" s="39"/>
      <c r="D512" s="67" t="s">
        <v>87</v>
      </c>
      <c r="E512" s="68" t="str">
        <f>E511</f>
        <v>тыс. руб.</v>
      </c>
      <c r="F512" s="102"/>
      <c r="G512" s="69">
        <f>G480*'ФОТ, МТР, макро'!AK$13</f>
        <v>0</v>
      </c>
      <c r="H512" s="69">
        <f>H480*'ФОТ, МТР, макро'!AL$13</f>
        <v>0</v>
      </c>
      <c r="I512" s="69">
        <f>I480*'ФОТ, МТР, макро'!AM$13</f>
        <v>0</v>
      </c>
      <c r="J512" s="69">
        <f>J480*'ФОТ, МТР, макро'!AN$13</f>
        <v>0</v>
      </c>
      <c r="K512" s="69">
        <f>K480*'ФОТ, МТР, макро'!AO$13</f>
        <v>0</v>
      </c>
      <c r="L512" s="69">
        <f>L480*'ФОТ, МТР, макро'!AP$13</f>
        <v>0</v>
      </c>
      <c r="M512" s="69">
        <f>M480*'ФОТ, МТР, макро'!AQ$13</f>
        <v>0</v>
      </c>
      <c r="N512" s="69">
        <f>N480*'ФОТ, МТР, макро'!AR$13</f>
        <v>0</v>
      </c>
      <c r="O512" s="69">
        <f>O480*'ФОТ, МТР, макро'!AS$13</f>
        <v>0</v>
      </c>
      <c r="P512" s="69">
        <f>P480*'ФОТ, МТР, макро'!AT$13</f>
        <v>0</v>
      </c>
      <c r="Q512" s="69">
        <f>Q480*'ФОТ, МТР, макро'!AU$13</f>
        <v>0</v>
      </c>
      <c r="R512" s="69">
        <f>R480*'ФОТ, МТР, макро'!AV$13</f>
        <v>0</v>
      </c>
      <c r="S512" s="69">
        <f>S480*'ФОТ, МТР, макро'!AW$13</f>
        <v>0</v>
      </c>
      <c r="T512" s="69">
        <f>T480*'ФОТ, МТР, макро'!AX$13</f>
        <v>0</v>
      </c>
      <c r="U512" s="69">
        <f>U480*'ФОТ, МТР, макро'!AY$13</f>
        <v>0</v>
      </c>
      <c r="V512" s="69">
        <f>V480*'ФОТ, МТР, макро'!AZ$13</f>
        <v>0</v>
      </c>
      <c r="W512" s="69">
        <f>W480*'ФОТ, МТР, макро'!BA$13</f>
        <v>0</v>
      </c>
      <c r="X512" s="69">
        <f>X480*'ФОТ, МТР, макро'!BB$13</f>
        <v>0</v>
      </c>
      <c r="Y512" s="69">
        <f>Y480*'ФОТ, МТР, макро'!BC$13</f>
        <v>0</v>
      </c>
      <c r="Z512" s="69">
        <f>Z480*'ФОТ, МТР, макро'!BD$13</f>
        <v>0</v>
      </c>
    </row>
    <row r="513" spans="1:26" outlineLevel="1" x14ac:dyDescent="0.25">
      <c r="A513" s="39" t="str">
        <f t="shared" si="919"/>
        <v>XCMG 240</v>
      </c>
      <c r="B513" s="39"/>
      <c r="D513" s="18" t="str">
        <f>D481</f>
        <v>ТО, ТР, ППР</v>
      </c>
      <c r="E513" s="9" t="str">
        <f>E512</f>
        <v>тыс. руб.</v>
      </c>
      <c r="F513" s="103"/>
      <c r="G513" s="74">
        <f>G481*'ФОТ, МТР, макро'!AK$13</f>
        <v>0</v>
      </c>
      <c r="H513" s="74">
        <f>H481*'ФОТ, МТР, макро'!AL$13</f>
        <v>0</v>
      </c>
      <c r="I513" s="74">
        <f>I481*'ФОТ, МТР, макро'!AM$13</f>
        <v>0</v>
      </c>
      <c r="J513" s="74">
        <f>J481*'ФОТ, МТР, макро'!AN$13</f>
        <v>0</v>
      </c>
      <c r="K513" s="74">
        <f>K481*'ФОТ, МТР, макро'!AO$13</f>
        <v>0</v>
      </c>
      <c r="L513" s="74">
        <f>L481*'ФОТ, МТР, макро'!AP$13</f>
        <v>0</v>
      </c>
      <c r="M513" s="74">
        <f>M481*'ФОТ, МТР, макро'!AQ$13</f>
        <v>0</v>
      </c>
      <c r="N513" s="74">
        <f>N481*'ФОТ, МТР, макро'!AR$13</f>
        <v>0</v>
      </c>
      <c r="O513" s="74">
        <f>O481*'ФОТ, МТР, макро'!AS$13</f>
        <v>0</v>
      </c>
      <c r="P513" s="74">
        <f>P481*'ФОТ, МТР, макро'!AT$13</f>
        <v>0</v>
      </c>
      <c r="Q513" s="74">
        <f>Q481*'ФОТ, МТР, макро'!AU$13</f>
        <v>0</v>
      </c>
      <c r="R513" s="74">
        <f>R481*'ФОТ, МТР, макро'!AV$13</f>
        <v>0</v>
      </c>
      <c r="S513" s="74">
        <f>S481*'ФОТ, МТР, макро'!AW$13</f>
        <v>0</v>
      </c>
      <c r="T513" s="74">
        <f>T481*'ФОТ, МТР, макро'!AX$13</f>
        <v>0</v>
      </c>
      <c r="U513" s="74">
        <f>U481*'ФОТ, МТР, макро'!AY$13</f>
        <v>0</v>
      </c>
      <c r="V513" s="74">
        <f>V481*'ФОТ, МТР, макро'!AZ$13</f>
        <v>0</v>
      </c>
      <c r="W513" s="74">
        <f>W481*'ФОТ, МТР, макро'!BA$13</f>
        <v>0</v>
      </c>
      <c r="X513" s="74">
        <f>X481*'ФОТ, МТР, макро'!BB$13</f>
        <v>0</v>
      </c>
      <c r="Y513" s="74">
        <f>Y481*'ФОТ, МТР, макро'!BC$13</f>
        <v>0</v>
      </c>
      <c r="Z513" s="74">
        <f>Z481*'ФОТ, МТР, макро'!BD$13</f>
        <v>0</v>
      </c>
    </row>
    <row r="514" spans="1:26" outlineLevel="1" x14ac:dyDescent="0.25">
      <c r="A514" s="39" t="str">
        <f t="shared" si="919"/>
        <v>XCMG 240</v>
      </c>
      <c r="B514" s="39"/>
      <c r="D514" s="18" t="str">
        <f>D486</f>
        <v>Шины</v>
      </c>
      <c r="E514" s="9" t="str">
        <f t="shared" ref="E514:E519" si="1048">E513</f>
        <v>тыс. руб.</v>
      </c>
      <c r="F514" s="103"/>
      <c r="G514" s="74">
        <f>G486*'ФОТ, МТР, макро'!AK$13</f>
        <v>0</v>
      </c>
      <c r="H514" s="74">
        <f>H486*'ФОТ, МТР, макро'!AL$13</f>
        <v>0</v>
      </c>
      <c r="I514" s="74">
        <f>I486*'ФОТ, МТР, макро'!AM$13</f>
        <v>0</v>
      </c>
      <c r="J514" s="74">
        <f>J486*'ФОТ, МТР, макро'!AN$13</f>
        <v>0</v>
      </c>
      <c r="K514" s="74">
        <f>K486*'ФОТ, МТР, макро'!AO$13</f>
        <v>0</v>
      </c>
      <c r="L514" s="74">
        <f>L486*'ФОТ, МТР, макро'!AP$13</f>
        <v>0</v>
      </c>
      <c r="M514" s="74">
        <f>M486*'ФОТ, МТР, макро'!AQ$13</f>
        <v>0</v>
      </c>
      <c r="N514" s="74">
        <f>N486*'ФОТ, МТР, макро'!AR$13</f>
        <v>0</v>
      </c>
      <c r="O514" s="74">
        <f>O486*'ФОТ, МТР, макро'!AS$13</f>
        <v>0</v>
      </c>
      <c r="P514" s="74">
        <f>P486*'ФОТ, МТР, макро'!AT$13</f>
        <v>0</v>
      </c>
      <c r="Q514" s="74">
        <f>Q486*'ФОТ, МТР, макро'!AU$13</f>
        <v>0</v>
      </c>
      <c r="R514" s="74">
        <f>R486*'ФОТ, МТР, макро'!AV$13</f>
        <v>0</v>
      </c>
      <c r="S514" s="74">
        <f>S486*'ФОТ, МТР, макро'!AW$13</f>
        <v>0</v>
      </c>
      <c r="T514" s="74">
        <f>T486*'ФОТ, МТР, макро'!AX$13</f>
        <v>0</v>
      </c>
      <c r="U514" s="74">
        <f>U486*'ФОТ, МТР, макро'!AY$13</f>
        <v>0</v>
      </c>
      <c r="V514" s="74">
        <f>V486*'ФОТ, МТР, макро'!AZ$13</f>
        <v>0</v>
      </c>
      <c r="W514" s="74">
        <f>W486*'ФОТ, МТР, макро'!BA$13</f>
        <v>0</v>
      </c>
      <c r="X514" s="74">
        <f>X486*'ФОТ, МТР, макро'!BB$13</f>
        <v>0</v>
      </c>
      <c r="Y514" s="74">
        <f>Y486*'ФОТ, МТР, макро'!BC$13</f>
        <v>0</v>
      </c>
      <c r="Z514" s="74">
        <f>Z486*'ФОТ, МТР, макро'!BD$13</f>
        <v>0</v>
      </c>
    </row>
    <row r="515" spans="1:26" outlineLevel="1" x14ac:dyDescent="0.25">
      <c r="A515" s="39" t="str">
        <f t="shared" si="919"/>
        <v>XCMG 240</v>
      </c>
      <c r="B515" s="39"/>
      <c r="D515" s="18" t="str">
        <f>D490</f>
        <v>Топливо</v>
      </c>
      <c r="E515" s="9" t="str">
        <f t="shared" si="1048"/>
        <v>тыс. руб.</v>
      </c>
      <c r="F515" s="103"/>
      <c r="G515" s="74">
        <f>G490*'ФОТ, МТР, макро'!AK$13</f>
        <v>0</v>
      </c>
      <c r="H515" s="74">
        <f>H490*'ФОТ, МТР, макро'!AL$13</f>
        <v>0</v>
      </c>
      <c r="I515" s="74">
        <f>I490*'ФОТ, МТР, макро'!AM$13</f>
        <v>0</v>
      </c>
      <c r="J515" s="74">
        <f>J490*'ФОТ, МТР, макро'!AN$13</f>
        <v>0</v>
      </c>
      <c r="K515" s="74">
        <f>K490*'ФОТ, МТР, макро'!AO$13</f>
        <v>0</v>
      </c>
      <c r="L515" s="74">
        <f>L490*'ФОТ, МТР, макро'!AP$13</f>
        <v>0</v>
      </c>
      <c r="M515" s="74">
        <f>M490*'ФОТ, МТР, макро'!AQ$13</f>
        <v>0</v>
      </c>
      <c r="N515" s="74">
        <f>N490*'ФОТ, МТР, макро'!AR$13</f>
        <v>0</v>
      </c>
      <c r="O515" s="74">
        <f>O490*'ФОТ, МТР, макро'!AS$13</f>
        <v>0</v>
      </c>
      <c r="P515" s="74">
        <f>P490*'ФОТ, МТР, макро'!AT$13</f>
        <v>0</v>
      </c>
      <c r="Q515" s="74">
        <f>Q490*'ФОТ, МТР, макро'!AU$13</f>
        <v>0</v>
      </c>
      <c r="R515" s="74">
        <f>R490*'ФОТ, МТР, макро'!AV$13</f>
        <v>0</v>
      </c>
      <c r="S515" s="74">
        <f>S490*'ФОТ, МТР, макро'!AW$13</f>
        <v>0</v>
      </c>
      <c r="T515" s="74">
        <f>T490*'ФОТ, МТР, макро'!AX$13</f>
        <v>0</v>
      </c>
      <c r="U515" s="74">
        <f>U490*'ФОТ, МТР, макро'!AY$13</f>
        <v>0</v>
      </c>
      <c r="V515" s="74">
        <f>V490*'ФОТ, МТР, макро'!AZ$13</f>
        <v>0</v>
      </c>
      <c r="W515" s="74">
        <f>W490*'ФОТ, МТР, макро'!BA$13</f>
        <v>0</v>
      </c>
      <c r="X515" s="74">
        <f>X490*'ФОТ, МТР, макро'!BB$13</f>
        <v>0</v>
      </c>
      <c r="Y515" s="74">
        <f>Y490*'ФОТ, МТР, макро'!BC$13</f>
        <v>0</v>
      </c>
      <c r="Z515" s="74">
        <f>Z490*'ФОТ, МТР, макро'!BD$13</f>
        <v>0</v>
      </c>
    </row>
    <row r="516" spans="1:26" outlineLevel="1" x14ac:dyDescent="0.25">
      <c r="A516" s="39" t="str">
        <f t="shared" si="919"/>
        <v>XCMG 240</v>
      </c>
      <c r="B516" s="39"/>
      <c r="D516" s="18" t="str">
        <f>D495</f>
        <v>Смазочные</v>
      </c>
      <c r="E516" s="9" t="str">
        <f t="shared" si="1048"/>
        <v>тыс. руб.</v>
      </c>
      <c r="F516" s="103"/>
      <c r="G516" s="74">
        <f>G495*'ФОТ, МТР, макро'!AK$13</f>
        <v>0</v>
      </c>
      <c r="H516" s="74">
        <f>H495*'ФОТ, МТР, макро'!AL$13</f>
        <v>0</v>
      </c>
      <c r="I516" s="74">
        <f>I495*'ФОТ, МТР, макро'!AM$13</f>
        <v>0</v>
      </c>
      <c r="J516" s="74">
        <f>J495*'ФОТ, МТР, макро'!AN$13</f>
        <v>0</v>
      </c>
      <c r="K516" s="74">
        <f>K495*'ФОТ, МТР, макро'!AO$13</f>
        <v>0</v>
      </c>
      <c r="L516" s="74">
        <f>L495*'ФОТ, МТР, макро'!AP$13</f>
        <v>0</v>
      </c>
      <c r="M516" s="74">
        <f>M495*'ФОТ, МТР, макро'!AQ$13</f>
        <v>0</v>
      </c>
      <c r="N516" s="74">
        <f>N495*'ФОТ, МТР, макро'!AR$13</f>
        <v>0</v>
      </c>
      <c r="O516" s="74">
        <f>O495*'ФОТ, МТР, макро'!AS$13</f>
        <v>0</v>
      </c>
      <c r="P516" s="74">
        <f>P495*'ФОТ, МТР, макро'!AT$13</f>
        <v>0</v>
      </c>
      <c r="Q516" s="74">
        <f>Q495*'ФОТ, МТР, макро'!AU$13</f>
        <v>0</v>
      </c>
      <c r="R516" s="74">
        <f>R495*'ФОТ, МТР, макро'!AV$13</f>
        <v>0</v>
      </c>
      <c r="S516" s="74">
        <f>S495*'ФОТ, МТР, макро'!AW$13</f>
        <v>0</v>
      </c>
      <c r="T516" s="74">
        <f>T495*'ФОТ, МТР, макро'!AX$13</f>
        <v>0</v>
      </c>
      <c r="U516" s="74">
        <f>U495*'ФОТ, МТР, макро'!AY$13</f>
        <v>0</v>
      </c>
      <c r="V516" s="74">
        <f>V495*'ФОТ, МТР, макро'!AZ$13</f>
        <v>0</v>
      </c>
      <c r="W516" s="74">
        <f>W495*'ФОТ, МТР, макро'!BA$13</f>
        <v>0</v>
      </c>
      <c r="X516" s="74">
        <f>X495*'ФОТ, МТР, макро'!BB$13</f>
        <v>0</v>
      </c>
      <c r="Y516" s="74">
        <f>Y495*'ФОТ, МТР, макро'!BC$13</f>
        <v>0</v>
      </c>
      <c r="Z516" s="74">
        <f>Z495*'ФОТ, МТР, макро'!BD$13</f>
        <v>0</v>
      </c>
    </row>
    <row r="517" spans="1:26" outlineLevel="1" x14ac:dyDescent="0.25">
      <c r="A517" s="39" t="str">
        <f t="shared" si="919"/>
        <v>XCMG 240</v>
      </c>
      <c r="B517" s="39"/>
      <c r="D517" s="18" t="str">
        <f>D497</f>
        <v>Затраты на персонал</v>
      </c>
      <c r="E517" s="9" t="str">
        <f t="shared" si="1048"/>
        <v>тыс. руб.</v>
      </c>
      <c r="F517" s="103"/>
      <c r="G517" s="74">
        <f>G497*'ФОТ, МТР, макро'!AK$13</f>
        <v>0</v>
      </c>
      <c r="H517" s="74">
        <f>H497*'ФОТ, МТР, макро'!AL$13</f>
        <v>0</v>
      </c>
      <c r="I517" s="74">
        <f>I497*'ФОТ, МТР, макро'!AM$13</f>
        <v>0</v>
      </c>
      <c r="J517" s="74">
        <f>J497*'ФОТ, МТР, макро'!AN$13</f>
        <v>0</v>
      </c>
      <c r="K517" s="74">
        <f>K497*'ФОТ, МТР, макро'!AO$13</f>
        <v>0</v>
      </c>
      <c r="L517" s="74">
        <f>L497*'ФОТ, МТР, макро'!AP$13</f>
        <v>0</v>
      </c>
      <c r="M517" s="74">
        <f>M497*'ФОТ, МТР, макро'!AQ$13</f>
        <v>0</v>
      </c>
      <c r="N517" s="74">
        <f>N497*'ФОТ, МТР, макро'!AR$13</f>
        <v>0</v>
      </c>
      <c r="O517" s="74">
        <f>O497*'ФОТ, МТР, макро'!AS$13</f>
        <v>0</v>
      </c>
      <c r="P517" s="74">
        <f>P497*'ФОТ, МТР, макро'!AT$13</f>
        <v>0</v>
      </c>
      <c r="Q517" s="74">
        <f>Q497*'ФОТ, МТР, макро'!AU$13</f>
        <v>0</v>
      </c>
      <c r="R517" s="74">
        <f>R497*'ФОТ, МТР, макро'!AV$13</f>
        <v>0</v>
      </c>
      <c r="S517" s="74">
        <f>S497*'ФОТ, МТР, макро'!AW$13</f>
        <v>0</v>
      </c>
      <c r="T517" s="74">
        <f>T497*'ФОТ, МТР, макро'!AX$13</f>
        <v>0</v>
      </c>
      <c r="U517" s="74">
        <f>U497*'ФОТ, МТР, макро'!AY$13</f>
        <v>0</v>
      </c>
      <c r="V517" s="74">
        <f>V497*'ФОТ, МТР, макро'!AZ$13</f>
        <v>0</v>
      </c>
      <c r="W517" s="74">
        <f>W497*'ФОТ, МТР, макро'!BA$13</f>
        <v>0</v>
      </c>
      <c r="X517" s="74">
        <f>X497*'ФОТ, МТР, макро'!BB$13</f>
        <v>0</v>
      </c>
      <c r="Y517" s="74">
        <f>Y497*'ФОТ, МТР, макро'!BC$13</f>
        <v>0</v>
      </c>
      <c r="Z517" s="74">
        <f>Z497*'ФОТ, МТР, макро'!BD$13</f>
        <v>0</v>
      </c>
    </row>
    <row r="518" spans="1:26" outlineLevel="1" x14ac:dyDescent="0.25">
      <c r="A518" s="39" t="str">
        <f t="shared" si="919"/>
        <v>XCMG 240</v>
      </c>
      <c r="B518" s="39"/>
      <c r="D518" s="18" t="str">
        <f>D501</f>
        <v>Транспортный налог</v>
      </c>
      <c r="E518" s="9" t="str">
        <f t="shared" si="1048"/>
        <v>тыс. руб.</v>
      </c>
      <c r="F518" s="103"/>
      <c r="G518" s="74">
        <f>G501*'ФОТ, МТР, макро'!AK$13</f>
        <v>0</v>
      </c>
      <c r="H518" s="74">
        <f>H501*'ФОТ, МТР, макро'!AL$13</f>
        <v>0</v>
      </c>
      <c r="I518" s="74">
        <f>I501*'ФОТ, МТР, макро'!AM$13</f>
        <v>0</v>
      </c>
      <c r="J518" s="74">
        <f>J501*'ФОТ, МТР, макро'!AN$13</f>
        <v>0</v>
      </c>
      <c r="K518" s="74">
        <f>K501*'ФОТ, МТР, макро'!AO$13</f>
        <v>0</v>
      </c>
      <c r="L518" s="74">
        <f>L501*'ФОТ, МТР, макро'!AP$13</f>
        <v>0</v>
      </c>
      <c r="M518" s="74">
        <f>M501*'ФОТ, МТР, макро'!AQ$13</f>
        <v>0</v>
      </c>
      <c r="N518" s="74">
        <f>N501*'ФОТ, МТР, макро'!AR$13</f>
        <v>0</v>
      </c>
      <c r="O518" s="74">
        <f>O501*'ФОТ, МТР, макро'!AS$13</f>
        <v>0</v>
      </c>
      <c r="P518" s="74">
        <f>P501*'ФОТ, МТР, макро'!AT$13</f>
        <v>0</v>
      </c>
      <c r="Q518" s="74">
        <f>Q501*'ФОТ, МТР, макро'!AU$13</f>
        <v>0</v>
      </c>
      <c r="R518" s="74">
        <f>R501*'ФОТ, МТР, макро'!AV$13</f>
        <v>0</v>
      </c>
      <c r="S518" s="74">
        <f>S501*'ФОТ, МТР, макро'!AW$13</f>
        <v>0</v>
      </c>
      <c r="T518" s="74">
        <f>T501*'ФОТ, МТР, макро'!AX$13</f>
        <v>0</v>
      </c>
      <c r="U518" s="74">
        <f>U501*'ФОТ, МТР, макро'!AY$13</f>
        <v>0</v>
      </c>
      <c r="V518" s="74">
        <f>V501*'ФОТ, МТР, макро'!AZ$13</f>
        <v>0</v>
      </c>
      <c r="W518" s="74">
        <f>W501*'ФОТ, МТР, макро'!BA$13</f>
        <v>0</v>
      </c>
      <c r="X518" s="74">
        <f>X501*'ФОТ, МТР, макро'!BB$13</f>
        <v>0</v>
      </c>
      <c r="Y518" s="74">
        <f>Y501*'ФОТ, МТР, макро'!BC$13</f>
        <v>0</v>
      </c>
      <c r="Z518" s="74">
        <f>Z501*'ФОТ, МТР, макро'!BD$13</f>
        <v>0</v>
      </c>
    </row>
    <row r="519" spans="1:26" outlineLevel="1" x14ac:dyDescent="0.25">
      <c r="A519" s="39" t="str">
        <f t="shared" si="919"/>
        <v>XCMG 240</v>
      </c>
      <c r="B519" s="39"/>
      <c r="D519" s="18" t="str">
        <f>D506</f>
        <v>Налог на прибыль</v>
      </c>
      <c r="E519" s="9" t="str">
        <f t="shared" si="1048"/>
        <v>тыс. руб.</v>
      </c>
      <c r="F519" s="103"/>
      <c r="G519" s="74">
        <f>G506*'ФОТ, МТР, макро'!AK$13</f>
        <v>0</v>
      </c>
      <c r="H519" s="74">
        <f>H506*'ФОТ, МТР, макро'!AL$13</f>
        <v>0</v>
      </c>
      <c r="I519" s="74">
        <f>I506*'ФОТ, МТР, макро'!AM$13</f>
        <v>0</v>
      </c>
      <c r="J519" s="74">
        <f>J506*'ФОТ, МТР, макро'!AN$13</f>
        <v>0</v>
      </c>
      <c r="K519" s="74">
        <f>K506*'ФОТ, МТР, макро'!AO$13</f>
        <v>0</v>
      </c>
      <c r="L519" s="74">
        <f>L506*'ФОТ, МТР, макро'!AP$13</f>
        <v>0</v>
      </c>
      <c r="M519" s="74">
        <f>M506*'ФОТ, МТР, макро'!AQ$13</f>
        <v>0</v>
      </c>
      <c r="N519" s="74">
        <f>N506*'ФОТ, МТР, макро'!AR$13</f>
        <v>0</v>
      </c>
      <c r="O519" s="74">
        <f>O506*'ФОТ, МТР, макро'!AS$13</f>
        <v>0</v>
      </c>
      <c r="P519" s="74">
        <f>P506*'ФОТ, МТР, макро'!AT$13</f>
        <v>0</v>
      </c>
      <c r="Q519" s="74">
        <f>Q506*'ФОТ, МТР, макро'!AU$13</f>
        <v>0</v>
      </c>
      <c r="R519" s="74">
        <f>R506*'ФОТ, МТР, макро'!AV$13</f>
        <v>0</v>
      </c>
      <c r="S519" s="74">
        <f>S506*'ФОТ, МТР, макро'!AW$13</f>
        <v>0</v>
      </c>
      <c r="T519" s="74">
        <f>T506*'ФОТ, МТР, макро'!AX$13</f>
        <v>0</v>
      </c>
      <c r="U519" s="74">
        <f>U506*'ФОТ, МТР, макро'!AY$13</f>
        <v>0</v>
      </c>
      <c r="V519" s="74">
        <f>V506*'ФОТ, МТР, макро'!AZ$13</f>
        <v>0</v>
      </c>
      <c r="W519" s="74">
        <f>W506*'ФОТ, МТР, макро'!BA$13</f>
        <v>0</v>
      </c>
      <c r="X519" s="74">
        <f>X506*'ФОТ, МТР, макро'!BB$13</f>
        <v>0</v>
      </c>
      <c r="Y519" s="74">
        <f>Y506*'ФОТ, МТР, макро'!BC$13</f>
        <v>0</v>
      </c>
      <c r="Z519" s="74">
        <f>Z506*'ФОТ, МТР, макро'!BD$13</f>
        <v>0</v>
      </c>
    </row>
    <row r="520" spans="1:26" outlineLevel="1" x14ac:dyDescent="0.25">
      <c r="A520" s="39" t="str">
        <f t="shared" si="919"/>
        <v>XCMG 240</v>
      </c>
      <c r="B520" s="39"/>
      <c r="D520" s="104" t="s">
        <v>88</v>
      </c>
      <c r="E520" s="9"/>
      <c r="F520" s="105"/>
      <c r="G520" s="106">
        <f>G512-SUM(G513:G519)</f>
        <v>0</v>
      </c>
      <c r="H520" s="106">
        <f t="shared" ref="H520:I520" si="1049">H512-SUM(H513:H519)</f>
        <v>0</v>
      </c>
      <c r="I520" s="106">
        <f t="shared" si="1049"/>
        <v>0</v>
      </c>
      <c r="J520" s="106">
        <f t="shared" ref="J520:Z520" si="1050">J512-SUM(J513:J519)</f>
        <v>0</v>
      </c>
      <c r="K520" s="106">
        <f t="shared" si="1050"/>
        <v>0</v>
      </c>
      <c r="L520" s="106">
        <f t="shared" si="1050"/>
        <v>0</v>
      </c>
      <c r="M520" s="106">
        <f t="shared" si="1050"/>
        <v>0</v>
      </c>
      <c r="N520" s="106">
        <f t="shared" si="1050"/>
        <v>0</v>
      </c>
      <c r="O520" s="106">
        <f t="shared" si="1050"/>
        <v>0</v>
      </c>
      <c r="P520" s="106">
        <f t="shared" si="1050"/>
        <v>0</v>
      </c>
      <c r="Q520" s="106">
        <f t="shared" si="1050"/>
        <v>0</v>
      </c>
      <c r="R520" s="106">
        <f t="shared" si="1050"/>
        <v>0</v>
      </c>
      <c r="S520" s="106">
        <f t="shared" si="1050"/>
        <v>0</v>
      </c>
      <c r="T520" s="106">
        <f t="shared" si="1050"/>
        <v>0</v>
      </c>
      <c r="U520" s="106">
        <f t="shared" si="1050"/>
        <v>0</v>
      </c>
      <c r="V520" s="106">
        <f t="shared" si="1050"/>
        <v>0</v>
      </c>
      <c r="W520" s="106">
        <f t="shared" si="1050"/>
        <v>0</v>
      </c>
      <c r="X520" s="106">
        <f t="shared" si="1050"/>
        <v>0</v>
      </c>
      <c r="Y520" s="106">
        <f t="shared" si="1050"/>
        <v>0</v>
      </c>
      <c r="Z520" s="106">
        <f t="shared" si="1050"/>
        <v>0</v>
      </c>
    </row>
    <row r="521" spans="1:26" ht="27.2" outlineLevel="1" x14ac:dyDescent="0.25">
      <c r="A521" s="39" t="str">
        <f t="shared" si="919"/>
        <v>XCMG 240</v>
      </c>
      <c r="B521" s="39"/>
      <c r="D521" s="107" t="s">
        <v>89</v>
      </c>
      <c r="E521" s="68" t="str">
        <f>E512</f>
        <v>тыс. руб.</v>
      </c>
      <c r="F521" s="69">
        <f>F512</f>
        <v>0</v>
      </c>
      <c r="G521" s="69">
        <f>F521+G512</f>
        <v>0</v>
      </c>
      <c r="H521" s="69">
        <f t="shared" ref="H521:H528" si="1051">G521+H512</f>
        <v>0</v>
      </c>
      <c r="I521" s="69">
        <f t="shared" ref="I521:I528" si="1052">H521+I512</f>
        <v>0</v>
      </c>
      <c r="J521" s="69">
        <f t="shared" ref="J521:J528" si="1053">I521+J512</f>
        <v>0</v>
      </c>
      <c r="K521" s="69">
        <f t="shared" ref="K521:K528" si="1054">J521+K512</f>
        <v>0</v>
      </c>
      <c r="L521" s="69">
        <f t="shared" ref="L521:L528" si="1055">K521+L512</f>
        <v>0</v>
      </c>
      <c r="M521" s="69">
        <f t="shared" ref="M521:M528" si="1056">L521+M512</f>
        <v>0</v>
      </c>
      <c r="N521" s="69">
        <f t="shared" ref="N521:N528" si="1057">M521+N512</f>
        <v>0</v>
      </c>
      <c r="O521" s="69">
        <f t="shared" ref="O521:O528" si="1058">N521+O512</f>
        <v>0</v>
      </c>
      <c r="P521" s="69">
        <f t="shared" ref="P521:P528" si="1059">O521+P512</f>
        <v>0</v>
      </c>
      <c r="Q521" s="69">
        <f t="shared" ref="Q521:Q528" si="1060">P521+Q512</f>
        <v>0</v>
      </c>
      <c r="R521" s="69">
        <f t="shared" ref="R521:R528" si="1061">Q521+R512</f>
        <v>0</v>
      </c>
      <c r="S521" s="69">
        <f t="shared" ref="S521:S528" si="1062">R521+S512</f>
        <v>0</v>
      </c>
      <c r="T521" s="69">
        <f t="shared" ref="T521:T528" si="1063">S521+T512</f>
        <v>0</v>
      </c>
      <c r="U521" s="69">
        <f t="shared" ref="U521:U528" si="1064">T521+U512</f>
        <v>0</v>
      </c>
      <c r="V521" s="69">
        <f t="shared" ref="V521:V528" si="1065">U521+V512</f>
        <v>0</v>
      </c>
      <c r="W521" s="69">
        <f t="shared" ref="W521:W528" si="1066">V521+W512</f>
        <v>0</v>
      </c>
      <c r="X521" s="69">
        <f t="shared" ref="X521:X528" si="1067">W521+X512</f>
        <v>0</v>
      </c>
      <c r="Y521" s="69">
        <f t="shared" ref="Y521:Y528" si="1068">X521+Y512</f>
        <v>0</v>
      </c>
      <c r="Z521" s="69">
        <f t="shared" ref="Z521:Z528" si="1069">Y521+Z512</f>
        <v>0</v>
      </c>
    </row>
    <row r="522" spans="1:26" outlineLevel="1" x14ac:dyDescent="0.25">
      <c r="A522" s="39" t="str">
        <f t="shared" si="919"/>
        <v>XCMG 240</v>
      </c>
      <c r="B522" s="39"/>
      <c r="D522" s="101" t="str">
        <f>D513</f>
        <v>ТО, ТР, ППР</v>
      </c>
      <c r="E522" s="9" t="str">
        <f>E513</f>
        <v>тыс. руб.</v>
      </c>
      <c r="F522" s="74">
        <f>F513</f>
        <v>0</v>
      </c>
      <c r="G522" s="74">
        <f>F522+G513</f>
        <v>0</v>
      </c>
      <c r="H522" s="74">
        <f t="shared" si="1051"/>
        <v>0</v>
      </c>
      <c r="I522" s="74">
        <f t="shared" si="1052"/>
        <v>0</v>
      </c>
      <c r="J522" s="74">
        <f t="shared" si="1053"/>
        <v>0</v>
      </c>
      <c r="K522" s="74">
        <f t="shared" si="1054"/>
        <v>0</v>
      </c>
      <c r="L522" s="74">
        <f t="shared" si="1055"/>
        <v>0</v>
      </c>
      <c r="M522" s="74">
        <f t="shared" si="1056"/>
        <v>0</v>
      </c>
      <c r="N522" s="74">
        <f t="shared" si="1057"/>
        <v>0</v>
      </c>
      <c r="O522" s="74">
        <f t="shared" si="1058"/>
        <v>0</v>
      </c>
      <c r="P522" s="74">
        <f t="shared" si="1059"/>
        <v>0</v>
      </c>
      <c r="Q522" s="74">
        <f t="shared" si="1060"/>
        <v>0</v>
      </c>
      <c r="R522" s="74">
        <f t="shared" si="1061"/>
        <v>0</v>
      </c>
      <c r="S522" s="74">
        <f t="shared" si="1062"/>
        <v>0</v>
      </c>
      <c r="T522" s="74">
        <f t="shared" si="1063"/>
        <v>0</v>
      </c>
      <c r="U522" s="74">
        <f t="shared" si="1064"/>
        <v>0</v>
      </c>
      <c r="V522" s="74">
        <f t="shared" si="1065"/>
        <v>0</v>
      </c>
      <c r="W522" s="74">
        <f t="shared" si="1066"/>
        <v>0</v>
      </c>
      <c r="X522" s="74">
        <f t="shared" si="1067"/>
        <v>0</v>
      </c>
      <c r="Y522" s="74">
        <f t="shared" si="1068"/>
        <v>0</v>
      </c>
      <c r="Z522" s="74">
        <f t="shared" si="1069"/>
        <v>0</v>
      </c>
    </row>
    <row r="523" spans="1:26" outlineLevel="1" x14ac:dyDescent="0.25">
      <c r="A523" s="39" t="str">
        <f t="shared" si="919"/>
        <v>XCMG 240</v>
      </c>
      <c r="B523" s="39"/>
      <c r="D523" s="101" t="str">
        <f t="shared" ref="D523:F523" si="1070">D514</f>
        <v>Шины</v>
      </c>
      <c r="E523" s="9" t="str">
        <f t="shared" si="1070"/>
        <v>тыс. руб.</v>
      </c>
      <c r="F523" s="74">
        <f t="shared" si="1070"/>
        <v>0</v>
      </c>
      <c r="G523" s="74">
        <f t="shared" ref="G523:G528" si="1071">F523+G514</f>
        <v>0</v>
      </c>
      <c r="H523" s="74">
        <f t="shared" si="1051"/>
        <v>0</v>
      </c>
      <c r="I523" s="74">
        <f t="shared" si="1052"/>
        <v>0</v>
      </c>
      <c r="J523" s="74">
        <f t="shared" si="1053"/>
        <v>0</v>
      </c>
      <c r="K523" s="74">
        <f t="shared" si="1054"/>
        <v>0</v>
      </c>
      <c r="L523" s="74">
        <f t="shared" si="1055"/>
        <v>0</v>
      </c>
      <c r="M523" s="74">
        <f t="shared" si="1056"/>
        <v>0</v>
      </c>
      <c r="N523" s="74">
        <f t="shared" si="1057"/>
        <v>0</v>
      </c>
      <c r="O523" s="74">
        <f t="shared" si="1058"/>
        <v>0</v>
      </c>
      <c r="P523" s="74">
        <f t="shared" si="1059"/>
        <v>0</v>
      </c>
      <c r="Q523" s="74">
        <f t="shared" si="1060"/>
        <v>0</v>
      </c>
      <c r="R523" s="74">
        <f t="shared" si="1061"/>
        <v>0</v>
      </c>
      <c r="S523" s="74">
        <f t="shared" si="1062"/>
        <v>0</v>
      </c>
      <c r="T523" s="74">
        <f t="shared" si="1063"/>
        <v>0</v>
      </c>
      <c r="U523" s="74">
        <f t="shared" si="1064"/>
        <v>0</v>
      </c>
      <c r="V523" s="74">
        <f t="shared" si="1065"/>
        <v>0</v>
      </c>
      <c r="W523" s="74">
        <f t="shared" si="1066"/>
        <v>0</v>
      </c>
      <c r="X523" s="74">
        <f t="shared" si="1067"/>
        <v>0</v>
      </c>
      <c r="Y523" s="74">
        <f t="shared" si="1068"/>
        <v>0</v>
      </c>
      <c r="Z523" s="74">
        <f t="shared" si="1069"/>
        <v>0</v>
      </c>
    </row>
    <row r="524" spans="1:26" outlineLevel="1" x14ac:dyDescent="0.25">
      <c r="A524" s="39" t="str">
        <f t="shared" si="919"/>
        <v>XCMG 240</v>
      </c>
      <c r="B524" s="39"/>
      <c r="D524" s="101" t="str">
        <f t="shared" ref="D524:F524" si="1072">D515</f>
        <v>Топливо</v>
      </c>
      <c r="E524" s="9" t="str">
        <f t="shared" si="1072"/>
        <v>тыс. руб.</v>
      </c>
      <c r="F524" s="74">
        <f t="shared" si="1072"/>
        <v>0</v>
      </c>
      <c r="G524" s="74">
        <f t="shared" si="1071"/>
        <v>0</v>
      </c>
      <c r="H524" s="74">
        <f t="shared" si="1051"/>
        <v>0</v>
      </c>
      <c r="I524" s="74">
        <f t="shared" si="1052"/>
        <v>0</v>
      </c>
      <c r="J524" s="74">
        <f t="shared" si="1053"/>
        <v>0</v>
      </c>
      <c r="K524" s="74">
        <f t="shared" si="1054"/>
        <v>0</v>
      </c>
      <c r="L524" s="74">
        <f t="shared" si="1055"/>
        <v>0</v>
      </c>
      <c r="M524" s="74">
        <f t="shared" si="1056"/>
        <v>0</v>
      </c>
      <c r="N524" s="74">
        <f t="shared" si="1057"/>
        <v>0</v>
      </c>
      <c r="O524" s="74">
        <f t="shared" si="1058"/>
        <v>0</v>
      </c>
      <c r="P524" s="74">
        <f t="shared" si="1059"/>
        <v>0</v>
      </c>
      <c r="Q524" s="74">
        <f t="shared" si="1060"/>
        <v>0</v>
      </c>
      <c r="R524" s="74">
        <f t="shared" si="1061"/>
        <v>0</v>
      </c>
      <c r="S524" s="74">
        <f t="shared" si="1062"/>
        <v>0</v>
      </c>
      <c r="T524" s="74">
        <f t="shared" si="1063"/>
        <v>0</v>
      </c>
      <c r="U524" s="74">
        <f t="shared" si="1064"/>
        <v>0</v>
      </c>
      <c r="V524" s="74">
        <f t="shared" si="1065"/>
        <v>0</v>
      </c>
      <c r="W524" s="74">
        <f t="shared" si="1066"/>
        <v>0</v>
      </c>
      <c r="X524" s="74">
        <f t="shared" si="1067"/>
        <v>0</v>
      </c>
      <c r="Y524" s="74">
        <f t="shared" si="1068"/>
        <v>0</v>
      </c>
      <c r="Z524" s="74">
        <f t="shared" si="1069"/>
        <v>0</v>
      </c>
    </row>
    <row r="525" spans="1:26" outlineLevel="1" x14ac:dyDescent="0.25">
      <c r="A525" s="39" t="str">
        <f t="shared" si="919"/>
        <v>XCMG 240</v>
      </c>
      <c r="B525" s="39"/>
      <c r="D525" s="101" t="str">
        <f t="shared" ref="D525:F525" si="1073">D516</f>
        <v>Смазочные</v>
      </c>
      <c r="E525" s="9" t="str">
        <f t="shared" si="1073"/>
        <v>тыс. руб.</v>
      </c>
      <c r="F525" s="74">
        <f t="shared" si="1073"/>
        <v>0</v>
      </c>
      <c r="G525" s="74">
        <f t="shared" si="1071"/>
        <v>0</v>
      </c>
      <c r="H525" s="74">
        <f t="shared" si="1051"/>
        <v>0</v>
      </c>
      <c r="I525" s="74">
        <f t="shared" si="1052"/>
        <v>0</v>
      </c>
      <c r="J525" s="74">
        <f t="shared" si="1053"/>
        <v>0</v>
      </c>
      <c r="K525" s="74">
        <f t="shared" si="1054"/>
        <v>0</v>
      </c>
      <c r="L525" s="74">
        <f t="shared" si="1055"/>
        <v>0</v>
      </c>
      <c r="M525" s="74">
        <f t="shared" si="1056"/>
        <v>0</v>
      </c>
      <c r="N525" s="74">
        <f t="shared" si="1057"/>
        <v>0</v>
      </c>
      <c r="O525" s="74">
        <f t="shared" si="1058"/>
        <v>0</v>
      </c>
      <c r="P525" s="74">
        <f t="shared" si="1059"/>
        <v>0</v>
      </c>
      <c r="Q525" s="74">
        <f t="shared" si="1060"/>
        <v>0</v>
      </c>
      <c r="R525" s="74">
        <f t="shared" si="1061"/>
        <v>0</v>
      </c>
      <c r="S525" s="74">
        <f t="shared" si="1062"/>
        <v>0</v>
      </c>
      <c r="T525" s="74">
        <f t="shared" si="1063"/>
        <v>0</v>
      </c>
      <c r="U525" s="74">
        <f t="shared" si="1064"/>
        <v>0</v>
      </c>
      <c r="V525" s="74">
        <f t="shared" si="1065"/>
        <v>0</v>
      </c>
      <c r="W525" s="74">
        <f t="shared" si="1066"/>
        <v>0</v>
      </c>
      <c r="X525" s="74">
        <f t="shared" si="1067"/>
        <v>0</v>
      </c>
      <c r="Y525" s="74">
        <f t="shared" si="1068"/>
        <v>0</v>
      </c>
      <c r="Z525" s="74">
        <f t="shared" si="1069"/>
        <v>0</v>
      </c>
    </row>
    <row r="526" spans="1:26" outlineLevel="1" x14ac:dyDescent="0.25">
      <c r="A526" s="39" t="str">
        <f t="shared" si="919"/>
        <v>XCMG 240</v>
      </c>
      <c r="B526" s="39"/>
      <c r="D526" s="101" t="str">
        <f t="shared" ref="D526:F526" si="1074">D517</f>
        <v>Затраты на персонал</v>
      </c>
      <c r="E526" s="9" t="str">
        <f t="shared" si="1074"/>
        <v>тыс. руб.</v>
      </c>
      <c r="F526" s="74">
        <f t="shared" si="1074"/>
        <v>0</v>
      </c>
      <c r="G526" s="74">
        <f t="shared" si="1071"/>
        <v>0</v>
      </c>
      <c r="H526" s="74">
        <f t="shared" si="1051"/>
        <v>0</v>
      </c>
      <c r="I526" s="74">
        <f t="shared" si="1052"/>
        <v>0</v>
      </c>
      <c r="J526" s="74">
        <f t="shared" si="1053"/>
        <v>0</v>
      </c>
      <c r="K526" s="74">
        <f t="shared" si="1054"/>
        <v>0</v>
      </c>
      <c r="L526" s="74">
        <f t="shared" si="1055"/>
        <v>0</v>
      </c>
      <c r="M526" s="74">
        <f t="shared" si="1056"/>
        <v>0</v>
      </c>
      <c r="N526" s="74">
        <f t="shared" si="1057"/>
        <v>0</v>
      </c>
      <c r="O526" s="74">
        <f t="shared" si="1058"/>
        <v>0</v>
      </c>
      <c r="P526" s="74">
        <f t="shared" si="1059"/>
        <v>0</v>
      </c>
      <c r="Q526" s="74">
        <f t="shared" si="1060"/>
        <v>0</v>
      </c>
      <c r="R526" s="74">
        <f t="shared" si="1061"/>
        <v>0</v>
      </c>
      <c r="S526" s="74">
        <f t="shared" si="1062"/>
        <v>0</v>
      </c>
      <c r="T526" s="74">
        <f t="shared" si="1063"/>
        <v>0</v>
      </c>
      <c r="U526" s="74">
        <f t="shared" si="1064"/>
        <v>0</v>
      </c>
      <c r="V526" s="74">
        <f t="shared" si="1065"/>
        <v>0</v>
      </c>
      <c r="W526" s="74">
        <f t="shared" si="1066"/>
        <v>0</v>
      </c>
      <c r="X526" s="74">
        <f t="shared" si="1067"/>
        <v>0</v>
      </c>
      <c r="Y526" s="74">
        <f t="shared" si="1068"/>
        <v>0</v>
      </c>
      <c r="Z526" s="74">
        <f t="shared" si="1069"/>
        <v>0</v>
      </c>
    </row>
    <row r="527" spans="1:26" outlineLevel="1" x14ac:dyDescent="0.25">
      <c r="A527" s="39" t="str">
        <f t="shared" si="919"/>
        <v>XCMG 240</v>
      </c>
      <c r="B527" s="39"/>
      <c r="D527" s="101" t="str">
        <f t="shared" ref="D527:F527" si="1075">D518</f>
        <v>Транспортный налог</v>
      </c>
      <c r="E527" s="9" t="str">
        <f t="shared" si="1075"/>
        <v>тыс. руб.</v>
      </c>
      <c r="F527" s="74">
        <f t="shared" si="1075"/>
        <v>0</v>
      </c>
      <c r="G527" s="74">
        <f t="shared" si="1071"/>
        <v>0</v>
      </c>
      <c r="H527" s="74">
        <f t="shared" si="1051"/>
        <v>0</v>
      </c>
      <c r="I527" s="74">
        <f t="shared" si="1052"/>
        <v>0</v>
      </c>
      <c r="J527" s="74">
        <f t="shared" si="1053"/>
        <v>0</v>
      </c>
      <c r="K527" s="74">
        <f t="shared" si="1054"/>
        <v>0</v>
      </c>
      <c r="L527" s="74">
        <f t="shared" si="1055"/>
        <v>0</v>
      </c>
      <c r="M527" s="74">
        <f t="shared" si="1056"/>
        <v>0</v>
      </c>
      <c r="N527" s="74">
        <f t="shared" si="1057"/>
        <v>0</v>
      </c>
      <c r="O527" s="74">
        <f t="shared" si="1058"/>
        <v>0</v>
      </c>
      <c r="P527" s="74">
        <f t="shared" si="1059"/>
        <v>0</v>
      </c>
      <c r="Q527" s="74">
        <f t="shared" si="1060"/>
        <v>0</v>
      </c>
      <c r="R527" s="74">
        <f t="shared" si="1061"/>
        <v>0</v>
      </c>
      <c r="S527" s="74">
        <f t="shared" si="1062"/>
        <v>0</v>
      </c>
      <c r="T527" s="74">
        <f t="shared" si="1063"/>
        <v>0</v>
      </c>
      <c r="U527" s="74">
        <f t="shared" si="1064"/>
        <v>0</v>
      </c>
      <c r="V527" s="74">
        <f t="shared" si="1065"/>
        <v>0</v>
      </c>
      <c r="W527" s="74">
        <f t="shared" si="1066"/>
        <v>0</v>
      </c>
      <c r="X527" s="74">
        <f t="shared" si="1067"/>
        <v>0</v>
      </c>
      <c r="Y527" s="74">
        <f t="shared" si="1068"/>
        <v>0</v>
      </c>
      <c r="Z527" s="74">
        <f t="shared" si="1069"/>
        <v>0</v>
      </c>
    </row>
    <row r="528" spans="1:26" outlineLevel="1" x14ac:dyDescent="0.25">
      <c r="A528" s="39" t="str">
        <f t="shared" si="919"/>
        <v>XCMG 240</v>
      </c>
      <c r="B528" s="39"/>
      <c r="D528" s="101" t="str">
        <f t="shared" ref="D528:F528" si="1076">D519</f>
        <v>Налог на прибыль</v>
      </c>
      <c r="E528" s="9" t="str">
        <f t="shared" si="1076"/>
        <v>тыс. руб.</v>
      </c>
      <c r="F528" s="74">
        <f t="shared" si="1076"/>
        <v>0</v>
      </c>
      <c r="G528" s="74">
        <f t="shared" si="1071"/>
        <v>0</v>
      </c>
      <c r="H528" s="74">
        <f t="shared" si="1051"/>
        <v>0</v>
      </c>
      <c r="I528" s="74">
        <f t="shared" si="1052"/>
        <v>0</v>
      </c>
      <c r="J528" s="74">
        <f t="shared" si="1053"/>
        <v>0</v>
      </c>
      <c r="K528" s="74">
        <f t="shared" si="1054"/>
        <v>0</v>
      </c>
      <c r="L528" s="74">
        <f t="shared" si="1055"/>
        <v>0</v>
      </c>
      <c r="M528" s="74">
        <f t="shared" si="1056"/>
        <v>0</v>
      </c>
      <c r="N528" s="74">
        <f t="shared" si="1057"/>
        <v>0</v>
      </c>
      <c r="O528" s="74">
        <f t="shared" si="1058"/>
        <v>0</v>
      </c>
      <c r="P528" s="74">
        <f t="shared" si="1059"/>
        <v>0</v>
      </c>
      <c r="Q528" s="74">
        <f t="shared" si="1060"/>
        <v>0</v>
      </c>
      <c r="R528" s="74">
        <f t="shared" si="1061"/>
        <v>0</v>
      </c>
      <c r="S528" s="74">
        <f t="shared" si="1062"/>
        <v>0</v>
      </c>
      <c r="T528" s="74">
        <f t="shared" si="1063"/>
        <v>0</v>
      </c>
      <c r="U528" s="74">
        <f t="shared" si="1064"/>
        <v>0</v>
      </c>
      <c r="V528" s="74">
        <f t="shared" si="1065"/>
        <v>0</v>
      </c>
      <c r="W528" s="74">
        <f t="shared" si="1066"/>
        <v>0</v>
      </c>
      <c r="X528" s="74">
        <f t="shared" si="1067"/>
        <v>0</v>
      </c>
      <c r="Y528" s="74">
        <f t="shared" si="1068"/>
        <v>0</v>
      </c>
      <c r="Z528" s="74">
        <f t="shared" si="1069"/>
        <v>0</v>
      </c>
    </row>
    <row r="529" spans="1:48" outlineLevel="1" x14ac:dyDescent="0.25">
      <c r="A529" s="39" t="str">
        <f t="shared" si="919"/>
        <v>XCMG 240</v>
      </c>
      <c r="B529" s="39"/>
      <c r="D529" s="101"/>
      <c r="E529" s="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48" outlineLevel="1" x14ac:dyDescent="0.25">
      <c r="A530" s="39" t="str">
        <f t="shared" si="919"/>
        <v>XCMG 240</v>
      </c>
      <c r="B530" s="39"/>
      <c r="D530" s="67" t="s">
        <v>90</v>
      </c>
      <c r="E530" s="68" t="str">
        <f>E511</f>
        <v>тыс. руб.</v>
      </c>
      <c r="F530" s="69">
        <f>F508*'ФОТ, МТР, макро'!AJ$13</f>
        <v>0</v>
      </c>
      <c r="G530" s="69">
        <f>G508*'ФОТ, МТР, макро'!AK$13</f>
        <v>0</v>
      </c>
      <c r="H530" s="69">
        <f>H508*'ФОТ, МТР, макро'!AL$13</f>
        <v>0</v>
      </c>
      <c r="I530" s="69">
        <f>I508*'ФОТ, МТР, макро'!AM$13</f>
        <v>0</v>
      </c>
      <c r="J530" s="69">
        <f>J508*'ФОТ, МТР, макро'!AN$13</f>
        <v>0</v>
      </c>
      <c r="K530" s="69">
        <f>K508*'ФОТ, МТР, макро'!AO$13</f>
        <v>0</v>
      </c>
      <c r="L530" s="69">
        <f>L508*'ФОТ, МТР, макро'!AP$13</f>
        <v>0</v>
      </c>
      <c r="M530" s="69">
        <f>M508*'ФОТ, МТР, макро'!AQ$13</f>
        <v>0</v>
      </c>
      <c r="N530" s="69">
        <f>N508*'ФОТ, МТР, макро'!AR$13</f>
        <v>0</v>
      </c>
      <c r="O530" s="69">
        <f>O508*'ФОТ, МТР, макро'!AS$13</f>
        <v>0</v>
      </c>
      <c r="P530" s="69">
        <f>P508*'ФОТ, МТР, макро'!AT$13</f>
        <v>0</v>
      </c>
      <c r="Q530" s="69">
        <f>Q508*'ФОТ, МТР, макро'!AU$13</f>
        <v>0</v>
      </c>
      <c r="R530" s="69">
        <f>R508*'ФОТ, МТР, макро'!AV$13</f>
        <v>0</v>
      </c>
      <c r="S530" s="69">
        <f>S508*'ФОТ, МТР, макро'!AW$13</f>
        <v>0</v>
      </c>
      <c r="T530" s="69">
        <f>T508*'ФОТ, МТР, макро'!AX$13</f>
        <v>0</v>
      </c>
      <c r="U530" s="69">
        <f>U508*'ФОТ, МТР, макро'!AY$13</f>
        <v>0</v>
      </c>
      <c r="V530" s="69">
        <f>V508*'ФОТ, МТР, макро'!AZ$13</f>
        <v>0</v>
      </c>
      <c r="W530" s="69">
        <f>W508*'ФОТ, МТР, макро'!BA$13</f>
        <v>0</v>
      </c>
      <c r="X530" s="69">
        <f>X508*'ФОТ, МТР, макро'!BB$13</f>
        <v>0</v>
      </c>
      <c r="Y530" s="69">
        <f>Y508*'ФОТ, МТР, макро'!BC$13</f>
        <v>0</v>
      </c>
      <c r="Z530" s="69">
        <f>Z508*'ФОТ, МТР, макро'!BD$13</f>
        <v>0</v>
      </c>
    </row>
    <row r="531" spans="1:48" outlineLevel="1" x14ac:dyDescent="0.25">
      <c r="A531" s="39" t="str">
        <f t="shared" si="919"/>
        <v>XCMG 240</v>
      </c>
      <c r="B531" s="39"/>
      <c r="D531" s="101" t="str">
        <f>D509</f>
        <v>Самосвал</v>
      </c>
      <c r="E531" s="9" t="str">
        <f>E530</f>
        <v>тыс. руб.</v>
      </c>
      <c r="F531" s="74">
        <f>F509*'ФОТ, МТР, макро'!AJ$13</f>
        <v>0</v>
      </c>
      <c r="G531" s="74">
        <f>G509*'ФОТ, МТР, макро'!AK$13</f>
        <v>0</v>
      </c>
      <c r="H531" s="74">
        <f>H509*'ФОТ, МТР, макро'!AL$13</f>
        <v>0</v>
      </c>
      <c r="I531" s="74">
        <f>I509*'ФОТ, МТР, макро'!AM$13</f>
        <v>0</v>
      </c>
      <c r="J531" s="74">
        <f>J509*'ФОТ, МТР, макро'!AN$13</f>
        <v>0</v>
      </c>
      <c r="K531" s="74">
        <f>K509*'ФОТ, МТР, макро'!AO$13</f>
        <v>0</v>
      </c>
      <c r="L531" s="74">
        <f>L509*'ФОТ, МТР, макро'!AP$13</f>
        <v>0</v>
      </c>
      <c r="M531" s="74">
        <f>M509*'ФОТ, МТР, макро'!AQ$13</f>
        <v>0</v>
      </c>
      <c r="N531" s="74">
        <f>N509*'ФОТ, МТР, макро'!AR$13</f>
        <v>0</v>
      </c>
      <c r="O531" s="74">
        <f>O509*'ФОТ, МТР, макро'!AS$13</f>
        <v>0</v>
      </c>
      <c r="P531" s="74">
        <f>P509*'ФОТ, МТР, макро'!AT$13</f>
        <v>0</v>
      </c>
      <c r="Q531" s="74">
        <f>Q509*'ФОТ, МТР, макро'!AU$13</f>
        <v>0</v>
      </c>
      <c r="R531" s="74">
        <f>R509*'ФОТ, МТР, макро'!AV$13</f>
        <v>0</v>
      </c>
      <c r="S531" s="74">
        <f>S509*'ФОТ, МТР, макро'!AW$13</f>
        <v>0</v>
      </c>
      <c r="T531" s="74">
        <f>T509*'ФОТ, МТР, макро'!AX$13</f>
        <v>0</v>
      </c>
      <c r="U531" s="74">
        <f>U509*'ФОТ, МТР, макро'!AY$13</f>
        <v>0</v>
      </c>
      <c r="V531" s="74">
        <f>V509*'ФОТ, МТР, макро'!AZ$13</f>
        <v>0</v>
      </c>
      <c r="W531" s="74">
        <f>W509*'ФОТ, МТР, макро'!BA$13</f>
        <v>0</v>
      </c>
      <c r="X531" s="74">
        <f>X509*'ФОТ, МТР, макро'!BB$13</f>
        <v>0</v>
      </c>
      <c r="Y531" s="74">
        <f>Y509*'ФОТ, МТР, макро'!BC$13</f>
        <v>0</v>
      </c>
      <c r="Z531" s="74">
        <f>Z509*'ФОТ, МТР, макро'!BD$13</f>
        <v>0</v>
      </c>
    </row>
    <row r="532" spans="1:48" outlineLevel="1" x14ac:dyDescent="0.25">
      <c r="A532" s="39" t="str">
        <f t="shared" si="919"/>
        <v>XCMG 240</v>
      </c>
      <c r="B532" s="39"/>
      <c r="D532" s="104" t="s">
        <v>88</v>
      </c>
      <c r="E532" s="9"/>
      <c r="F532" s="106">
        <f>F530-F531</f>
        <v>0</v>
      </c>
      <c r="G532" s="106">
        <f t="shared" ref="G532:Z532" si="1077">G530-G531</f>
        <v>0</v>
      </c>
      <c r="H532" s="106">
        <f t="shared" si="1077"/>
        <v>0</v>
      </c>
      <c r="I532" s="106">
        <f t="shared" si="1077"/>
        <v>0</v>
      </c>
      <c r="J532" s="106">
        <f t="shared" si="1077"/>
        <v>0</v>
      </c>
      <c r="K532" s="106">
        <f t="shared" si="1077"/>
        <v>0</v>
      </c>
      <c r="L532" s="106">
        <f t="shared" si="1077"/>
        <v>0</v>
      </c>
      <c r="M532" s="106">
        <f t="shared" si="1077"/>
        <v>0</v>
      </c>
      <c r="N532" s="106">
        <f t="shared" si="1077"/>
        <v>0</v>
      </c>
      <c r="O532" s="106">
        <f t="shared" si="1077"/>
        <v>0</v>
      </c>
      <c r="P532" s="106">
        <f t="shared" si="1077"/>
        <v>0</v>
      </c>
      <c r="Q532" s="106">
        <f t="shared" si="1077"/>
        <v>0</v>
      </c>
      <c r="R532" s="106">
        <f t="shared" si="1077"/>
        <v>0</v>
      </c>
      <c r="S532" s="106">
        <f t="shared" si="1077"/>
        <v>0</v>
      </c>
      <c r="T532" s="106">
        <f t="shared" si="1077"/>
        <v>0</v>
      </c>
      <c r="U532" s="106">
        <f t="shared" si="1077"/>
        <v>0</v>
      </c>
      <c r="V532" s="106">
        <f t="shared" si="1077"/>
        <v>0</v>
      </c>
      <c r="W532" s="106">
        <f t="shared" si="1077"/>
        <v>0</v>
      </c>
      <c r="X532" s="106">
        <f t="shared" si="1077"/>
        <v>0</v>
      </c>
      <c r="Y532" s="106">
        <f t="shared" si="1077"/>
        <v>0</v>
      </c>
      <c r="Z532" s="106">
        <f t="shared" si="1077"/>
        <v>0</v>
      </c>
    </row>
    <row r="533" spans="1:48" outlineLevel="1" x14ac:dyDescent="0.25">
      <c r="A533" s="39" t="str">
        <f t="shared" si="919"/>
        <v>XCMG 240</v>
      </c>
      <c r="B533" s="39"/>
      <c r="D533" s="107" t="s">
        <v>91</v>
      </c>
      <c r="E533" s="68" t="str">
        <f>E530</f>
        <v>тыс. руб.</v>
      </c>
      <c r="F533" s="69">
        <f>F530</f>
        <v>0</v>
      </c>
      <c r="G533" s="69">
        <f>F533+G530</f>
        <v>0</v>
      </c>
      <c r="H533" s="69">
        <f t="shared" ref="H533:H534" si="1078">G533+H530</f>
        <v>0</v>
      </c>
      <c r="I533" s="69">
        <f t="shared" ref="I533:I534" si="1079">H533+I530</f>
        <v>0</v>
      </c>
      <c r="J533" s="69">
        <f t="shared" ref="J533:J534" si="1080">I533+J530</f>
        <v>0</v>
      </c>
      <c r="K533" s="69">
        <f t="shared" ref="K533:K534" si="1081">J533+K530</f>
        <v>0</v>
      </c>
      <c r="L533" s="69">
        <f t="shared" ref="L533:L534" si="1082">K533+L530</f>
        <v>0</v>
      </c>
      <c r="M533" s="69">
        <f t="shared" ref="M533:M534" si="1083">L533+M530</f>
        <v>0</v>
      </c>
      <c r="N533" s="69">
        <f t="shared" ref="N533:N534" si="1084">M533+N530</f>
        <v>0</v>
      </c>
      <c r="O533" s="69">
        <f t="shared" ref="O533:O534" si="1085">N533+O530</f>
        <v>0</v>
      </c>
      <c r="P533" s="69">
        <f t="shared" ref="P533:P534" si="1086">O533+P530</f>
        <v>0</v>
      </c>
      <c r="Q533" s="69">
        <f t="shared" ref="Q533:Q534" si="1087">P533+Q530</f>
        <v>0</v>
      </c>
      <c r="R533" s="69">
        <f t="shared" ref="R533:R534" si="1088">Q533+R530</f>
        <v>0</v>
      </c>
      <c r="S533" s="69">
        <f t="shared" ref="S533:S534" si="1089">R533+S530</f>
        <v>0</v>
      </c>
      <c r="T533" s="69">
        <f t="shared" ref="T533:T534" si="1090">S533+T530</f>
        <v>0</v>
      </c>
      <c r="U533" s="69">
        <f t="shared" ref="U533:U534" si="1091">T533+U530</f>
        <v>0</v>
      </c>
      <c r="V533" s="69">
        <f t="shared" ref="V533:V534" si="1092">U533+V530</f>
        <v>0</v>
      </c>
      <c r="W533" s="69">
        <f t="shared" ref="W533:W534" si="1093">V533+W530</f>
        <v>0</v>
      </c>
      <c r="X533" s="69">
        <f t="shared" ref="X533:X534" si="1094">W533+X530</f>
        <v>0</v>
      </c>
      <c r="Y533" s="69">
        <f t="shared" ref="Y533:Y534" si="1095">X533+Y530</f>
        <v>0</v>
      </c>
      <c r="Z533" s="69">
        <f t="shared" ref="Z533:Z534" si="1096">Y533+Z530</f>
        <v>0</v>
      </c>
    </row>
    <row r="534" spans="1:48" outlineLevel="1" x14ac:dyDescent="0.25">
      <c r="A534" s="39" t="str">
        <f t="shared" si="919"/>
        <v>XCMG 240</v>
      </c>
      <c r="B534" s="39"/>
      <c r="D534" s="101" t="str">
        <f>D531</f>
        <v>Самосвал</v>
      </c>
      <c r="E534" s="9" t="str">
        <f>E531</f>
        <v>тыс. руб.</v>
      </c>
      <c r="F534" s="74">
        <f>F531</f>
        <v>0</v>
      </c>
      <c r="G534" s="74">
        <f>F534+G531</f>
        <v>0</v>
      </c>
      <c r="H534" s="74">
        <f t="shared" si="1078"/>
        <v>0</v>
      </c>
      <c r="I534" s="74">
        <f t="shared" si="1079"/>
        <v>0</v>
      </c>
      <c r="J534" s="74">
        <f t="shared" si="1080"/>
        <v>0</v>
      </c>
      <c r="K534" s="74">
        <f t="shared" si="1081"/>
        <v>0</v>
      </c>
      <c r="L534" s="74">
        <f t="shared" si="1082"/>
        <v>0</v>
      </c>
      <c r="M534" s="74">
        <f t="shared" si="1083"/>
        <v>0</v>
      </c>
      <c r="N534" s="74">
        <f t="shared" si="1084"/>
        <v>0</v>
      </c>
      <c r="O534" s="74">
        <f t="shared" si="1085"/>
        <v>0</v>
      </c>
      <c r="P534" s="74">
        <f t="shared" si="1086"/>
        <v>0</v>
      </c>
      <c r="Q534" s="74">
        <f t="shared" si="1087"/>
        <v>0</v>
      </c>
      <c r="R534" s="74">
        <f t="shared" si="1088"/>
        <v>0</v>
      </c>
      <c r="S534" s="74">
        <f t="shared" si="1089"/>
        <v>0</v>
      </c>
      <c r="T534" s="74">
        <f t="shared" si="1090"/>
        <v>0</v>
      </c>
      <c r="U534" s="74">
        <f t="shared" si="1091"/>
        <v>0</v>
      </c>
      <c r="V534" s="74">
        <f t="shared" si="1092"/>
        <v>0</v>
      </c>
      <c r="W534" s="74">
        <f t="shared" si="1093"/>
        <v>0</v>
      </c>
      <c r="X534" s="74">
        <f t="shared" si="1094"/>
        <v>0</v>
      </c>
      <c r="Y534" s="74">
        <f t="shared" si="1095"/>
        <v>0</v>
      </c>
      <c r="Z534" s="74">
        <f t="shared" si="1096"/>
        <v>0</v>
      </c>
    </row>
    <row r="535" spans="1:48" outlineLevel="1" x14ac:dyDescent="0.25">
      <c r="A535" s="39" t="str">
        <f t="shared" si="919"/>
        <v>XCMG 240</v>
      </c>
      <c r="B535" s="39"/>
      <c r="D535" s="101"/>
      <c r="E535" s="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48" outlineLevel="1" x14ac:dyDescent="0.25">
      <c r="A536" s="39" t="str">
        <f t="shared" si="919"/>
        <v>XCMG 240</v>
      </c>
      <c r="B536" s="39"/>
      <c r="D536" s="67" t="s">
        <v>92</v>
      </c>
      <c r="E536" s="68" t="str">
        <f>E511</f>
        <v>тыс. руб.</v>
      </c>
      <c r="F536" s="69">
        <f>F511*'ФОТ, МТР, макро'!AJ$13</f>
        <v>0</v>
      </c>
      <c r="G536" s="69">
        <f>G511*'ФОТ, МТР, макро'!AK$13</f>
        <v>0</v>
      </c>
      <c r="H536" s="69">
        <f>H511*'ФОТ, МТР, макро'!AL$13</f>
        <v>0</v>
      </c>
      <c r="I536" s="69">
        <f>I511*'ФОТ, МТР, макро'!AM$13</f>
        <v>0</v>
      </c>
      <c r="J536" s="69">
        <f>J511*'ФОТ, МТР, макро'!AN$13</f>
        <v>0</v>
      </c>
      <c r="K536" s="69">
        <f>K511*'ФОТ, МТР, макро'!AO$13</f>
        <v>0</v>
      </c>
      <c r="L536" s="69">
        <f>L511*'ФОТ, МТР, макро'!AP$13</f>
        <v>0</v>
      </c>
      <c r="M536" s="69">
        <f>M511*'ФОТ, МТР, макро'!AQ$13</f>
        <v>0</v>
      </c>
      <c r="N536" s="69">
        <f>N511*'ФОТ, МТР, макро'!AR$13</f>
        <v>0</v>
      </c>
      <c r="O536" s="69">
        <f>O511*'ФОТ, МТР, макро'!AS$13</f>
        <v>0</v>
      </c>
      <c r="P536" s="69">
        <f>P511*'ФОТ, МТР, макро'!AT$13</f>
        <v>0</v>
      </c>
      <c r="Q536" s="69">
        <f>Q511*'ФОТ, МТР, макро'!AU$13</f>
        <v>0</v>
      </c>
      <c r="R536" s="69">
        <f>R511*'ФОТ, МТР, макро'!AV$13</f>
        <v>0</v>
      </c>
      <c r="S536" s="69">
        <f>S511*'ФОТ, МТР, макро'!AW$13</f>
        <v>0</v>
      </c>
      <c r="T536" s="69">
        <f>T511*'ФОТ, МТР, макро'!AX$13</f>
        <v>0</v>
      </c>
      <c r="U536" s="69">
        <f>U511*'ФОТ, МТР, макро'!AY$13</f>
        <v>0</v>
      </c>
      <c r="V536" s="69">
        <f>V511*'ФОТ, МТР, макро'!AZ$13</f>
        <v>0</v>
      </c>
      <c r="W536" s="69">
        <f>W511*'ФОТ, МТР, макро'!BA$13</f>
        <v>0</v>
      </c>
      <c r="X536" s="69">
        <f>X511*'ФОТ, МТР, макро'!BB$13</f>
        <v>0</v>
      </c>
      <c r="Y536" s="69">
        <f>Y511*'ФОТ, МТР, макро'!BC$13</f>
        <v>0</v>
      </c>
      <c r="Z536" s="69">
        <f>Z511*'ФОТ, МТР, макро'!BD$13</f>
        <v>0</v>
      </c>
    </row>
    <row r="537" spans="1:48" outlineLevel="1" x14ac:dyDescent="0.25">
      <c r="A537" s="39" t="str">
        <f t="shared" si="919"/>
        <v>XCMG 240</v>
      </c>
      <c r="B537" s="39"/>
      <c r="D537" s="107" t="s">
        <v>93</v>
      </c>
      <c r="E537" s="68" t="str">
        <f>E536</f>
        <v>тыс. руб.</v>
      </c>
      <c r="F537" s="69">
        <f>F536</f>
        <v>0</v>
      </c>
      <c r="G537" s="69">
        <f>F537+G536</f>
        <v>0</v>
      </c>
      <c r="H537" s="69">
        <f t="shared" ref="H537" si="1097">G537+H536</f>
        <v>0</v>
      </c>
      <c r="I537" s="69">
        <f t="shared" ref="I537" si="1098">H537+I536</f>
        <v>0</v>
      </c>
      <c r="J537" s="69">
        <f t="shared" ref="J537" si="1099">I537+J536</f>
        <v>0</v>
      </c>
      <c r="K537" s="69">
        <f t="shared" ref="K537" si="1100">J537+K536</f>
        <v>0</v>
      </c>
      <c r="L537" s="69">
        <f t="shared" ref="L537" si="1101">K537+L536</f>
        <v>0</v>
      </c>
      <c r="M537" s="69">
        <f t="shared" ref="M537" si="1102">L537+M536</f>
        <v>0</v>
      </c>
      <c r="N537" s="69">
        <f t="shared" ref="N537" si="1103">M537+N536</f>
        <v>0</v>
      </c>
      <c r="O537" s="69">
        <f t="shared" ref="O537" si="1104">N537+O536</f>
        <v>0</v>
      </c>
      <c r="P537" s="69">
        <f t="shared" ref="P537" si="1105">O537+P536</f>
        <v>0</v>
      </c>
      <c r="Q537" s="69">
        <f t="shared" ref="Q537" si="1106">P537+Q536</f>
        <v>0</v>
      </c>
      <c r="R537" s="69">
        <f t="shared" ref="R537" si="1107">Q537+R536</f>
        <v>0</v>
      </c>
      <c r="S537" s="69">
        <f t="shared" ref="S537" si="1108">R537+S536</f>
        <v>0</v>
      </c>
      <c r="T537" s="69">
        <f t="shared" ref="T537" si="1109">S537+T536</f>
        <v>0</v>
      </c>
      <c r="U537" s="69">
        <f t="shared" ref="U537" si="1110">T537+U536</f>
        <v>0</v>
      </c>
      <c r="V537" s="69">
        <f t="shared" ref="V537" si="1111">U537+V536</f>
        <v>0</v>
      </c>
      <c r="W537" s="69">
        <f t="shared" ref="W537" si="1112">V537+W536</f>
        <v>0</v>
      </c>
      <c r="X537" s="69">
        <f t="shared" ref="X537" si="1113">W537+X536</f>
        <v>0</v>
      </c>
      <c r="Y537" s="69">
        <f t="shared" ref="Y537" si="1114">X537+Y536</f>
        <v>0</v>
      </c>
      <c r="Z537" s="69">
        <f t="shared" ref="Z537" si="1115">Y537+Z536</f>
        <v>0</v>
      </c>
    </row>
    <row r="538" spans="1:48" outlineLevel="1" x14ac:dyDescent="0.25">
      <c r="A538" s="39" t="str">
        <f t="shared" ref="A538:A560" si="1116">A537</f>
        <v>XCMG 240</v>
      </c>
      <c r="B538" s="39"/>
      <c r="D538" s="101"/>
      <c r="E538" s="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48" outlineLevel="1" x14ac:dyDescent="0.25">
      <c r="A539" s="39" t="str">
        <f t="shared" si="1116"/>
        <v>XCMG 240</v>
      </c>
      <c r="B539" s="39" t="str">
        <f>D539</f>
        <v>Аннуитет операционный</v>
      </c>
      <c r="C539" s="61">
        <f>E470</f>
        <v>0</v>
      </c>
      <c r="D539" s="108" t="s">
        <v>94</v>
      </c>
      <c r="E539" s="109" t="s">
        <v>95</v>
      </c>
      <c r="F539" s="110"/>
      <c r="G539" s="111" t="e">
        <f>G521/'ФОТ, МТР, макро'!AK$14/(G477/G472)</f>
        <v>#DIV/0!</v>
      </c>
      <c r="H539" s="111" t="e">
        <f>H521/'ФОТ, МТР, макро'!AL$14/(H477/H472)</f>
        <v>#DIV/0!</v>
      </c>
      <c r="I539" s="111" t="e">
        <f>I521/'ФОТ, МТР, макро'!AM$14/(I477/I472)</f>
        <v>#DIV/0!</v>
      </c>
      <c r="J539" s="111" t="e">
        <f>J521/'ФОТ, МТР, макро'!AN$14/(J477/J472)</f>
        <v>#DIV/0!</v>
      </c>
      <c r="K539" s="111" t="e">
        <f>K521/'ФОТ, МТР, макро'!AO$14/(K477/K472)</f>
        <v>#DIV/0!</v>
      </c>
      <c r="L539" s="111" t="e">
        <f>L521/'ФОТ, МТР, макро'!AP$14/(L477/L472)</f>
        <v>#DIV/0!</v>
      </c>
      <c r="M539" s="111" t="e">
        <f>M521/'ФОТ, МТР, макро'!AQ$14/(M477/M472)</f>
        <v>#DIV/0!</v>
      </c>
      <c r="N539" s="111" t="e">
        <f>N521/'ФОТ, МТР, макро'!AR$14/(N477/N472)</f>
        <v>#DIV/0!</v>
      </c>
      <c r="O539" s="111" t="e">
        <f>O521/'ФОТ, МТР, макро'!AS$14/(O477/O472)</f>
        <v>#DIV/0!</v>
      </c>
      <c r="P539" s="111" t="e">
        <f>P521/'ФОТ, МТР, макро'!AT$14/(P477/P472)</f>
        <v>#DIV/0!</v>
      </c>
      <c r="Q539" s="111" t="e">
        <f>Q521/'ФОТ, МТР, макро'!AU$14/(Q477/Q472)</f>
        <v>#DIV/0!</v>
      </c>
      <c r="R539" s="111" t="e">
        <f>R521/'ФОТ, МТР, макро'!AV$14/(R477/R472)</f>
        <v>#DIV/0!</v>
      </c>
      <c r="S539" s="111" t="e">
        <f>S521/'ФОТ, МТР, макро'!AW$14/(S477/S472)</f>
        <v>#DIV/0!</v>
      </c>
      <c r="T539" s="111" t="e">
        <f>T521/'ФОТ, МТР, макро'!AX$14/(T477/T472)</f>
        <v>#DIV/0!</v>
      </c>
      <c r="U539" s="111" t="e">
        <f>U521/'ФОТ, МТР, макро'!AY$14/(U477/U472)</f>
        <v>#DIV/0!</v>
      </c>
      <c r="V539" s="111" t="e">
        <f>V521/'ФОТ, МТР, макро'!AZ$14/(V477/V472)</f>
        <v>#DIV/0!</v>
      </c>
      <c r="W539" s="111" t="e">
        <f>W521/'ФОТ, МТР, макро'!BA$14/(W477/W472)</f>
        <v>#DIV/0!</v>
      </c>
      <c r="X539" s="111" t="e">
        <f>X521/'ФОТ, МТР, макро'!BB$14/(X477/X472)</f>
        <v>#DIV/0!</v>
      </c>
      <c r="Y539" s="111" t="e">
        <f>Y521/'ФОТ, МТР, макро'!BC$14/(Y477/Y472)</f>
        <v>#DIV/0!</v>
      </c>
      <c r="Z539" s="111" t="e">
        <f>Z521/'ФОТ, МТР, макро'!BD$14/(Z477/Z472)</f>
        <v>#DIV/0!</v>
      </c>
      <c r="AC539" s="112" t="e" cm="1">
        <f t="array" ref="AC539:AV539">INDEX(G539:Z539,1,$C539)</f>
        <v>#DIV/0!</v>
      </c>
      <c r="AD539" s="2" t="e">
        <v>#DIV/0!</v>
      </c>
      <c r="AE539" s="2" t="e">
        <v>#DIV/0!</v>
      </c>
      <c r="AF539" s="2" t="e">
        <v>#DIV/0!</v>
      </c>
      <c r="AG539" s="2" t="e">
        <v>#DIV/0!</v>
      </c>
      <c r="AH539" s="2" t="e">
        <v>#DIV/0!</v>
      </c>
      <c r="AI539" s="2" t="e">
        <v>#DIV/0!</v>
      </c>
      <c r="AJ539" s="2" t="e">
        <v>#DIV/0!</v>
      </c>
      <c r="AK539" s="2" t="e">
        <v>#DIV/0!</v>
      </c>
      <c r="AL539" s="2" t="e">
        <v>#DIV/0!</v>
      </c>
      <c r="AM539" s="2" t="e">
        <v>#DIV/0!</v>
      </c>
      <c r="AN539" s="2" t="e">
        <v>#DIV/0!</v>
      </c>
      <c r="AO539" s="2" t="e">
        <v>#DIV/0!</v>
      </c>
      <c r="AP539" s="2" t="e">
        <v>#DIV/0!</v>
      </c>
      <c r="AQ539" s="2" t="e">
        <v>#DIV/0!</v>
      </c>
      <c r="AR539" s="2" t="e">
        <v>#DIV/0!</v>
      </c>
      <c r="AS539" s="2" t="e">
        <v>#DIV/0!</v>
      </c>
      <c r="AT539" s="2" t="e">
        <v>#DIV/0!</v>
      </c>
      <c r="AU539" s="2" t="e">
        <v>#DIV/0!</v>
      </c>
      <c r="AV539" s="2" t="e">
        <v>#DIV/0!</v>
      </c>
    </row>
    <row r="540" spans="1:48" outlineLevel="1" x14ac:dyDescent="0.25">
      <c r="A540" s="39" t="str">
        <f t="shared" si="1116"/>
        <v>XCMG 240</v>
      </c>
      <c r="B540" s="39" t="str">
        <f t="shared" ref="B540:B549" si="1117">D540</f>
        <v>ТО, ТР, ППР</v>
      </c>
      <c r="C540" s="39">
        <f>C539</f>
        <v>0</v>
      </c>
      <c r="D540" s="113" t="str">
        <f>D522</f>
        <v>ТО, ТР, ППР</v>
      </c>
      <c r="E540" s="114" t="str">
        <f>E539</f>
        <v>руб/ткм</v>
      </c>
      <c r="F540" s="115"/>
      <c r="G540" s="116" t="e">
        <f>G522/'ФОТ, МТР, макро'!AK$14/(G477/G472)</f>
        <v>#DIV/0!</v>
      </c>
      <c r="H540" s="116" t="e">
        <f>H522/'ФОТ, МТР, макро'!AL$14/(H477/H472)</f>
        <v>#DIV/0!</v>
      </c>
      <c r="I540" s="116" t="e">
        <f>I522/'ФОТ, МТР, макро'!AM$14/(I477/I472)</f>
        <v>#DIV/0!</v>
      </c>
      <c r="J540" s="116" t="e">
        <f>J522/'ФОТ, МТР, макро'!AN$14/(J477/J472)</f>
        <v>#DIV/0!</v>
      </c>
      <c r="K540" s="116" t="e">
        <f>K522/'ФОТ, МТР, макро'!AO$14/(K477/K472)</f>
        <v>#DIV/0!</v>
      </c>
      <c r="L540" s="116" t="e">
        <f>L522/'ФОТ, МТР, макро'!AP$14/(L477/L472)</f>
        <v>#DIV/0!</v>
      </c>
      <c r="M540" s="116" t="e">
        <f>M522/'ФОТ, МТР, макро'!AQ$14/(M477/M472)</f>
        <v>#DIV/0!</v>
      </c>
      <c r="N540" s="116" t="e">
        <f>N522/'ФОТ, МТР, макро'!AR$14/(N477/N472)</f>
        <v>#DIV/0!</v>
      </c>
      <c r="O540" s="116" t="e">
        <f>O522/'ФОТ, МТР, макро'!AS$14/(O477/O472)</f>
        <v>#DIV/0!</v>
      </c>
      <c r="P540" s="116" t="e">
        <f>P522/'ФОТ, МТР, макро'!AT$14/(P477/P472)</f>
        <v>#DIV/0!</v>
      </c>
      <c r="Q540" s="116" t="e">
        <f>Q522/'ФОТ, МТР, макро'!AU$14/(Q477/Q472)</f>
        <v>#DIV/0!</v>
      </c>
      <c r="R540" s="116" t="e">
        <f>R522/'ФОТ, МТР, макро'!AV$14/(R477/R472)</f>
        <v>#DIV/0!</v>
      </c>
      <c r="S540" s="116" t="e">
        <f>S522/'ФОТ, МТР, макро'!AW$14/(S477/S472)</f>
        <v>#DIV/0!</v>
      </c>
      <c r="T540" s="116" t="e">
        <f>T522/'ФОТ, МТР, макро'!AX$14/(T477/T472)</f>
        <v>#DIV/0!</v>
      </c>
      <c r="U540" s="116" t="e">
        <f>U522/'ФОТ, МТР, макро'!AY$14/(U477/U472)</f>
        <v>#DIV/0!</v>
      </c>
      <c r="V540" s="116" t="e">
        <f>V522/'ФОТ, МТР, макро'!AZ$14/(V477/V472)</f>
        <v>#DIV/0!</v>
      </c>
      <c r="W540" s="116" t="e">
        <f>W522/'ФОТ, МТР, макро'!BA$14/(W477/W472)</f>
        <v>#DIV/0!</v>
      </c>
      <c r="X540" s="116" t="e">
        <f>X522/'ФОТ, МТР, макро'!BB$14/(X477/X472)</f>
        <v>#DIV/0!</v>
      </c>
      <c r="Y540" s="116" t="e">
        <f>Y522/'ФОТ, МТР, макро'!BC$14/(Y477/Y472)</f>
        <v>#DIV/0!</v>
      </c>
      <c r="Z540" s="116" t="e">
        <f>Z522/'ФОТ, МТР, макро'!BD$14/(Z477/Z472)</f>
        <v>#DIV/0!</v>
      </c>
      <c r="AC540" s="117" t="e" cm="1">
        <f t="array" ref="AC540:AV540">INDEX(G540:Z540,1,$C540)</f>
        <v>#DIV/0!</v>
      </c>
      <c r="AD540" s="2" t="e">
        <v>#DIV/0!</v>
      </c>
      <c r="AE540" s="2" t="e">
        <v>#DIV/0!</v>
      </c>
      <c r="AF540" s="2" t="e">
        <v>#DIV/0!</v>
      </c>
      <c r="AG540" s="2" t="e">
        <v>#DIV/0!</v>
      </c>
      <c r="AH540" s="2" t="e">
        <v>#DIV/0!</v>
      </c>
      <c r="AI540" s="2" t="e">
        <v>#DIV/0!</v>
      </c>
      <c r="AJ540" s="2" t="e">
        <v>#DIV/0!</v>
      </c>
      <c r="AK540" s="2" t="e">
        <v>#DIV/0!</v>
      </c>
      <c r="AL540" s="2" t="e">
        <v>#DIV/0!</v>
      </c>
      <c r="AM540" s="2" t="e">
        <v>#DIV/0!</v>
      </c>
      <c r="AN540" s="2" t="e">
        <v>#DIV/0!</v>
      </c>
      <c r="AO540" s="2" t="e">
        <v>#DIV/0!</v>
      </c>
      <c r="AP540" s="2" t="e">
        <v>#DIV/0!</v>
      </c>
      <c r="AQ540" s="2" t="e">
        <v>#DIV/0!</v>
      </c>
      <c r="AR540" s="2" t="e">
        <v>#DIV/0!</v>
      </c>
      <c r="AS540" s="2" t="e">
        <v>#DIV/0!</v>
      </c>
      <c r="AT540" s="2" t="e">
        <v>#DIV/0!</v>
      </c>
      <c r="AU540" s="2" t="e">
        <v>#DIV/0!</v>
      </c>
      <c r="AV540" s="2" t="e">
        <v>#DIV/0!</v>
      </c>
    </row>
    <row r="541" spans="1:48" outlineLevel="1" x14ac:dyDescent="0.25">
      <c r="A541" s="39" t="str">
        <f t="shared" si="1116"/>
        <v>XCMG 240</v>
      </c>
      <c r="B541" s="39" t="str">
        <f t="shared" si="1117"/>
        <v>Шины</v>
      </c>
      <c r="C541" s="39">
        <f t="shared" ref="C541:C549" si="1118">C540</f>
        <v>0</v>
      </c>
      <c r="D541" s="113" t="str">
        <f t="shared" ref="D541:D546" si="1119">D523</f>
        <v>Шины</v>
      </c>
      <c r="E541" s="114" t="str">
        <f t="shared" ref="E541:E546" si="1120">E540</f>
        <v>руб/ткм</v>
      </c>
      <c r="F541" s="115"/>
      <c r="G541" s="116" t="e">
        <f>G523/'ФОТ, МТР, макро'!AK$14/(G477/G472)</f>
        <v>#DIV/0!</v>
      </c>
      <c r="H541" s="116" t="e">
        <f>H523/'ФОТ, МТР, макро'!AL$14/(H477/H472)</f>
        <v>#DIV/0!</v>
      </c>
      <c r="I541" s="116" t="e">
        <f>I523/'ФОТ, МТР, макро'!AM$14/(I477/I472)</f>
        <v>#DIV/0!</v>
      </c>
      <c r="J541" s="116" t="e">
        <f>J523/'ФОТ, МТР, макро'!AN$14/(J477/J472)</f>
        <v>#DIV/0!</v>
      </c>
      <c r="K541" s="116" t="e">
        <f>K523/'ФОТ, МТР, макро'!AO$14/(K477/K472)</f>
        <v>#DIV/0!</v>
      </c>
      <c r="L541" s="116" t="e">
        <f>L523/'ФОТ, МТР, макро'!AP$14/(L477/L472)</f>
        <v>#DIV/0!</v>
      </c>
      <c r="M541" s="116" t="e">
        <f>M523/'ФОТ, МТР, макро'!AQ$14/(M477/M472)</f>
        <v>#DIV/0!</v>
      </c>
      <c r="N541" s="116" t="e">
        <f>N523/'ФОТ, МТР, макро'!AR$14/(N477/N472)</f>
        <v>#DIV/0!</v>
      </c>
      <c r="O541" s="116" t="e">
        <f>O523/'ФОТ, МТР, макро'!AS$14/(O477/O472)</f>
        <v>#DIV/0!</v>
      </c>
      <c r="P541" s="116" t="e">
        <f>P523/'ФОТ, МТР, макро'!AT$14/(P477/P472)</f>
        <v>#DIV/0!</v>
      </c>
      <c r="Q541" s="116" t="e">
        <f>Q523/'ФОТ, МТР, макро'!AU$14/(Q477/Q472)</f>
        <v>#DIV/0!</v>
      </c>
      <c r="R541" s="116" t="e">
        <f>R523/'ФОТ, МТР, макро'!AV$14/(R477/R472)</f>
        <v>#DIV/0!</v>
      </c>
      <c r="S541" s="116" t="e">
        <f>S523/'ФОТ, МТР, макро'!AW$14/(S477/S472)</f>
        <v>#DIV/0!</v>
      </c>
      <c r="T541" s="116" t="e">
        <f>T523/'ФОТ, МТР, макро'!AX$14/(T477/T472)</f>
        <v>#DIV/0!</v>
      </c>
      <c r="U541" s="116" t="e">
        <f>U523/'ФОТ, МТР, макро'!AY$14/(U477/U472)</f>
        <v>#DIV/0!</v>
      </c>
      <c r="V541" s="116" t="e">
        <f>V523/'ФОТ, МТР, макро'!AZ$14/(V477/V472)</f>
        <v>#DIV/0!</v>
      </c>
      <c r="W541" s="116" t="e">
        <f>W523/'ФОТ, МТР, макро'!BA$14/(W477/W472)</f>
        <v>#DIV/0!</v>
      </c>
      <c r="X541" s="116" t="e">
        <f>X523/'ФОТ, МТР, макро'!BB$14/(X477/X472)</f>
        <v>#DIV/0!</v>
      </c>
      <c r="Y541" s="116" t="e">
        <f>Y523/'ФОТ, МТР, макро'!BC$14/(Y477/Y472)</f>
        <v>#DIV/0!</v>
      </c>
      <c r="Z541" s="116" t="e">
        <f>Z523/'ФОТ, МТР, макро'!BD$14/(Z477/Z472)</f>
        <v>#DIV/0!</v>
      </c>
      <c r="AC541" s="117" t="e" cm="1">
        <f t="array" ref="AC541:AV541">INDEX(G541:Z541,1,$C541)</f>
        <v>#DIV/0!</v>
      </c>
      <c r="AD541" s="2" t="e">
        <v>#DIV/0!</v>
      </c>
      <c r="AE541" s="2" t="e">
        <v>#DIV/0!</v>
      </c>
      <c r="AF541" s="2" t="e">
        <v>#DIV/0!</v>
      </c>
      <c r="AG541" s="2" t="e">
        <v>#DIV/0!</v>
      </c>
      <c r="AH541" s="2" t="e">
        <v>#DIV/0!</v>
      </c>
      <c r="AI541" s="2" t="e">
        <v>#DIV/0!</v>
      </c>
      <c r="AJ541" s="2" t="e">
        <v>#DIV/0!</v>
      </c>
      <c r="AK541" s="2" t="e">
        <v>#DIV/0!</v>
      </c>
      <c r="AL541" s="2" t="e">
        <v>#DIV/0!</v>
      </c>
      <c r="AM541" s="2" t="e">
        <v>#DIV/0!</v>
      </c>
      <c r="AN541" s="2" t="e">
        <v>#DIV/0!</v>
      </c>
      <c r="AO541" s="2" t="e">
        <v>#DIV/0!</v>
      </c>
      <c r="AP541" s="2" t="e">
        <v>#DIV/0!</v>
      </c>
      <c r="AQ541" s="2" t="e">
        <v>#DIV/0!</v>
      </c>
      <c r="AR541" s="2" t="e">
        <v>#DIV/0!</v>
      </c>
      <c r="AS541" s="2" t="e">
        <v>#DIV/0!</v>
      </c>
      <c r="AT541" s="2" t="e">
        <v>#DIV/0!</v>
      </c>
      <c r="AU541" s="2" t="e">
        <v>#DIV/0!</v>
      </c>
      <c r="AV541" s="2" t="e">
        <v>#DIV/0!</v>
      </c>
    </row>
    <row r="542" spans="1:48" outlineLevel="1" x14ac:dyDescent="0.25">
      <c r="A542" s="39" t="str">
        <f t="shared" si="1116"/>
        <v>XCMG 240</v>
      </c>
      <c r="B542" s="39" t="str">
        <f t="shared" si="1117"/>
        <v>Топливо</v>
      </c>
      <c r="C542" s="39">
        <f t="shared" si="1118"/>
        <v>0</v>
      </c>
      <c r="D542" s="113" t="str">
        <f t="shared" si="1119"/>
        <v>Топливо</v>
      </c>
      <c r="E542" s="114" t="str">
        <f t="shared" si="1120"/>
        <v>руб/ткм</v>
      </c>
      <c r="F542" s="115"/>
      <c r="G542" s="116" t="e">
        <f>G524/'ФОТ, МТР, макро'!AK$14/(G477/G472)</f>
        <v>#DIV/0!</v>
      </c>
      <c r="H542" s="116" t="e">
        <f>H524/'ФОТ, МТР, макро'!AL$14/(H477/H472)</f>
        <v>#DIV/0!</v>
      </c>
      <c r="I542" s="116" t="e">
        <f>I524/'ФОТ, МТР, макро'!AM$14/(I477/I472)</f>
        <v>#DIV/0!</v>
      </c>
      <c r="J542" s="116" t="e">
        <f>J524/'ФОТ, МТР, макро'!AN$14/(J477/J472)</f>
        <v>#DIV/0!</v>
      </c>
      <c r="K542" s="116" t="e">
        <f>K524/'ФОТ, МТР, макро'!AO$14/(K477/K472)</f>
        <v>#DIV/0!</v>
      </c>
      <c r="L542" s="116" t="e">
        <f>L524/'ФОТ, МТР, макро'!AP$14/(L477/L472)</f>
        <v>#DIV/0!</v>
      </c>
      <c r="M542" s="116" t="e">
        <f>M524/'ФОТ, МТР, макро'!AQ$14/(M477/M472)</f>
        <v>#DIV/0!</v>
      </c>
      <c r="N542" s="116" t="e">
        <f>N524/'ФОТ, МТР, макро'!AR$14/(N477/N472)</f>
        <v>#DIV/0!</v>
      </c>
      <c r="O542" s="116" t="e">
        <f>O524/'ФОТ, МТР, макро'!AS$14/(O477/O472)</f>
        <v>#DIV/0!</v>
      </c>
      <c r="P542" s="116" t="e">
        <f>P524/'ФОТ, МТР, макро'!AT$14/(P477/P472)</f>
        <v>#DIV/0!</v>
      </c>
      <c r="Q542" s="116" t="e">
        <f>Q524/'ФОТ, МТР, макро'!AU$14/(Q477/Q472)</f>
        <v>#DIV/0!</v>
      </c>
      <c r="R542" s="116" t="e">
        <f>R524/'ФОТ, МТР, макро'!AV$14/(R477/R472)</f>
        <v>#DIV/0!</v>
      </c>
      <c r="S542" s="116" t="e">
        <f>S524/'ФОТ, МТР, макро'!AW$14/(S477/S472)</f>
        <v>#DIV/0!</v>
      </c>
      <c r="T542" s="116" t="e">
        <f>T524/'ФОТ, МТР, макро'!AX$14/(T477/T472)</f>
        <v>#DIV/0!</v>
      </c>
      <c r="U542" s="116" t="e">
        <f>U524/'ФОТ, МТР, макро'!AY$14/(U477/U472)</f>
        <v>#DIV/0!</v>
      </c>
      <c r="V542" s="116" t="e">
        <f>V524/'ФОТ, МТР, макро'!AZ$14/(V477/V472)</f>
        <v>#DIV/0!</v>
      </c>
      <c r="W542" s="116" t="e">
        <f>W524/'ФОТ, МТР, макро'!BA$14/(W477/W472)</f>
        <v>#DIV/0!</v>
      </c>
      <c r="X542" s="116" t="e">
        <f>X524/'ФОТ, МТР, макро'!BB$14/(X477/X472)</f>
        <v>#DIV/0!</v>
      </c>
      <c r="Y542" s="116" t="e">
        <f>Y524/'ФОТ, МТР, макро'!BC$14/(Y477/Y472)</f>
        <v>#DIV/0!</v>
      </c>
      <c r="Z542" s="116" t="e">
        <f>Z524/'ФОТ, МТР, макро'!BD$14/(Z477/Z472)</f>
        <v>#DIV/0!</v>
      </c>
      <c r="AC542" s="117" t="e" cm="1">
        <f t="array" ref="AC542:AV542">INDEX(G542:Z542,1,$C542)</f>
        <v>#DIV/0!</v>
      </c>
      <c r="AD542" s="2" t="e">
        <v>#DIV/0!</v>
      </c>
      <c r="AE542" s="2" t="e">
        <v>#DIV/0!</v>
      </c>
      <c r="AF542" s="2" t="e">
        <v>#DIV/0!</v>
      </c>
      <c r="AG542" s="2" t="e">
        <v>#DIV/0!</v>
      </c>
      <c r="AH542" s="2" t="e">
        <v>#DIV/0!</v>
      </c>
      <c r="AI542" s="2" t="e">
        <v>#DIV/0!</v>
      </c>
      <c r="AJ542" s="2" t="e">
        <v>#DIV/0!</v>
      </c>
      <c r="AK542" s="2" t="e">
        <v>#DIV/0!</v>
      </c>
      <c r="AL542" s="2" t="e">
        <v>#DIV/0!</v>
      </c>
      <c r="AM542" s="2" t="e">
        <v>#DIV/0!</v>
      </c>
      <c r="AN542" s="2" t="e">
        <v>#DIV/0!</v>
      </c>
      <c r="AO542" s="2" t="e">
        <v>#DIV/0!</v>
      </c>
      <c r="AP542" s="2" t="e">
        <v>#DIV/0!</v>
      </c>
      <c r="AQ542" s="2" t="e">
        <v>#DIV/0!</v>
      </c>
      <c r="AR542" s="2" t="e">
        <v>#DIV/0!</v>
      </c>
      <c r="AS542" s="2" t="e">
        <v>#DIV/0!</v>
      </c>
      <c r="AT542" s="2" t="e">
        <v>#DIV/0!</v>
      </c>
      <c r="AU542" s="2" t="e">
        <v>#DIV/0!</v>
      </c>
      <c r="AV542" s="2" t="e">
        <v>#DIV/0!</v>
      </c>
    </row>
    <row r="543" spans="1:48" outlineLevel="1" x14ac:dyDescent="0.25">
      <c r="A543" s="39" t="str">
        <f t="shared" si="1116"/>
        <v>XCMG 240</v>
      </c>
      <c r="B543" s="39" t="str">
        <f t="shared" si="1117"/>
        <v>Смазочные</v>
      </c>
      <c r="C543" s="39">
        <f t="shared" si="1118"/>
        <v>0</v>
      </c>
      <c r="D543" s="113" t="str">
        <f t="shared" si="1119"/>
        <v>Смазочные</v>
      </c>
      <c r="E543" s="114" t="str">
        <f t="shared" si="1120"/>
        <v>руб/ткм</v>
      </c>
      <c r="F543" s="115"/>
      <c r="G543" s="116" t="e">
        <f>G525/'ФОТ, МТР, макро'!AK$14/(G477/G472)</f>
        <v>#DIV/0!</v>
      </c>
      <c r="H543" s="116" t="e">
        <f>H525/'ФОТ, МТР, макро'!AL$14/(H477/H472)</f>
        <v>#DIV/0!</v>
      </c>
      <c r="I543" s="116" t="e">
        <f>I525/'ФОТ, МТР, макро'!AM$14/(I477/I472)</f>
        <v>#DIV/0!</v>
      </c>
      <c r="J543" s="116" t="e">
        <f>J525/'ФОТ, МТР, макро'!AN$14/(J477/J472)</f>
        <v>#DIV/0!</v>
      </c>
      <c r="K543" s="116" t="e">
        <f>K525/'ФОТ, МТР, макро'!AO$14/(K477/K472)</f>
        <v>#DIV/0!</v>
      </c>
      <c r="L543" s="116" t="e">
        <f>L525/'ФОТ, МТР, макро'!AP$14/(L477/L472)</f>
        <v>#DIV/0!</v>
      </c>
      <c r="M543" s="116" t="e">
        <f>M525/'ФОТ, МТР, макро'!AQ$14/(M477/M472)</f>
        <v>#DIV/0!</v>
      </c>
      <c r="N543" s="116" t="e">
        <f>N525/'ФОТ, МТР, макро'!AR$14/(N477/N472)</f>
        <v>#DIV/0!</v>
      </c>
      <c r="O543" s="116" t="e">
        <f>O525/'ФОТ, МТР, макро'!AS$14/(O477/O472)</f>
        <v>#DIV/0!</v>
      </c>
      <c r="P543" s="116" t="e">
        <f>P525/'ФОТ, МТР, макро'!AT$14/(P477/P472)</f>
        <v>#DIV/0!</v>
      </c>
      <c r="Q543" s="116" t="e">
        <f>Q525/'ФОТ, МТР, макро'!AU$14/(Q477/Q472)</f>
        <v>#DIV/0!</v>
      </c>
      <c r="R543" s="116" t="e">
        <f>R525/'ФОТ, МТР, макро'!AV$14/(R477/R472)</f>
        <v>#DIV/0!</v>
      </c>
      <c r="S543" s="116" t="e">
        <f>S525/'ФОТ, МТР, макро'!AW$14/(S477/S472)</f>
        <v>#DIV/0!</v>
      </c>
      <c r="T543" s="116" t="e">
        <f>T525/'ФОТ, МТР, макро'!AX$14/(T477/T472)</f>
        <v>#DIV/0!</v>
      </c>
      <c r="U543" s="116" t="e">
        <f>U525/'ФОТ, МТР, макро'!AY$14/(U477/U472)</f>
        <v>#DIV/0!</v>
      </c>
      <c r="V543" s="116" t="e">
        <f>V525/'ФОТ, МТР, макро'!AZ$14/(V477/V472)</f>
        <v>#DIV/0!</v>
      </c>
      <c r="W543" s="116" t="e">
        <f>W525/'ФОТ, МТР, макро'!BA$14/(W477/W472)</f>
        <v>#DIV/0!</v>
      </c>
      <c r="X543" s="116" t="e">
        <f>X525/'ФОТ, МТР, макро'!BB$14/(X477/X472)</f>
        <v>#DIV/0!</v>
      </c>
      <c r="Y543" s="116" t="e">
        <f>Y525/'ФОТ, МТР, макро'!BC$14/(Y477/Y472)</f>
        <v>#DIV/0!</v>
      </c>
      <c r="Z543" s="116" t="e">
        <f>Z525/'ФОТ, МТР, макро'!BD$14/(Z477/Z472)</f>
        <v>#DIV/0!</v>
      </c>
      <c r="AC543" s="117" t="e" cm="1">
        <f t="array" ref="AC543:AV543">INDEX(G543:Z543,1,$C543)</f>
        <v>#DIV/0!</v>
      </c>
      <c r="AD543" s="2" t="e">
        <v>#DIV/0!</v>
      </c>
      <c r="AE543" s="2" t="e">
        <v>#DIV/0!</v>
      </c>
      <c r="AF543" s="2" t="e">
        <v>#DIV/0!</v>
      </c>
      <c r="AG543" s="2" t="e">
        <v>#DIV/0!</v>
      </c>
      <c r="AH543" s="2" t="e">
        <v>#DIV/0!</v>
      </c>
      <c r="AI543" s="2" t="e">
        <v>#DIV/0!</v>
      </c>
      <c r="AJ543" s="2" t="e">
        <v>#DIV/0!</v>
      </c>
      <c r="AK543" s="2" t="e">
        <v>#DIV/0!</v>
      </c>
      <c r="AL543" s="2" t="e">
        <v>#DIV/0!</v>
      </c>
      <c r="AM543" s="2" t="e">
        <v>#DIV/0!</v>
      </c>
      <c r="AN543" s="2" t="e">
        <v>#DIV/0!</v>
      </c>
      <c r="AO543" s="2" t="e">
        <v>#DIV/0!</v>
      </c>
      <c r="AP543" s="2" t="e">
        <v>#DIV/0!</v>
      </c>
      <c r="AQ543" s="2" t="e">
        <v>#DIV/0!</v>
      </c>
      <c r="AR543" s="2" t="e">
        <v>#DIV/0!</v>
      </c>
      <c r="AS543" s="2" t="e">
        <v>#DIV/0!</v>
      </c>
      <c r="AT543" s="2" t="e">
        <v>#DIV/0!</v>
      </c>
      <c r="AU543" s="2" t="e">
        <v>#DIV/0!</v>
      </c>
      <c r="AV543" s="2" t="e">
        <v>#DIV/0!</v>
      </c>
    </row>
    <row r="544" spans="1:48" outlineLevel="1" x14ac:dyDescent="0.25">
      <c r="A544" s="39" t="str">
        <f t="shared" si="1116"/>
        <v>XCMG 240</v>
      </c>
      <c r="B544" s="39" t="str">
        <f t="shared" si="1117"/>
        <v>Затраты на персонал</v>
      </c>
      <c r="C544" s="39">
        <f t="shared" si="1118"/>
        <v>0</v>
      </c>
      <c r="D544" s="113" t="str">
        <f t="shared" si="1119"/>
        <v>Затраты на персонал</v>
      </c>
      <c r="E544" s="114" t="str">
        <f t="shared" si="1120"/>
        <v>руб/ткм</v>
      </c>
      <c r="F544" s="115"/>
      <c r="G544" s="116" t="e">
        <f>G526/'ФОТ, МТР, макро'!AK$14/(G477/G472)</f>
        <v>#DIV/0!</v>
      </c>
      <c r="H544" s="116" t="e">
        <f>H526/'ФОТ, МТР, макро'!AL$14/(H477/H472)</f>
        <v>#DIV/0!</v>
      </c>
      <c r="I544" s="116" t="e">
        <f>I526/'ФОТ, МТР, макро'!AM$14/(I477/I472)</f>
        <v>#DIV/0!</v>
      </c>
      <c r="J544" s="116" t="e">
        <f>J526/'ФОТ, МТР, макро'!AN$14/(J477/J472)</f>
        <v>#DIV/0!</v>
      </c>
      <c r="K544" s="116" t="e">
        <f>K526/'ФОТ, МТР, макро'!AO$14/(K477/K472)</f>
        <v>#DIV/0!</v>
      </c>
      <c r="L544" s="116" t="e">
        <f>L526/'ФОТ, МТР, макро'!AP$14/(L477/L472)</f>
        <v>#DIV/0!</v>
      </c>
      <c r="M544" s="116" t="e">
        <f>M526/'ФОТ, МТР, макро'!AQ$14/(M477/M472)</f>
        <v>#DIV/0!</v>
      </c>
      <c r="N544" s="116" t="e">
        <f>N526/'ФОТ, МТР, макро'!AR$14/(N477/N472)</f>
        <v>#DIV/0!</v>
      </c>
      <c r="O544" s="116" t="e">
        <f>O526/'ФОТ, МТР, макро'!AS$14/(O477/O472)</f>
        <v>#DIV/0!</v>
      </c>
      <c r="P544" s="116" t="e">
        <f>P526/'ФОТ, МТР, макро'!AT$14/(P477/P472)</f>
        <v>#DIV/0!</v>
      </c>
      <c r="Q544" s="116" t="e">
        <f>Q526/'ФОТ, МТР, макро'!AU$14/(Q477/Q472)</f>
        <v>#DIV/0!</v>
      </c>
      <c r="R544" s="116" t="e">
        <f>R526/'ФОТ, МТР, макро'!AV$14/(R477/R472)</f>
        <v>#DIV/0!</v>
      </c>
      <c r="S544" s="116" t="e">
        <f>S526/'ФОТ, МТР, макро'!AW$14/(S477/S472)</f>
        <v>#DIV/0!</v>
      </c>
      <c r="T544" s="116" t="e">
        <f>T526/'ФОТ, МТР, макро'!AX$14/(T477/T472)</f>
        <v>#DIV/0!</v>
      </c>
      <c r="U544" s="116" t="e">
        <f>U526/'ФОТ, МТР, макро'!AY$14/(U477/U472)</f>
        <v>#DIV/0!</v>
      </c>
      <c r="V544" s="116" t="e">
        <f>V526/'ФОТ, МТР, макро'!AZ$14/(V477/V472)</f>
        <v>#DIV/0!</v>
      </c>
      <c r="W544" s="116" t="e">
        <f>W526/'ФОТ, МТР, макро'!BA$14/(W477/W472)</f>
        <v>#DIV/0!</v>
      </c>
      <c r="X544" s="116" t="e">
        <f>X526/'ФОТ, МТР, макро'!BB$14/(X477/X472)</f>
        <v>#DIV/0!</v>
      </c>
      <c r="Y544" s="116" t="e">
        <f>Y526/'ФОТ, МТР, макро'!BC$14/(Y477/Y472)</f>
        <v>#DIV/0!</v>
      </c>
      <c r="Z544" s="116" t="e">
        <f>Z526/'ФОТ, МТР, макро'!BD$14/(Z477/Z472)</f>
        <v>#DIV/0!</v>
      </c>
      <c r="AC544" s="117" t="e" cm="1">
        <f t="array" ref="AC544:AV544">INDEX(G544:Z544,1,$C544)</f>
        <v>#DIV/0!</v>
      </c>
      <c r="AD544" s="2" t="e">
        <v>#DIV/0!</v>
      </c>
      <c r="AE544" s="2" t="e">
        <v>#DIV/0!</v>
      </c>
      <c r="AF544" s="2" t="e">
        <v>#DIV/0!</v>
      </c>
      <c r="AG544" s="2" t="e">
        <v>#DIV/0!</v>
      </c>
      <c r="AH544" s="2" t="e">
        <v>#DIV/0!</v>
      </c>
      <c r="AI544" s="2" t="e">
        <v>#DIV/0!</v>
      </c>
      <c r="AJ544" s="2" t="e">
        <v>#DIV/0!</v>
      </c>
      <c r="AK544" s="2" t="e">
        <v>#DIV/0!</v>
      </c>
      <c r="AL544" s="2" t="e">
        <v>#DIV/0!</v>
      </c>
      <c r="AM544" s="2" t="e">
        <v>#DIV/0!</v>
      </c>
      <c r="AN544" s="2" t="e">
        <v>#DIV/0!</v>
      </c>
      <c r="AO544" s="2" t="e">
        <v>#DIV/0!</v>
      </c>
      <c r="AP544" s="2" t="e">
        <v>#DIV/0!</v>
      </c>
      <c r="AQ544" s="2" t="e">
        <v>#DIV/0!</v>
      </c>
      <c r="AR544" s="2" t="e">
        <v>#DIV/0!</v>
      </c>
      <c r="AS544" s="2" t="e">
        <v>#DIV/0!</v>
      </c>
      <c r="AT544" s="2" t="e">
        <v>#DIV/0!</v>
      </c>
      <c r="AU544" s="2" t="e">
        <v>#DIV/0!</v>
      </c>
      <c r="AV544" s="2" t="e">
        <v>#DIV/0!</v>
      </c>
    </row>
    <row r="545" spans="1:48" outlineLevel="1" x14ac:dyDescent="0.25">
      <c r="A545" s="39" t="str">
        <f t="shared" si="1116"/>
        <v>XCMG 240</v>
      </c>
      <c r="B545" s="39" t="str">
        <f t="shared" si="1117"/>
        <v>Транспортный налог</v>
      </c>
      <c r="C545" s="39">
        <f t="shared" si="1118"/>
        <v>0</v>
      </c>
      <c r="D545" s="113" t="str">
        <f t="shared" si="1119"/>
        <v>Транспортный налог</v>
      </c>
      <c r="E545" s="114" t="str">
        <f t="shared" si="1120"/>
        <v>руб/ткм</v>
      </c>
      <c r="F545" s="115"/>
      <c r="G545" s="116" t="e">
        <f>G527/'ФОТ, МТР, макро'!AK$14/(G477/G472)</f>
        <v>#DIV/0!</v>
      </c>
      <c r="H545" s="116" t="e">
        <f>H527/'ФОТ, МТР, макро'!AL$14/(H477/H472)</f>
        <v>#DIV/0!</v>
      </c>
      <c r="I545" s="116" t="e">
        <f>I527/'ФОТ, МТР, макро'!AM$14/(I477/I472)</f>
        <v>#DIV/0!</v>
      </c>
      <c r="J545" s="116" t="e">
        <f>J527/'ФОТ, МТР, макро'!AN$14/(J477/J472)</f>
        <v>#DIV/0!</v>
      </c>
      <c r="K545" s="116" t="e">
        <f>K527/'ФОТ, МТР, макро'!AO$14/(K477/K472)</f>
        <v>#DIV/0!</v>
      </c>
      <c r="L545" s="116" t="e">
        <f>L527/'ФОТ, МТР, макро'!AP$14/(L477/L472)</f>
        <v>#DIV/0!</v>
      </c>
      <c r="M545" s="116" t="e">
        <f>M527/'ФОТ, МТР, макро'!AQ$14/(M477/M472)</f>
        <v>#DIV/0!</v>
      </c>
      <c r="N545" s="116" t="e">
        <f>N527/'ФОТ, МТР, макро'!AR$14/(N477/N472)</f>
        <v>#DIV/0!</v>
      </c>
      <c r="O545" s="116" t="e">
        <f>O527/'ФОТ, МТР, макро'!AS$14/(O477/O472)</f>
        <v>#DIV/0!</v>
      </c>
      <c r="P545" s="116" t="e">
        <f>P527/'ФОТ, МТР, макро'!AT$14/(P477/P472)</f>
        <v>#DIV/0!</v>
      </c>
      <c r="Q545" s="116" t="e">
        <f>Q527/'ФОТ, МТР, макро'!AU$14/(Q477/Q472)</f>
        <v>#DIV/0!</v>
      </c>
      <c r="R545" s="116" t="e">
        <f>R527/'ФОТ, МТР, макро'!AV$14/(R477/R472)</f>
        <v>#DIV/0!</v>
      </c>
      <c r="S545" s="116" t="e">
        <f>S527/'ФОТ, МТР, макро'!AW$14/(S477/S472)</f>
        <v>#DIV/0!</v>
      </c>
      <c r="T545" s="116" t="e">
        <f>T527/'ФОТ, МТР, макро'!AX$14/(T477/T472)</f>
        <v>#DIV/0!</v>
      </c>
      <c r="U545" s="116" t="e">
        <f>U527/'ФОТ, МТР, макро'!AY$14/(U477/U472)</f>
        <v>#DIV/0!</v>
      </c>
      <c r="V545" s="116" t="e">
        <f>V527/'ФОТ, МТР, макро'!AZ$14/(V477/V472)</f>
        <v>#DIV/0!</v>
      </c>
      <c r="W545" s="116" t="e">
        <f>W527/'ФОТ, МТР, макро'!BA$14/(W477/W472)</f>
        <v>#DIV/0!</v>
      </c>
      <c r="X545" s="116" t="e">
        <f>X527/'ФОТ, МТР, макро'!BB$14/(X477/X472)</f>
        <v>#DIV/0!</v>
      </c>
      <c r="Y545" s="116" t="e">
        <f>Y527/'ФОТ, МТР, макро'!BC$14/(Y477/Y472)</f>
        <v>#DIV/0!</v>
      </c>
      <c r="Z545" s="116" t="e">
        <f>Z527/'ФОТ, МТР, макро'!BD$14/(Z477/Z472)</f>
        <v>#DIV/0!</v>
      </c>
      <c r="AC545" s="117" t="e" cm="1">
        <f t="array" ref="AC545:AV545">INDEX(G545:Z545,1,$C545)</f>
        <v>#DIV/0!</v>
      </c>
      <c r="AD545" s="2" t="e">
        <v>#DIV/0!</v>
      </c>
      <c r="AE545" s="2" t="e">
        <v>#DIV/0!</v>
      </c>
      <c r="AF545" s="2" t="e">
        <v>#DIV/0!</v>
      </c>
      <c r="AG545" s="2" t="e">
        <v>#DIV/0!</v>
      </c>
      <c r="AH545" s="2" t="e">
        <v>#DIV/0!</v>
      </c>
      <c r="AI545" s="2" t="e">
        <v>#DIV/0!</v>
      </c>
      <c r="AJ545" s="2" t="e">
        <v>#DIV/0!</v>
      </c>
      <c r="AK545" s="2" t="e">
        <v>#DIV/0!</v>
      </c>
      <c r="AL545" s="2" t="e">
        <v>#DIV/0!</v>
      </c>
      <c r="AM545" s="2" t="e">
        <v>#DIV/0!</v>
      </c>
      <c r="AN545" s="2" t="e">
        <v>#DIV/0!</v>
      </c>
      <c r="AO545" s="2" t="e">
        <v>#DIV/0!</v>
      </c>
      <c r="AP545" s="2" t="e">
        <v>#DIV/0!</v>
      </c>
      <c r="AQ545" s="2" t="e">
        <v>#DIV/0!</v>
      </c>
      <c r="AR545" s="2" t="e">
        <v>#DIV/0!</v>
      </c>
      <c r="AS545" s="2" t="e">
        <v>#DIV/0!</v>
      </c>
      <c r="AT545" s="2" t="e">
        <v>#DIV/0!</v>
      </c>
      <c r="AU545" s="2" t="e">
        <v>#DIV/0!</v>
      </c>
      <c r="AV545" s="2" t="e">
        <v>#DIV/0!</v>
      </c>
    </row>
    <row r="546" spans="1:48" outlineLevel="1" x14ac:dyDescent="0.25">
      <c r="A546" s="39" t="str">
        <f t="shared" si="1116"/>
        <v>XCMG 240</v>
      </c>
      <c r="B546" s="39" t="str">
        <f t="shared" si="1117"/>
        <v>Налог на прибыль</v>
      </c>
      <c r="C546" s="39">
        <f t="shared" si="1118"/>
        <v>0</v>
      </c>
      <c r="D546" s="113" t="str">
        <f t="shared" si="1119"/>
        <v>Налог на прибыль</v>
      </c>
      <c r="E546" s="114" t="str">
        <f t="shared" si="1120"/>
        <v>руб/ткм</v>
      </c>
      <c r="F546" s="30"/>
      <c r="G546" s="116" t="e">
        <f>G528/'ФОТ, МТР, макро'!AK$14/(G477/G472)</f>
        <v>#DIV/0!</v>
      </c>
      <c r="H546" s="116" t="e">
        <f>H528/'ФОТ, МТР, макро'!AL$14/(H477/H472)</f>
        <v>#DIV/0!</v>
      </c>
      <c r="I546" s="116" t="e">
        <f>I528/'ФОТ, МТР, макро'!AM$14/(I477/I472)</f>
        <v>#DIV/0!</v>
      </c>
      <c r="J546" s="116" t="e">
        <f>J528/'ФОТ, МТР, макро'!AN$14/(J477/J472)</f>
        <v>#DIV/0!</v>
      </c>
      <c r="K546" s="116" t="e">
        <f>K528/'ФОТ, МТР, макро'!AO$14/(K477/K472)</f>
        <v>#DIV/0!</v>
      </c>
      <c r="L546" s="116" t="e">
        <f>L528/'ФОТ, МТР, макро'!AP$14/(L477/L472)</f>
        <v>#DIV/0!</v>
      </c>
      <c r="M546" s="116" t="e">
        <f>M528/'ФОТ, МТР, макро'!AQ$14/(M477/M472)</f>
        <v>#DIV/0!</v>
      </c>
      <c r="N546" s="116" t="e">
        <f>N528/'ФОТ, МТР, макро'!AR$14/(N477/N472)</f>
        <v>#DIV/0!</v>
      </c>
      <c r="O546" s="116" t="e">
        <f>O528/'ФОТ, МТР, макро'!AS$14/(O477/O472)</f>
        <v>#DIV/0!</v>
      </c>
      <c r="P546" s="116" t="e">
        <f>P528/'ФОТ, МТР, макро'!AT$14/(P477/P472)</f>
        <v>#DIV/0!</v>
      </c>
      <c r="Q546" s="116" t="e">
        <f>Q528/'ФОТ, МТР, макро'!AU$14/(Q477/Q472)</f>
        <v>#DIV/0!</v>
      </c>
      <c r="R546" s="116" t="e">
        <f>R528/'ФОТ, МТР, макро'!AV$14/(R477/R472)</f>
        <v>#DIV/0!</v>
      </c>
      <c r="S546" s="116" t="e">
        <f>S528/'ФОТ, МТР, макро'!AW$14/(S477/S472)</f>
        <v>#DIV/0!</v>
      </c>
      <c r="T546" s="116" t="e">
        <f>T528/'ФОТ, МТР, макро'!AX$14/(T477/T472)</f>
        <v>#DIV/0!</v>
      </c>
      <c r="U546" s="116" t="e">
        <f>U528/'ФОТ, МТР, макро'!AY$14/(U477/U472)</f>
        <v>#DIV/0!</v>
      </c>
      <c r="V546" s="116" t="e">
        <f>V528/'ФОТ, МТР, макро'!AZ$14/(V477/V472)</f>
        <v>#DIV/0!</v>
      </c>
      <c r="W546" s="116" t="e">
        <f>W528/'ФОТ, МТР, макро'!BA$14/(W477/W472)</f>
        <v>#DIV/0!</v>
      </c>
      <c r="X546" s="116" t="e">
        <f>X528/'ФОТ, МТР, макро'!BB$14/(X477/X472)</f>
        <v>#DIV/0!</v>
      </c>
      <c r="Y546" s="116" t="e">
        <f>Y528/'ФОТ, МТР, макро'!BC$14/(Y477/Y472)</f>
        <v>#DIV/0!</v>
      </c>
      <c r="Z546" s="116" t="e">
        <f>Z528/'ФОТ, МТР, макро'!BD$14/(Z477/Z472)</f>
        <v>#DIV/0!</v>
      </c>
      <c r="AC546" s="117" t="e" cm="1">
        <f t="array" ref="AC546:AV546">INDEX(G546:Z546,1,$C546)</f>
        <v>#DIV/0!</v>
      </c>
      <c r="AD546" s="2" t="e">
        <v>#DIV/0!</v>
      </c>
      <c r="AE546" s="2" t="e">
        <v>#DIV/0!</v>
      </c>
      <c r="AF546" s="2" t="e">
        <v>#DIV/0!</v>
      </c>
      <c r="AG546" s="2" t="e">
        <v>#DIV/0!</v>
      </c>
      <c r="AH546" s="2" t="e">
        <v>#DIV/0!</v>
      </c>
      <c r="AI546" s="2" t="e">
        <v>#DIV/0!</v>
      </c>
      <c r="AJ546" s="2" t="e">
        <v>#DIV/0!</v>
      </c>
      <c r="AK546" s="2" t="e">
        <v>#DIV/0!</v>
      </c>
      <c r="AL546" s="2" t="e">
        <v>#DIV/0!</v>
      </c>
      <c r="AM546" s="2" t="e">
        <v>#DIV/0!</v>
      </c>
      <c r="AN546" s="2" t="e">
        <v>#DIV/0!</v>
      </c>
      <c r="AO546" s="2" t="e">
        <v>#DIV/0!</v>
      </c>
      <c r="AP546" s="2" t="e">
        <v>#DIV/0!</v>
      </c>
      <c r="AQ546" s="2" t="e">
        <v>#DIV/0!</v>
      </c>
      <c r="AR546" s="2" t="e">
        <v>#DIV/0!</v>
      </c>
      <c r="AS546" s="2" t="e">
        <v>#DIV/0!</v>
      </c>
      <c r="AT546" s="2" t="e">
        <v>#DIV/0!</v>
      </c>
      <c r="AU546" s="2" t="e">
        <v>#DIV/0!</v>
      </c>
      <c r="AV546" s="2" t="e">
        <v>#DIV/0!</v>
      </c>
    </row>
    <row r="547" spans="1:48" outlineLevel="1" x14ac:dyDescent="0.25">
      <c r="A547" s="39" t="str">
        <f t="shared" si="1116"/>
        <v>XCMG 240</v>
      </c>
      <c r="B547" s="39" t="str">
        <f t="shared" si="1117"/>
        <v>Аннуитет инвестиционный</v>
      </c>
      <c r="C547" s="39">
        <f t="shared" si="1118"/>
        <v>0</v>
      </c>
      <c r="D547" s="108" t="s">
        <v>96</v>
      </c>
      <c r="E547" s="118" t="str">
        <f>E539</f>
        <v>руб/ткм</v>
      </c>
      <c r="F547" s="119"/>
      <c r="G547" s="111" t="e">
        <f>G533/'ФОТ, МТР, макро'!AK$14/(G477/G472)</f>
        <v>#DIV/0!</v>
      </c>
      <c r="H547" s="111" t="e">
        <f>H533/'ФОТ, МТР, макро'!AL$14/(H477/H472)</f>
        <v>#DIV/0!</v>
      </c>
      <c r="I547" s="111" t="e">
        <f>I533/'ФОТ, МТР, макро'!AM$14/(I477/I472)</f>
        <v>#DIV/0!</v>
      </c>
      <c r="J547" s="111" t="e">
        <f>J533/'ФОТ, МТР, макро'!AN$14/(J477/J472)</f>
        <v>#DIV/0!</v>
      </c>
      <c r="K547" s="111" t="e">
        <f>K533/'ФОТ, МТР, макро'!AO$14/(K477/K472)</f>
        <v>#DIV/0!</v>
      </c>
      <c r="L547" s="111" t="e">
        <f>L533/'ФОТ, МТР, макро'!AP$14/(L477/L472)</f>
        <v>#DIV/0!</v>
      </c>
      <c r="M547" s="111" t="e">
        <f>M533/'ФОТ, МТР, макро'!AQ$14/(M477/M472)</f>
        <v>#DIV/0!</v>
      </c>
      <c r="N547" s="111" t="e">
        <f>N533/'ФОТ, МТР, макро'!AR$14/(N477/N472)</f>
        <v>#DIV/0!</v>
      </c>
      <c r="O547" s="111" t="e">
        <f>O533/'ФОТ, МТР, макро'!AS$14/(O477/O472)</f>
        <v>#DIV/0!</v>
      </c>
      <c r="P547" s="111" t="e">
        <f>P533/'ФОТ, МТР, макро'!AT$14/(P477/P472)</f>
        <v>#DIV/0!</v>
      </c>
      <c r="Q547" s="111" t="e">
        <f>Q533/'ФОТ, МТР, макро'!AU$14/(Q477/Q472)</f>
        <v>#DIV/0!</v>
      </c>
      <c r="R547" s="111" t="e">
        <f>R533/'ФОТ, МТР, макро'!AV$14/(R477/R472)</f>
        <v>#DIV/0!</v>
      </c>
      <c r="S547" s="111" t="e">
        <f>S533/'ФОТ, МТР, макро'!AW$14/(S477/S472)</f>
        <v>#DIV/0!</v>
      </c>
      <c r="T547" s="111" t="e">
        <f>T533/'ФОТ, МТР, макро'!AX$14/(T477/T472)</f>
        <v>#DIV/0!</v>
      </c>
      <c r="U547" s="111" t="e">
        <f>U533/'ФОТ, МТР, макро'!AY$14/(U477/U472)</f>
        <v>#DIV/0!</v>
      </c>
      <c r="V547" s="111" t="e">
        <f>V533/'ФОТ, МТР, макро'!AZ$14/(V477/V472)</f>
        <v>#DIV/0!</v>
      </c>
      <c r="W547" s="111" t="e">
        <f>W533/'ФОТ, МТР, макро'!BA$14/(W477/W472)</f>
        <v>#DIV/0!</v>
      </c>
      <c r="X547" s="111" t="e">
        <f>X533/'ФОТ, МТР, макро'!BB$14/(X477/X472)</f>
        <v>#DIV/0!</v>
      </c>
      <c r="Y547" s="111" t="e">
        <f>Y533/'ФОТ, МТР, макро'!BC$14/(Y477/Y472)</f>
        <v>#DIV/0!</v>
      </c>
      <c r="Z547" s="111" t="e">
        <f>Z533/'ФОТ, МТР, макро'!BD$14/(Z477/Z472)</f>
        <v>#DIV/0!</v>
      </c>
      <c r="AC547" s="112" t="e" cm="1">
        <f t="array" ref="AC547:AV547">INDEX(G547:Z547,1,$C547)</f>
        <v>#DIV/0!</v>
      </c>
      <c r="AD547" s="2" t="e">
        <v>#DIV/0!</v>
      </c>
      <c r="AE547" s="2" t="e">
        <v>#DIV/0!</v>
      </c>
      <c r="AF547" s="2" t="e">
        <v>#DIV/0!</v>
      </c>
      <c r="AG547" s="2" t="e">
        <v>#DIV/0!</v>
      </c>
      <c r="AH547" s="2" t="e">
        <v>#DIV/0!</v>
      </c>
      <c r="AI547" s="2" t="e">
        <v>#DIV/0!</v>
      </c>
      <c r="AJ547" s="2" t="e">
        <v>#DIV/0!</v>
      </c>
      <c r="AK547" s="2" t="e">
        <v>#DIV/0!</v>
      </c>
      <c r="AL547" s="2" t="e">
        <v>#DIV/0!</v>
      </c>
      <c r="AM547" s="2" t="e">
        <v>#DIV/0!</v>
      </c>
      <c r="AN547" s="2" t="e">
        <v>#DIV/0!</v>
      </c>
      <c r="AO547" s="2" t="e">
        <v>#DIV/0!</v>
      </c>
      <c r="AP547" s="2" t="e">
        <v>#DIV/0!</v>
      </c>
      <c r="AQ547" s="2" t="e">
        <v>#DIV/0!</v>
      </c>
      <c r="AR547" s="2" t="e">
        <v>#DIV/0!</v>
      </c>
      <c r="AS547" s="2" t="e">
        <v>#DIV/0!</v>
      </c>
      <c r="AT547" s="2" t="e">
        <v>#DIV/0!</v>
      </c>
      <c r="AU547" s="2" t="e">
        <v>#DIV/0!</v>
      </c>
      <c r="AV547" s="2" t="e">
        <v>#DIV/0!</v>
      </c>
    </row>
    <row r="548" spans="1:48" outlineLevel="1" x14ac:dyDescent="0.25">
      <c r="A548" s="39" t="str">
        <f t="shared" si="1116"/>
        <v>XCMG 240</v>
      </c>
      <c r="B548" s="39" t="str">
        <f t="shared" si="1117"/>
        <v>Самосвал</v>
      </c>
      <c r="C548" s="39">
        <f t="shared" si="1118"/>
        <v>0</v>
      </c>
      <c r="D548" s="101" t="str">
        <f>D534</f>
        <v>Самосвал</v>
      </c>
      <c r="E548" s="9" t="str">
        <f>E547</f>
        <v>руб/ткм</v>
      </c>
      <c r="F548" s="30"/>
      <c r="G548" s="120" t="e">
        <f>G534/'ФОТ, МТР, макро'!AK$14/(G477/G472)</f>
        <v>#DIV/0!</v>
      </c>
      <c r="H548" s="120" t="e">
        <f>H534/'ФОТ, МТР, макро'!AL$14/(H477/H472)</f>
        <v>#DIV/0!</v>
      </c>
      <c r="I548" s="120" t="e">
        <f>I534/'ФОТ, МТР, макро'!AM$14/(I477/I472)</f>
        <v>#DIV/0!</v>
      </c>
      <c r="J548" s="120" t="e">
        <f>J534/'ФОТ, МТР, макро'!AN$14/(J477/J472)</f>
        <v>#DIV/0!</v>
      </c>
      <c r="K548" s="120" t="e">
        <f>K534/'ФОТ, МТР, макро'!AO$14/(K477/K472)</f>
        <v>#DIV/0!</v>
      </c>
      <c r="L548" s="120" t="e">
        <f>L534/'ФОТ, МТР, макро'!AP$14/(L477/L472)</f>
        <v>#DIV/0!</v>
      </c>
      <c r="M548" s="120" t="e">
        <f>M534/'ФОТ, МТР, макро'!AQ$14/(M477/M472)</f>
        <v>#DIV/0!</v>
      </c>
      <c r="N548" s="120" t="e">
        <f>N534/'ФОТ, МТР, макро'!AR$14/(N477/N472)</f>
        <v>#DIV/0!</v>
      </c>
      <c r="O548" s="120" t="e">
        <f>O534/'ФОТ, МТР, макро'!AS$14/(O477/O472)</f>
        <v>#DIV/0!</v>
      </c>
      <c r="P548" s="120" t="e">
        <f>P534/'ФОТ, МТР, макро'!AT$14/(P477/P472)</f>
        <v>#DIV/0!</v>
      </c>
      <c r="Q548" s="120" t="e">
        <f>Q534/'ФОТ, МТР, макро'!AU$14/(Q477/Q472)</f>
        <v>#DIV/0!</v>
      </c>
      <c r="R548" s="120" t="e">
        <f>R534/'ФОТ, МТР, макро'!AV$14/(R477/R472)</f>
        <v>#DIV/0!</v>
      </c>
      <c r="S548" s="120" t="e">
        <f>S534/'ФОТ, МТР, макро'!AW$14/(S477/S472)</f>
        <v>#DIV/0!</v>
      </c>
      <c r="T548" s="120" t="e">
        <f>T534/'ФОТ, МТР, макро'!AX$14/(T477/T472)</f>
        <v>#DIV/0!</v>
      </c>
      <c r="U548" s="120" t="e">
        <f>U534/'ФОТ, МТР, макро'!AY$14/(U477/U472)</f>
        <v>#DIV/0!</v>
      </c>
      <c r="V548" s="120" t="e">
        <f>V534/'ФОТ, МТР, макро'!AZ$14/(V477/V472)</f>
        <v>#DIV/0!</v>
      </c>
      <c r="W548" s="120" t="e">
        <f>W534/'ФОТ, МТР, макро'!BA$14/(W477/W472)</f>
        <v>#DIV/0!</v>
      </c>
      <c r="X548" s="120" t="e">
        <f>X534/'ФОТ, МТР, макро'!BB$14/(X477/X472)</f>
        <v>#DIV/0!</v>
      </c>
      <c r="Y548" s="120" t="e">
        <f>Y534/'ФОТ, МТР, макро'!BC$14/(Y477/Y472)</f>
        <v>#DIV/0!</v>
      </c>
      <c r="Z548" s="120" t="e">
        <f>Z534/'ФОТ, МТР, макро'!BD$14/(Z477/Z472)</f>
        <v>#DIV/0!</v>
      </c>
      <c r="AC548" s="117" t="e" cm="1">
        <f t="array" ref="AC548:AV548">INDEX(G548:Z548,1,$C548)</f>
        <v>#DIV/0!</v>
      </c>
      <c r="AD548" s="2" t="e">
        <v>#DIV/0!</v>
      </c>
      <c r="AE548" s="2" t="e">
        <v>#DIV/0!</v>
      </c>
      <c r="AF548" s="2" t="e">
        <v>#DIV/0!</v>
      </c>
      <c r="AG548" s="2" t="e">
        <v>#DIV/0!</v>
      </c>
      <c r="AH548" s="2" t="e">
        <v>#DIV/0!</v>
      </c>
      <c r="AI548" s="2" t="e">
        <v>#DIV/0!</v>
      </c>
      <c r="AJ548" s="2" t="e">
        <v>#DIV/0!</v>
      </c>
      <c r="AK548" s="2" t="e">
        <v>#DIV/0!</v>
      </c>
      <c r="AL548" s="2" t="e">
        <v>#DIV/0!</v>
      </c>
      <c r="AM548" s="2" t="e">
        <v>#DIV/0!</v>
      </c>
      <c r="AN548" s="2" t="e">
        <v>#DIV/0!</v>
      </c>
      <c r="AO548" s="2" t="e">
        <v>#DIV/0!</v>
      </c>
      <c r="AP548" s="2" t="e">
        <v>#DIV/0!</v>
      </c>
      <c r="AQ548" s="2" t="e">
        <v>#DIV/0!</v>
      </c>
      <c r="AR548" s="2" t="e">
        <v>#DIV/0!</v>
      </c>
      <c r="AS548" s="2" t="e">
        <v>#DIV/0!</v>
      </c>
      <c r="AT548" s="2" t="e">
        <v>#DIV/0!</v>
      </c>
      <c r="AU548" s="2" t="e">
        <v>#DIV/0!</v>
      </c>
      <c r="AV548" s="2" t="e">
        <v>#DIV/0!</v>
      </c>
    </row>
    <row r="549" spans="1:48" outlineLevel="1" x14ac:dyDescent="0.25">
      <c r="A549" s="39" t="str">
        <f t="shared" si="1116"/>
        <v>XCMG 240</v>
      </c>
      <c r="B549" s="39" t="str">
        <f t="shared" si="1117"/>
        <v>Аннуитет общий</v>
      </c>
      <c r="C549" s="39">
        <f t="shared" si="1118"/>
        <v>0</v>
      </c>
      <c r="D549" s="108" t="s">
        <v>97</v>
      </c>
      <c r="E549" s="118" t="str">
        <f>E539</f>
        <v>руб/ткм</v>
      </c>
      <c r="F549" s="119"/>
      <c r="G549" s="111" t="e">
        <f>G537/'ФОТ, МТР, макро'!AK$14/(G477/G472)</f>
        <v>#DIV/0!</v>
      </c>
      <c r="H549" s="111" t="e">
        <f>H537/'ФОТ, МТР, макро'!AL$14/(H477/H472)</f>
        <v>#DIV/0!</v>
      </c>
      <c r="I549" s="111" t="e">
        <f>I537/'ФОТ, МТР, макро'!AM$14/(I477/I472)</f>
        <v>#DIV/0!</v>
      </c>
      <c r="J549" s="111" t="e">
        <f>J537/'ФОТ, МТР, макро'!AN$14/(J477/J472)</f>
        <v>#DIV/0!</v>
      </c>
      <c r="K549" s="111" t="e">
        <f>K537/'ФОТ, МТР, макро'!AO$14/(K477/K472)</f>
        <v>#DIV/0!</v>
      </c>
      <c r="L549" s="111" t="e">
        <f>L537/'ФОТ, МТР, макро'!AP$14/(L477/L472)</f>
        <v>#DIV/0!</v>
      </c>
      <c r="M549" s="111" t="e">
        <f>M537/'ФОТ, МТР, макро'!AQ$14/(M477/M472)</f>
        <v>#DIV/0!</v>
      </c>
      <c r="N549" s="111" t="e">
        <f>N537/'ФОТ, МТР, макро'!AR$14/(N477/N472)</f>
        <v>#DIV/0!</v>
      </c>
      <c r="O549" s="111" t="e">
        <f>O537/'ФОТ, МТР, макро'!AS$14/(O477/O472)</f>
        <v>#DIV/0!</v>
      </c>
      <c r="P549" s="111" t="e">
        <f>P537/'ФОТ, МТР, макро'!AT$14/(P477/P472)</f>
        <v>#DIV/0!</v>
      </c>
      <c r="Q549" s="111" t="e">
        <f>Q537/'ФОТ, МТР, макро'!AU$14/(Q477/Q472)</f>
        <v>#DIV/0!</v>
      </c>
      <c r="R549" s="111" t="e">
        <f>R537/'ФОТ, МТР, макро'!AV$14/(R477/R472)</f>
        <v>#DIV/0!</v>
      </c>
      <c r="S549" s="111" t="e">
        <f>S537/'ФОТ, МТР, макро'!AW$14/(S477/S472)</f>
        <v>#DIV/0!</v>
      </c>
      <c r="T549" s="111" t="e">
        <f>T537/'ФОТ, МТР, макро'!AX$14/(T477/T472)</f>
        <v>#DIV/0!</v>
      </c>
      <c r="U549" s="111" t="e">
        <f>U537/'ФОТ, МТР, макро'!AY$14/(U477/U472)</f>
        <v>#DIV/0!</v>
      </c>
      <c r="V549" s="111" t="e">
        <f>V537/'ФОТ, МТР, макро'!AZ$14/(V477/V472)</f>
        <v>#DIV/0!</v>
      </c>
      <c r="W549" s="111" t="e">
        <f>W537/'ФОТ, МТР, макро'!BA$14/(W477/W472)</f>
        <v>#DIV/0!</v>
      </c>
      <c r="X549" s="111" t="e">
        <f>X537/'ФОТ, МТР, макро'!BB$14/(X477/X472)</f>
        <v>#DIV/0!</v>
      </c>
      <c r="Y549" s="111" t="e">
        <f>Y537/'ФОТ, МТР, макро'!BC$14/(Y477/Y472)</f>
        <v>#DIV/0!</v>
      </c>
      <c r="Z549" s="111" t="e">
        <f>Z537/'ФОТ, МТР, макро'!BD$14/(Z477/Z472)</f>
        <v>#DIV/0!</v>
      </c>
      <c r="AC549" s="112" t="e" cm="1">
        <f t="array" ref="AC549:AV549">INDEX(G549:Z549,1,$C549)</f>
        <v>#DIV/0!</v>
      </c>
      <c r="AD549" s="2" t="e">
        <v>#DIV/0!</v>
      </c>
      <c r="AE549" s="2" t="e">
        <v>#DIV/0!</v>
      </c>
      <c r="AF549" s="2" t="e">
        <v>#DIV/0!</v>
      </c>
      <c r="AG549" s="2" t="e">
        <v>#DIV/0!</v>
      </c>
      <c r="AH549" s="2" t="e">
        <v>#DIV/0!</v>
      </c>
      <c r="AI549" s="2" t="e">
        <v>#DIV/0!</v>
      </c>
      <c r="AJ549" s="2" t="e">
        <v>#DIV/0!</v>
      </c>
      <c r="AK549" s="2" t="e">
        <v>#DIV/0!</v>
      </c>
      <c r="AL549" s="2" t="e">
        <v>#DIV/0!</v>
      </c>
      <c r="AM549" s="2" t="e">
        <v>#DIV/0!</v>
      </c>
      <c r="AN549" s="2" t="e">
        <v>#DIV/0!</v>
      </c>
      <c r="AO549" s="2" t="e">
        <v>#DIV/0!</v>
      </c>
      <c r="AP549" s="2" t="e">
        <v>#DIV/0!</v>
      </c>
      <c r="AQ549" s="2" t="e">
        <v>#DIV/0!</v>
      </c>
      <c r="AR549" s="2" t="e">
        <v>#DIV/0!</v>
      </c>
      <c r="AS549" s="2" t="e">
        <v>#DIV/0!</v>
      </c>
      <c r="AT549" s="2" t="e">
        <v>#DIV/0!</v>
      </c>
      <c r="AU549" s="2" t="e">
        <v>#DIV/0!</v>
      </c>
      <c r="AV549" s="2" t="e">
        <v>#DIV/0!</v>
      </c>
    </row>
    <row r="550" spans="1:48" outlineLevel="1" x14ac:dyDescent="0.25">
      <c r="A550" s="39" t="str">
        <f t="shared" si="1116"/>
        <v>XCMG 240</v>
      </c>
      <c r="B550" s="39"/>
      <c r="D550" s="121"/>
      <c r="E550" s="1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48" outlineLevel="1" x14ac:dyDescent="0.25">
      <c r="A551" s="39" t="str">
        <f t="shared" si="1116"/>
        <v>XCMG 240</v>
      </c>
      <c r="B551" s="39"/>
      <c r="D551" s="123" t="s">
        <v>88</v>
      </c>
      <c r="E551" s="124"/>
      <c r="F551" s="125"/>
      <c r="G551" s="126" t="e">
        <f>G549-G539-G547+G539-SUM(G540:G546)+G547-G548</f>
        <v>#DIV/0!</v>
      </c>
      <c r="H551" s="126" t="e">
        <f t="shared" ref="H551:I551" si="1121">H549-H539-H547+H539-SUM(H540:H546)+H547-H548</f>
        <v>#DIV/0!</v>
      </c>
      <c r="I551" s="126" t="e">
        <f t="shared" si="1121"/>
        <v>#DIV/0!</v>
      </c>
      <c r="J551" s="126" t="e">
        <f t="shared" ref="J551:Z551" si="1122">J549-J539-J547+J539-SUM(J540:J546)+J547-J548</f>
        <v>#DIV/0!</v>
      </c>
      <c r="K551" s="126" t="e">
        <f t="shared" si="1122"/>
        <v>#DIV/0!</v>
      </c>
      <c r="L551" s="126" t="e">
        <f t="shared" si="1122"/>
        <v>#DIV/0!</v>
      </c>
      <c r="M551" s="126" t="e">
        <f t="shared" si="1122"/>
        <v>#DIV/0!</v>
      </c>
      <c r="N551" s="126" t="e">
        <f t="shared" si="1122"/>
        <v>#DIV/0!</v>
      </c>
      <c r="O551" s="126" t="e">
        <f t="shared" si="1122"/>
        <v>#DIV/0!</v>
      </c>
      <c r="P551" s="126" t="e">
        <f t="shared" si="1122"/>
        <v>#DIV/0!</v>
      </c>
      <c r="Q551" s="126" t="e">
        <f t="shared" si="1122"/>
        <v>#DIV/0!</v>
      </c>
      <c r="R551" s="126" t="e">
        <f t="shared" si="1122"/>
        <v>#DIV/0!</v>
      </c>
      <c r="S551" s="126" t="e">
        <f t="shared" si="1122"/>
        <v>#DIV/0!</v>
      </c>
      <c r="T551" s="126" t="e">
        <f t="shared" si="1122"/>
        <v>#DIV/0!</v>
      </c>
      <c r="U551" s="126" t="e">
        <f t="shared" si="1122"/>
        <v>#DIV/0!</v>
      </c>
      <c r="V551" s="126" t="e">
        <f t="shared" si="1122"/>
        <v>#DIV/0!</v>
      </c>
      <c r="W551" s="126" t="e">
        <f t="shared" si="1122"/>
        <v>#DIV/0!</v>
      </c>
      <c r="X551" s="126" t="e">
        <f t="shared" si="1122"/>
        <v>#DIV/0!</v>
      </c>
      <c r="Y551" s="126" t="e">
        <f t="shared" si="1122"/>
        <v>#DIV/0!</v>
      </c>
      <c r="Z551" s="126" t="e">
        <f t="shared" si="1122"/>
        <v>#DIV/0!</v>
      </c>
    </row>
    <row r="552" spans="1:48" outlineLevel="1" x14ac:dyDescent="0.25">
      <c r="A552" s="39" t="str">
        <f t="shared" si="1116"/>
        <v>XCMG 240</v>
      </c>
      <c r="B552" s="39"/>
      <c r="D552" s="125"/>
      <c r="E552" s="124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48" outlineLevel="1" x14ac:dyDescent="0.25">
      <c r="A553" s="39" t="str">
        <f t="shared" si="1116"/>
        <v>XCMG 240</v>
      </c>
      <c r="B553" s="39"/>
      <c r="D553" s="127" t="s">
        <v>98</v>
      </c>
      <c r="E553" s="128" t="str">
        <f>E549</f>
        <v>руб/ткм</v>
      </c>
      <c r="F553" s="129"/>
      <c r="G553" s="130" t="e">
        <f>SUM(G554:G559)</f>
        <v>#DIV/0!</v>
      </c>
      <c r="H553" s="130" t="e">
        <f t="shared" ref="H553:Z553" si="1123">SUM(H554:H559)</f>
        <v>#DIV/0!</v>
      </c>
      <c r="I553" s="130" t="e">
        <f t="shared" si="1123"/>
        <v>#DIV/0!</v>
      </c>
      <c r="J553" s="130" t="e">
        <f t="shared" si="1123"/>
        <v>#DIV/0!</v>
      </c>
      <c r="K553" s="130" t="e">
        <f t="shared" si="1123"/>
        <v>#DIV/0!</v>
      </c>
      <c r="L553" s="130" t="e">
        <f t="shared" si="1123"/>
        <v>#DIV/0!</v>
      </c>
      <c r="M553" s="130" t="e">
        <f t="shared" si="1123"/>
        <v>#DIV/0!</v>
      </c>
      <c r="N553" s="130" t="e">
        <f t="shared" si="1123"/>
        <v>#DIV/0!</v>
      </c>
      <c r="O553" s="130" t="e">
        <f t="shared" si="1123"/>
        <v>#DIV/0!</v>
      </c>
      <c r="P553" s="130" t="e">
        <f t="shared" si="1123"/>
        <v>#DIV/0!</v>
      </c>
      <c r="Q553" s="130" t="e">
        <f t="shared" si="1123"/>
        <v>#DIV/0!</v>
      </c>
      <c r="R553" s="130" t="e">
        <f t="shared" si="1123"/>
        <v>#DIV/0!</v>
      </c>
      <c r="S553" s="130" t="e">
        <f t="shared" si="1123"/>
        <v>#DIV/0!</v>
      </c>
      <c r="T553" s="130" t="e">
        <f t="shared" si="1123"/>
        <v>#DIV/0!</v>
      </c>
      <c r="U553" s="130" t="e">
        <f t="shared" si="1123"/>
        <v>#DIV/0!</v>
      </c>
      <c r="V553" s="130" t="e">
        <f t="shared" si="1123"/>
        <v>#DIV/0!</v>
      </c>
      <c r="W553" s="130" t="e">
        <f t="shared" si="1123"/>
        <v>#DIV/0!</v>
      </c>
      <c r="X553" s="130" t="e">
        <f t="shared" si="1123"/>
        <v>#DIV/0!</v>
      </c>
      <c r="Y553" s="130" t="e">
        <f t="shared" si="1123"/>
        <v>#DIV/0!</v>
      </c>
      <c r="Z553" s="130" t="e">
        <f t="shared" si="1123"/>
        <v>#DIV/0!</v>
      </c>
    </row>
    <row r="554" spans="1:48" outlineLevel="1" x14ac:dyDescent="0.25">
      <c r="A554" s="39" t="str">
        <f t="shared" si="1116"/>
        <v>XCMG 240</v>
      </c>
      <c r="B554" s="39"/>
      <c r="D554" s="113" t="str">
        <f>D540</f>
        <v>ТО, ТР, ППР</v>
      </c>
      <c r="E554" s="114" t="str">
        <f>E553</f>
        <v>руб/ткм</v>
      </c>
      <c r="F554" s="115"/>
      <c r="G554" s="116" t="e">
        <f>G481/G476</f>
        <v>#DIV/0!</v>
      </c>
      <c r="H554" s="116" t="e">
        <f t="shared" ref="H554:Z554" si="1124">H481/H476</f>
        <v>#DIV/0!</v>
      </c>
      <c r="I554" s="116" t="e">
        <f t="shared" si="1124"/>
        <v>#DIV/0!</v>
      </c>
      <c r="J554" s="116" t="e">
        <f t="shared" si="1124"/>
        <v>#DIV/0!</v>
      </c>
      <c r="K554" s="116" t="e">
        <f t="shared" si="1124"/>
        <v>#DIV/0!</v>
      </c>
      <c r="L554" s="116" t="e">
        <f t="shared" si="1124"/>
        <v>#DIV/0!</v>
      </c>
      <c r="M554" s="116" t="e">
        <f t="shared" si="1124"/>
        <v>#DIV/0!</v>
      </c>
      <c r="N554" s="116" t="e">
        <f t="shared" si="1124"/>
        <v>#DIV/0!</v>
      </c>
      <c r="O554" s="116" t="e">
        <f t="shared" si="1124"/>
        <v>#DIV/0!</v>
      </c>
      <c r="P554" s="116" t="e">
        <f t="shared" si="1124"/>
        <v>#DIV/0!</v>
      </c>
      <c r="Q554" s="116" t="e">
        <f t="shared" si="1124"/>
        <v>#DIV/0!</v>
      </c>
      <c r="R554" s="116" t="e">
        <f t="shared" si="1124"/>
        <v>#DIV/0!</v>
      </c>
      <c r="S554" s="116" t="e">
        <f t="shared" si="1124"/>
        <v>#DIV/0!</v>
      </c>
      <c r="T554" s="116" t="e">
        <f t="shared" si="1124"/>
        <v>#DIV/0!</v>
      </c>
      <c r="U554" s="116" t="e">
        <f t="shared" si="1124"/>
        <v>#DIV/0!</v>
      </c>
      <c r="V554" s="116" t="e">
        <f t="shared" si="1124"/>
        <v>#DIV/0!</v>
      </c>
      <c r="W554" s="116" t="e">
        <f t="shared" si="1124"/>
        <v>#DIV/0!</v>
      </c>
      <c r="X554" s="116" t="e">
        <f t="shared" si="1124"/>
        <v>#DIV/0!</v>
      </c>
      <c r="Y554" s="116" t="e">
        <f t="shared" si="1124"/>
        <v>#DIV/0!</v>
      </c>
      <c r="Z554" s="116" t="e">
        <f t="shared" si="1124"/>
        <v>#DIV/0!</v>
      </c>
    </row>
    <row r="555" spans="1:48" outlineLevel="1" x14ac:dyDescent="0.25">
      <c r="A555" s="39" t="str">
        <f t="shared" si="1116"/>
        <v>XCMG 240</v>
      </c>
      <c r="B555" s="39"/>
      <c r="D555" s="113" t="str">
        <f t="shared" ref="D555:D559" si="1125">D541</f>
        <v>Шины</v>
      </c>
      <c r="E555" s="114" t="str">
        <f t="shared" ref="E555:E559" si="1126">E554</f>
        <v>руб/ткм</v>
      </c>
      <c r="F555" s="115"/>
      <c r="G555" s="116" t="e">
        <f>G486/G476</f>
        <v>#DIV/0!</v>
      </c>
      <c r="H555" s="116" t="e">
        <f t="shared" ref="H555:Z555" si="1127">H486/H476</f>
        <v>#DIV/0!</v>
      </c>
      <c r="I555" s="116" t="e">
        <f t="shared" si="1127"/>
        <v>#DIV/0!</v>
      </c>
      <c r="J555" s="116" t="e">
        <f t="shared" si="1127"/>
        <v>#DIV/0!</v>
      </c>
      <c r="K555" s="116" t="e">
        <f t="shared" si="1127"/>
        <v>#DIV/0!</v>
      </c>
      <c r="L555" s="116" t="e">
        <f t="shared" si="1127"/>
        <v>#DIV/0!</v>
      </c>
      <c r="M555" s="116" t="e">
        <f t="shared" si="1127"/>
        <v>#DIV/0!</v>
      </c>
      <c r="N555" s="116" t="e">
        <f t="shared" si="1127"/>
        <v>#DIV/0!</v>
      </c>
      <c r="O555" s="116" t="e">
        <f t="shared" si="1127"/>
        <v>#DIV/0!</v>
      </c>
      <c r="P555" s="116" t="e">
        <f t="shared" si="1127"/>
        <v>#DIV/0!</v>
      </c>
      <c r="Q555" s="116" t="e">
        <f t="shared" si="1127"/>
        <v>#DIV/0!</v>
      </c>
      <c r="R555" s="116" t="e">
        <f t="shared" si="1127"/>
        <v>#DIV/0!</v>
      </c>
      <c r="S555" s="116" t="e">
        <f t="shared" si="1127"/>
        <v>#DIV/0!</v>
      </c>
      <c r="T555" s="116" t="e">
        <f t="shared" si="1127"/>
        <v>#DIV/0!</v>
      </c>
      <c r="U555" s="116" t="e">
        <f t="shared" si="1127"/>
        <v>#DIV/0!</v>
      </c>
      <c r="V555" s="116" t="e">
        <f t="shared" si="1127"/>
        <v>#DIV/0!</v>
      </c>
      <c r="W555" s="116" t="e">
        <f t="shared" si="1127"/>
        <v>#DIV/0!</v>
      </c>
      <c r="X555" s="116" t="e">
        <f t="shared" si="1127"/>
        <v>#DIV/0!</v>
      </c>
      <c r="Y555" s="116" t="e">
        <f t="shared" si="1127"/>
        <v>#DIV/0!</v>
      </c>
      <c r="Z555" s="116" t="e">
        <f t="shared" si="1127"/>
        <v>#DIV/0!</v>
      </c>
    </row>
    <row r="556" spans="1:48" outlineLevel="1" x14ac:dyDescent="0.25">
      <c r="A556" s="39" t="str">
        <f t="shared" si="1116"/>
        <v>XCMG 240</v>
      </c>
      <c r="B556" s="39"/>
      <c r="D556" s="113" t="str">
        <f t="shared" si="1125"/>
        <v>Топливо</v>
      </c>
      <c r="E556" s="114" t="str">
        <f t="shared" si="1126"/>
        <v>руб/ткм</v>
      </c>
      <c r="F556" s="115"/>
      <c r="G556" s="116" t="e">
        <f>G490/G476</f>
        <v>#DIV/0!</v>
      </c>
      <c r="H556" s="116" t="e">
        <f t="shared" ref="H556:Z556" si="1128">H490/H476</f>
        <v>#DIV/0!</v>
      </c>
      <c r="I556" s="116" t="e">
        <f t="shared" si="1128"/>
        <v>#DIV/0!</v>
      </c>
      <c r="J556" s="116" t="e">
        <f t="shared" si="1128"/>
        <v>#DIV/0!</v>
      </c>
      <c r="K556" s="116" t="e">
        <f t="shared" si="1128"/>
        <v>#DIV/0!</v>
      </c>
      <c r="L556" s="116" t="e">
        <f t="shared" si="1128"/>
        <v>#DIV/0!</v>
      </c>
      <c r="M556" s="116" t="e">
        <f t="shared" si="1128"/>
        <v>#DIV/0!</v>
      </c>
      <c r="N556" s="116" t="e">
        <f t="shared" si="1128"/>
        <v>#DIV/0!</v>
      </c>
      <c r="O556" s="116" t="e">
        <f t="shared" si="1128"/>
        <v>#DIV/0!</v>
      </c>
      <c r="P556" s="116" t="e">
        <f t="shared" si="1128"/>
        <v>#DIV/0!</v>
      </c>
      <c r="Q556" s="116" t="e">
        <f t="shared" si="1128"/>
        <v>#DIV/0!</v>
      </c>
      <c r="R556" s="116" t="e">
        <f t="shared" si="1128"/>
        <v>#DIV/0!</v>
      </c>
      <c r="S556" s="116" t="e">
        <f t="shared" si="1128"/>
        <v>#DIV/0!</v>
      </c>
      <c r="T556" s="116" t="e">
        <f t="shared" si="1128"/>
        <v>#DIV/0!</v>
      </c>
      <c r="U556" s="116" t="e">
        <f t="shared" si="1128"/>
        <v>#DIV/0!</v>
      </c>
      <c r="V556" s="116" t="e">
        <f t="shared" si="1128"/>
        <v>#DIV/0!</v>
      </c>
      <c r="W556" s="116" t="e">
        <f t="shared" si="1128"/>
        <v>#DIV/0!</v>
      </c>
      <c r="X556" s="116" t="e">
        <f t="shared" si="1128"/>
        <v>#DIV/0!</v>
      </c>
      <c r="Y556" s="116" t="e">
        <f t="shared" si="1128"/>
        <v>#DIV/0!</v>
      </c>
      <c r="Z556" s="116" t="e">
        <f t="shared" si="1128"/>
        <v>#DIV/0!</v>
      </c>
    </row>
    <row r="557" spans="1:48" outlineLevel="1" x14ac:dyDescent="0.25">
      <c r="A557" s="39" t="str">
        <f t="shared" si="1116"/>
        <v>XCMG 240</v>
      </c>
      <c r="B557" s="39"/>
      <c r="D557" s="113" t="str">
        <f t="shared" si="1125"/>
        <v>Смазочные</v>
      </c>
      <c r="E557" s="114" t="str">
        <f t="shared" si="1126"/>
        <v>руб/ткм</v>
      </c>
      <c r="F557" s="115"/>
      <c r="G557" s="116" t="e">
        <f>G495/G476</f>
        <v>#DIV/0!</v>
      </c>
      <c r="H557" s="116" t="e">
        <f t="shared" ref="H557:Z557" si="1129">H495/H476</f>
        <v>#DIV/0!</v>
      </c>
      <c r="I557" s="116" t="e">
        <f t="shared" si="1129"/>
        <v>#DIV/0!</v>
      </c>
      <c r="J557" s="116" t="e">
        <f t="shared" si="1129"/>
        <v>#DIV/0!</v>
      </c>
      <c r="K557" s="116" t="e">
        <f t="shared" si="1129"/>
        <v>#DIV/0!</v>
      </c>
      <c r="L557" s="116" t="e">
        <f t="shared" si="1129"/>
        <v>#DIV/0!</v>
      </c>
      <c r="M557" s="116" t="e">
        <f t="shared" si="1129"/>
        <v>#DIV/0!</v>
      </c>
      <c r="N557" s="116" t="e">
        <f t="shared" si="1129"/>
        <v>#DIV/0!</v>
      </c>
      <c r="O557" s="116" t="e">
        <f t="shared" si="1129"/>
        <v>#DIV/0!</v>
      </c>
      <c r="P557" s="116" t="e">
        <f t="shared" si="1129"/>
        <v>#DIV/0!</v>
      </c>
      <c r="Q557" s="116" t="e">
        <f t="shared" si="1129"/>
        <v>#DIV/0!</v>
      </c>
      <c r="R557" s="116" t="e">
        <f t="shared" si="1129"/>
        <v>#DIV/0!</v>
      </c>
      <c r="S557" s="116" t="e">
        <f t="shared" si="1129"/>
        <v>#DIV/0!</v>
      </c>
      <c r="T557" s="116" t="e">
        <f t="shared" si="1129"/>
        <v>#DIV/0!</v>
      </c>
      <c r="U557" s="116" t="e">
        <f t="shared" si="1129"/>
        <v>#DIV/0!</v>
      </c>
      <c r="V557" s="116" t="e">
        <f t="shared" si="1129"/>
        <v>#DIV/0!</v>
      </c>
      <c r="W557" s="116" t="e">
        <f t="shared" si="1129"/>
        <v>#DIV/0!</v>
      </c>
      <c r="X557" s="116" t="e">
        <f t="shared" si="1129"/>
        <v>#DIV/0!</v>
      </c>
      <c r="Y557" s="116" t="e">
        <f t="shared" si="1129"/>
        <v>#DIV/0!</v>
      </c>
      <c r="Z557" s="116" t="e">
        <f t="shared" si="1129"/>
        <v>#DIV/0!</v>
      </c>
    </row>
    <row r="558" spans="1:48" outlineLevel="1" x14ac:dyDescent="0.25">
      <c r="A558" s="39" t="str">
        <f t="shared" si="1116"/>
        <v>XCMG 240</v>
      </c>
      <c r="B558" s="39"/>
      <c r="D558" s="113" t="str">
        <f t="shared" si="1125"/>
        <v>Затраты на персонал</v>
      </c>
      <c r="E558" s="114" t="str">
        <f t="shared" si="1126"/>
        <v>руб/ткм</v>
      </c>
      <c r="F558" s="115"/>
      <c r="G558" s="116" t="e">
        <f>G497/G476</f>
        <v>#DIV/0!</v>
      </c>
      <c r="H558" s="116" t="e">
        <f t="shared" ref="H558:Z558" si="1130">H497/H476</f>
        <v>#DIV/0!</v>
      </c>
      <c r="I558" s="116" t="e">
        <f t="shared" si="1130"/>
        <v>#DIV/0!</v>
      </c>
      <c r="J558" s="116" t="e">
        <f t="shared" si="1130"/>
        <v>#DIV/0!</v>
      </c>
      <c r="K558" s="116" t="e">
        <f t="shared" si="1130"/>
        <v>#DIV/0!</v>
      </c>
      <c r="L558" s="116" t="e">
        <f t="shared" si="1130"/>
        <v>#DIV/0!</v>
      </c>
      <c r="M558" s="116" t="e">
        <f t="shared" si="1130"/>
        <v>#DIV/0!</v>
      </c>
      <c r="N558" s="116" t="e">
        <f t="shared" si="1130"/>
        <v>#DIV/0!</v>
      </c>
      <c r="O558" s="116" t="e">
        <f t="shared" si="1130"/>
        <v>#DIV/0!</v>
      </c>
      <c r="P558" s="116" t="e">
        <f t="shared" si="1130"/>
        <v>#DIV/0!</v>
      </c>
      <c r="Q558" s="116" t="e">
        <f t="shared" si="1130"/>
        <v>#DIV/0!</v>
      </c>
      <c r="R558" s="116" t="e">
        <f t="shared" si="1130"/>
        <v>#DIV/0!</v>
      </c>
      <c r="S558" s="116" t="e">
        <f t="shared" si="1130"/>
        <v>#DIV/0!</v>
      </c>
      <c r="T558" s="116" t="e">
        <f t="shared" si="1130"/>
        <v>#DIV/0!</v>
      </c>
      <c r="U558" s="116" t="e">
        <f t="shared" si="1130"/>
        <v>#DIV/0!</v>
      </c>
      <c r="V558" s="116" t="e">
        <f t="shared" si="1130"/>
        <v>#DIV/0!</v>
      </c>
      <c r="W558" s="116" t="e">
        <f t="shared" si="1130"/>
        <v>#DIV/0!</v>
      </c>
      <c r="X558" s="116" t="e">
        <f t="shared" si="1130"/>
        <v>#DIV/0!</v>
      </c>
      <c r="Y558" s="116" t="e">
        <f t="shared" si="1130"/>
        <v>#DIV/0!</v>
      </c>
      <c r="Z558" s="116" t="e">
        <f t="shared" si="1130"/>
        <v>#DIV/0!</v>
      </c>
    </row>
    <row r="559" spans="1:48" outlineLevel="1" x14ac:dyDescent="0.25">
      <c r="A559" s="39" t="str">
        <f t="shared" si="1116"/>
        <v>XCMG 240</v>
      </c>
      <c r="B559" s="39"/>
      <c r="D559" s="113" t="str">
        <f t="shared" si="1125"/>
        <v>Транспортный налог</v>
      </c>
      <c r="E559" s="114" t="str">
        <f t="shared" si="1126"/>
        <v>руб/ткм</v>
      </c>
      <c r="F559" s="115"/>
      <c r="G559" s="116" t="e">
        <f>G501/G476</f>
        <v>#DIV/0!</v>
      </c>
      <c r="H559" s="116" t="e">
        <f t="shared" ref="H559:Z559" si="1131">H501/H476</f>
        <v>#DIV/0!</v>
      </c>
      <c r="I559" s="116" t="e">
        <f t="shared" si="1131"/>
        <v>#DIV/0!</v>
      </c>
      <c r="J559" s="116" t="e">
        <f t="shared" si="1131"/>
        <v>#DIV/0!</v>
      </c>
      <c r="K559" s="116" t="e">
        <f t="shared" si="1131"/>
        <v>#DIV/0!</v>
      </c>
      <c r="L559" s="116" t="e">
        <f t="shared" si="1131"/>
        <v>#DIV/0!</v>
      </c>
      <c r="M559" s="116" t="e">
        <f t="shared" si="1131"/>
        <v>#DIV/0!</v>
      </c>
      <c r="N559" s="116" t="e">
        <f t="shared" si="1131"/>
        <v>#DIV/0!</v>
      </c>
      <c r="O559" s="116" t="e">
        <f t="shared" si="1131"/>
        <v>#DIV/0!</v>
      </c>
      <c r="P559" s="116" t="e">
        <f t="shared" si="1131"/>
        <v>#DIV/0!</v>
      </c>
      <c r="Q559" s="116" t="e">
        <f t="shared" si="1131"/>
        <v>#DIV/0!</v>
      </c>
      <c r="R559" s="116" t="e">
        <f t="shared" si="1131"/>
        <v>#DIV/0!</v>
      </c>
      <c r="S559" s="116" t="e">
        <f t="shared" si="1131"/>
        <v>#DIV/0!</v>
      </c>
      <c r="T559" s="116" t="e">
        <f t="shared" si="1131"/>
        <v>#DIV/0!</v>
      </c>
      <c r="U559" s="116" t="e">
        <f t="shared" si="1131"/>
        <v>#DIV/0!</v>
      </c>
      <c r="V559" s="116" t="e">
        <f t="shared" si="1131"/>
        <v>#DIV/0!</v>
      </c>
      <c r="W559" s="116" t="e">
        <f t="shared" si="1131"/>
        <v>#DIV/0!</v>
      </c>
      <c r="X559" s="116" t="e">
        <f t="shared" si="1131"/>
        <v>#DIV/0!</v>
      </c>
      <c r="Y559" s="116" t="e">
        <f t="shared" si="1131"/>
        <v>#DIV/0!</v>
      </c>
      <c r="Z559" s="116" t="e">
        <f t="shared" si="1131"/>
        <v>#DIV/0!</v>
      </c>
    </row>
    <row r="560" spans="1:48" outlineLevel="1" x14ac:dyDescent="0.25">
      <c r="A560" s="39" t="str">
        <f t="shared" si="1116"/>
        <v>XCMG 240</v>
      </c>
      <c r="B560" s="39"/>
      <c r="D560" s="121"/>
      <c r="E560" s="12"/>
      <c r="F560" s="122"/>
      <c r="G560" s="131" t="e">
        <f>G553-(G480-G506)/G476</f>
        <v>#DIV/0!</v>
      </c>
      <c r="H560" s="131" t="e">
        <f t="shared" ref="H560:Z560" si="1132">H553-(H480-H506)/H476</f>
        <v>#DIV/0!</v>
      </c>
      <c r="I560" s="131" t="e">
        <f t="shared" si="1132"/>
        <v>#DIV/0!</v>
      </c>
      <c r="J560" s="131" t="e">
        <f t="shared" si="1132"/>
        <v>#DIV/0!</v>
      </c>
      <c r="K560" s="131" t="e">
        <f t="shared" si="1132"/>
        <v>#DIV/0!</v>
      </c>
      <c r="L560" s="131" t="e">
        <f t="shared" si="1132"/>
        <v>#DIV/0!</v>
      </c>
      <c r="M560" s="131" t="e">
        <f t="shared" si="1132"/>
        <v>#DIV/0!</v>
      </c>
      <c r="N560" s="131" t="e">
        <f t="shared" si="1132"/>
        <v>#DIV/0!</v>
      </c>
      <c r="O560" s="131" t="e">
        <f t="shared" si="1132"/>
        <v>#DIV/0!</v>
      </c>
      <c r="P560" s="131" t="e">
        <f t="shared" si="1132"/>
        <v>#DIV/0!</v>
      </c>
      <c r="Q560" s="131" t="e">
        <f t="shared" si="1132"/>
        <v>#DIV/0!</v>
      </c>
      <c r="R560" s="131" t="e">
        <f t="shared" si="1132"/>
        <v>#DIV/0!</v>
      </c>
      <c r="S560" s="131" t="e">
        <f t="shared" si="1132"/>
        <v>#DIV/0!</v>
      </c>
      <c r="T560" s="131" t="e">
        <f t="shared" si="1132"/>
        <v>#DIV/0!</v>
      </c>
      <c r="U560" s="131" t="e">
        <f t="shared" si="1132"/>
        <v>#DIV/0!</v>
      </c>
      <c r="V560" s="131" t="e">
        <f t="shared" si="1132"/>
        <v>#DIV/0!</v>
      </c>
      <c r="W560" s="131" t="e">
        <f t="shared" si="1132"/>
        <v>#DIV/0!</v>
      </c>
      <c r="X560" s="131" t="e">
        <f t="shared" si="1132"/>
        <v>#DIV/0!</v>
      </c>
      <c r="Y560" s="131" t="e">
        <f t="shared" si="1132"/>
        <v>#DIV/0!</v>
      </c>
      <c r="Z560" s="131" t="e">
        <f t="shared" si="1132"/>
        <v>#DIV/0!</v>
      </c>
    </row>
    <row r="561" spans="1:28" outlineLevel="1" x14ac:dyDescent="0.25">
      <c r="A561" s="2" t="s">
        <v>45</v>
      </c>
    </row>
    <row r="562" spans="1:28" x14ac:dyDescent="0.25">
      <c r="A562" s="2" t="s">
        <v>45</v>
      </c>
    </row>
    <row r="563" spans="1:28" ht="14.3" x14ac:dyDescent="0.25">
      <c r="A563" s="2" t="s">
        <v>45</v>
      </c>
      <c r="C563" s="57" t="e">
        <f>SUM(F613:Z613,F625:Z625,F644:Z644,AA597)</f>
        <v>#DIV/0!</v>
      </c>
      <c r="D563" s="58" t="str">
        <f>Свод!L23</f>
        <v>БелАЗ 7531 (БТЛ)</v>
      </c>
      <c r="E563" s="59">
        <f>SUMIFS(Производительность!$Y$55:$Y$71,Производительность!$C$55:$C$71,$D563)</f>
        <v>10</v>
      </c>
      <c r="F563" s="60" t="str">
        <f>$F$2</f>
        <v>лет</v>
      </c>
    </row>
    <row r="564" spans="1:28" outlineLevel="1" x14ac:dyDescent="0.25">
      <c r="A564" s="2" t="s">
        <v>45</v>
      </c>
    </row>
    <row r="565" spans="1:28" outlineLevel="1" x14ac:dyDescent="0.25">
      <c r="A565" s="61" t="str">
        <f>D563</f>
        <v>БелАЗ 7531 (БТЛ)</v>
      </c>
      <c r="D565" s="62" t="str">
        <f>D$1</f>
        <v>Показатель</v>
      </c>
      <c r="E565" s="62" t="str">
        <f t="shared" ref="E565:Z565" si="1133">E$1</f>
        <v>Ед. изм.</v>
      </c>
      <c r="F565" s="62">
        <f t="shared" si="1133"/>
        <v>0</v>
      </c>
      <c r="G565" s="62">
        <f t="shared" si="1133"/>
        <v>1</v>
      </c>
      <c r="H565" s="62">
        <f t="shared" si="1133"/>
        <v>2</v>
      </c>
      <c r="I565" s="62">
        <f t="shared" si="1133"/>
        <v>3</v>
      </c>
      <c r="J565" s="62">
        <f t="shared" si="1133"/>
        <v>4</v>
      </c>
      <c r="K565" s="62">
        <f t="shared" si="1133"/>
        <v>5</v>
      </c>
      <c r="L565" s="62">
        <f t="shared" si="1133"/>
        <v>6</v>
      </c>
      <c r="M565" s="62">
        <f t="shared" si="1133"/>
        <v>7</v>
      </c>
      <c r="N565" s="62">
        <f t="shared" si="1133"/>
        <v>8</v>
      </c>
      <c r="O565" s="62">
        <f t="shared" si="1133"/>
        <v>9</v>
      </c>
      <c r="P565" s="62">
        <f t="shared" si="1133"/>
        <v>10</v>
      </c>
      <c r="Q565" s="62">
        <f t="shared" si="1133"/>
        <v>11</v>
      </c>
      <c r="R565" s="62">
        <f t="shared" si="1133"/>
        <v>12</v>
      </c>
      <c r="S565" s="62">
        <f t="shared" si="1133"/>
        <v>13</v>
      </c>
      <c r="T565" s="62">
        <f t="shared" si="1133"/>
        <v>14</v>
      </c>
      <c r="U565" s="62">
        <f t="shared" si="1133"/>
        <v>15</v>
      </c>
      <c r="V565" s="62">
        <f t="shared" si="1133"/>
        <v>16</v>
      </c>
      <c r="W565" s="62">
        <f t="shared" si="1133"/>
        <v>17</v>
      </c>
      <c r="X565" s="62">
        <f t="shared" si="1133"/>
        <v>18</v>
      </c>
      <c r="Y565" s="62">
        <f t="shared" si="1133"/>
        <v>19</v>
      </c>
      <c r="Z565" s="62">
        <f t="shared" si="1133"/>
        <v>20</v>
      </c>
    </row>
    <row r="566" spans="1:28" outlineLevel="1" x14ac:dyDescent="0.25">
      <c r="A566" s="39" t="str">
        <f>A565</f>
        <v>БелАЗ 7531 (БТЛ)</v>
      </c>
      <c r="B566" s="39"/>
      <c r="D566" s="63" t="s">
        <v>50</v>
      </c>
      <c r="E566" s="64" t="s">
        <v>51</v>
      </c>
      <c r="F566" s="65"/>
      <c r="G566" s="66">
        <f>SUMIFS(Производительность!E$55:E$71,Производительность!$C$55:$C$71,$A566)</f>
        <v>0.92956036751648907</v>
      </c>
      <c r="H566" s="66">
        <f>SUMIFS(Производительность!F$55:F$71,Производительность!$C$55:$C$71,$A566)</f>
        <v>0.90792065417300871</v>
      </c>
      <c r="I566" s="66">
        <f>SUMIFS(Производительность!G$55:G$71,Производительность!$C$55:$C$71,$A566)</f>
        <v>0.8994118599906985</v>
      </c>
      <c r="J566" s="66">
        <f>SUMIFS(Производительность!H$55:H$71,Производительность!$C$55:$C$71,$A566)</f>
        <v>0.88050753900304413</v>
      </c>
      <c r="K566" s="66">
        <f>SUMIFS(Производительность!I$55:I$71,Производительность!$C$55:$C$71,$A566)</f>
        <v>0.9011506135844749</v>
      </c>
      <c r="L566" s="66">
        <f>SUMIFS(Производительность!J$55:J$71,Производительность!$C$55:$C$71,$A566)</f>
        <v>0.87025999122695752</v>
      </c>
      <c r="M566" s="66">
        <f>SUMIFS(Производительность!K$55:K$71,Производительность!$C$55:$C$71,$A566)</f>
        <v>0.85058935026636229</v>
      </c>
      <c r="N566" s="66">
        <f>SUMIFS(Производительность!L$55:L$71,Производительность!$C$55:$C$71,$A566)</f>
        <v>0.89171695046930488</v>
      </c>
      <c r="O566" s="66">
        <f>SUMIFS(Производительность!M$55:M$71,Производительность!$C$55:$C$71,$A566)</f>
        <v>0.85775576325469305</v>
      </c>
      <c r="P566" s="66">
        <f>SUMIFS(Производительность!N$55:N$71,Производительность!$C$55:$C$71,$A566)</f>
        <v>0.85228053917216307</v>
      </c>
      <c r="Q566" s="66">
        <f>SUMIFS(Производительность!O$55:O$71,Производительность!$C$55:$C$71,$A566)</f>
        <v>0</v>
      </c>
      <c r="R566" s="66">
        <f>SUMIFS(Производительность!P$55:P$71,Производительность!$C$55:$C$71,$A566)</f>
        <v>0</v>
      </c>
      <c r="S566" s="66">
        <f>SUMIFS(Производительность!Q$55:Q$71,Производительность!$C$55:$C$71,$A566)</f>
        <v>0</v>
      </c>
      <c r="T566" s="66">
        <f>SUMIFS(Производительность!R$55:R$71,Производительность!$C$55:$C$71,$A566)</f>
        <v>0</v>
      </c>
      <c r="U566" s="66">
        <f>SUMIFS(Производительность!S$55:S$71,Производительность!$C$55:$C$71,$A566)</f>
        <v>0</v>
      </c>
      <c r="V566" s="66">
        <f>SUMIFS(Производительность!T$55:T$71,Производительность!$C$55:$C$71,$A566)</f>
        <v>0</v>
      </c>
      <c r="W566" s="66">
        <f>SUMIFS(Производительность!U$55:U$71,Производительность!$C$55:$C$71,$A566)</f>
        <v>0</v>
      </c>
      <c r="X566" s="66">
        <f>SUMIFS(Производительность!V$55:V$71,Производительность!$C$55:$C$71,$A566)</f>
        <v>0</v>
      </c>
      <c r="Y566" s="66">
        <f>SUMIFS(Производительность!W$55:W$71,Производительность!$C$55:$C$71,$A566)</f>
        <v>0</v>
      </c>
      <c r="Z566" s="66">
        <f>SUMIFS(Производительность!X$55:X$71,Производительность!$C$55:$C$71,$A566)</f>
        <v>0</v>
      </c>
    </row>
    <row r="567" spans="1:28" outlineLevel="1" x14ac:dyDescent="0.25">
      <c r="A567" s="39" t="str">
        <f t="shared" ref="A567:A630" si="1134">A566</f>
        <v>БелАЗ 7531 (БТЛ)</v>
      </c>
      <c r="B567" s="39"/>
      <c r="D567" s="63" t="s">
        <v>52</v>
      </c>
      <c r="E567" s="64" t="str">
        <f>E566</f>
        <v>%</v>
      </c>
      <c r="F567" s="65"/>
      <c r="G567" s="66">
        <f>SUMIFS(Производительность!E$119:E$135,Производительность!$C$119:$C$135,$A567)</f>
        <v>0.7973818358313729</v>
      </c>
      <c r="H567" s="66">
        <f>SUMIFS(Производительность!F$119:F$135,Производительность!$C$119:$C$135,$A567)</f>
        <v>0.77881917443178073</v>
      </c>
      <c r="I567" s="66">
        <f>SUMIFS(Производительность!G$119:G$135,Производительность!$C$119:$C$135,$A567)</f>
        <v>0.77766380908227173</v>
      </c>
      <c r="J567" s="66">
        <f>SUMIFS(Производительность!H$119:H$135,Производительность!$C$119:$C$135,$A567)</f>
        <v>0.76131845394372011</v>
      </c>
      <c r="K567" s="66">
        <f>SUMIFS(Производительность!I$119:I$135,Производительность!$C$119:$C$135,$A567)</f>
        <v>0.77916719791106226</v>
      </c>
      <c r="L567" s="66">
        <f>SUMIFS(Производительность!J$119:J$135,Производительность!$C$119:$C$135,$A567)</f>
        <v>0.75245805595276372</v>
      </c>
      <c r="M567" s="66">
        <f>SUMIFS(Производительность!K$119:K$135,Производительность!$C$119:$C$135,$A567)</f>
        <v>0.73545011303252628</v>
      </c>
      <c r="N567" s="66">
        <f>SUMIFS(Производительность!L$119:L$135,Производительность!$C$119:$C$135,$A567)</f>
        <v>0.77101051383996499</v>
      </c>
      <c r="O567" s="66">
        <f>SUMIFS(Производительность!M$119:M$135,Производительность!$C$119:$C$135,$A567)</f>
        <v>0.74164645118401518</v>
      </c>
      <c r="P567" s="66">
        <f>SUMIFS(Производительность!N$119:N$135,Производительность!$C$119:$C$135,$A567)</f>
        <v>0.73691237572314316</v>
      </c>
      <c r="Q567" s="66">
        <f>SUMIFS(Производительность!O$119:O$135,Производительность!$C$119:$C$135,$A567)</f>
        <v>0</v>
      </c>
      <c r="R567" s="66">
        <f>SUMIFS(Производительность!P$119:P$135,Производительность!$C$119:$C$135,$A567)</f>
        <v>0</v>
      </c>
      <c r="S567" s="66">
        <f>SUMIFS(Производительность!Q$119:Q$135,Производительность!$C$119:$C$135,$A567)</f>
        <v>0</v>
      </c>
      <c r="T567" s="66">
        <f>SUMIFS(Производительность!R$119:R$135,Производительность!$C$119:$C$135,$A567)</f>
        <v>0</v>
      </c>
      <c r="U567" s="66">
        <f>SUMIFS(Производительность!S$119:S$135,Производительность!$C$119:$C$135,$A567)</f>
        <v>0</v>
      </c>
      <c r="V567" s="66">
        <f>SUMIFS(Производительность!T$119:T$135,Производительность!$C$119:$C$135,$A567)</f>
        <v>0</v>
      </c>
      <c r="W567" s="66">
        <f>SUMIFS(Производительность!U$119:U$135,Производительность!$C$119:$C$135,$A567)</f>
        <v>0</v>
      </c>
      <c r="X567" s="66">
        <f>SUMIFS(Производительность!V$119:V$135,Производительность!$C$119:$C$135,$A567)</f>
        <v>0</v>
      </c>
      <c r="Y567" s="66">
        <f>SUMIFS(Производительность!W$119:W$135,Производительность!$C$119:$C$135,$A567)</f>
        <v>0</v>
      </c>
      <c r="Z567" s="66">
        <f>SUMIFS(Производительность!X$119:X$135,Производительность!$C$119:$C$135,$A567)</f>
        <v>0</v>
      </c>
    </row>
    <row r="568" spans="1:28" outlineLevel="1" x14ac:dyDescent="0.25">
      <c r="A568" s="39" t="str">
        <f t="shared" si="1134"/>
        <v>БелАЗ 7531 (БТЛ)</v>
      </c>
      <c r="B568" s="39"/>
      <c r="D568" s="67" t="s">
        <v>53</v>
      </c>
      <c r="E568" s="68" t="s">
        <v>23</v>
      </c>
      <c r="F568" s="69"/>
      <c r="G568" s="69">
        <f>SUMIFS(Производительность!E$247:E$263,Производительность!$C$247:$C$263,$A568)</f>
        <v>3865.1109843195336</v>
      </c>
      <c r="H568" s="69">
        <f>SUMIFS(Производительность!F$247:F$263,Производительность!$C$247:$C$263,$A568)</f>
        <v>3522.8687954849784</v>
      </c>
      <c r="I568" s="69">
        <f>SUMIFS(Производительность!G$247:G$263,Производительность!$C$247:$C$263,$A568)</f>
        <v>3093.8892822905568</v>
      </c>
      <c r="J568" s="69">
        <f>SUMIFS(Производительность!H$247:H$263,Производительность!$C$247:$C$263,$A568)</f>
        <v>3106.7084523959902</v>
      </c>
      <c r="K568" s="69">
        <f>SUMIFS(Производительность!I$247:I$263,Производительность!$C$247:$C$263,$A568)</f>
        <v>2735.4748888428385</v>
      </c>
      <c r="L568" s="69">
        <f>SUMIFS(Производительность!J$247:J$263,Производительность!$C$247:$C$263,$A568)</f>
        <v>2427.8382765724932</v>
      </c>
      <c r="M568" s="69">
        <f>SUMIFS(Производительность!K$247:K$263,Производительность!$C$247:$C$263,$A568)</f>
        <v>2744.043358891287</v>
      </c>
      <c r="N568" s="69">
        <f>SUMIFS(Производительность!L$247:L$263,Производительность!$C$247:$C$263,$A568)</f>
        <v>2826.2220743947755</v>
      </c>
      <c r="O568" s="69">
        <f>SUMIFS(Производительность!M$247:M$263,Производительность!$C$247:$C$263,$A568)</f>
        <v>2383.3393882164701</v>
      </c>
      <c r="P568" s="69">
        <f>SUMIFS(Производительность!N$247:N$263,Производительность!$C$247:$C$263,$A568)</f>
        <v>2577.1915948487945</v>
      </c>
      <c r="Q568" s="69">
        <f>SUMIFS(Производительность!O$247:O$263,Производительность!$C$247:$C$263,$A568)</f>
        <v>0</v>
      </c>
      <c r="R568" s="69">
        <f>SUMIFS(Производительность!P$247:P$263,Производительность!$C$247:$C$263,$A568)</f>
        <v>0</v>
      </c>
      <c r="S568" s="69">
        <f>SUMIFS(Производительность!Q$247:Q$263,Производительность!$C$247:$C$263,$A568)</f>
        <v>0</v>
      </c>
      <c r="T568" s="69">
        <f>SUMIFS(Производительность!R$247:R$263,Производительность!$C$247:$C$263,$A568)</f>
        <v>0</v>
      </c>
      <c r="U568" s="69">
        <f>SUMIFS(Производительность!S$247:S$263,Производительность!$C$247:$C$263,$A568)</f>
        <v>0</v>
      </c>
      <c r="V568" s="69">
        <f>SUMIFS(Производительность!T$247:T$263,Производительность!$C$247:$C$263,$A568)</f>
        <v>0</v>
      </c>
      <c r="W568" s="69">
        <f>SUMIFS(Производительность!U$247:U$263,Производительность!$C$247:$C$263,$A568)</f>
        <v>0</v>
      </c>
      <c r="X568" s="69">
        <f>SUMIFS(Производительность!V$247:V$263,Производительность!$C$247:$C$263,$A568)</f>
        <v>0</v>
      </c>
      <c r="Y568" s="69">
        <f>SUMIFS(Производительность!W$247:W$263,Производительность!$C$247:$C$263,$A568)</f>
        <v>0</v>
      </c>
      <c r="Z568" s="69">
        <f>SUMIFS(Производительность!X$247:X$263,Производительность!$C$247:$C$263,$A568)</f>
        <v>0</v>
      </c>
    </row>
    <row r="569" spans="1:28" outlineLevel="1" x14ac:dyDescent="0.25">
      <c r="A569" s="39" t="str">
        <f t="shared" si="1134"/>
        <v>БелАЗ 7531 (БТЛ)</v>
      </c>
      <c r="B569" s="39"/>
      <c r="D569" s="67" t="s">
        <v>54</v>
      </c>
      <c r="E569" s="68" t="s">
        <v>24</v>
      </c>
      <c r="F569" s="69"/>
      <c r="G569" s="69">
        <f>SUMIFS(Производительность!E$263:E$279,Производительность!$C$263:$C$279,$A569)</f>
        <v>11748.329929545243</v>
      </c>
      <c r="H569" s="69">
        <f>SUMIFS(Производительность!F$263:F$279,Производительность!$C$263:$C$279,$A569)</f>
        <v>11871.444429808935</v>
      </c>
      <c r="I569" s="69">
        <f>SUMIFS(Производительность!G$263:G$279,Производительность!$C$263:$C$279,$A569)</f>
        <v>12520.058427235517</v>
      </c>
      <c r="J569" s="69">
        <f>SUMIFS(Производительность!H$263:H$279,Производительность!$C$263:$C$279,$A569)</f>
        <v>12134.512190547917</v>
      </c>
      <c r="K569" s="69">
        <f>SUMIFS(Производительность!I$263:I$279,Производительность!$C$263:$C$279,$A569)</f>
        <v>13117.165014226643</v>
      </c>
      <c r="L569" s="69">
        <f>SUMIFS(Производительность!J$263:J$279,Производительность!$C$263:$C$279,$A569)</f>
        <v>13003.762278877713</v>
      </c>
      <c r="M569" s="69">
        <f>SUMIFS(Производительность!K$263:K$279,Производительность!$C$263:$C$279,$A569)</f>
        <v>12126.420904765628</v>
      </c>
      <c r="N569" s="69">
        <f>SUMIFS(Производительность!L$263:L$279,Производительность!$C$263:$C$279,$A569)</f>
        <v>12792.153846735544</v>
      </c>
      <c r="O569" s="69">
        <f>SUMIFS(Производительность!M$263:M$279,Производительность!$C$263:$C$279,$A569)</f>
        <v>12832.03561342626</v>
      </c>
      <c r="P569" s="69">
        <f>SUMIFS(Производительность!N$263:N$279,Производительность!$C$263:$C$279,$A569)</f>
        <v>12421.43337231493</v>
      </c>
      <c r="Q569" s="69">
        <f>SUMIFS(Производительность!O$263:O$279,Производительность!$C$263:$C$279,$A569)</f>
        <v>0</v>
      </c>
      <c r="R569" s="69">
        <f>SUMIFS(Производительность!P$263:P$279,Производительность!$C$263:$C$279,$A569)</f>
        <v>0</v>
      </c>
      <c r="S569" s="69">
        <f>SUMIFS(Производительность!Q$263:Q$279,Производительность!$C$263:$C$279,$A569)</f>
        <v>0</v>
      </c>
      <c r="T569" s="69">
        <f>SUMIFS(Производительность!R$263:R$279,Производительность!$C$263:$C$279,$A569)</f>
        <v>0</v>
      </c>
      <c r="U569" s="69">
        <f>SUMIFS(Производительность!S$263:S$279,Производительность!$C$263:$C$279,$A569)</f>
        <v>0</v>
      </c>
      <c r="V569" s="69">
        <f>SUMIFS(Производительность!T$263:T$279,Производительность!$C$263:$C$279,$A569)</f>
        <v>0</v>
      </c>
      <c r="W569" s="69">
        <f>SUMIFS(Производительность!U$263:U$279,Производительность!$C$263:$C$279,$A569)</f>
        <v>0</v>
      </c>
      <c r="X569" s="69">
        <f>SUMIFS(Производительность!V$263:V$279,Производительность!$C$263:$C$279,$A569)</f>
        <v>0</v>
      </c>
      <c r="Y569" s="69">
        <f>SUMIFS(Производительность!W$263:W$279,Производительность!$C$263:$C$279,$A569)</f>
        <v>0</v>
      </c>
      <c r="Z569" s="69">
        <f>SUMIFS(Производительность!X$263:X$279,Производительность!$C$263:$C$279,$A569)</f>
        <v>0</v>
      </c>
    </row>
    <row r="570" spans="1:28" outlineLevel="1" x14ac:dyDescent="0.25">
      <c r="A570" s="39" t="str">
        <f t="shared" si="1134"/>
        <v>БелАЗ 7531 (БТЛ)</v>
      </c>
      <c r="B570" s="39"/>
      <c r="D570" s="70" t="s">
        <v>55</v>
      </c>
      <c r="E570" s="64" t="str">
        <f>E569</f>
        <v>тыс. ткм</v>
      </c>
      <c r="F570" s="65"/>
      <c r="G570" s="530">
        <f>G569</f>
        <v>11748.329929545243</v>
      </c>
      <c r="H570" s="65">
        <f>IF(H565&gt;$E563,0,G570+H569)</f>
        <v>23619.774359354178</v>
      </c>
      <c r="I570" s="65">
        <f t="shared" ref="I570" si="1135">IF(I565&gt;$E563,0,H570+I569)</f>
        <v>36139.832786589694</v>
      </c>
      <c r="J570" s="65">
        <f t="shared" ref="J570" si="1136">IF(J565&gt;$E563,0,I570+J569)</f>
        <v>48274.344977137611</v>
      </c>
      <c r="K570" s="65">
        <f t="shared" ref="K570" si="1137">IF(K565&gt;$E563,0,J570+K569)</f>
        <v>61391.509991364255</v>
      </c>
      <c r="L570" s="65">
        <f t="shared" ref="L570" si="1138">IF(L565&gt;$E563,0,K570+L569)</f>
        <v>74395.272270241971</v>
      </c>
      <c r="M570" s="65">
        <f t="shared" ref="M570" si="1139">IF(M565&gt;$E563,0,L570+M569)</f>
        <v>86521.693175007604</v>
      </c>
      <c r="N570" s="65">
        <f t="shared" ref="N570" si="1140">IF(N565&gt;$E563,0,M570+N569)</f>
        <v>99313.847021743146</v>
      </c>
      <c r="O570" s="65">
        <f t="shared" ref="O570" si="1141">IF(O565&gt;$E563,0,N570+O569)</f>
        <v>112145.8826351694</v>
      </c>
      <c r="P570" s="65">
        <f t="shared" ref="P570" si="1142">IF(P565&gt;$E563,0,O570+P569)</f>
        <v>124567.31600748433</v>
      </c>
      <c r="Q570" s="65">
        <f t="shared" ref="Q570" si="1143">IF(Q565&gt;$E563,0,P570+Q569)</f>
        <v>0</v>
      </c>
      <c r="R570" s="65">
        <f t="shared" ref="R570" si="1144">IF(R565&gt;$E563,0,Q570+R569)</f>
        <v>0</v>
      </c>
      <c r="S570" s="65">
        <f t="shared" ref="S570" si="1145">IF(S565&gt;$E563,0,R570+S569)</f>
        <v>0</v>
      </c>
      <c r="T570" s="65">
        <f t="shared" ref="T570" si="1146">IF(T565&gt;$E563,0,S570+T569)</f>
        <v>0</v>
      </c>
      <c r="U570" s="65">
        <f t="shared" ref="U570" si="1147">IF(U565&gt;$E563,0,T570+U569)</f>
        <v>0</v>
      </c>
      <c r="V570" s="65">
        <f t="shared" ref="V570" si="1148">IF(V565&gt;$E563,0,U570+V569)</f>
        <v>0</v>
      </c>
      <c r="W570" s="65">
        <f t="shared" ref="W570" si="1149">IF(W565&gt;$E563,0,V570+W569)</f>
        <v>0</v>
      </c>
      <c r="X570" s="65">
        <f t="shared" ref="X570" si="1150">IF(X565&gt;$E563,0,W570+X569)</f>
        <v>0</v>
      </c>
      <c r="Y570" s="65">
        <f t="shared" ref="Y570" si="1151">IF(Y565&gt;$E563,0,X570+Y569)</f>
        <v>0</v>
      </c>
      <c r="Z570" s="65">
        <f t="shared" ref="Z570" si="1152">IF(Z565&gt;$E563,0,Y570+Z569)</f>
        <v>0</v>
      </c>
    </row>
    <row r="571" spans="1:28" outlineLevel="1" x14ac:dyDescent="0.25">
      <c r="A571" s="39" t="str">
        <f t="shared" si="1134"/>
        <v>БелАЗ 7531 (БТЛ)</v>
      </c>
      <c r="B571" s="39"/>
      <c r="D571" s="63" t="s">
        <v>56</v>
      </c>
      <c r="E571" s="64" t="s">
        <v>57</v>
      </c>
      <c r="F571" s="65"/>
      <c r="G571" s="65">
        <f>SUMIFS(Производительность!E$279:E$295,Производительность!$C$279:$C$295,$A571)/1000</f>
        <v>103.4011558030239</v>
      </c>
      <c r="H571" s="65">
        <f>SUMIFS(Производительность!F$279:F$295,Производительность!$C$279:$C$295,$A571)/1000</f>
        <v>104.48472952794651</v>
      </c>
      <c r="I571" s="65">
        <f>SUMIFS(Производительность!G$279:G$295,Производительность!$C$279:$C$295,$A571)/1000</f>
        <v>110.19340790233093</v>
      </c>
      <c r="J571" s="65">
        <f>SUMIFS(Производительность!H$279:H$295,Производительность!$C$279:$C$295,$A571)/1000</f>
        <v>106.80008078876841</v>
      </c>
      <c r="K571" s="65">
        <f>SUMIFS(Производительность!I$279:I$295,Производительность!$C$279:$C$295,$A571)/1000</f>
        <v>115.44875156417437</v>
      </c>
      <c r="L571" s="65">
        <f>SUMIFS(Производительность!J$279:J$295,Производительность!$C$279:$C$295,$A571)/1000</f>
        <v>114.45065447491791</v>
      </c>
      <c r="M571" s="65">
        <f>SUMIFS(Производительность!K$279:K$295,Производительность!$C$279:$C$295,$A571)/1000</f>
        <v>106.72886655603585</v>
      </c>
      <c r="N571" s="65">
        <f>SUMIFS(Производительность!L$279:L$295,Производительность!$C$279:$C$295,$A571)/1000</f>
        <v>112.58821474157847</v>
      </c>
      <c r="O571" s="65">
        <f>SUMIFS(Производительность!M$279:M$295,Производительность!$C$279:$C$295,$A571)/1000</f>
        <v>112.93922810228736</v>
      </c>
      <c r="P571" s="65">
        <f>SUMIFS(Производительность!N$279:N$295,Производительность!$C$279:$C$295,$A571)/1000</f>
        <v>109.32537434087304</v>
      </c>
      <c r="Q571" s="65">
        <f>SUMIFS(Производительность!O$279:O$295,Производительность!$C$279:$C$295,$A571)/1000</f>
        <v>0</v>
      </c>
      <c r="R571" s="65">
        <f>SUMIFS(Производительность!P$279:P$295,Производительность!$C$279:$C$295,$A571)/1000</f>
        <v>0</v>
      </c>
      <c r="S571" s="65">
        <f>SUMIFS(Производительность!Q$279:Q$295,Производительность!$C$279:$C$295,$A571)/1000</f>
        <v>0</v>
      </c>
      <c r="T571" s="65">
        <f>SUMIFS(Производительность!R$279:R$295,Производительность!$C$279:$C$295,$A571)/1000</f>
        <v>0</v>
      </c>
      <c r="U571" s="65">
        <f>SUMIFS(Производительность!S$279:S$295,Производительность!$C$279:$C$295,$A571)/1000</f>
        <v>0</v>
      </c>
      <c r="V571" s="65">
        <f>SUMIFS(Производительность!T$279:T$295,Производительность!$C$279:$C$295,$A571)/1000</f>
        <v>0</v>
      </c>
      <c r="W571" s="65">
        <f>SUMIFS(Производительность!U$279:U$295,Производительность!$C$279:$C$295,$A571)/1000</f>
        <v>0</v>
      </c>
      <c r="X571" s="65">
        <f>SUMIFS(Производительность!V$279:V$295,Производительность!$C$279:$C$295,$A571)/1000</f>
        <v>0</v>
      </c>
      <c r="Y571" s="65">
        <f>SUMIFS(Производительность!W$279:W$295,Производительность!$C$279:$C$295,$A571)/1000</f>
        <v>0</v>
      </c>
      <c r="Z571" s="65">
        <f>SUMIFS(Производительность!X$279:X$295,Производительность!$C$279:$C$295,$A571)/1000</f>
        <v>0</v>
      </c>
    </row>
    <row r="572" spans="1:28" outlineLevel="1" x14ac:dyDescent="0.25">
      <c r="A572" s="39" t="str">
        <f t="shared" si="1134"/>
        <v>БелАЗ 7531 (БТЛ)</v>
      </c>
      <c r="B572" s="39"/>
      <c r="D572" s="31"/>
      <c r="E572" s="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8" outlineLevel="1" x14ac:dyDescent="0.25">
      <c r="A573" s="39" t="str">
        <f t="shared" si="1134"/>
        <v>БелАЗ 7531 (БТЛ)</v>
      </c>
      <c r="B573" s="39"/>
      <c r="D573" s="71" t="s">
        <v>58</v>
      </c>
      <c r="E573" s="72" t="s">
        <v>33</v>
      </c>
      <c r="F573" s="73">
        <f>F598+F599-F597</f>
        <v>0</v>
      </c>
      <c r="G573" s="73">
        <f t="shared" ref="G573:Z573" si="1153">G598+G599-G597</f>
        <v>90205.416996400803</v>
      </c>
      <c r="H573" s="73">
        <f t="shared" si="1153"/>
        <v>96424.417641902794</v>
      </c>
      <c r="I573" s="73">
        <f t="shared" si="1153"/>
        <v>128788.98851218462</v>
      </c>
      <c r="J573" s="73">
        <f t="shared" si="1153"/>
        <v>147476.1956341021</v>
      </c>
      <c r="K573" s="73">
        <f t="shared" si="1153"/>
        <v>114503.67798356645</v>
      </c>
      <c r="L573" s="73">
        <f t="shared" si="1153"/>
        <v>133064.44291200832</v>
      </c>
      <c r="M573" s="73">
        <f t="shared" si="1153"/>
        <v>105950.42845825956</v>
      </c>
      <c r="N573" s="73">
        <f t="shared" si="1153"/>
        <v>155471.26894601254</v>
      </c>
      <c r="O573" s="73">
        <f t="shared" si="1153"/>
        <v>143959.34156378993</v>
      </c>
      <c r="P573" s="73">
        <f t="shared" si="1153"/>
        <v>108456.70613799436</v>
      </c>
      <c r="Q573" s="73">
        <f t="shared" si="1153"/>
        <v>0</v>
      </c>
      <c r="R573" s="73">
        <f t="shared" si="1153"/>
        <v>0</v>
      </c>
      <c r="S573" s="73">
        <f t="shared" si="1153"/>
        <v>0</v>
      </c>
      <c r="T573" s="73">
        <f t="shared" si="1153"/>
        <v>0</v>
      </c>
      <c r="U573" s="73">
        <f t="shared" si="1153"/>
        <v>0</v>
      </c>
      <c r="V573" s="73">
        <f t="shared" si="1153"/>
        <v>0</v>
      </c>
      <c r="W573" s="73">
        <f t="shared" si="1153"/>
        <v>0</v>
      </c>
      <c r="X573" s="73">
        <f t="shared" si="1153"/>
        <v>0</v>
      </c>
      <c r="Y573" s="73">
        <f t="shared" si="1153"/>
        <v>0</v>
      </c>
      <c r="Z573" s="73">
        <f t="shared" si="1153"/>
        <v>0</v>
      </c>
    </row>
    <row r="574" spans="1:28" outlineLevel="1" x14ac:dyDescent="0.25">
      <c r="A574" s="39" t="str">
        <f t="shared" si="1134"/>
        <v>БелАЗ 7531 (БТЛ)</v>
      </c>
      <c r="B574" s="39"/>
      <c r="C574" s="619" t="str">
        <f>D574</f>
        <v>ТО, ТР, ППР</v>
      </c>
      <c r="D574" s="430" t="s">
        <v>59</v>
      </c>
      <c r="E574" s="68" t="str">
        <f>E573</f>
        <v>тыс. руб.</v>
      </c>
      <c r="F574" s="74"/>
      <c r="G574" s="455">
        <f>(G575+G576+G577)*'ФОТ, МТР, макро'!AK$7</f>
        <v>12300.91350929597</v>
      </c>
      <c r="H574" s="455">
        <f>(H575+H576+H577)*'ФОТ, МТР, макро'!AL$7</f>
        <v>19657.300786528282</v>
      </c>
      <c r="I574" s="455">
        <f>(I575+I576+I577)*'ФОТ, МТР, макро'!AM$7</f>
        <v>57880.893854600516</v>
      </c>
      <c r="J574" s="455">
        <f>(J575+J576+J577)*'ФОТ, МТР, макро'!AN$7</f>
        <v>85727.144108879336</v>
      </c>
      <c r="K574" s="455">
        <f>(K575+K576+K577)*'ФОТ, МТР, макро'!AO$7</f>
        <v>34296.077689273741</v>
      </c>
      <c r="L574" s="455">
        <f>(L575+L576+L577)*'ФОТ, МТР, макро'!AP$7</f>
        <v>59905.572896913713</v>
      </c>
      <c r="M574" s="455">
        <f>(M575+M576+M577)*'ФОТ, МТР, макро'!AQ$7</f>
        <v>30420.944591970081</v>
      </c>
      <c r="N574" s="455">
        <f>(N575+N576+N577)*'ФОТ, МТР, макро'!AR$7</f>
        <v>91389.467710894634</v>
      </c>
      <c r="O574" s="455">
        <f>(O575+O576+O577)*'ФОТ, МТР, макро'!AS$7</f>
        <v>75737.148115459175</v>
      </c>
      <c r="P574" s="455">
        <f>(P575+P576+P577)*'ФОТ, МТР, макро'!AT$7</f>
        <v>31520.689083515779</v>
      </c>
      <c r="Q574" s="455"/>
      <c r="R574" s="455"/>
      <c r="S574" s="455"/>
      <c r="T574" s="455"/>
      <c r="U574" s="455"/>
      <c r="V574" s="455"/>
      <c r="W574" s="455"/>
      <c r="X574" s="455"/>
      <c r="Y574" s="455"/>
      <c r="Z574" s="455"/>
      <c r="AB574" s="76">
        <f>SUM(F574:Z574,F588:Z588)/E563</f>
        <v>49883.615234733123</v>
      </c>
    </row>
    <row r="575" spans="1:28" outlineLevel="1" x14ac:dyDescent="0.25">
      <c r="A575" s="39" t="str">
        <f t="shared" si="1134"/>
        <v>БелАЗ 7531 (БТЛ)</v>
      </c>
      <c r="B575" s="39"/>
      <c r="D575" s="427" t="s">
        <v>60</v>
      </c>
      <c r="E575" s="428" t="s">
        <v>35</v>
      </c>
      <c r="F575" s="30"/>
      <c r="G575" s="456">
        <f>БелАЗ_Б!E19</f>
        <v>49.599955737568621</v>
      </c>
      <c r="H575" s="456">
        <f>БелАЗ_Б!F19</f>
        <v>41.134557139529406</v>
      </c>
      <c r="I575" s="456">
        <f>БелАЗ_Б!G19</f>
        <v>41.134557139529406</v>
      </c>
      <c r="J575" s="456">
        <f>БелАЗ_Б!H19</f>
        <v>41.134557139529406</v>
      </c>
      <c r="K575" s="456">
        <f>БелАЗ_Б!I19</f>
        <v>41.134557139529406</v>
      </c>
      <c r="L575" s="456">
        <f>БелАЗ_Б!J19</f>
        <v>41.134557139529406</v>
      </c>
      <c r="M575" s="456">
        <f>БелАЗ_Б!K19</f>
        <v>41.134557139529406</v>
      </c>
      <c r="N575" s="456">
        <f>БелАЗ_Б!L19</f>
        <v>41.134557139529406</v>
      </c>
      <c r="O575" s="456">
        <f>БелАЗ_Б!M19</f>
        <v>41.134557139529406</v>
      </c>
      <c r="P575" s="456">
        <f>БелАЗ_Б!N19</f>
        <v>41.134557139529406</v>
      </c>
      <c r="Q575" s="456"/>
      <c r="R575" s="456"/>
      <c r="S575" s="456"/>
      <c r="T575" s="456"/>
      <c r="U575" s="456"/>
      <c r="V575" s="456"/>
      <c r="W575" s="456"/>
      <c r="X575" s="456"/>
      <c r="Y575" s="456"/>
      <c r="Z575" s="456"/>
    </row>
    <row r="576" spans="1:28" outlineLevel="1" x14ac:dyDescent="0.25">
      <c r="A576" s="39" t="str">
        <f t="shared" si="1134"/>
        <v>БелАЗ 7531 (БТЛ)</v>
      </c>
      <c r="B576" s="39"/>
      <c r="D576" s="427" t="s">
        <v>61</v>
      </c>
      <c r="E576" s="428" t="s">
        <v>35</v>
      </c>
      <c r="F576" s="30"/>
      <c r="G576" s="456">
        <f>БелАЗ_Б!E20+БелАЗ_Б!E21</f>
        <v>15.01122</v>
      </c>
      <c r="H576" s="456">
        <f>БелАЗ_Б!F20+БелАЗ_Б!F21</f>
        <v>77.064600000000013</v>
      </c>
      <c r="I576" s="456">
        <f>БелАЗ_Б!G20+БелАЗ_Б!G21</f>
        <v>461.64887117999996</v>
      </c>
      <c r="J576" s="456">
        <f>БелАЗ_Б!H20+БелАЗ_Б!H21</f>
        <v>742.39280929999995</v>
      </c>
      <c r="K576" s="456">
        <f>БелАЗ_Б!I20+БелАЗ_Б!I21</f>
        <v>218.54595970000003</v>
      </c>
      <c r="L576" s="456">
        <f>БелАЗ_Б!J20+БелАЗ_Б!J21</f>
        <v>442.35690237999995</v>
      </c>
      <c r="M576" s="456">
        <f>БелАЗ_Б!K20+БелАЗ_Б!K21</f>
        <v>151.99239879999999</v>
      </c>
      <c r="N576" s="456">
        <f>БелАЗ_Б!L20+БелАЗ_Б!L21</f>
        <v>785.82923047647057</v>
      </c>
      <c r="O576" s="456">
        <f>БелАЗ_Б!M20+БелАЗ_Б!M21</f>
        <v>572.21106208000003</v>
      </c>
      <c r="P576" s="456">
        <f>БелАЗ_Б!N20+БелАЗ_Б!N21</f>
        <v>90.365774999999999</v>
      </c>
      <c r="Q576" s="456"/>
      <c r="R576" s="456"/>
      <c r="S576" s="456"/>
      <c r="T576" s="456"/>
      <c r="U576" s="456"/>
      <c r="V576" s="456"/>
      <c r="W576" s="456"/>
      <c r="X576" s="456"/>
      <c r="Y576" s="456"/>
      <c r="Z576" s="456"/>
    </row>
    <row r="577" spans="1:28" outlineLevel="1" x14ac:dyDescent="0.25">
      <c r="A577" s="39" t="str">
        <f t="shared" si="1134"/>
        <v>БелАЗ 7531 (БТЛ)</v>
      </c>
      <c r="B577" s="39"/>
      <c r="D577" s="427" t="s">
        <v>62</v>
      </c>
      <c r="E577" s="428" t="s">
        <v>35</v>
      </c>
      <c r="F577" s="30"/>
      <c r="G577" s="456">
        <f>БелАЗ_Б!E22+БелАЗ_Б!E23</f>
        <v>66.182122499999977</v>
      </c>
      <c r="H577" s="456">
        <f>БелАЗ_Б!F22+БелАЗ_Б!F23</f>
        <v>90.813222499999995</v>
      </c>
      <c r="I577" s="456">
        <f>БелАЗ_Б!G22+БелАЗ_Б!G23</f>
        <v>112.6532225</v>
      </c>
      <c r="J577" s="456">
        <f>БелАЗ_Б!H22+БелАЗ_Б!H23</f>
        <v>127.9932225</v>
      </c>
      <c r="K577" s="456">
        <f>БелАЗ_Б!I22+БелАЗ_Б!I23</f>
        <v>104.98322249999998</v>
      </c>
      <c r="L577" s="456">
        <f>БелАЗ_Б!J22+БелАЗ_Б!J23</f>
        <v>153.47322249999999</v>
      </c>
      <c r="M577" s="456">
        <f>БелАЗ_Б!K22+БелАЗ_Б!K23</f>
        <v>130.33322249999998</v>
      </c>
      <c r="N577" s="456">
        <f>БелАЗ_Б!L22+БелАЗ_Б!L23</f>
        <v>144.76322249999998</v>
      </c>
      <c r="O577" s="456">
        <f>БелАЗ_Б!M22+БелАЗ_Б!M23</f>
        <v>191.95322249999998</v>
      </c>
      <c r="P577" s="456">
        <f>БелАЗ_Б!N22+БелАЗ_Б!N23</f>
        <v>203.65322249999997</v>
      </c>
      <c r="Q577" s="456"/>
      <c r="R577" s="456"/>
      <c r="S577" s="456"/>
      <c r="T577" s="456"/>
      <c r="U577" s="456"/>
      <c r="V577" s="456"/>
      <c r="W577" s="456"/>
      <c r="X577" s="456"/>
      <c r="Y577" s="456"/>
      <c r="Z577" s="456"/>
    </row>
    <row r="578" spans="1:28" outlineLevel="1" x14ac:dyDescent="0.25">
      <c r="A578" s="39" t="str">
        <f t="shared" si="1134"/>
        <v>БелАЗ 7531 (БТЛ)</v>
      </c>
      <c r="B578" s="39"/>
      <c r="D578" s="80" t="s">
        <v>63</v>
      </c>
      <c r="E578" s="81"/>
      <c r="F578" s="82"/>
      <c r="G578" s="83" t="e">
        <f>G574/$F602</f>
        <v>#DIV/0!</v>
      </c>
      <c r="H578" s="83" t="e">
        <f t="shared" ref="H578:Z578" si="1154">H574/$F602</f>
        <v>#DIV/0!</v>
      </c>
      <c r="I578" s="83" t="e">
        <f t="shared" si="1154"/>
        <v>#DIV/0!</v>
      </c>
      <c r="J578" s="83" t="e">
        <f t="shared" si="1154"/>
        <v>#DIV/0!</v>
      </c>
      <c r="K578" s="83" t="e">
        <f t="shared" si="1154"/>
        <v>#DIV/0!</v>
      </c>
      <c r="L578" s="83" t="e">
        <f t="shared" si="1154"/>
        <v>#DIV/0!</v>
      </c>
      <c r="M578" s="83" t="e">
        <f t="shared" si="1154"/>
        <v>#DIV/0!</v>
      </c>
      <c r="N578" s="83" t="e">
        <f t="shared" si="1154"/>
        <v>#DIV/0!</v>
      </c>
      <c r="O578" s="83" t="e">
        <f t="shared" si="1154"/>
        <v>#DIV/0!</v>
      </c>
      <c r="P578" s="83" t="e">
        <f t="shared" si="1154"/>
        <v>#DIV/0!</v>
      </c>
      <c r="Q578" s="83" t="e">
        <f t="shared" si="1154"/>
        <v>#DIV/0!</v>
      </c>
      <c r="R578" s="83" t="e">
        <f t="shared" si="1154"/>
        <v>#DIV/0!</v>
      </c>
      <c r="S578" s="83" t="e">
        <f t="shared" si="1154"/>
        <v>#DIV/0!</v>
      </c>
      <c r="T578" s="83" t="e">
        <f t="shared" si="1154"/>
        <v>#DIV/0!</v>
      </c>
      <c r="U578" s="83" t="e">
        <f t="shared" si="1154"/>
        <v>#DIV/0!</v>
      </c>
      <c r="V578" s="83" t="e">
        <f t="shared" si="1154"/>
        <v>#DIV/0!</v>
      </c>
      <c r="W578" s="83" t="e">
        <f t="shared" si="1154"/>
        <v>#DIV/0!</v>
      </c>
      <c r="X578" s="83" t="e">
        <f t="shared" si="1154"/>
        <v>#DIV/0!</v>
      </c>
      <c r="Y578" s="83" t="e">
        <f t="shared" si="1154"/>
        <v>#DIV/0!</v>
      </c>
      <c r="Z578" s="83" t="e">
        <f t="shared" si="1154"/>
        <v>#DIV/0!</v>
      </c>
      <c r="AA578" s="84" t="e">
        <f>SUM(F574:Z574)/$F602</f>
        <v>#DIV/0!</v>
      </c>
    </row>
    <row r="579" spans="1:28" outlineLevel="1" x14ac:dyDescent="0.25">
      <c r="A579" s="39" t="str">
        <f t="shared" si="1134"/>
        <v>БелАЗ 7531 (БТЛ)</v>
      </c>
      <c r="B579" s="39"/>
      <c r="D579" s="67" t="s">
        <v>39</v>
      </c>
      <c r="E579" s="68" t="str">
        <f>E573</f>
        <v>тыс. руб.</v>
      </c>
      <c r="F579" s="74"/>
      <c r="G579" s="85">
        <f>G581*G582</f>
        <v>19476.820282921679</v>
      </c>
      <c r="H579" s="85">
        <f t="shared" ref="H579:Z579" si="1155">H581*H582</f>
        <v>19680.924101101595</v>
      </c>
      <c r="I579" s="85">
        <f t="shared" si="1155"/>
        <v>20756.220618702373</v>
      </c>
      <c r="J579" s="85">
        <f t="shared" si="1155"/>
        <v>20117.047663247944</v>
      </c>
      <c r="K579" s="85">
        <f t="shared" si="1155"/>
        <v>21746.126226930817</v>
      </c>
      <c r="L579" s="85">
        <f t="shared" si="1155"/>
        <v>21558.122935464831</v>
      </c>
      <c r="M579" s="85">
        <f t="shared" si="1155"/>
        <v>20103.633627382034</v>
      </c>
      <c r="N579" s="85">
        <f t="shared" si="1155"/>
        <v>21207.310570822345</v>
      </c>
      <c r="O579" s="85">
        <f t="shared" si="1155"/>
        <v>21273.428053652569</v>
      </c>
      <c r="P579" s="85">
        <f t="shared" si="1155"/>
        <v>20592.716317954844</v>
      </c>
      <c r="Q579" s="85">
        <f t="shared" si="1155"/>
        <v>0</v>
      </c>
      <c r="R579" s="85">
        <f t="shared" si="1155"/>
        <v>0</v>
      </c>
      <c r="S579" s="85">
        <f t="shared" si="1155"/>
        <v>0</v>
      </c>
      <c r="T579" s="85">
        <f t="shared" si="1155"/>
        <v>0</v>
      </c>
      <c r="U579" s="85">
        <f t="shared" si="1155"/>
        <v>0</v>
      </c>
      <c r="V579" s="85">
        <f t="shared" si="1155"/>
        <v>0</v>
      </c>
      <c r="W579" s="85">
        <f t="shared" si="1155"/>
        <v>0</v>
      </c>
      <c r="X579" s="85">
        <f t="shared" si="1155"/>
        <v>0</v>
      </c>
      <c r="Y579" s="85">
        <f t="shared" si="1155"/>
        <v>0</v>
      </c>
      <c r="Z579" s="85">
        <f t="shared" si="1155"/>
        <v>0</v>
      </c>
    </row>
    <row r="580" spans="1:28" outlineLevel="1" x14ac:dyDescent="0.25">
      <c r="A580" s="39" t="str">
        <f t="shared" si="1134"/>
        <v>БелАЗ 7531 (БТЛ)</v>
      </c>
      <c r="B580" s="39"/>
      <c r="D580" s="31" t="s">
        <v>64</v>
      </c>
      <c r="E580" s="9" t="s">
        <v>65</v>
      </c>
      <c r="F580" s="86">
        <f>SUMIFS('ФОТ, МТР, макро'!$Z$4:$Z$20,'ФОТ, МТР, макро'!$W$4:$W$20,$A580)</f>
        <v>7.4999999999999997E-2</v>
      </c>
      <c r="G580" s="87">
        <f>F580</f>
        <v>7.4999999999999997E-2</v>
      </c>
      <c r="H580" s="87">
        <f t="shared" ref="H580" si="1156">G580</f>
        <v>7.4999999999999997E-2</v>
      </c>
      <c r="I580" s="87">
        <f t="shared" ref="I580" si="1157">H580</f>
        <v>7.4999999999999997E-2</v>
      </c>
      <c r="J580" s="87">
        <f t="shared" ref="J580" si="1158">I580</f>
        <v>7.4999999999999997E-2</v>
      </c>
      <c r="K580" s="87">
        <f t="shared" ref="K580" si="1159">J580</f>
        <v>7.4999999999999997E-2</v>
      </c>
      <c r="L580" s="87">
        <f t="shared" ref="L580" si="1160">K580</f>
        <v>7.4999999999999997E-2</v>
      </c>
      <c r="M580" s="87">
        <f t="shared" ref="M580" si="1161">L580</f>
        <v>7.4999999999999997E-2</v>
      </c>
      <c r="N580" s="87">
        <f t="shared" ref="N580" si="1162">M580</f>
        <v>7.4999999999999997E-2</v>
      </c>
      <c r="O580" s="87">
        <f t="shared" ref="O580" si="1163">N580</f>
        <v>7.4999999999999997E-2</v>
      </c>
      <c r="P580" s="87">
        <f t="shared" ref="P580" si="1164">O580</f>
        <v>7.4999999999999997E-2</v>
      </c>
      <c r="Q580" s="87">
        <f t="shared" ref="Q580" si="1165">P580</f>
        <v>7.4999999999999997E-2</v>
      </c>
      <c r="R580" s="87">
        <f t="shared" ref="R580" si="1166">Q580</f>
        <v>7.4999999999999997E-2</v>
      </c>
      <c r="S580" s="87">
        <f t="shared" ref="S580" si="1167">R580</f>
        <v>7.4999999999999997E-2</v>
      </c>
      <c r="T580" s="87">
        <f t="shared" ref="T580" si="1168">S580</f>
        <v>7.4999999999999997E-2</v>
      </c>
      <c r="U580" s="87">
        <f t="shared" ref="U580" si="1169">T580</f>
        <v>7.4999999999999997E-2</v>
      </c>
      <c r="V580" s="87">
        <f t="shared" ref="V580" si="1170">U580</f>
        <v>7.4999999999999997E-2</v>
      </c>
      <c r="W580" s="87">
        <f t="shared" ref="W580" si="1171">V580</f>
        <v>7.4999999999999997E-2</v>
      </c>
      <c r="X580" s="87">
        <f t="shared" ref="X580" si="1172">W580</f>
        <v>7.4999999999999997E-2</v>
      </c>
      <c r="Y580" s="87">
        <f t="shared" ref="Y580" si="1173">X580</f>
        <v>7.4999999999999997E-2</v>
      </c>
      <c r="Z580" s="87">
        <f t="shared" ref="Z580" si="1174">Y580</f>
        <v>7.4999999999999997E-2</v>
      </c>
    </row>
    <row r="581" spans="1:28" outlineLevel="1" x14ac:dyDescent="0.25">
      <c r="A581" s="39" t="str">
        <f t="shared" si="1134"/>
        <v>БелАЗ 7531 (БТЛ)</v>
      </c>
      <c r="B581" s="39"/>
      <c r="D581" s="31" t="s">
        <v>66</v>
      </c>
      <c r="E581" s="9" t="s">
        <v>67</v>
      </c>
      <c r="F581" s="74"/>
      <c r="G581" s="78">
        <f>G571*G580</f>
        <v>7.7550866852267921</v>
      </c>
      <c r="H581" s="78">
        <f t="shared" ref="H581:Z581" si="1175">H571*H580</f>
        <v>7.8363547145959878</v>
      </c>
      <c r="I581" s="78">
        <f t="shared" si="1175"/>
        <v>8.2645055926748192</v>
      </c>
      <c r="J581" s="78">
        <f t="shared" si="1175"/>
        <v>8.0100060591576305</v>
      </c>
      <c r="K581" s="78">
        <f t="shared" si="1175"/>
        <v>8.6586563673130783</v>
      </c>
      <c r="L581" s="78">
        <f t="shared" si="1175"/>
        <v>8.5837990856188426</v>
      </c>
      <c r="M581" s="78">
        <f t="shared" si="1175"/>
        <v>8.004664991702688</v>
      </c>
      <c r="N581" s="78">
        <f t="shared" si="1175"/>
        <v>8.4441161056183844</v>
      </c>
      <c r="O581" s="78">
        <f t="shared" si="1175"/>
        <v>8.4704421076715519</v>
      </c>
      <c r="P581" s="78">
        <f t="shared" si="1175"/>
        <v>8.1994030755654776</v>
      </c>
      <c r="Q581" s="78">
        <f t="shared" si="1175"/>
        <v>0</v>
      </c>
      <c r="R581" s="78">
        <f t="shared" si="1175"/>
        <v>0</v>
      </c>
      <c r="S581" s="78">
        <f t="shared" si="1175"/>
        <v>0</v>
      </c>
      <c r="T581" s="78">
        <f t="shared" si="1175"/>
        <v>0</v>
      </c>
      <c r="U581" s="78">
        <f t="shared" si="1175"/>
        <v>0</v>
      </c>
      <c r="V581" s="78">
        <f t="shared" si="1175"/>
        <v>0</v>
      </c>
      <c r="W581" s="78">
        <f t="shared" si="1175"/>
        <v>0</v>
      </c>
      <c r="X581" s="78">
        <f t="shared" si="1175"/>
        <v>0</v>
      </c>
      <c r="Y581" s="78">
        <f t="shared" si="1175"/>
        <v>0</v>
      </c>
      <c r="Z581" s="78">
        <f t="shared" si="1175"/>
        <v>0</v>
      </c>
      <c r="AA581" s="88">
        <f>SUM(F571:Z571)*F580-SUM(F581:Z581)</f>
        <v>0</v>
      </c>
    </row>
    <row r="582" spans="1:28" outlineLevel="1" x14ac:dyDescent="0.25">
      <c r="A582" s="39" t="str">
        <f t="shared" si="1134"/>
        <v>БелАЗ 7531 (БТЛ)</v>
      </c>
      <c r="B582" s="39"/>
      <c r="D582" s="31" t="s">
        <v>68</v>
      </c>
      <c r="E582" s="9" t="s">
        <v>69</v>
      </c>
      <c r="F582" s="78">
        <f>SUMIFS('ФОТ, МТР, макро'!$AA$4:$AA$20,'ФОТ, МТР, макро'!$W$4:$W$20,$A582)</f>
        <v>2511.4896936000005</v>
      </c>
      <c r="G582" s="89">
        <f>F582</f>
        <v>2511.4896936000005</v>
      </c>
      <c r="H582" s="89">
        <f t="shared" ref="H582" si="1176">G582</f>
        <v>2511.4896936000005</v>
      </c>
      <c r="I582" s="89">
        <f t="shared" ref="I582" si="1177">H582</f>
        <v>2511.4896936000005</v>
      </c>
      <c r="J582" s="89">
        <f t="shared" ref="J582" si="1178">I582</f>
        <v>2511.4896936000005</v>
      </c>
      <c r="K582" s="89">
        <f t="shared" ref="K582" si="1179">J582</f>
        <v>2511.4896936000005</v>
      </c>
      <c r="L582" s="89">
        <f t="shared" ref="L582" si="1180">K582</f>
        <v>2511.4896936000005</v>
      </c>
      <c r="M582" s="89">
        <f t="shared" ref="M582" si="1181">L582</f>
        <v>2511.4896936000005</v>
      </c>
      <c r="N582" s="89">
        <f t="shared" ref="N582" si="1182">M582</f>
        <v>2511.4896936000005</v>
      </c>
      <c r="O582" s="89">
        <f t="shared" ref="O582" si="1183">N582</f>
        <v>2511.4896936000005</v>
      </c>
      <c r="P582" s="89">
        <f t="shared" ref="P582" si="1184">O582</f>
        <v>2511.4896936000005</v>
      </c>
      <c r="Q582" s="89">
        <f t="shared" ref="Q582" si="1185">P582</f>
        <v>2511.4896936000005</v>
      </c>
      <c r="R582" s="89">
        <f t="shared" ref="R582" si="1186">Q582</f>
        <v>2511.4896936000005</v>
      </c>
      <c r="S582" s="89">
        <f t="shared" ref="S582" si="1187">R582</f>
        <v>2511.4896936000005</v>
      </c>
      <c r="T582" s="89">
        <f t="shared" ref="T582" si="1188">S582</f>
        <v>2511.4896936000005</v>
      </c>
      <c r="U582" s="89">
        <f t="shared" ref="U582" si="1189">T582</f>
        <v>2511.4896936000005</v>
      </c>
      <c r="V582" s="89">
        <f t="shared" ref="V582" si="1190">U582</f>
        <v>2511.4896936000005</v>
      </c>
      <c r="W582" s="89">
        <f t="shared" ref="W582" si="1191">V582</f>
        <v>2511.4896936000005</v>
      </c>
      <c r="X582" s="89">
        <f t="shared" ref="X582" si="1192">W582</f>
        <v>2511.4896936000005</v>
      </c>
      <c r="Y582" s="89">
        <f t="shared" ref="Y582" si="1193">X582</f>
        <v>2511.4896936000005</v>
      </c>
      <c r="Z582" s="89">
        <f t="shared" ref="Z582" si="1194">Y582</f>
        <v>2511.4896936000005</v>
      </c>
    </row>
    <row r="583" spans="1:28" outlineLevel="1" x14ac:dyDescent="0.25">
      <c r="A583" s="39" t="str">
        <f t="shared" si="1134"/>
        <v>БелАЗ 7531 (БТЛ)</v>
      </c>
      <c r="B583" s="39"/>
      <c r="D583" s="67" t="s">
        <v>70</v>
      </c>
      <c r="E583" s="68" t="str">
        <f>E573</f>
        <v>тыс. руб.</v>
      </c>
      <c r="F583" s="89"/>
      <c r="G583" s="85">
        <f>G586*G587</f>
        <v>69805.08429565464</v>
      </c>
      <c r="H583" s="85">
        <f t="shared" ref="H583:Z583" si="1195">H586*H587</f>
        <v>70536.594060911739</v>
      </c>
      <c r="I583" s="85">
        <f t="shared" si="1195"/>
        <v>74390.465635614499</v>
      </c>
      <c r="J583" s="85">
        <f t="shared" si="1195"/>
        <v>72099.664499346778</v>
      </c>
      <c r="K583" s="85">
        <f t="shared" si="1195"/>
        <v>77938.295487888608</v>
      </c>
      <c r="L583" s="85">
        <f t="shared" si="1195"/>
        <v>77264.490142970448</v>
      </c>
      <c r="M583" s="85">
        <f t="shared" si="1195"/>
        <v>72051.588484331864</v>
      </c>
      <c r="N583" s="85">
        <f t="shared" si="1195"/>
        <v>76007.175738970953</v>
      </c>
      <c r="O583" s="85">
        <f t="shared" si="1195"/>
        <v>76244.141341946059</v>
      </c>
      <c r="P583" s="85">
        <f t="shared" si="1195"/>
        <v>73804.464875193094</v>
      </c>
      <c r="Q583" s="85">
        <f t="shared" si="1195"/>
        <v>0</v>
      </c>
      <c r="R583" s="85">
        <f t="shared" si="1195"/>
        <v>0</v>
      </c>
      <c r="S583" s="85">
        <f t="shared" si="1195"/>
        <v>0</v>
      </c>
      <c r="T583" s="85">
        <f t="shared" si="1195"/>
        <v>0</v>
      </c>
      <c r="U583" s="85">
        <f t="shared" si="1195"/>
        <v>0</v>
      </c>
      <c r="V583" s="85">
        <f t="shared" si="1195"/>
        <v>0</v>
      </c>
      <c r="W583" s="85">
        <f t="shared" si="1195"/>
        <v>0</v>
      </c>
      <c r="X583" s="85">
        <f t="shared" si="1195"/>
        <v>0</v>
      </c>
      <c r="Y583" s="85">
        <f t="shared" si="1195"/>
        <v>0</v>
      </c>
      <c r="Z583" s="85">
        <f t="shared" si="1195"/>
        <v>0</v>
      </c>
    </row>
    <row r="584" spans="1:28" outlineLevel="1" x14ac:dyDescent="0.25">
      <c r="A584" s="39" t="str">
        <f t="shared" si="1134"/>
        <v>БелАЗ 7531 (БТЛ)</v>
      </c>
      <c r="B584" s="39"/>
      <c r="D584" s="31" t="s">
        <v>64</v>
      </c>
      <c r="E584" s="77" t="str">
        <f>VLOOKUP($A584,'ФОТ, МТР, макро'!$N$4:$Q$20,4,FALSE)</f>
        <v>г/ткм</v>
      </c>
      <c r="F584" s="90">
        <f>IF($E584="г/ткм",SUMIFS('ФОТ, МТР, макро'!$O$4:$O$20,'ФОТ, МТР, макро'!$N$4:$N$20,$A584),SUMIFS('ФОТ, МТР, макро'!$P$4:$P$20,'ФОТ, МТР, макро'!$N$4:$N$20,$A584))</f>
        <v>90</v>
      </c>
      <c r="G584" s="91">
        <f>F584</f>
        <v>90</v>
      </c>
      <c r="H584" s="91">
        <f t="shared" ref="H584" si="1196">G584</f>
        <v>90</v>
      </c>
      <c r="I584" s="91">
        <f t="shared" ref="I584" si="1197">H584</f>
        <v>90</v>
      </c>
      <c r="J584" s="91">
        <f t="shared" ref="J584" si="1198">I584</f>
        <v>90</v>
      </c>
      <c r="K584" s="91">
        <f t="shared" ref="K584" si="1199">J584</f>
        <v>90</v>
      </c>
      <c r="L584" s="91">
        <f t="shared" ref="L584" si="1200">K584</f>
        <v>90</v>
      </c>
      <c r="M584" s="91">
        <f t="shared" ref="M584" si="1201">L584</f>
        <v>90</v>
      </c>
      <c r="N584" s="91">
        <f t="shared" ref="N584" si="1202">M584</f>
        <v>90</v>
      </c>
      <c r="O584" s="91">
        <f t="shared" ref="O584" si="1203">N584</f>
        <v>90</v>
      </c>
      <c r="P584" s="91">
        <f t="shared" ref="P584" si="1204">O584</f>
        <v>90</v>
      </c>
      <c r="Q584" s="91">
        <f t="shared" ref="Q584" si="1205">P584</f>
        <v>90</v>
      </c>
      <c r="R584" s="91">
        <f t="shared" ref="R584" si="1206">Q584</f>
        <v>90</v>
      </c>
      <c r="S584" s="91">
        <f t="shared" ref="S584" si="1207">R584</f>
        <v>90</v>
      </c>
      <c r="T584" s="91">
        <f t="shared" ref="T584" si="1208">S584</f>
        <v>90</v>
      </c>
      <c r="U584" s="91">
        <f t="shared" ref="U584" si="1209">T584</f>
        <v>90</v>
      </c>
      <c r="V584" s="91">
        <f t="shared" ref="V584" si="1210">U584</f>
        <v>90</v>
      </c>
      <c r="W584" s="91">
        <f t="shared" ref="W584" si="1211">V584</f>
        <v>90</v>
      </c>
      <c r="X584" s="91">
        <f t="shared" ref="X584" si="1212">W584</f>
        <v>90</v>
      </c>
      <c r="Y584" s="91">
        <f t="shared" ref="Y584" si="1213">X584</f>
        <v>90</v>
      </c>
      <c r="Z584" s="91">
        <f t="shared" ref="Z584" si="1214">Y584</f>
        <v>90</v>
      </c>
    </row>
    <row r="585" spans="1:28" outlineLevel="1" x14ac:dyDescent="0.25">
      <c r="A585" s="39" t="str">
        <f t="shared" si="1134"/>
        <v>БелАЗ 7531 (БТЛ)</v>
      </c>
      <c r="B585" s="39"/>
      <c r="D585" s="93" t="s">
        <v>71</v>
      </c>
      <c r="E585" s="94" t="str">
        <f>IF(E584='ФОТ, МТР, макро'!$O$4,'ФОТ, МТР, макро'!$P$4,'ФОТ, МТР, макро'!$O$4)</f>
        <v>л/час</v>
      </c>
      <c r="F585" s="95"/>
      <c r="G585" s="96">
        <f>IF($E584="г/ткм",G586*1000/(365*24*G567),G586/G569*1000)</f>
        <v>151.37292373640241</v>
      </c>
      <c r="H585" s="96">
        <f t="shared" ref="H585:Z585" si="1215">IF($E584="г/ткм",H586*1000/(365*24*H567),H586/H569*1000)</f>
        <v>156.60489473155312</v>
      </c>
      <c r="I585" s="96">
        <f t="shared" si="1215"/>
        <v>165.40661371128567</v>
      </c>
      <c r="J585" s="96">
        <f t="shared" si="1215"/>
        <v>163.75492429941363</v>
      </c>
      <c r="K585" s="96">
        <f t="shared" si="1215"/>
        <v>172.96081552596789</v>
      </c>
      <c r="L585" s="96">
        <f t="shared" si="1215"/>
        <v>177.55182010320163</v>
      </c>
      <c r="M585" s="96">
        <f t="shared" si="1215"/>
        <v>169.40172275062568</v>
      </c>
      <c r="N585" s="96">
        <f t="shared" si="1215"/>
        <v>170.45972239319178</v>
      </c>
      <c r="O585" s="96">
        <f t="shared" si="1215"/>
        <v>177.76122587689844</v>
      </c>
      <c r="P585" s="96">
        <f t="shared" si="1215"/>
        <v>173.17861710313605</v>
      </c>
      <c r="Q585" s="96" t="e">
        <f t="shared" si="1215"/>
        <v>#DIV/0!</v>
      </c>
      <c r="R585" s="96" t="e">
        <f t="shared" si="1215"/>
        <v>#DIV/0!</v>
      </c>
      <c r="S585" s="96" t="e">
        <f t="shared" si="1215"/>
        <v>#DIV/0!</v>
      </c>
      <c r="T585" s="96" t="e">
        <f t="shared" si="1215"/>
        <v>#DIV/0!</v>
      </c>
      <c r="U585" s="96" t="e">
        <f t="shared" si="1215"/>
        <v>#DIV/0!</v>
      </c>
      <c r="V585" s="96" t="e">
        <f t="shared" si="1215"/>
        <v>#DIV/0!</v>
      </c>
      <c r="W585" s="96" t="e">
        <f t="shared" si="1215"/>
        <v>#DIV/0!</v>
      </c>
      <c r="X585" s="96" t="e">
        <f t="shared" si="1215"/>
        <v>#DIV/0!</v>
      </c>
      <c r="Y585" s="96" t="e">
        <f t="shared" si="1215"/>
        <v>#DIV/0!</v>
      </c>
      <c r="Z585" s="96" t="e">
        <f t="shared" si="1215"/>
        <v>#DIV/0!</v>
      </c>
    </row>
    <row r="586" spans="1:28" outlineLevel="1" x14ac:dyDescent="0.25">
      <c r="A586" s="39" t="str">
        <f t="shared" si="1134"/>
        <v>БелАЗ 7531 (БТЛ)</v>
      </c>
      <c r="B586" s="39"/>
      <c r="D586" s="31" t="s">
        <v>66</v>
      </c>
      <c r="E586" s="9" t="s">
        <v>11</v>
      </c>
      <c r="F586" s="89"/>
      <c r="G586" s="78">
        <f>IF($E584="г/ткм",G569*G584/1000,365*24*G567*G584*0.85/1000)</f>
        <v>1057.3496936590718</v>
      </c>
      <c r="H586" s="78">
        <f t="shared" ref="H586:Z586" si="1216">IF($E584="г/ткм",H569*H584/1000,365*24*H567*H584*0.85/1000)</f>
        <v>1068.4299986828041</v>
      </c>
      <c r="I586" s="78">
        <f t="shared" si="1216"/>
        <v>1126.8052584511966</v>
      </c>
      <c r="J586" s="78">
        <f t="shared" si="1216"/>
        <v>1092.1060971493125</v>
      </c>
      <c r="K586" s="78">
        <f t="shared" si="1216"/>
        <v>1180.5448512803978</v>
      </c>
      <c r="L586" s="78">
        <f t="shared" si="1216"/>
        <v>1170.3386050989943</v>
      </c>
      <c r="M586" s="78">
        <f t="shared" si="1216"/>
        <v>1091.3778814289064</v>
      </c>
      <c r="N586" s="78">
        <f t="shared" si="1216"/>
        <v>1151.2938462061989</v>
      </c>
      <c r="O586" s="78">
        <f t="shared" si="1216"/>
        <v>1154.8832052083635</v>
      </c>
      <c r="P586" s="78">
        <f t="shared" si="1216"/>
        <v>1117.9290035083438</v>
      </c>
      <c r="Q586" s="78">
        <f t="shared" si="1216"/>
        <v>0</v>
      </c>
      <c r="R586" s="78">
        <f t="shared" si="1216"/>
        <v>0</v>
      </c>
      <c r="S586" s="78">
        <f t="shared" si="1216"/>
        <v>0</v>
      </c>
      <c r="T586" s="78">
        <f t="shared" si="1216"/>
        <v>0</v>
      </c>
      <c r="U586" s="78">
        <f t="shared" si="1216"/>
        <v>0</v>
      </c>
      <c r="V586" s="78">
        <f t="shared" si="1216"/>
        <v>0</v>
      </c>
      <c r="W586" s="78">
        <f t="shared" si="1216"/>
        <v>0</v>
      </c>
      <c r="X586" s="78">
        <f t="shared" si="1216"/>
        <v>0</v>
      </c>
      <c r="Y586" s="78">
        <f t="shared" si="1216"/>
        <v>0</v>
      </c>
      <c r="Z586" s="78">
        <f t="shared" si="1216"/>
        <v>0</v>
      </c>
    </row>
    <row r="587" spans="1:28" outlineLevel="1" x14ac:dyDescent="0.25">
      <c r="A587" s="39" t="str">
        <f t="shared" si="1134"/>
        <v>БелАЗ 7531 (БТЛ)</v>
      </c>
      <c r="B587" s="39"/>
      <c r="D587" s="31" t="s">
        <v>68</v>
      </c>
      <c r="E587" s="9" t="s">
        <v>72</v>
      </c>
      <c r="F587" s="78">
        <f>'ФОТ, МТР, макро'!$G$2</f>
        <v>66.018919487352079</v>
      </c>
      <c r="G587" s="89">
        <f>F587</f>
        <v>66.018919487352079</v>
      </c>
      <c r="H587" s="89">
        <f t="shared" ref="H587" si="1217">G587</f>
        <v>66.018919487352079</v>
      </c>
      <c r="I587" s="89">
        <f t="shared" ref="I587" si="1218">H587</f>
        <v>66.018919487352079</v>
      </c>
      <c r="J587" s="89">
        <f t="shared" ref="J587" si="1219">I587</f>
        <v>66.018919487352079</v>
      </c>
      <c r="K587" s="89">
        <f t="shared" ref="K587" si="1220">J587</f>
        <v>66.018919487352079</v>
      </c>
      <c r="L587" s="89">
        <f t="shared" ref="L587" si="1221">K587</f>
        <v>66.018919487352079</v>
      </c>
      <c r="M587" s="89">
        <f t="shared" ref="M587" si="1222">L587</f>
        <v>66.018919487352079</v>
      </c>
      <c r="N587" s="89">
        <f t="shared" ref="N587" si="1223">M587</f>
        <v>66.018919487352079</v>
      </c>
      <c r="O587" s="89">
        <f t="shared" ref="O587" si="1224">N587</f>
        <v>66.018919487352079</v>
      </c>
      <c r="P587" s="89">
        <f t="shared" ref="P587" si="1225">O587</f>
        <v>66.018919487352079</v>
      </c>
      <c r="Q587" s="89">
        <f t="shared" ref="Q587" si="1226">P587</f>
        <v>66.018919487352079</v>
      </c>
      <c r="R587" s="89">
        <f t="shared" ref="R587" si="1227">Q587</f>
        <v>66.018919487352079</v>
      </c>
      <c r="S587" s="89">
        <f t="shared" ref="S587" si="1228">R587</f>
        <v>66.018919487352079</v>
      </c>
      <c r="T587" s="89">
        <f t="shared" ref="T587" si="1229">S587</f>
        <v>66.018919487352079</v>
      </c>
      <c r="U587" s="89">
        <f t="shared" ref="U587" si="1230">T587</f>
        <v>66.018919487352079</v>
      </c>
      <c r="V587" s="89">
        <f t="shared" ref="V587" si="1231">U587</f>
        <v>66.018919487352079</v>
      </c>
      <c r="W587" s="89">
        <f t="shared" ref="W587" si="1232">V587</f>
        <v>66.018919487352079</v>
      </c>
      <c r="X587" s="89">
        <f t="shared" ref="X587" si="1233">W587</f>
        <v>66.018919487352079</v>
      </c>
      <c r="Y587" s="89">
        <f t="shared" ref="Y587" si="1234">X587</f>
        <v>66.018919487352079</v>
      </c>
      <c r="Z587" s="89">
        <f t="shared" ref="Z587" si="1235">Y587</f>
        <v>66.018919487352079</v>
      </c>
      <c r="AB587" s="92"/>
    </row>
    <row r="588" spans="1:28" outlineLevel="1" x14ac:dyDescent="0.25">
      <c r="A588" s="39" t="str">
        <f t="shared" si="1134"/>
        <v>БелАЗ 7531 (БТЛ)</v>
      </c>
      <c r="B588" s="39"/>
      <c r="C588" s="619" t="str">
        <f>C574</f>
        <v>ТО, ТР, ППР</v>
      </c>
      <c r="D588" s="218" t="s">
        <v>73</v>
      </c>
      <c r="E588" s="68" t="str">
        <f>E573</f>
        <v>тыс. руб.</v>
      </c>
      <c r="F588" s="30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8" outlineLevel="1" x14ac:dyDescent="0.25">
      <c r="A589" s="39" t="str">
        <f t="shared" si="1134"/>
        <v>БелАЗ 7531 (БТЛ)</v>
      </c>
      <c r="B589" s="39"/>
      <c r="D589" s="67"/>
      <c r="E589" s="68"/>
      <c r="F589" s="30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8" outlineLevel="1" x14ac:dyDescent="0.25">
      <c r="A590" s="39" t="str">
        <f t="shared" si="1134"/>
        <v>БелАЗ 7531 (БТЛ)</v>
      </c>
      <c r="B590" s="39"/>
      <c r="D590" s="67" t="s">
        <v>74</v>
      </c>
      <c r="E590" s="68" t="str">
        <f>E573</f>
        <v>тыс. руб.</v>
      </c>
      <c r="F590" s="74"/>
      <c r="G590" s="85">
        <f>G591+G592+G593</f>
        <v>18475.596240662097</v>
      </c>
      <c r="H590" s="85">
        <f t="shared" ref="H590:Z590" si="1236">H591+H592+H593</f>
        <v>18475.596240662097</v>
      </c>
      <c r="I590" s="85">
        <f t="shared" si="1236"/>
        <v>18475.596240662097</v>
      </c>
      <c r="J590" s="85">
        <f t="shared" si="1236"/>
        <v>18475.596240662097</v>
      </c>
      <c r="K590" s="85">
        <f t="shared" si="1236"/>
        <v>18475.596240662097</v>
      </c>
      <c r="L590" s="85">
        <f t="shared" si="1236"/>
        <v>18475.596240662097</v>
      </c>
      <c r="M590" s="85">
        <f t="shared" si="1236"/>
        <v>18475.596240662097</v>
      </c>
      <c r="N590" s="85">
        <f t="shared" si="1236"/>
        <v>18475.596240662097</v>
      </c>
      <c r="O590" s="85">
        <f t="shared" si="1236"/>
        <v>18475.596240662097</v>
      </c>
      <c r="P590" s="85">
        <f t="shared" si="1236"/>
        <v>18475.596240662097</v>
      </c>
      <c r="Q590" s="85">
        <f t="shared" si="1236"/>
        <v>0</v>
      </c>
      <c r="R590" s="85">
        <f t="shared" si="1236"/>
        <v>0</v>
      </c>
      <c r="S590" s="85">
        <f t="shared" si="1236"/>
        <v>0</v>
      </c>
      <c r="T590" s="85">
        <f t="shared" si="1236"/>
        <v>0</v>
      </c>
      <c r="U590" s="85">
        <f t="shared" si="1236"/>
        <v>0</v>
      </c>
      <c r="V590" s="85">
        <f t="shared" si="1236"/>
        <v>0</v>
      </c>
      <c r="W590" s="85">
        <f t="shared" si="1236"/>
        <v>0</v>
      </c>
      <c r="X590" s="85">
        <f t="shared" si="1236"/>
        <v>0</v>
      </c>
      <c r="Y590" s="85">
        <f t="shared" si="1236"/>
        <v>0</v>
      </c>
      <c r="Z590" s="85">
        <f t="shared" si="1236"/>
        <v>0</v>
      </c>
    </row>
    <row r="591" spans="1:28" outlineLevel="1" x14ac:dyDescent="0.25">
      <c r="A591" s="39" t="str">
        <f t="shared" si="1134"/>
        <v>БелАЗ 7531 (БТЛ)</v>
      </c>
      <c r="B591" s="39"/>
      <c r="D591" s="31" t="s">
        <v>257</v>
      </c>
      <c r="E591" s="9" t="str">
        <f>E590</f>
        <v>тыс. руб.</v>
      </c>
      <c r="F591" s="78">
        <f>'ФОТ, МТР, макро'!$B$4*'ФОТ, МТР, макро'!$B$7</f>
        <v>11107.5</v>
      </c>
      <c r="G591" s="89">
        <f>IF(G568=0,0,$F591)</f>
        <v>11107.5</v>
      </c>
      <c r="H591" s="89">
        <f t="shared" ref="H591:Z591" si="1237">IF(H568=0,0,$F591)</f>
        <v>11107.5</v>
      </c>
      <c r="I591" s="89">
        <f t="shared" si="1237"/>
        <v>11107.5</v>
      </c>
      <c r="J591" s="89">
        <f t="shared" si="1237"/>
        <v>11107.5</v>
      </c>
      <c r="K591" s="89">
        <f t="shared" si="1237"/>
        <v>11107.5</v>
      </c>
      <c r="L591" s="89">
        <f t="shared" si="1237"/>
        <v>11107.5</v>
      </c>
      <c r="M591" s="89">
        <f t="shared" si="1237"/>
        <v>11107.5</v>
      </c>
      <c r="N591" s="89">
        <f t="shared" si="1237"/>
        <v>11107.5</v>
      </c>
      <c r="O591" s="89">
        <f t="shared" si="1237"/>
        <v>11107.5</v>
      </c>
      <c r="P591" s="89">
        <f t="shared" si="1237"/>
        <v>11107.5</v>
      </c>
      <c r="Q591" s="89">
        <f t="shared" si="1237"/>
        <v>0</v>
      </c>
      <c r="R591" s="89">
        <f t="shared" si="1237"/>
        <v>0</v>
      </c>
      <c r="S591" s="89">
        <f t="shared" si="1237"/>
        <v>0</v>
      </c>
      <c r="T591" s="89">
        <f t="shared" si="1237"/>
        <v>0</v>
      </c>
      <c r="U591" s="89">
        <f t="shared" si="1237"/>
        <v>0</v>
      </c>
      <c r="V591" s="89">
        <f t="shared" si="1237"/>
        <v>0</v>
      </c>
      <c r="W591" s="89">
        <f t="shared" si="1237"/>
        <v>0</v>
      </c>
      <c r="X591" s="89">
        <f t="shared" si="1237"/>
        <v>0</v>
      </c>
      <c r="Y591" s="89">
        <f t="shared" si="1237"/>
        <v>0</v>
      </c>
      <c r="Z591" s="89">
        <f t="shared" si="1237"/>
        <v>0</v>
      </c>
    </row>
    <row r="592" spans="1:28" outlineLevel="1" x14ac:dyDescent="0.25">
      <c r="A592" s="39" t="str">
        <f t="shared" si="1134"/>
        <v>БелАЗ 7531 (БТЛ)</v>
      </c>
      <c r="B592" s="39"/>
      <c r="D592" s="31" t="s">
        <v>75</v>
      </c>
      <c r="E592" s="9" t="str">
        <f>E590</f>
        <v>тыс. руб.</v>
      </c>
      <c r="F592" s="97">
        <f>'ФОТ, МТР, макро'!$B$5</f>
        <v>0.377</v>
      </c>
      <c r="G592" s="89">
        <f>G591*$F592</f>
        <v>4187.5275000000001</v>
      </c>
      <c r="H592" s="89">
        <f t="shared" ref="H592:Z592" si="1238">H591*$F592</f>
        <v>4187.5275000000001</v>
      </c>
      <c r="I592" s="89">
        <f t="shared" si="1238"/>
        <v>4187.5275000000001</v>
      </c>
      <c r="J592" s="89">
        <f t="shared" si="1238"/>
        <v>4187.5275000000001</v>
      </c>
      <c r="K592" s="89">
        <f t="shared" si="1238"/>
        <v>4187.5275000000001</v>
      </c>
      <c r="L592" s="89">
        <f t="shared" si="1238"/>
        <v>4187.5275000000001</v>
      </c>
      <c r="M592" s="89">
        <f t="shared" si="1238"/>
        <v>4187.5275000000001</v>
      </c>
      <c r="N592" s="89">
        <f t="shared" si="1238"/>
        <v>4187.5275000000001</v>
      </c>
      <c r="O592" s="89">
        <f t="shared" si="1238"/>
        <v>4187.5275000000001</v>
      </c>
      <c r="P592" s="89">
        <f t="shared" si="1238"/>
        <v>4187.5275000000001</v>
      </c>
      <c r="Q592" s="89">
        <f t="shared" si="1238"/>
        <v>0</v>
      </c>
      <c r="R592" s="89">
        <f t="shared" si="1238"/>
        <v>0</v>
      </c>
      <c r="S592" s="89">
        <f t="shared" si="1238"/>
        <v>0</v>
      </c>
      <c r="T592" s="89">
        <f t="shared" si="1238"/>
        <v>0</v>
      </c>
      <c r="U592" s="89">
        <f t="shared" si="1238"/>
        <v>0</v>
      </c>
      <c r="V592" s="89">
        <f t="shared" si="1238"/>
        <v>0</v>
      </c>
      <c r="W592" s="89">
        <f t="shared" si="1238"/>
        <v>0</v>
      </c>
      <c r="X592" s="89">
        <f t="shared" si="1238"/>
        <v>0</v>
      </c>
      <c r="Y592" s="89">
        <f t="shared" si="1238"/>
        <v>0</v>
      </c>
      <c r="Z592" s="89">
        <f t="shared" si="1238"/>
        <v>0</v>
      </c>
    </row>
    <row r="593" spans="1:28" outlineLevel="1" x14ac:dyDescent="0.25">
      <c r="A593" s="39" t="str">
        <f t="shared" si="1134"/>
        <v>БелАЗ 7531 (БТЛ)</v>
      </c>
      <c r="B593" s="39"/>
      <c r="D593" s="31" t="s">
        <v>76</v>
      </c>
      <c r="E593" s="9"/>
      <c r="F593" s="78">
        <f>'ФОТ, МТР, макро'!$C$13*'ФОТ, МТР, макро'!$B$7</f>
        <v>3180.5687406620973</v>
      </c>
      <c r="G593" s="89">
        <f>IF(G568=0,0,$F593)</f>
        <v>3180.5687406620973</v>
      </c>
      <c r="H593" s="89">
        <f t="shared" ref="H593:Z593" si="1239">IF(H568=0,0,$F593)</f>
        <v>3180.5687406620973</v>
      </c>
      <c r="I593" s="89">
        <f t="shared" si="1239"/>
        <v>3180.5687406620973</v>
      </c>
      <c r="J593" s="89">
        <f t="shared" si="1239"/>
        <v>3180.5687406620973</v>
      </c>
      <c r="K593" s="89">
        <f t="shared" si="1239"/>
        <v>3180.5687406620973</v>
      </c>
      <c r="L593" s="89">
        <f t="shared" si="1239"/>
        <v>3180.5687406620973</v>
      </c>
      <c r="M593" s="89">
        <f t="shared" si="1239"/>
        <v>3180.5687406620973</v>
      </c>
      <c r="N593" s="89">
        <f t="shared" si="1239"/>
        <v>3180.5687406620973</v>
      </c>
      <c r="O593" s="89">
        <f t="shared" si="1239"/>
        <v>3180.5687406620973</v>
      </c>
      <c r="P593" s="89">
        <f t="shared" si="1239"/>
        <v>3180.5687406620973</v>
      </c>
      <c r="Q593" s="89">
        <f t="shared" si="1239"/>
        <v>0</v>
      </c>
      <c r="R593" s="89">
        <f t="shared" si="1239"/>
        <v>0</v>
      </c>
      <c r="S593" s="89">
        <f t="shared" si="1239"/>
        <v>0</v>
      </c>
      <c r="T593" s="89">
        <f t="shared" si="1239"/>
        <v>0</v>
      </c>
      <c r="U593" s="89">
        <f t="shared" si="1239"/>
        <v>0</v>
      </c>
      <c r="V593" s="89">
        <f t="shared" si="1239"/>
        <v>0</v>
      </c>
      <c r="W593" s="89">
        <f t="shared" si="1239"/>
        <v>0</v>
      </c>
      <c r="X593" s="89">
        <f t="shared" si="1239"/>
        <v>0</v>
      </c>
      <c r="Y593" s="89">
        <f t="shared" si="1239"/>
        <v>0</v>
      </c>
      <c r="Z593" s="89">
        <f t="shared" si="1239"/>
        <v>0</v>
      </c>
    </row>
    <row r="594" spans="1:28" outlineLevel="1" x14ac:dyDescent="0.25">
      <c r="A594" s="39" t="str">
        <f t="shared" si="1134"/>
        <v>БелАЗ 7531 (БТЛ)</v>
      </c>
      <c r="B594" s="39"/>
      <c r="D594" s="98" t="s">
        <v>77</v>
      </c>
      <c r="E594" s="68" t="str">
        <f>E573</f>
        <v>тыс. руб.</v>
      </c>
      <c r="F594" s="74"/>
      <c r="G594" s="85">
        <f>IF(G568=0,0,G595*G596/1000)</f>
        <v>215.47499999999999</v>
      </c>
      <c r="H594" s="85">
        <f t="shared" ref="H594:Z594" si="1240">IF(H568=0,0,H595*H596/1000)</f>
        <v>215.47499999999999</v>
      </c>
      <c r="I594" s="85">
        <f t="shared" si="1240"/>
        <v>215.47499999999999</v>
      </c>
      <c r="J594" s="85">
        <f t="shared" si="1240"/>
        <v>215.47499999999999</v>
      </c>
      <c r="K594" s="85">
        <f t="shared" si="1240"/>
        <v>215.47499999999999</v>
      </c>
      <c r="L594" s="85">
        <f t="shared" si="1240"/>
        <v>215.47499999999999</v>
      </c>
      <c r="M594" s="85">
        <f t="shared" si="1240"/>
        <v>215.47499999999999</v>
      </c>
      <c r="N594" s="85">
        <f t="shared" si="1240"/>
        <v>215.47499999999999</v>
      </c>
      <c r="O594" s="85">
        <f t="shared" si="1240"/>
        <v>215.47499999999999</v>
      </c>
      <c r="P594" s="85">
        <f t="shared" si="1240"/>
        <v>215.47499999999999</v>
      </c>
      <c r="Q594" s="85">
        <f t="shared" si="1240"/>
        <v>0</v>
      </c>
      <c r="R594" s="85">
        <f t="shared" si="1240"/>
        <v>0</v>
      </c>
      <c r="S594" s="85">
        <f t="shared" si="1240"/>
        <v>0</v>
      </c>
      <c r="T594" s="85">
        <f t="shared" si="1240"/>
        <v>0</v>
      </c>
      <c r="U594" s="85">
        <f t="shared" si="1240"/>
        <v>0</v>
      </c>
      <c r="V594" s="85">
        <f t="shared" si="1240"/>
        <v>0</v>
      </c>
      <c r="W594" s="85">
        <f t="shared" si="1240"/>
        <v>0</v>
      </c>
      <c r="X594" s="85">
        <f t="shared" si="1240"/>
        <v>0</v>
      </c>
      <c r="Y594" s="85">
        <f t="shared" si="1240"/>
        <v>0</v>
      </c>
      <c r="Z594" s="85">
        <f t="shared" si="1240"/>
        <v>0</v>
      </c>
    </row>
    <row r="595" spans="1:28" outlineLevel="1" x14ac:dyDescent="0.25">
      <c r="A595" s="39" t="str">
        <f t="shared" si="1134"/>
        <v>БелАЗ 7531 (БТЛ)</v>
      </c>
      <c r="B595" s="39"/>
      <c r="D595" s="31" t="s">
        <v>78</v>
      </c>
      <c r="E595" s="9" t="s">
        <v>13</v>
      </c>
      <c r="F595" s="78">
        <f>SUMIFS('ФОТ, МТР, макро'!$AC$4:$AC$20,'ФОТ, МТР, макро'!$W$4:$W$20,$A595)</f>
        <v>2535</v>
      </c>
      <c r="G595" s="89">
        <f>F595</f>
        <v>2535</v>
      </c>
      <c r="H595" s="89">
        <f t="shared" ref="H595:H596" si="1241">G595</f>
        <v>2535</v>
      </c>
      <c r="I595" s="89">
        <f t="shared" ref="I595:I596" si="1242">H595</f>
        <v>2535</v>
      </c>
      <c r="J595" s="89">
        <f t="shared" ref="J595:J596" si="1243">I595</f>
        <v>2535</v>
      </c>
      <c r="K595" s="89">
        <f t="shared" ref="K595:K596" si="1244">J595</f>
        <v>2535</v>
      </c>
      <c r="L595" s="89">
        <f t="shared" ref="L595:L596" si="1245">K595</f>
        <v>2535</v>
      </c>
      <c r="M595" s="89">
        <f t="shared" ref="M595:M596" si="1246">L595</f>
        <v>2535</v>
      </c>
      <c r="N595" s="89">
        <f t="shared" ref="N595:N596" si="1247">M595</f>
        <v>2535</v>
      </c>
      <c r="O595" s="89">
        <f t="shared" ref="O595:O596" si="1248">N595</f>
        <v>2535</v>
      </c>
      <c r="P595" s="89">
        <f t="shared" ref="P595:P596" si="1249">O595</f>
        <v>2535</v>
      </c>
      <c r="Q595" s="89">
        <f t="shared" ref="Q595:Q596" si="1250">P595</f>
        <v>2535</v>
      </c>
      <c r="R595" s="89">
        <f t="shared" ref="R595:R596" si="1251">Q595</f>
        <v>2535</v>
      </c>
      <c r="S595" s="89">
        <f t="shared" ref="S595:S596" si="1252">R595</f>
        <v>2535</v>
      </c>
      <c r="T595" s="89">
        <f t="shared" ref="T595:T596" si="1253">S595</f>
        <v>2535</v>
      </c>
      <c r="U595" s="89">
        <f t="shared" ref="U595:U596" si="1254">T595</f>
        <v>2535</v>
      </c>
      <c r="V595" s="89">
        <f t="shared" ref="V595:V596" si="1255">U595</f>
        <v>2535</v>
      </c>
      <c r="W595" s="89">
        <f t="shared" ref="W595:W596" si="1256">V595</f>
        <v>2535</v>
      </c>
      <c r="X595" s="89">
        <f t="shared" ref="X595:X596" si="1257">W595</f>
        <v>2535</v>
      </c>
      <c r="Y595" s="89">
        <f t="shared" ref="Y595:Y596" si="1258">X595</f>
        <v>2535</v>
      </c>
      <c r="Z595" s="89">
        <f t="shared" ref="Z595:Z596" si="1259">Y595</f>
        <v>2535</v>
      </c>
    </row>
    <row r="596" spans="1:28" outlineLevel="1" x14ac:dyDescent="0.25">
      <c r="A596" s="39" t="str">
        <f t="shared" si="1134"/>
        <v>БелАЗ 7531 (БТЛ)</v>
      </c>
      <c r="B596" s="39"/>
      <c r="D596" s="31" t="s">
        <v>79</v>
      </c>
      <c r="E596" s="9" t="s">
        <v>80</v>
      </c>
      <c r="F596" s="78">
        <f>SUMIFS('ФОТ, МТР, макро'!$AD$4:$AD$20,'ФОТ, МТР, макро'!$W$4:$W$20,$A596)</f>
        <v>85</v>
      </c>
      <c r="G596" s="89">
        <f>F596</f>
        <v>85</v>
      </c>
      <c r="H596" s="89">
        <f t="shared" si="1241"/>
        <v>85</v>
      </c>
      <c r="I596" s="89">
        <f t="shared" si="1242"/>
        <v>85</v>
      </c>
      <c r="J596" s="89">
        <f t="shared" si="1243"/>
        <v>85</v>
      </c>
      <c r="K596" s="89">
        <f t="shared" si="1244"/>
        <v>85</v>
      </c>
      <c r="L596" s="89">
        <f t="shared" si="1245"/>
        <v>85</v>
      </c>
      <c r="M596" s="89">
        <f t="shared" si="1246"/>
        <v>85</v>
      </c>
      <c r="N596" s="89">
        <f t="shared" si="1247"/>
        <v>85</v>
      </c>
      <c r="O596" s="89">
        <f t="shared" si="1248"/>
        <v>85</v>
      </c>
      <c r="P596" s="89">
        <f t="shared" si="1249"/>
        <v>85</v>
      </c>
      <c r="Q596" s="89">
        <f t="shared" si="1250"/>
        <v>85</v>
      </c>
      <c r="R596" s="89">
        <f t="shared" si="1251"/>
        <v>85</v>
      </c>
      <c r="S596" s="89">
        <f t="shared" si="1252"/>
        <v>85</v>
      </c>
      <c r="T596" s="89">
        <f t="shared" si="1253"/>
        <v>85</v>
      </c>
      <c r="U596" s="89">
        <f t="shared" si="1254"/>
        <v>85</v>
      </c>
      <c r="V596" s="89">
        <f t="shared" si="1255"/>
        <v>85</v>
      </c>
      <c r="W596" s="89">
        <f t="shared" si="1256"/>
        <v>85</v>
      </c>
      <c r="X596" s="89">
        <f t="shared" si="1257"/>
        <v>85</v>
      </c>
      <c r="Y596" s="89">
        <f t="shared" si="1258"/>
        <v>85</v>
      </c>
      <c r="Z596" s="89">
        <f t="shared" si="1259"/>
        <v>85</v>
      </c>
    </row>
    <row r="597" spans="1:28" outlineLevel="1" x14ac:dyDescent="0.25">
      <c r="A597" s="39" t="str">
        <f t="shared" si="1134"/>
        <v>БелАЗ 7531 (БТЛ)</v>
      </c>
      <c r="B597" s="39"/>
      <c r="C597" s="99">
        <f>SUMIFS('ФОТ, МТР, макро'!$AG$4:$AG$20,'ФОТ, МТР, макро'!$W$4:$W$20,$A597)</f>
        <v>14.117647058823531</v>
      </c>
      <c r="D597" s="98" t="s">
        <v>81</v>
      </c>
      <c r="E597" s="68" t="str">
        <f>E573</f>
        <v>тыс. руб.</v>
      </c>
      <c r="F597" s="85"/>
      <c r="G597" s="100">
        <f>IF(G565&lt;=$C598,$F602*$C597%,"ОШИБКА")</f>
        <v>0</v>
      </c>
      <c r="H597" s="75">
        <f>IF(H565&lt;=$C598,$F602*$C597%,$F602-SUM($G597:G597))</f>
        <v>0</v>
      </c>
      <c r="I597" s="75">
        <f>IF(I565&lt;=$C598,$F602*$C597%,$F602-SUM($G597:H597))</f>
        <v>0</v>
      </c>
      <c r="J597" s="75">
        <f>IF(J565&lt;=$C598,$F602*$C597%,$F602-SUM($G597:I597))</f>
        <v>0</v>
      </c>
      <c r="K597" s="75">
        <f>IF(K565&lt;=$C598,$F602*$C597%,$F602-SUM($G597:J597))</f>
        <v>0</v>
      </c>
      <c r="L597" s="75">
        <f>IF(L565&lt;=$C598,$F602*$C597%,$F602-SUM($G597:K597))</f>
        <v>0</v>
      </c>
      <c r="M597" s="75">
        <f>IF(M565&lt;=$C598,$F602*$C597%,$F602-SUM($G597:L597))</f>
        <v>0</v>
      </c>
      <c r="N597" s="75">
        <f>IF(N565&lt;=$C598,$F602*$C597%,$F602-SUM($G597:M597))</f>
        <v>0</v>
      </c>
      <c r="O597" s="75">
        <f>IF(O565&lt;=$C598,$F602*$C597%,$F602-SUM($G597:N597))</f>
        <v>0</v>
      </c>
      <c r="P597" s="75">
        <f>IF(P565&lt;=$C598,$F602*$C597%,$F602-SUM($G597:O597))</f>
        <v>0</v>
      </c>
      <c r="Q597" s="75">
        <f>IF(Q565&lt;=$C598,$F602*$C597%,$F602-SUM($G597:P597))</f>
        <v>0</v>
      </c>
      <c r="R597" s="75">
        <f>IF(R565&lt;=$C598,$F602*$C597%,$F602-SUM($G597:Q597))</f>
        <v>0</v>
      </c>
      <c r="S597" s="75">
        <f>IF(S565&lt;=$C598,$F602*$C597%,$F602-SUM($G597:R597))</f>
        <v>0</v>
      </c>
      <c r="T597" s="75">
        <f>IF(T565&lt;=$C598,$F602*$C597%,$F602-SUM($G597:S597))</f>
        <v>0</v>
      </c>
      <c r="U597" s="75">
        <f>IF(U565&lt;=$C598,$F602*$C597%,$F602-SUM($G597:T597))</f>
        <v>0</v>
      </c>
      <c r="V597" s="75">
        <f>IF(V565&lt;=$C598,$F602*$C597%,$F602-SUM($G597:U597))</f>
        <v>0</v>
      </c>
      <c r="W597" s="75">
        <f>IF(W565&lt;=$C598,$F602*$C597%,$F602-SUM($G597:V597))</f>
        <v>0</v>
      </c>
      <c r="X597" s="75">
        <f>IF(X565&lt;=$C598,$F602*$C597%,$F602-SUM($G597:W597))</f>
        <v>0</v>
      </c>
      <c r="Y597" s="75">
        <f>IF(Y565&lt;=$C598,$F602*$C597%,$F602-SUM($G597:X597))</f>
        <v>0</v>
      </c>
      <c r="Z597" s="75">
        <f>IF(Z565&lt;=$C598,$F602*$C597%,$F602-SUM($G597:Y597))</f>
        <v>0</v>
      </c>
      <c r="AA597" s="88">
        <f>F602-SUM(G597:Z597)</f>
        <v>0</v>
      </c>
    </row>
    <row r="598" spans="1:28" outlineLevel="1" x14ac:dyDescent="0.25">
      <c r="A598" s="39" t="str">
        <f t="shared" si="1134"/>
        <v>БелАЗ 7531 (БТЛ)</v>
      </c>
      <c r="B598" s="39"/>
      <c r="C598" s="99">
        <f>SUMIFS('ФОТ, МТР, макро'!$AF$4:$AF$20,'ФОТ, МТР, макро'!$W$4:$W$20,$A598)/12</f>
        <v>7.083333333333333</v>
      </c>
      <c r="D598" s="98" t="s">
        <v>82</v>
      </c>
      <c r="E598" s="68" t="str">
        <f>E573</f>
        <v>тыс. руб.</v>
      </c>
      <c r="F598" s="69"/>
      <c r="G598" s="69">
        <f>SUM(G574,G579,G583,G588,G590,G594,G597)</f>
        <v>120273.88932853439</v>
      </c>
      <c r="H598" s="69">
        <f>SUM(H574,H579,H583,H588,H590,H594,H597)</f>
        <v>128565.89018920372</v>
      </c>
      <c r="I598" s="69">
        <f>SUM(I574,I579,I583,I588,I590,I594,I597)</f>
        <v>171718.65134957948</v>
      </c>
      <c r="J598" s="69">
        <f t="shared" ref="J598:Z598" si="1260">SUM(J574,J579,J583,J588,J590,J594,J597)</f>
        <v>196634.92751213614</v>
      </c>
      <c r="K598" s="69">
        <f t="shared" si="1260"/>
        <v>152671.57064475527</v>
      </c>
      <c r="L598" s="69">
        <f t="shared" si="1260"/>
        <v>177419.25721601109</v>
      </c>
      <c r="M598" s="69">
        <f t="shared" si="1260"/>
        <v>141267.23794434607</v>
      </c>
      <c r="N598" s="69">
        <f t="shared" si="1260"/>
        <v>207295.02526135003</v>
      </c>
      <c r="O598" s="69">
        <f t="shared" si="1260"/>
        <v>191945.7887517199</v>
      </c>
      <c r="P598" s="69">
        <f t="shared" si="1260"/>
        <v>144608.94151732582</v>
      </c>
      <c r="Q598" s="69">
        <f t="shared" si="1260"/>
        <v>0</v>
      </c>
      <c r="R598" s="69">
        <f t="shared" si="1260"/>
        <v>0</v>
      </c>
      <c r="S598" s="69">
        <f t="shared" si="1260"/>
        <v>0</v>
      </c>
      <c r="T598" s="69">
        <f t="shared" si="1260"/>
        <v>0</v>
      </c>
      <c r="U598" s="69">
        <f t="shared" si="1260"/>
        <v>0</v>
      </c>
      <c r="V598" s="69">
        <f t="shared" si="1260"/>
        <v>0</v>
      </c>
      <c r="W598" s="69">
        <f t="shared" si="1260"/>
        <v>0</v>
      </c>
      <c r="X598" s="69">
        <f t="shared" si="1260"/>
        <v>0</v>
      </c>
      <c r="Y598" s="69">
        <f t="shared" si="1260"/>
        <v>0</v>
      </c>
      <c r="Z598" s="69">
        <f t="shared" si="1260"/>
        <v>0</v>
      </c>
      <c r="AB598" s="42"/>
    </row>
    <row r="599" spans="1:28" outlineLevel="1" x14ac:dyDescent="0.25">
      <c r="A599" s="39" t="str">
        <f t="shared" si="1134"/>
        <v>БелАЗ 7531 (БТЛ)</v>
      </c>
      <c r="B599" s="39"/>
      <c r="D599" s="98" t="s">
        <v>83</v>
      </c>
      <c r="E599" s="68" t="str">
        <f>E573</f>
        <v>тыс. руб.</v>
      </c>
      <c r="F599" s="69"/>
      <c r="G599" s="69">
        <f>-G598*'ФОТ, МТР, макро'!AK$11</f>
        <v>-30068.472332133599</v>
      </c>
      <c r="H599" s="69">
        <f>-H598*'ФОТ, МТР, макро'!AL$11</f>
        <v>-32141.472547300931</v>
      </c>
      <c r="I599" s="69">
        <f>-I598*'ФОТ, МТР, макро'!AM$11</f>
        <v>-42929.66283739487</v>
      </c>
      <c r="J599" s="69">
        <f>-J598*'ФОТ, МТР, макро'!AN$11</f>
        <v>-49158.731878034036</v>
      </c>
      <c r="K599" s="69">
        <f>-K598*'ФОТ, МТР, макро'!AO$11</f>
        <v>-38167.892661188816</v>
      </c>
      <c r="L599" s="69">
        <f>-L598*'ФОТ, МТР, макро'!AP$11</f>
        <v>-44354.814304002772</v>
      </c>
      <c r="M599" s="69">
        <f>-M598*'ФОТ, МТР, макро'!AQ$11</f>
        <v>-35316.809486086517</v>
      </c>
      <c r="N599" s="69">
        <f>-N598*'ФОТ, МТР, макро'!AR$11</f>
        <v>-51823.756315337509</v>
      </c>
      <c r="O599" s="69">
        <f>-O598*'ФОТ, МТР, макро'!AS$11</f>
        <v>-47986.447187929974</v>
      </c>
      <c r="P599" s="69">
        <f>-P598*'ФОТ, МТР, макро'!AT$11</f>
        <v>-36152.235379331454</v>
      </c>
      <c r="Q599" s="69">
        <f>-Q598*'ФОТ, МТР, макро'!AU$11</f>
        <v>0</v>
      </c>
      <c r="R599" s="69">
        <f>-R598*'ФОТ, МТР, макро'!AV$11</f>
        <v>0</v>
      </c>
      <c r="S599" s="69">
        <f>-S598*'ФОТ, МТР, макро'!AW$11</f>
        <v>0</v>
      </c>
      <c r="T599" s="69">
        <f>-T598*'ФОТ, МТР, макро'!AX$11</f>
        <v>0</v>
      </c>
      <c r="U599" s="69">
        <f>-U598*'ФОТ, МТР, макро'!AY$11</f>
        <v>0</v>
      </c>
      <c r="V599" s="69">
        <f>-V598*'ФОТ, МТР, макро'!AZ$11</f>
        <v>0</v>
      </c>
      <c r="W599" s="69">
        <f>-W598*'ФОТ, МТР, макро'!BA$11</f>
        <v>0</v>
      </c>
      <c r="X599" s="69">
        <f>-X598*'ФОТ, МТР, макро'!BB$11</f>
        <v>0</v>
      </c>
      <c r="Y599" s="69">
        <f>-Y598*'ФОТ, МТР, макро'!BC$11</f>
        <v>0</v>
      </c>
      <c r="Z599" s="69">
        <f>-Z598*'ФОТ, МТР, макро'!BD$11</f>
        <v>0</v>
      </c>
    </row>
    <row r="600" spans="1:28" outlineLevel="1" x14ac:dyDescent="0.25">
      <c r="A600" s="39" t="str">
        <f t="shared" si="1134"/>
        <v>БелАЗ 7531 (БТЛ)</v>
      </c>
      <c r="B600" s="39"/>
      <c r="D600" s="101"/>
      <c r="E600" s="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8" outlineLevel="1" x14ac:dyDescent="0.25">
      <c r="A601" s="39" t="str">
        <f t="shared" si="1134"/>
        <v>БелАЗ 7531 (БТЛ)</v>
      </c>
      <c r="B601" s="39"/>
      <c r="D601" s="71" t="s">
        <v>84</v>
      </c>
      <c r="E601" s="72" t="str">
        <f>E573</f>
        <v>тыс. руб.</v>
      </c>
      <c r="F601" s="73">
        <f>F602</f>
        <v>0</v>
      </c>
      <c r="G601" s="73">
        <f t="shared" ref="G601:Z601" si="1261">G602</f>
        <v>0</v>
      </c>
      <c r="H601" s="73">
        <f t="shared" si="1261"/>
        <v>0</v>
      </c>
      <c r="I601" s="73">
        <f t="shared" si="1261"/>
        <v>0</v>
      </c>
      <c r="J601" s="73">
        <f t="shared" si="1261"/>
        <v>0</v>
      </c>
      <c r="K601" s="73">
        <f t="shared" si="1261"/>
        <v>0</v>
      </c>
      <c r="L601" s="73">
        <f t="shared" si="1261"/>
        <v>0</v>
      </c>
      <c r="M601" s="73">
        <f t="shared" si="1261"/>
        <v>0</v>
      </c>
      <c r="N601" s="73">
        <f t="shared" si="1261"/>
        <v>0</v>
      </c>
      <c r="O601" s="73">
        <f t="shared" si="1261"/>
        <v>0</v>
      </c>
      <c r="P601" s="73">
        <f t="shared" si="1261"/>
        <v>0</v>
      </c>
      <c r="Q601" s="73">
        <f t="shared" si="1261"/>
        <v>0</v>
      </c>
      <c r="R601" s="73">
        <f t="shared" si="1261"/>
        <v>0</v>
      </c>
      <c r="S601" s="73">
        <f t="shared" si="1261"/>
        <v>0</v>
      </c>
      <c r="T601" s="73">
        <f t="shared" si="1261"/>
        <v>0</v>
      </c>
      <c r="U601" s="73">
        <f t="shared" si="1261"/>
        <v>0</v>
      </c>
      <c r="V601" s="73">
        <f t="shared" si="1261"/>
        <v>0</v>
      </c>
      <c r="W601" s="73">
        <f t="shared" si="1261"/>
        <v>0</v>
      </c>
      <c r="X601" s="73">
        <f t="shared" si="1261"/>
        <v>0</v>
      </c>
      <c r="Y601" s="73">
        <f t="shared" si="1261"/>
        <v>0</v>
      </c>
      <c r="Z601" s="73">
        <f t="shared" si="1261"/>
        <v>0</v>
      </c>
    </row>
    <row r="602" spans="1:28" outlineLevel="1" x14ac:dyDescent="0.25">
      <c r="A602" s="39" t="str">
        <f t="shared" si="1134"/>
        <v>БелАЗ 7531 (БТЛ)</v>
      </c>
      <c r="B602" s="39"/>
      <c r="D602" s="101" t="s">
        <v>85</v>
      </c>
      <c r="E602" s="9" t="str">
        <f>E601</f>
        <v>тыс. руб.</v>
      </c>
      <c r="F602" s="78">
        <f>SUMIFS(Свод!$D$41:$U$41,Свод!$D$23:$U$23,$A602)</f>
        <v>0</v>
      </c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8" outlineLevel="1" x14ac:dyDescent="0.25">
      <c r="A603" s="39" t="str">
        <f t="shared" si="1134"/>
        <v>БелАЗ 7531 (БТЛ)</v>
      </c>
      <c r="B603" s="39"/>
      <c r="D603" s="101"/>
      <c r="E603" s="9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8" outlineLevel="1" x14ac:dyDescent="0.25">
      <c r="A604" s="39" t="str">
        <f t="shared" si="1134"/>
        <v>БелАЗ 7531 (БТЛ)</v>
      </c>
      <c r="B604" s="39"/>
      <c r="D604" s="71" t="s">
        <v>86</v>
      </c>
      <c r="E604" s="72" t="str">
        <f>E573</f>
        <v>тыс. руб.</v>
      </c>
      <c r="F604" s="73">
        <f>F573+F601</f>
        <v>0</v>
      </c>
      <c r="G604" s="73">
        <f t="shared" ref="G604:Z604" si="1262">G573+G601</f>
        <v>90205.416996400803</v>
      </c>
      <c r="H604" s="73">
        <f t="shared" si="1262"/>
        <v>96424.417641902794</v>
      </c>
      <c r="I604" s="73">
        <f t="shared" si="1262"/>
        <v>128788.98851218462</v>
      </c>
      <c r="J604" s="73">
        <f t="shared" si="1262"/>
        <v>147476.1956341021</v>
      </c>
      <c r="K604" s="73">
        <f t="shared" si="1262"/>
        <v>114503.67798356645</v>
      </c>
      <c r="L604" s="73">
        <f t="shared" si="1262"/>
        <v>133064.44291200832</v>
      </c>
      <c r="M604" s="73">
        <f t="shared" si="1262"/>
        <v>105950.42845825956</v>
      </c>
      <c r="N604" s="73">
        <f t="shared" si="1262"/>
        <v>155471.26894601254</v>
      </c>
      <c r="O604" s="73">
        <f t="shared" si="1262"/>
        <v>143959.34156378993</v>
      </c>
      <c r="P604" s="73">
        <f t="shared" si="1262"/>
        <v>108456.70613799436</v>
      </c>
      <c r="Q604" s="73">
        <f t="shared" si="1262"/>
        <v>0</v>
      </c>
      <c r="R604" s="73">
        <f t="shared" si="1262"/>
        <v>0</v>
      </c>
      <c r="S604" s="73">
        <f t="shared" si="1262"/>
        <v>0</v>
      </c>
      <c r="T604" s="73">
        <f t="shared" si="1262"/>
        <v>0</v>
      </c>
      <c r="U604" s="73">
        <f t="shared" si="1262"/>
        <v>0</v>
      </c>
      <c r="V604" s="73">
        <f t="shared" si="1262"/>
        <v>0</v>
      </c>
      <c r="W604" s="73">
        <f t="shared" si="1262"/>
        <v>0</v>
      </c>
      <c r="X604" s="73">
        <f t="shared" si="1262"/>
        <v>0</v>
      </c>
      <c r="Y604" s="73">
        <f t="shared" si="1262"/>
        <v>0</v>
      </c>
      <c r="Z604" s="73">
        <f t="shared" si="1262"/>
        <v>0</v>
      </c>
    </row>
    <row r="605" spans="1:28" outlineLevel="1" x14ac:dyDescent="0.25">
      <c r="A605" s="39" t="str">
        <f t="shared" si="1134"/>
        <v>БелАЗ 7531 (БТЛ)</v>
      </c>
      <c r="B605" s="39"/>
      <c r="D605" s="67" t="s">
        <v>87</v>
      </c>
      <c r="E605" s="68" t="str">
        <f>E604</f>
        <v>тыс. руб.</v>
      </c>
      <c r="F605" s="102"/>
      <c r="G605" s="69">
        <f>G573*'ФОТ, МТР, макро'!AK$13</f>
        <v>80540.550889643564</v>
      </c>
      <c r="H605" s="69">
        <f>H573*'ФОТ, МТР, макро'!AL$13</f>
        <v>76868.95539054749</v>
      </c>
      <c r="I605" s="69">
        <f>I573*'ФОТ, МТР, макро'!AM$13</f>
        <v>91669.458158841298</v>
      </c>
      <c r="J605" s="69">
        <f>J573*'ФОТ, МТР, макро'!AN$13</f>
        <v>93723.788459839503</v>
      </c>
      <c r="K605" s="69">
        <f>K573*'ФОТ, МТР, макро'!AO$13</f>
        <v>64972.461966430099</v>
      </c>
      <c r="L605" s="69">
        <f>L573*'ФОТ, МТР, макро'!AP$13</f>
        <v>67414.587901346356</v>
      </c>
      <c r="M605" s="69">
        <f>M573*'ФОТ, МТР, макро'!AQ$13</f>
        <v>47926.593177701376</v>
      </c>
      <c r="N605" s="69">
        <f>N573*'ФОТ, МТР, макро'!AR$13</f>
        <v>62792.237959964186</v>
      </c>
      <c r="O605" s="69">
        <f>O573*'ФОТ, МТР, макро'!AS$13</f>
        <v>51913.181757650025</v>
      </c>
      <c r="P605" s="69">
        <f>P573*'ФОТ, МТР, макро'!AT$13</f>
        <v>34920.156705216046</v>
      </c>
      <c r="Q605" s="69">
        <f>Q573*'ФОТ, МТР, макро'!AU$13</f>
        <v>0</v>
      </c>
      <c r="R605" s="69">
        <f>R573*'ФОТ, МТР, макро'!AV$13</f>
        <v>0</v>
      </c>
      <c r="S605" s="69">
        <f>S573*'ФОТ, МТР, макро'!AW$13</f>
        <v>0</v>
      </c>
      <c r="T605" s="69">
        <f>T573*'ФОТ, МТР, макро'!AX$13</f>
        <v>0</v>
      </c>
      <c r="U605" s="69">
        <f>U573*'ФОТ, МТР, макро'!AY$13</f>
        <v>0</v>
      </c>
      <c r="V605" s="69">
        <f>V573*'ФОТ, МТР, макро'!AZ$13</f>
        <v>0</v>
      </c>
      <c r="W605" s="69">
        <f>W573*'ФОТ, МТР, макро'!BA$13</f>
        <v>0</v>
      </c>
      <c r="X605" s="69">
        <f>X573*'ФОТ, МТР, макро'!BB$13</f>
        <v>0</v>
      </c>
      <c r="Y605" s="69">
        <f>Y573*'ФОТ, МТР, макро'!BC$13</f>
        <v>0</v>
      </c>
      <c r="Z605" s="69">
        <f>Z573*'ФОТ, МТР, макро'!BD$13</f>
        <v>0</v>
      </c>
    </row>
    <row r="606" spans="1:28" outlineLevel="1" x14ac:dyDescent="0.25">
      <c r="A606" s="39" t="str">
        <f t="shared" si="1134"/>
        <v>БелАЗ 7531 (БТЛ)</v>
      </c>
      <c r="B606" s="39"/>
      <c r="D606" s="18" t="str">
        <f>D574</f>
        <v>ТО, ТР, ППР</v>
      </c>
      <c r="E606" s="9" t="str">
        <f>E605</f>
        <v>тыс. руб.</v>
      </c>
      <c r="F606" s="103"/>
      <c r="G606" s="74">
        <f>G574*'ФОТ, МТР, макро'!AK$13</f>
        <v>10982.958490442828</v>
      </c>
      <c r="H606" s="74">
        <f>H574*'ФОТ, МТР, макро'!AL$13</f>
        <v>15670.679836199201</v>
      </c>
      <c r="I606" s="74">
        <f>I574*'ФОТ, МТР, макро'!AM$13</f>
        <v>41198.476971489283</v>
      </c>
      <c r="J606" s="74">
        <f>J574*'ФОТ, МТР, макро'!AN$13</f>
        <v>54481.149891209032</v>
      </c>
      <c r="K606" s="74">
        <f>K574*'ФОТ, МТР, макро'!AO$13</f>
        <v>19460.5155267054</v>
      </c>
      <c r="L606" s="74">
        <f>L574*'ФОТ, МТР, макро'!AP$13</f>
        <v>30350.027561533108</v>
      </c>
      <c r="M606" s="74">
        <f>M574*'ФОТ, МТР, макро'!AQ$13</f>
        <v>13760.890415984777</v>
      </c>
      <c r="N606" s="74">
        <f>N574*'ФОТ, МТР, макро'!AR$13</f>
        <v>36910.673222392448</v>
      </c>
      <c r="O606" s="74">
        <f>O574*'ФОТ, МТР, макро'!AS$13</f>
        <v>27311.574873949321</v>
      </c>
      <c r="P606" s="74">
        <f>P574*'ФОТ, МТР, макро'!AT$13</f>
        <v>10148.818283788594</v>
      </c>
      <c r="Q606" s="74">
        <f>Q574*'ФОТ, МТР, макро'!AU$13</f>
        <v>0</v>
      </c>
      <c r="R606" s="74">
        <f>R574*'ФОТ, МТР, макро'!AV$13</f>
        <v>0</v>
      </c>
      <c r="S606" s="74">
        <f>S574*'ФОТ, МТР, макро'!AW$13</f>
        <v>0</v>
      </c>
      <c r="T606" s="74">
        <f>T574*'ФОТ, МТР, макро'!AX$13</f>
        <v>0</v>
      </c>
      <c r="U606" s="74">
        <f>U574*'ФОТ, МТР, макро'!AY$13</f>
        <v>0</v>
      </c>
      <c r="V606" s="74">
        <f>V574*'ФОТ, МТР, макро'!AZ$13</f>
        <v>0</v>
      </c>
      <c r="W606" s="74">
        <f>W574*'ФОТ, МТР, макро'!BA$13</f>
        <v>0</v>
      </c>
      <c r="X606" s="74">
        <f>X574*'ФОТ, МТР, макро'!BB$13</f>
        <v>0</v>
      </c>
      <c r="Y606" s="74">
        <f>Y574*'ФОТ, МТР, макро'!BC$13</f>
        <v>0</v>
      </c>
      <c r="Z606" s="74">
        <f>Z574*'ФОТ, МТР, макро'!BD$13</f>
        <v>0</v>
      </c>
    </row>
    <row r="607" spans="1:28" outlineLevel="1" x14ac:dyDescent="0.25">
      <c r="A607" s="39" t="str">
        <f t="shared" si="1134"/>
        <v>БелАЗ 7531 (БТЛ)</v>
      </c>
      <c r="B607" s="39"/>
      <c r="D607" s="18" t="str">
        <f>D579</f>
        <v>Шины</v>
      </c>
      <c r="E607" s="9" t="str">
        <f t="shared" ref="E607:E612" si="1263">E606</f>
        <v>тыс. руб.</v>
      </c>
      <c r="F607" s="103"/>
      <c r="G607" s="74">
        <f>G579*'ФОТ, МТР, макро'!AK$13</f>
        <v>17390.018109751498</v>
      </c>
      <c r="H607" s="74">
        <f>H579*'ФОТ, МТР, макро'!AL$13</f>
        <v>15689.512197944507</v>
      </c>
      <c r="I607" s="74">
        <f>I579*'ФОТ, МТР, макро'!AM$13</f>
        <v>14773.867855649803</v>
      </c>
      <c r="J607" s="74">
        <f>J579*'ФОТ, МТР, макро'!AN$13</f>
        <v>12784.747474125732</v>
      </c>
      <c r="K607" s="74">
        <f>K579*'ФОТ, МТР, макро'!AO$13</f>
        <v>12339.336029007118</v>
      </c>
      <c r="L607" s="74">
        <f>L579*'ФОТ, МТР, макро'!AP$13</f>
        <v>10922.015993273058</v>
      </c>
      <c r="M607" s="74">
        <f>M579*'ФОТ, МТР, макро'!AQ$13</f>
        <v>9093.8628967666482</v>
      </c>
      <c r="N607" s="74">
        <f>N579*'ФОТ, МТР, макро'!AR$13</f>
        <v>8565.2770501047253</v>
      </c>
      <c r="O607" s="74">
        <f>O579*'ФОТ, МТР, макро'!AS$13</f>
        <v>7671.4114218714876</v>
      </c>
      <c r="P607" s="74">
        <f>P579*'ФОТ, МТР, макро'!AT$13</f>
        <v>6630.3035230859614</v>
      </c>
      <c r="Q607" s="74">
        <f>Q579*'ФОТ, МТР, макро'!AU$13</f>
        <v>0</v>
      </c>
      <c r="R607" s="74">
        <f>R579*'ФОТ, МТР, макро'!AV$13</f>
        <v>0</v>
      </c>
      <c r="S607" s="74">
        <f>S579*'ФОТ, МТР, макро'!AW$13</f>
        <v>0</v>
      </c>
      <c r="T607" s="74">
        <f>T579*'ФОТ, МТР, макро'!AX$13</f>
        <v>0</v>
      </c>
      <c r="U607" s="74">
        <f>U579*'ФОТ, МТР, макро'!AY$13</f>
        <v>0</v>
      </c>
      <c r="V607" s="74">
        <f>V579*'ФОТ, МТР, макро'!AZ$13</f>
        <v>0</v>
      </c>
      <c r="W607" s="74">
        <f>W579*'ФОТ, МТР, макро'!BA$13</f>
        <v>0</v>
      </c>
      <c r="X607" s="74">
        <f>X579*'ФОТ, МТР, макро'!BB$13</f>
        <v>0</v>
      </c>
      <c r="Y607" s="74">
        <f>Y579*'ФОТ, МТР, макро'!BC$13</f>
        <v>0</v>
      </c>
      <c r="Z607" s="74">
        <f>Z579*'ФОТ, МТР, макро'!BD$13</f>
        <v>0</v>
      </c>
    </row>
    <row r="608" spans="1:28" outlineLevel="1" x14ac:dyDescent="0.25">
      <c r="A608" s="39" t="str">
        <f t="shared" si="1134"/>
        <v>БелАЗ 7531 (БТЛ)</v>
      </c>
      <c r="B608" s="39"/>
      <c r="D608" s="18" t="str">
        <f>D583</f>
        <v>Топливо</v>
      </c>
      <c r="E608" s="9" t="str">
        <f t="shared" si="1263"/>
        <v>тыс. руб.</v>
      </c>
      <c r="F608" s="103"/>
      <c r="G608" s="74">
        <f>G583*'ФОТ, МТР, макро'!AK$13</f>
        <v>62325.968121120211</v>
      </c>
      <c r="H608" s="74">
        <f>H583*'ФОТ, МТР, макро'!AL$13</f>
        <v>56231.340928660495</v>
      </c>
      <c r="I608" s="74">
        <f>I583*'ФОТ, МТР, макро'!AM$13</f>
        <v>52949.664065072713</v>
      </c>
      <c r="J608" s="74">
        <f>J583*'ФОТ, МТР, макро'!AN$13</f>
        <v>45820.640236257881</v>
      </c>
      <c r="K608" s="74">
        <f>K583*'ФОТ, МТР, макро'!AO$13</f>
        <v>44224.281948759723</v>
      </c>
      <c r="L608" s="74">
        <f>L583*'ФОТ, МТР, макро'!AP$13</f>
        <v>39144.595268327161</v>
      </c>
      <c r="M608" s="74">
        <f>M583*'ФОТ, МТР, макро'!AQ$13</f>
        <v>32592.479514664265</v>
      </c>
      <c r="N608" s="74">
        <f>N583*'ФОТ, МТР, макро'!AR$13</f>
        <v>30698.023487050777</v>
      </c>
      <c r="O608" s="74">
        <f>O583*'ФОТ, МТР, макро'!AS$13</f>
        <v>27494.401714018248</v>
      </c>
      <c r="P608" s="74">
        <f>P583*'ФОТ, МТР, макро'!AT$13</f>
        <v>23763.062430710259</v>
      </c>
      <c r="Q608" s="74">
        <f>Q583*'ФОТ, МТР, макро'!AU$13</f>
        <v>0</v>
      </c>
      <c r="R608" s="74">
        <f>R583*'ФОТ, МТР, макро'!AV$13</f>
        <v>0</v>
      </c>
      <c r="S608" s="74">
        <f>S583*'ФОТ, МТР, макро'!AW$13</f>
        <v>0</v>
      </c>
      <c r="T608" s="74">
        <f>T583*'ФОТ, МТР, макро'!AX$13</f>
        <v>0</v>
      </c>
      <c r="U608" s="74">
        <f>U583*'ФОТ, МТР, макро'!AY$13</f>
        <v>0</v>
      </c>
      <c r="V608" s="74">
        <f>V583*'ФОТ, МТР, макро'!AZ$13</f>
        <v>0</v>
      </c>
      <c r="W608" s="74">
        <f>W583*'ФОТ, МТР, макро'!BA$13</f>
        <v>0</v>
      </c>
      <c r="X608" s="74">
        <f>X583*'ФОТ, МТР, макро'!BB$13</f>
        <v>0</v>
      </c>
      <c r="Y608" s="74">
        <f>Y583*'ФОТ, МТР, макро'!BC$13</f>
        <v>0</v>
      </c>
      <c r="Z608" s="74">
        <f>Z583*'ФОТ, МТР, макро'!BD$13</f>
        <v>0</v>
      </c>
    </row>
    <row r="609" spans="1:26" outlineLevel="1" x14ac:dyDescent="0.25">
      <c r="A609" s="39" t="str">
        <f t="shared" si="1134"/>
        <v>БелАЗ 7531 (БТЛ)</v>
      </c>
      <c r="B609" s="39"/>
      <c r="D609" s="18" t="str">
        <f>D588</f>
        <v>Смазочные</v>
      </c>
      <c r="E609" s="9" t="str">
        <f t="shared" si="1263"/>
        <v>тыс. руб.</v>
      </c>
      <c r="F609" s="103"/>
      <c r="G609" s="74">
        <f>G588*'ФОТ, МТР, макро'!AK$13</f>
        <v>0</v>
      </c>
      <c r="H609" s="74">
        <f>H588*'ФОТ, МТР, макро'!AL$13</f>
        <v>0</v>
      </c>
      <c r="I609" s="74">
        <f>I588*'ФОТ, МТР, макро'!AM$13</f>
        <v>0</v>
      </c>
      <c r="J609" s="74">
        <f>J588*'ФОТ, МТР, макро'!AN$13</f>
        <v>0</v>
      </c>
      <c r="K609" s="74">
        <f>K588*'ФОТ, МТР, макро'!AO$13</f>
        <v>0</v>
      </c>
      <c r="L609" s="74">
        <f>L588*'ФОТ, МТР, макро'!AP$13</f>
        <v>0</v>
      </c>
      <c r="M609" s="74">
        <f>M588*'ФОТ, МТР, макро'!AQ$13</f>
        <v>0</v>
      </c>
      <c r="N609" s="74">
        <f>N588*'ФОТ, МТР, макро'!AR$13</f>
        <v>0</v>
      </c>
      <c r="O609" s="74">
        <f>O588*'ФОТ, МТР, макро'!AS$13</f>
        <v>0</v>
      </c>
      <c r="P609" s="74">
        <f>P588*'ФОТ, МТР, макро'!AT$13</f>
        <v>0</v>
      </c>
      <c r="Q609" s="74">
        <f>Q588*'ФОТ, МТР, макро'!AU$13</f>
        <v>0</v>
      </c>
      <c r="R609" s="74">
        <f>R588*'ФОТ, МТР, макро'!AV$13</f>
        <v>0</v>
      </c>
      <c r="S609" s="74">
        <f>S588*'ФОТ, МТР, макро'!AW$13</f>
        <v>0</v>
      </c>
      <c r="T609" s="74">
        <f>T588*'ФОТ, МТР, макро'!AX$13</f>
        <v>0</v>
      </c>
      <c r="U609" s="74">
        <f>U588*'ФОТ, МТР, макро'!AY$13</f>
        <v>0</v>
      </c>
      <c r="V609" s="74">
        <f>V588*'ФОТ, МТР, макро'!AZ$13</f>
        <v>0</v>
      </c>
      <c r="W609" s="74">
        <f>W588*'ФОТ, МТР, макро'!BA$13</f>
        <v>0</v>
      </c>
      <c r="X609" s="74">
        <f>X588*'ФОТ, МТР, макро'!BB$13</f>
        <v>0</v>
      </c>
      <c r="Y609" s="74">
        <f>Y588*'ФОТ, МТР, макро'!BC$13</f>
        <v>0</v>
      </c>
      <c r="Z609" s="74">
        <f>Z588*'ФОТ, МТР, макро'!BD$13</f>
        <v>0</v>
      </c>
    </row>
    <row r="610" spans="1:26" outlineLevel="1" x14ac:dyDescent="0.25">
      <c r="A610" s="39" t="str">
        <f t="shared" si="1134"/>
        <v>БелАЗ 7531 (БТЛ)</v>
      </c>
      <c r="B610" s="39"/>
      <c r="D610" s="18" t="str">
        <f>D590</f>
        <v>Затраты на персонал</v>
      </c>
      <c r="E610" s="9" t="str">
        <f t="shared" si="1263"/>
        <v>тыс. руб.</v>
      </c>
      <c r="F610" s="103"/>
      <c r="G610" s="74">
        <f>G590*'ФОТ, МТР, макро'!AK$13</f>
        <v>16496.068072019727</v>
      </c>
      <c r="H610" s="74">
        <f>H590*'ФОТ, МТР, макро'!AL$13</f>
        <v>14728.632207160468</v>
      </c>
      <c r="I610" s="74">
        <f>I590*'ФОТ, МТР, макро'!AM$13</f>
        <v>13150.56447067899</v>
      </c>
      <c r="J610" s="74">
        <f>J590*'ФОТ, МТР, макро'!AN$13</f>
        <v>11741.575420249097</v>
      </c>
      <c r="K610" s="74">
        <f>K590*'ФОТ, МТР, макро'!AO$13</f>
        <v>10483.549482365264</v>
      </c>
      <c r="L610" s="74">
        <f>L590*'ФОТ, МТР, макро'!AP$13</f>
        <v>9360.3120378261283</v>
      </c>
      <c r="M610" s="74">
        <f>M590*'ФОТ, МТР, макро'!AQ$13</f>
        <v>8357.4214623447569</v>
      </c>
      <c r="N610" s="74">
        <f>N590*'ФОТ, МТР, макро'!AR$13</f>
        <v>7461.9834485221045</v>
      </c>
      <c r="O610" s="74">
        <f>O590*'ФОТ, МТР, макро'!AS$13</f>
        <v>6662.4852218947353</v>
      </c>
      <c r="P610" s="74">
        <f>P590*'ФОТ, МТР, макро'!AT$13</f>
        <v>5948.6475195488702</v>
      </c>
      <c r="Q610" s="74">
        <f>Q590*'ФОТ, МТР, макро'!AU$13</f>
        <v>0</v>
      </c>
      <c r="R610" s="74">
        <f>R590*'ФОТ, МТР, макро'!AV$13</f>
        <v>0</v>
      </c>
      <c r="S610" s="74">
        <f>S590*'ФОТ, МТР, макро'!AW$13</f>
        <v>0</v>
      </c>
      <c r="T610" s="74">
        <f>T590*'ФОТ, МТР, макро'!AX$13</f>
        <v>0</v>
      </c>
      <c r="U610" s="74">
        <f>U590*'ФОТ, МТР, макро'!AY$13</f>
        <v>0</v>
      </c>
      <c r="V610" s="74">
        <f>V590*'ФОТ, МТР, макро'!AZ$13</f>
        <v>0</v>
      </c>
      <c r="W610" s="74">
        <f>W590*'ФОТ, МТР, макро'!BA$13</f>
        <v>0</v>
      </c>
      <c r="X610" s="74">
        <f>X590*'ФОТ, МТР, макро'!BB$13</f>
        <v>0</v>
      </c>
      <c r="Y610" s="74">
        <f>Y590*'ФОТ, МТР, макро'!BC$13</f>
        <v>0</v>
      </c>
      <c r="Z610" s="74">
        <f>Z590*'ФОТ, МТР, макро'!BD$13</f>
        <v>0</v>
      </c>
    </row>
    <row r="611" spans="1:26" outlineLevel="1" x14ac:dyDescent="0.25">
      <c r="A611" s="39" t="str">
        <f t="shared" si="1134"/>
        <v>БелАЗ 7531 (БТЛ)</v>
      </c>
      <c r="B611" s="39"/>
      <c r="D611" s="18" t="str">
        <f>D594</f>
        <v>Транспортный налог</v>
      </c>
      <c r="E611" s="9" t="str">
        <f t="shared" si="1263"/>
        <v>тыс. руб.</v>
      </c>
      <c r="F611" s="103"/>
      <c r="G611" s="74">
        <f>G594*'ФОТ, МТР, макро'!AK$13</f>
        <v>192.38839285714283</v>
      </c>
      <c r="H611" s="74">
        <f>H594*'ФОТ, МТР, макро'!AL$13</f>
        <v>171.77535076530609</v>
      </c>
      <c r="I611" s="74">
        <f>I594*'ФОТ, МТР, макро'!AM$13</f>
        <v>153.3708488975947</v>
      </c>
      <c r="J611" s="74">
        <f>J594*'ФОТ, МТР, макро'!AN$13</f>
        <v>136.93825794428099</v>
      </c>
      <c r="K611" s="74">
        <f>K594*'ФОТ, МТР, макро'!AO$13</f>
        <v>122.26630173596516</v>
      </c>
      <c r="L611" s="74">
        <f>L594*'ФОТ, МТР, макро'!AP$13</f>
        <v>109.16634083568317</v>
      </c>
      <c r="M611" s="74">
        <f>M594*'ФОТ, МТР, макро'!AQ$13</f>
        <v>97.469947174717106</v>
      </c>
      <c r="N611" s="74">
        <f>N594*'ФОТ, МТР, макро'!AR$13</f>
        <v>87.026738548854553</v>
      </c>
      <c r="O611" s="74">
        <f>O594*'ФОТ, МТР, макро'!AS$13</f>
        <v>77.702445132905837</v>
      </c>
      <c r="P611" s="74">
        <f>P594*'ФОТ, МТР, макро'!AT$13</f>
        <v>69.377183154380219</v>
      </c>
      <c r="Q611" s="74">
        <f>Q594*'ФОТ, МТР, макро'!AU$13</f>
        <v>0</v>
      </c>
      <c r="R611" s="74">
        <f>R594*'ФОТ, МТР, макро'!AV$13</f>
        <v>0</v>
      </c>
      <c r="S611" s="74">
        <f>S594*'ФОТ, МТР, макро'!AW$13</f>
        <v>0</v>
      </c>
      <c r="T611" s="74">
        <f>T594*'ФОТ, МТР, макро'!AX$13</f>
        <v>0</v>
      </c>
      <c r="U611" s="74">
        <f>U594*'ФОТ, МТР, макро'!AY$13</f>
        <v>0</v>
      </c>
      <c r="V611" s="74">
        <f>V594*'ФОТ, МТР, макро'!AZ$13</f>
        <v>0</v>
      </c>
      <c r="W611" s="74">
        <f>W594*'ФОТ, МТР, макро'!BA$13</f>
        <v>0</v>
      </c>
      <c r="X611" s="74">
        <f>X594*'ФОТ, МТР, макро'!BB$13</f>
        <v>0</v>
      </c>
      <c r="Y611" s="74">
        <f>Y594*'ФОТ, МТР, макро'!BC$13</f>
        <v>0</v>
      </c>
      <c r="Z611" s="74">
        <f>Z594*'ФОТ, МТР, макро'!BD$13</f>
        <v>0</v>
      </c>
    </row>
    <row r="612" spans="1:26" outlineLevel="1" x14ac:dyDescent="0.25">
      <c r="A612" s="39" t="str">
        <f t="shared" si="1134"/>
        <v>БелАЗ 7531 (БТЛ)</v>
      </c>
      <c r="B612" s="39"/>
      <c r="D612" s="18" t="str">
        <f>D599</f>
        <v>Налог на прибыль</v>
      </c>
      <c r="E612" s="9" t="str">
        <f t="shared" si="1263"/>
        <v>тыс. руб.</v>
      </c>
      <c r="F612" s="103"/>
      <c r="G612" s="74">
        <f>G599*'ФОТ, МТР, макро'!AK$13</f>
        <v>-26846.850296547855</v>
      </c>
      <c r="H612" s="74">
        <f>H599*'ФОТ, МТР, макро'!AL$13</f>
        <v>-25622.985130182497</v>
      </c>
      <c r="I612" s="74">
        <f>I599*'ФОТ, МТР, макро'!AM$13</f>
        <v>-30556.486052947097</v>
      </c>
      <c r="J612" s="74">
        <f>J599*'ФОТ, МТР, макро'!AN$13</f>
        <v>-31241.262819946503</v>
      </c>
      <c r="K612" s="74">
        <f>K599*'ФОТ, МТР, макро'!AO$13</f>
        <v>-21657.487322143366</v>
      </c>
      <c r="L612" s="74">
        <f>L599*'ФОТ, МТР, макро'!AP$13</f>
        <v>-22471.529300448783</v>
      </c>
      <c r="M612" s="74">
        <f>M599*'ФОТ, МТР, макро'!AQ$13</f>
        <v>-15975.53105923379</v>
      </c>
      <c r="N612" s="74">
        <f>N599*'ФОТ, МТР, макро'!AR$13</f>
        <v>-20930.745986654729</v>
      </c>
      <c r="O612" s="74">
        <f>O599*'ФОТ, МТР, макро'!AS$13</f>
        <v>-17304.393919216673</v>
      </c>
      <c r="P612" s="74">
        <f>P599*'ФОТ, МТР, макро'!AT$13</f>
        <v>-11640.052235072017</v>
      </c>
      <c r="Q612" s="74">
        <f>Q599*'ФОТ, МТР, макро'!AU$13</f>
        <v>0</v>
      </c>
      <c r="R612" s="74">
        <f>R599*'ФОТ, МТР, макро'!AV$13</f>
        <v>0</v>
      </c>
      <c r="S612" s="74">
        <f>S599*'ФОТ, МТР, макро'!AW$13</f>
        <v>0</v>
      </c>
      <c r="T612" s="74">
        <f>T599*'ФОТ, МТР, макро'!AX$13</f>
        <v>0</v>
      </c>
      <c r="U612" s="74">
        <f>U599*'ФОТ, МТР, макро'!AY$13</f>
        <v>0</v>
      </c>
      <c r="V612" s="74">
        <f>V599*'ФОТ, МТР, макро'!AZ$13</f>
        <v>0</v>
      </c>
      <c r="W612" s="74">
        <f>W599*'ФОТ, МТР, макро'!BA$13</f>
        <v>0</v>
      </c>
      <c r="X612" s="74">
        <f>X599*'ФОТ, МТР, макро'!BB$13</f>
        <v>0</v>
      </c>
      <c r="Y612" s="74">
        <f>Y599*'ФОТ, МТР, макро'!BC$13</f>
        <v>0</v>
      </c>
      <c r="Z612" s="74">
        <f>Z599*'ФОТ, МТР, макро'!BD$13</f>
        <v>0</v>
      </c>
    </row>
    <row r="613" spans="1:26" outlineLevel="1" x14ac:dyDescent="0.25">
      <c r="A613" s="39" t="str">
        <f t="shared" si="1134"/>
        <v>БелАЗ 7531 (БТЛ)</v>
      </c>
      <c r="B613" s="39"/>
      <c r="D613" s="104" t="s">
        <v>88</v>
      </c>
      <c r="E613" s="9"/>
      <c r="F613" s="105"/>
      <c r="G613" s="106">
        <f>G605-SUM(G606:G612)</f>
        <v>0</v>
      </c>
      <c r="H613" s="106">
        <f t="shared" ref="H613:I613" si="1264">H605-SUM(H606:H612)</f>
        <v>0</v>
      </c>
      <c r="I613" s="106">
        <f t="shared" si="1264"/>
        <v>0</v>
      </c>
      <c r="J613" s="106">
        <f t="shared" ref="J613:Z613" si="1265">J605-SUM(J606:J612)</f>
        <v>0</v>
      </c>
      <c r="K613" s="106">
        <f t="shared" si="1265"/>
        <v>0</v>
      </c>
      <c r="L613" s="106">
        <f t="shared" si="1265"/>
        <v>0</v>
      </c>
      <c r="M613" s="106">
        <f t="shared" si="1265"/>
        <v>0</v>
      </c>
      <c r="N613" s="106">
        <f t="shared" si="1265"/>
        <v>0</v>
      </c>
      <c r="O613" s="106">
        <f t="shared" si="1265"/>
        <v>0</v>
      </c>
      <c r="P613" s="106">
        <f t="shared" si="1265"/>
        <v>0</v>
      </c>
      <c r="Q613" s="106">
        <f t="shared" si="1265"/>
        <v>0</v>
      </c>
      <c r="R613" s="106">
        <f t="shared" si="1265"/>
        <v>0</v>
      </c>
      <c r="S613" s="106">
        <f t="shared" si="1265"/>
        <v>0</v>
      </c>
      <c r="T613" s="106">
        <f t="shared" si="1265"/>
        <v>0</v>
      </c>
      <c r="U613" s="106">
        <f t="shared" si="1265"/>
        <v>0</v>
      </c>
      <c r="V613" s="106">
        <f t="shared" si="1265"/>
        <v>0</v>
      </c>
      <c r="W613" s="106">
        <f t="shared" si="1265"/>
        <v>0</v>
      </c>
      <c r="X613" s="106">
        <f t="shared" si="1265"/>
        <v>0</v>
      </c>
      <c r="Y613" s="106">
        <f t="shared" si="1265"/>
        <v>0</v>
      </c>
      <c r="Z613" s="106">
        <f t="shared" si="1265"/>
        <v>0</v>
      </c>
    </row>
    <row r="614" spans="1:26" ht="27.2" outlineLevel="1" x14ac:dyDescent="0.25">
      <c r="A614" s="39" t="str">
        <f t="shared" si="1134"/>
        <v>БелАЗ 7531 (БТЛ)</v>
      </c>
      <c r="B614" s="39"/>
      <c r="D614" s="107" t="s">
        <v>89</v>
      </c>
      <c r="E614" s="68" t="str">
        <f>E605</f>
        <v>тыс. руб.</v>
      </c>
      <c r="F614" s="69">
        <f>F605</f>
        <v>0</v>
      </c>
      <c r="G614" s="69">
        <f>F614+G605</f>
        <v>80540.550889643564</v>
      </c>
      <c r="H614" s="69">
        <f t="shared" ref="H614:H621" si="1266">G614+H605</f>
        <v>157409.50628019107</v>
      </c>
      <c r="I614" s="69">
        <f t="shared" ref="I614:I621" si="1267">H614+I605</f>
        <v>249078.96443903237</v>
      </c>
      <c r="J614" s="69">
        <f t="shared" ref="J614:J621" si="1268">I614+J605</f>
        <v>342802.7528988719</v>
      </c>
      <c r="K614" s="69">
        <f t="shared" ref="K614:K621" si="1269">J614+K605</f>
        <v>407775.21486530197</v>
      </c>
      <c r="L614" s="69">
        <f t="shared" ref="L614:L621" si="1270">K614+L605</f>
        <v>475189.80276664835</v>
      </c>
      <c r="M614" s="69">
        <f t="shared" ref="M614:M621" si="1271">L614+M605</f>
        <v>523116.3959443497</v>
      </c>
      <c r="N614" s="69">
        <f t="shared" ref="N614:N621" si="1272">M614+N605</f>
        <v>585908.6339043139</v>
      </c>
      <c r="O614" s="69">
        <f t="shared" ref="O614:O621" si="1273">N614+O605</f>
        <v>637821.81566196389</v>
      </c>
      <c r="P614" s="69">
        <f t="shared" ref="P614:P621" si="1274">O614+P605</f>
        <v>672741.97236717993</v>
      </c>
      <c r="Q614" s="69">
        <f t="shared" ref="Q614:Q621" si="1275">P614+Q605</f>
        <v>672741.97236717993</v>
      </c>
      <c r="R614" s="69">
        <f t="shared" ref="R614:R621" si="1276">Q614+R605</f>
        <v>672741.97236717993</v>
      </c>
      <c r="S614" s="69">
        <f t="shared" ref="S614:S621" si="1277">R614+S605</f>
        <v>672741.97236717993</v>
      </c>
      <c r="T614" s="69">
        <f t="shared" ref="T614:T621" si="1278">S614+T605</f>
        <v>672741.97236717993</v>
      </c>
      <c r="U614" s="69">
        <f t="shared" ref="U614:U621" si="1279">T614+U605</f>
        <v>672741.97236717993</v>
      </c>
      <c r="V614" s="69">
        <f t="shared" ref="V614:V621" si="1280">U614+V605</f>
        <v>672741.97236717993</v>
      </c>
      <c r="W614" s="69">
        <f t="shared" ref="W614:W621" si="1281">V614+W605</f>
        <v>672741.97236717993</v>
      </c>
      <c r="X614" s="69">
        <f t="shared" ref="X614:X621" si="1282">W614+X605</f>
        <v>672741.97236717993</v>
      </c>
      <c r="Y614" s="69">
        <f t="shared" ref="Y614:Y621" si="1283">X614+Y605</f>
        <v>672741.97236717993</v>
      </c>
      <c r="Z614" s="69">
        <f t="shared" ref="Z614:Z621" si="1284">Y614+Z605</f>
        <v>672741.97236717993</v>
      </c>
    </row>
    <row r="615" spans="1:26" outlineLevel="1" x14ac:dyDescent="0.25">
      <c r="A615" s="39" t="str">
        <f t="shared" si="1134"/>
        <v>БелАЗ 7531 (БТЛ)</v>
      </c>
      <c r="B615" s="39"/>
      <c r="D615" s="101" t="str">
        <f>D606</f>
        <v>ТО, ТР, ППР</v>
      </c>
      <c r="E615" s="9" t="str">
        <f>E606</f>
        <v>тыс. руб.</v>
      </c>
      <c r="F615" s="74">
        <f>F606</f>
        <v>0</v>
      </c>
      <c r="G615" s="74">
        <f>F615+G606</f>
        <v>10982.958490442828</v>
      </c>
      <c r="H615" s="74">
        <f t="shared" si="1266"/>
        <v>26653.638326642031</v>
      </c>
      <c r="I615" s="74">
        <f t="shared" si="1267"/>
        <v>67852.115298131306</v>
      </c>
      <c r="J615" s="74">
        <f t="shared" si="1268"/>
        <v>122333.26518934034</v>
      </c>
      <c r="K615" s="74">
        <f t="shared" si="1269"/>
        <v>141793.78071604573</v>
      </c>
      <c r="L615" s="74">
        <f t="shared" si="1270"/>
        <v>172143.80827757885</v>
      </c>
      <c r="M615" s="74">
        <f t="shared" si="1271"/>
        <v>185904.69869356364</v>
      </c>
      <c r="N615" s="74">
        <f t="shared" si="1272"/>
        <v>222815.37191595609</v>
      </c>
      <c r="O615" s="74">
        <f t="shared" si="1273"/>
        <v>250126.9467899054</v>
      </c>
      <c r="P615" s="74">
        <f t="shared" si="1274"/>
        <v>260275.765073694</v>
      </c>
      <c r="Q615" s="74">
        <f t="shared" si="1275"/>
        <v>260275.765073694</v>
      </c>
      <c r="R615" s="74">
        <f t="shared" si="1276"/>
        <v>260275.765073694</v>
      </c>
      <c r="S615" s="74">
        <f t="shared" si="1277"/>
        <v>260275.765073694</v>
      </c>
      <c r="T615" s="74">
        <f t="shared" si="1278"/>
        <v>260275.765073694</v>
      </c>
      <c r="U615" s="74">
        <f t="shared" si="1279"/>
        <v>260275.765073694</v>
      </c>
      <c r="V615" s="74">
        <f t="shared" si="1280"/>
        <v>260275.765073694</v>
      </c>
      <c r="W615" s="74">
        <f t="shared" si="1281"/>
        <v>260275.765073694</v>
      </c>
      <c r="X615" s="74">
        <f t="shared" si="1282"/>
        <v>260275.765073694</v>
      </c>
      <c r="Y615" s="74">
        <f t="shared" si="1283"/>
        <v>260275.765073694</v>
      </c>
      <c r="Z615" s="74">
        <f t="shared" si="1284"/>
        <v>260275.765073694</v>
      </c>
    </row>
    <row r="616" spans="1:26" outlineLevel="1" x14ac:dyDescent="0.25">
      <c r="A616" s="39" t="str">
        <f t="shared" si="1134"/>
        <v>БелАЗ 7531 (БТЛ)</v>
      </c>
      <c r="B616" s="39"/>
      <c r="D616" s="101" t="str">
        <f t="shared" ref="D616:F616" si="1285">D607</f>
        <v>Шины</v>
      </c>
      <c r="E616" s="9" t="str">
        <f t="shared" si="1285"/>
        <v>тыс. руб.</v>
      </c>
      <c r="F616" s="74">
        <f t="shared" si="1285"/>
        <v>0</v>
      </c>
      <c r="G616" s="74">
        <f t="shared" ref="G616:G621" si="1286">F616+G607</f>
        <v>17390.018109751498</v>
      </c>
      <c r="H616" s="74">
        <f t="shared" si="1266"/>
        <v>33079.530307696004</v>
      </c>
      <c r="I616" s="74">
        <f t="shared" si="1267"/>
        <v>47853.39816334581</v>
      </c>
      <c r="J616" s="74">
        <f t="shared" si="1268"/>
        <v>60638.145637471542</v>
      </c>
      <c r="K616" s="74">
        <f t="shared" si="1269"/>
        <v>72977.481666478663</v>
      </c>
      <c r="L616" s="74">
        <f t="shared" si="1270"/>
        <v>83899.497659751723</v>
      </c>
      <c r="M616" s="74">
        <f t="shared" si="1271"/>
        <v>92993.360556518368</v>
      </c>
      <c r="N616" s="74">
        <f t="shared" si="1272"/>
        <v>101558.63760662309</v>
      </c>
      <c r="O616" s="74">
        <f t="shared" si="1273"/>
        <v>109230.04902849457</v>
      </c>
      <c r="P616" s="74">
        <f t="shared" si="1274"/>
        <v>115860.35255158054</v>
      </c>
      <c r="Q616" s="74">
        <f t="shared" si="1275"/>
        <v>115860.35255158054</v>
      </c>
      <c r="R616" s="74">
        <f t="shared" si="1276"/>
        <v>115860.35255158054</v>
      </c>
      <c r="S616" s="74">
        <f t="shared" si="1277"/>
        <v>115860.35255158054</v>
      </c>
      <c r="T616" s="74">
        <f t="shared" si="1278"/>
        <v>115860.35255158054</v>
      </c>
      <c r="U616" s="74">
        <f t="shared" si="1279"/>
        <v>115860.35255158054</v>
      </c>
      <c r="V616" s="74">
        <f t="shared" si="1280"/>
        <v>115860.35255158054</v>
      </c>
      <c r="W616" s="74">
        <f t="shared" si="1281"/>
        <v>115860.35255158054</v>
      </c>
      <c r="X616" s="74">
        <f t="shared" si="1282"/>
        <v>115860.35255158054</v>
      </c>
      <c r="Y616" s="74">
        <f t="shared" si="1283"/>
        <v>115860.35255158054</v>
      </c>
      <c r="Z616" s="74">
        <f t="shared" si="1284"/>
        <v>115860.35255158054</v>
      </c>
    </row>
    <row r="617" spans="1:26" outlineLevel="1" x14ac:dyDescent="0.25">
      <c r="A617" s="39" t="str">
        <f t="shared" si="1134"/>
        <v>БелАЗ 7531 (БТЛ)</v>
      </c>
      <c r="B617" s="39"/>
      <c r="D617" s="101" t="str">
        <f t="shared" ref="D617:F617" si="1287">D608</f>
        <v>Топливо</v>
      </c>
      <c r="E617" s="9" t="str">
        <f t="shared" si="1287"/>
        <v>тыс. руб.</v>
      </c>
      <c r="F617" s="74">
        <f t="shared" si="1287"/>
        <v>0</v>
      </c>
      <c r="G617" s="74">
        <f t="shared" si="1286"/>
        <v>62325.968121120211</v>
      </c>
      <c r="H617" s="74">
        <f t="shared" si="1266"/>
        <v>118557.30904978071</v>
      </c>
      <c r="I617" s="74">
        <f t="shared" si="1267"/>
        <v>171506.97311485343</v>
      </c>
      <c r="J617" s="74">
        <f t="shared" si="1268"/>
        <v>217327.6133511113</v>
      </c>
      <c r="K617" s="74">
        <f t="shared" si="1269"/>
        <v>261551.89529987102</v>
      </c>
      <c r="L617" s="74">
        <f t="shared" si="1270"/>
        <v>300696.49056819815</v>
      </c>
      <c r="M617" s="74">
        <f t="shared" si="1271"/>
        <v>333288.97008286242</v>
      </c>
      <c r="N617" s="74">
        <f t="shared" si="1272"/>
        <v>363986.9935699132</v>
      </c>
      <c r="O617" s="74">
        <f t="shared" si="1273"/>
        <v>391481.39528393146</v>
      </c>
      <c r="P617" s="74">
        <f t="shared" si="1274"/>
        <v>415244.4577146417</v>
      </c>
      <c r="Q617" s="74">
        <f t="shared" si="1275"/>
        <v>415244.4577146417</v>
      </c>
      <c r="R617" s="74">
        <f t="shared" si="1276"/>
        <v>415244.4577146417</v>
      </c>
      <c r="S617" s="74">
        <f t="shared" si="1277"/>
        <v>415244.4577146417</v>
      </c>
      <c r="T617" s="74">
        <f t="shared" si="1278"/>
        <v>415244.4577146417</v>
      </c>
      <c r="U617" s="74">
        <f t="shared" si="1279"/>
        <v>415244.4577146417</v>
      </c>
      <c r="V617" s="74">
        <f t="shared" si="1280"/>
        <v>415244.4577146417</v>
      </c>
      <c r="W617" s="74">
        <f t="shared" si="1281"/>
        <v>415244.4577146417</v>
      </c>
      <c r="X617" s="74">
        <f t="shared" si="1282"/>
        <v>415244.4577146417</v>
      </c>
      <c r="Y617" s="74">
        <f t="shared" si="1283"/>
        <v>415244.4577146417</v>
      </c>
      <c r="Z617" s="74">
        <f t="shared" si="1284"/>
        <v>415244.4577146417</v>
      </c>
    </row>
    <row r="618" spans="1:26" outlineLevel="1" x14ac:dyDescent="0.25">
      <c r="A618" s="39" t="str">
        <f t="shared" si="1134"/>
        <v>БелАЗ 7531 (БТЛ)</v>
      </c>
      <c r="B618" s="39"/>
      <c r="D618" s="101" t="str">
        <f t="shared" ref="D618:F618" si="1288">D609</f>
        <v>Смазочные</v>
      </c>
      <c r="E618" s="9" t="str">
        <f t="shared" si="1288"/>
        <v>тыс. руб.</v>
      </c>
      <c r="F618" s="74">
        <f t="shared" si="1288"/>
        <v>0</v>
      </c>
      <c r="G618" s="74">
        <f t="shared" si="1286"/>
        <v>0</v>
      </c>
      <c r="H618" s="74">
        <f t="shared" si="1266"/>
        <v>0</v>
      </c>
      <c r="I618" s="74">
        <f t="shared" si="1267"/>
        <v>0</v>
      </c>
      <c r="J618" s="74">
        <f t="shared" si="1268"/>
        <v>0</v>
      </c>
      <c r="K618" s="74">
        <f t="shared" si="1269"/>
        <v>0</v>
      </c>
      <c r="L618" s="74">
        <f t="shared" si="1270"/>
        <v>0</v>
      </c>
      <c r="M618" s="74">
        <f t="shared" si="1271"/>
        <v>0</v>
      </c>
      <c r="N618" s="74">
        <f t="shared" si="1272"/>
        <v>0</v>
      </c>
      <c r="O618" s="74">
        <f t="shared" si="1273"/>
        <v>0</v>
      </c>
      <c r="P618" s="74">
        <f t="shared" si="1274"/>
        <v>0</v>
      </c>
      <c r="Q618" s="74">
        <f t="shared" si="1275"/>
        <v>0</v>
      </c>
      <c r="R618" s="74">
        <f t="shared" si="1276"/>
        <v>0</v>
      </c>
      <c r="S618" s="74">
        <f t="shared" si="1277"/>
        <v>0</v>
      </c>
      <c r="T618" s="74">
        <f t="shared" si="1278"/>
        <v>0</v>
      </c>
      <c r="U618" s="74">
        <f t="shared" si="1279"/>
        <v>0</v>
      </c>
      <c r="V618" s="74">
        <f t="shared" si="1280"/>
        <v>0</v>
      </c>
      <c r="W618" s="74">
        <f t="shared" si="1281"/>
        <v>0</v>
      </c>
      <c r="X618" s="74">
        <f t="shared" si="1282"/>
        <v>0</v>
      </c>
      <c r="Y618" s="74">
        <f t="shared" si="1283"/>
        <v>0</v>
      </c>
      <c r="Z618" s="74">
        <f t="shared" si="1284"/>
        <v>0</v>
      </c>
    </row>
    <row r="619" spans="1:26" outlineLevel="1" x14ac:dyDescent="0.25">
      <c r="A619" s="39" t="str">
        <f t="shared" si="1134"/>
        <v>БелАЗ 7531 (БТЛ)</v>
      </c>
      <c r="B619" s="39"/>
      <c r="D619" s="101" t="str">
        <f t="shared" ref="D619:F619" si="1289">D610</f>
        <v>Затраты на персонал</v>
      </c>
      <c r="E619" s="9" t="str">
        <f t="shared" si="1289"/>
        <v>тыс. руб.</v>
      </c>
      <c r="F619" s="74">
        <f t="shared" si="1289"/>
        <v>0</v>
      </c>
      <c r="G619" s="74">
        <f t="shared" si="1286"/>
        <v>16496.068072019727</v>
      </c>
      <c r="H619" s="74">
        <f t="shared" si="1266"/>
        <v>31224.700279180193</v>
      </c>
      <c r="I619" s="74">
        <f t="shared" si="1267"/>
        <v>44375.264749859183</v>
      </c>
      <c r="J619" s="74">
        <f t="shared" si="1268"/>
        <v>56116.840170108277</v>
      </c>
      <c r="K619" s="74">
        <f t="shared" si="1269"/>
        <v>66600.389652473546</v>
      </c>
      <c r="L619" s="74">
        <f t="shared" si="1270"/>
        <v>75960.701690299669</v>
      </c>
      <c r="M619" s="74">
        <f t="shared" si="1271"/>
        <v>84318.123152644432</v>
      </c>
      <c r="N619" s="74">
        <f t="shared" si="1272"/>
        <v>91780.106601166539</v>
      </c>
      <c r="O619" s="74">
        <f t="shared" si="1273"/>
        <v>98442.591823061273</v>
      </c>
      <c r="P619" s="74">
        <f t="shared" si="1274"/>
        <v>104391.23934261015</v>
      </c>
      <c r="Q619" s="74">
        <f t="shared" si="1275"/>
        <v>104391.23934261015</v>
      </c>
      <c r="R619" s="74">
        <f t="shared" si="1276"/>
        <v>104391.23934261015</v>
      </c>
      <c r="S619" s="74">
        <f t="shared" si="1277"/>
        <v>104391.23934261015</v>
      </c>
      <c r="T619" s="74">
        <f t="shared" si="1278"/>
        <v>104391.23934261015</v>
      </c>
      <c r="U619" s="74">
        <f t="shared" si="1279"/>
        <v>104391.23934261015</v>
      </c>
      <c r="V619" s="74">
        <f t="shared" si="1280"/>
        <v>104391.23934261015</v>
      </c>
      <c r="W619" s="74">
        <f t="shared" si="1281"/>
        <v>104391.23934261015</v>
      </c>
      <c r="X619" s="74">
        <f t="shared" si="1282"/>
        <v>104391.23934261015</v>
      </c>
      <c r="Y619" s="74">
        <f t="shared" si="1283"/>
        <v>104391.23934261015</v>
      </c>
      <c r="Z619" s="74">
        <f t="shared" si="1284"/>
        <v>104391.23934261015</v>
      </c>
    </row>
    <row r="620" spans="1:26" outlineLevel="1" x14ac:dyDescent="0.25">
      <c r="A620" s="39" t="str">
        <f t="shared" si="1134"/>
        <v>БелАЗ 7531 (БТЛ)</v>
      </c>
      <c r="B620" s="39"/>
      <c r="D620" s="101" t="str">
        <f t="shared" ref="D620:F620" si="1290">D611</f>
        <v>Транспортный налог</v>
      </c>
      <c r="E620" s="9" t="str">
        <f t="shared" si="1290"/>
        <v>тыс. руб.</v>
      </c>
      <c r="F620" s="74">
        <f t="shared" si="1290"/>
        <v>0</v>
      </c>
      <c r="G620" s="74">
        <f t="shared" si="1286"/>
        <v>192.38839285714283</v>
      </c>
      <c r="H620" s="74">
        <f t="shared" si="1266"/>
        <v>364.16374362244892</v>
      </c>
      <c r="I620" s="74">
        <f t="shared" si="1267"/>
        <v>517.53459252004359</v>
      </c>
      <c r="J620" s="74">
        <f t="shared" si="1268"/>
        <v>654.47285046432455</v>
      </c>
      <c r="K620" s="74">
        <f t="shared" si="1269"/>
        <v>776.73915220028971</v>
      </c>
      <c r="L620" s="74">
        <f t="shared" si="1270"/>
        <v>885.90549303597288</v>
      </c>
      <c r="M620" s="74">
        <f t="shared" si="1271"/>
        <v>983.37544021068993</v>
      </c>
      <c r="N620" s="74">
        <f t="shared" si="1272"/>
        <v>1070.4021787595445</v>
      </c>
      <c r="O620" s="74">
        <f t="shared" si="1273"/>
        <v>1148.1046238924505</v>
      </c>
      <c r="P620" s="74">
        <f t="shared" si="1274"/>
        <v>1217.4818070468307</v>
      </c>
      <c r="Q620" s="74">
        <f t="shared" si="1275"/>
        <v>1217.4818070468307</v>
      </c>
      <c r="R620" s="74">
        <f t="shared" si="1276"/>
        <v>1217.4818070468307</v>
      </c>
      <c r="S620" s="74">
        <f t="shared" si="1277"/>
        <v>1217.4818070468307</v>
      </c>
      <c r="T620" s="74">
        <f t="shared" si="1278"/>
        <v>1217.4818070468307</v>
      </c>
      <c r="U620" s="74">
        <f t="shared" si="1279"/>
        <v>1217.4818070468307</v>
      </c>
      <c r="V620" s="74">
        <f t="shared" si="1280"/>
        <v>1217.4818070468307</v>
      </c>
      <c r="W620" s="74">
        <f t="shared" si="1281"/>
        <v>1217.4818070468307</v>
      </c>
      <c r="X620" s="74">
        <f t="shared" si="1282"/>
        <v>1217.4818070468307</v>
      </c>
      <c r="Y620" s="74">
        <f t="shared" si="1283"/>
        <v>1217.4818070468307</v>
      </c>
      <c r="Z620" s="74">
        <f t="shared" si="1284"/>
        <v>1217.4818070468307</v>
      </c>
    </row>
    <row r="621" spans="1:26" outlineLevel="1" x14ac:dyDescent="0.25">
      <c r="A621" s="39" t="str">
        <f t="shared" si="1134"/>
        <v>БелАЗ 7531 (БТЛ)</v>
      </c>
      <c r="B621" s="39"/>
      <c r="D621" s="101" t="str">
        <f t="shared" ref="D621:F621" si="1291">D612</f>
        <v>Налог на прибыль</v>
      </c>
      <c r="E621" s="9" t="str">
        <f t="shared" si="1291"/>
        <v>тыс. руб.</v>
      </c>
      <c r="F621" s="74">
        <f t="shared" si="1291"/>
        <v>0</v>
      </c>
      <c r="G621" s="74">
        <f t="shared" si="1286"/>
        <v>-26846.850296547855</v>
      </c>
      <c r="H621" s="74">
        <f t="shared" si="1266"/>
        <v>-52469.835426730351</v>
      </c>
      <c r="I621" s="74">
        <f t="shared" si="1267"/>
        <v>-83026.321479677455</v>
      </c>
      <c r="J621" s="74">
        <f t="shared" si="1268"/>
        <v>-114267.58429962397</v>
      </c>
      <c r="K621" s="74">
        <f t="shared" si="1269"/>
        <v>-135925.07162176733</v>
      </c>
      <c r="L621" s="74">
        <f t="shared" si="1270"/>
        <v>-158396.60092221611</v>
      </c>
      <c r="M621" s="74">
        <f t="shared" si="1271"/>
        <v>-174372.1319814499</v>
      </c>
      <c r="N621" s="74">
        <f t="shared" si="1272"/>
        <v>-195302.87796810461</v>
      </c>
      <c r="O621" s="74">
        <f t="shared" si="1273"/>
        <v>-212607.27188732129</v>
      </c>
      <c r="P621" s="74">
        <f t="shared" si="1274"/>
        <v>-224247.3241223933</v>
      </c>
      <c r="Q621" s="74">
        <f t="shared" si="1275"/>
        <v>-224247.3241223933</v>
      </c>
      <c r="R621" s="74">
        <f t="shared" si="1276"/>
        <v>-224247.3241223933</v>
      </c>
      <c r="S621" s="74">
        <f t="shared" si="1277"/>
        <v>-224247.3241223933</v>
      </c>
      <c r="T621" s="74">
        <f t="shared" si="1278"/>
        <v>-224247.3241223933</v>
      </c>
      <c r="U621" s="74">
        <f t="shared" si="1279"/>
        <v>-224247.3241223933</v>
      </c>
      <c r="V621" s="74">
        <f t="shared" si="1280"/>
        <v>-224247.3241223933</v>
      </c>
      <c r="W621" s="74">
        <f t="shared" si="1281"/>
        <v>-224247.3241223933</v>
      </c>
      <c r="X621" s="74">
        <f t="shared" si="1282"/>
        <v>-224247.3241223933</v>
      </c>
      <c r="Y621" s="74">
        <f t="shared" si="1283"/>
        <v>-224247.3241223933</v>
      </c>
      <c r="Z621" s="74">
        <f t="shared" si="1284"/>
        <v>-224247.3241223933</v>
      </c>
    </row>
    <row r="622" spans="1:26" outlineLevel="1" x14ac:dyDescent="0.25">
      <c r="A622" s="39" t="str">
        <f t="shared" si="1134"/>
        <v>БелАЗ 7531 (БТЛ)</v>
      </c>
      <c r="B622" s="39"/>
      <c r="D622" s="101"/>
      <c r="E622" s="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outlineLevel="1" x14ac:dyDescent="0.25">
      <c r="A623" s="39" t="str">
        <f t="shared" si="1134"/>
        <v>БелАЗ 7531 (БТЛ)</v>
      </c>
      <c r="B623" s="39"/>
      <c r="D623" s="67" t="s">
        <v>90</v>
      </c>
      <c r="E623" s="68" t="str">
        <f>E604</f>
        <v>тыс. руб.</v>
      </c>
      <c r="F623" s="69">
        <f>F601*'ФОТ, МТР, макро'!AJ$13</f>
        <v>0</v>
      </c>
      <c r="G623" s="69">
        <f>G601*'ФОТ, МТР, макро'!AK$13</f>
        <v>0</v>
      </c>
      <c r="H623" s="69">
        <f>H601*'ФОТ, МТР, макро'!AL$13</f>
        <v>0</v>
      </c>
      <c r="I623" s="69">
        <f>I601*'ФОТ, МТР, макро'!AM$13</f>
        <v>0</v>
      </c>
      <c r="J623" s="69">
        <f>J601*'ФОТ, МТР, макро'!AN$13</f>
        <v>0</v>
      </c>
      <c r="K623" s="69">
        <f>K601*'ФОТ, МТР, макро'!AO$13</f>
        <v>0</v>
      </c>
      <c r="L623" s="69">
        <f>L601*'ФОТ, МТР, макро'!AP$13</f>
        <v>0</v>
      </c>
      <c r="M623" s="69">
        <f>M601*'ФОТ, МТР, макро'!AQ$13</f>
        <v>0</v>
      </c>
      <c r="N623" s="69">
        <f>N601*'ФОТ, МТР, макро'!AR$13</f>
        <v>0</v>
      </c>
      <c r="O623" s="69">
        <f>O601*'ФОТ, МТР, макро'!AS$13</f>
        <v>0</v>
      </c>
      <c r="P623" s="69">
        <f>P601*'ФОТ, МТР, макро'!AT$13</f>
        <v>0</v>
      </c>
      <c r="Q623" s="69">
        <f>Q601*'ФОТ, МТР, макро'!AU$13</f>
        <v>0</v>
      </c>
      <c r="R623" s="69">
        <f>R601*'ФОТ, МТР, макро'!AV$13</f>
        <v>0</v>
      </c>
      <c r="S623" s="69">
        <f>S601*'ФОТ, МТР, макро'!AW$13</f>
        <v>0</v>
      </c>
      <c r="T623" s="69">
        <f>T601*'ФОТ, МТР, макро'!AX$13</f>
        <v>0</v>
      </c>
      <c r="U623" s="69">
        <f>U601*'ФОТ, МТР, макро'!AY$13</f>
        <v>0</v>
      </c>
      <c r="V623" s="69">
        <f>V601*'ФОТ, МТР, макро'!AZ$13</f>
        <v>0</v>
      </c>
      <c r="W623" s="69">
        <f>W601*'ФОТ, МТР, макро'!BA$13</f>
        <v>0</v>
      </c>
      <c r="X623" s="69">
        <f>X601*'ФОТ, МТР, макро'!BB$13</f>
        <v>0</v>
      </c>
      <c r="Y623" s="69">
        <f>Y601*'ФОТ, МТР, макро'!BC$13</f>
        <v>0</v>
      </c>
      <c r="Z623" s="69">
        <f>Z601*'ФОТ, МТР, макро'!BD$13</f>
        <v>0</v>
      </c>
    </row>
    <row r="624" spans="1:26" outlineLevel="1" x14ac:dyDescent="0.25">
      <c r="A624" s="39" t="str">
        <f t="shared" si="1134"/>
        <v>БелАЗ 7531 (БТЛ)</v>
      </c>
      <c r="B624" s="39"/>
      <c r="D624" s="101" t="str">
        <f>D602</f>
        <v>Самосвал</v>
      </c>
      <c r="E624" s="9" t="str">
        <f>E623</f>
        <v>тыс. руб.</v>
      </c>
      <c r="F624" s="74">
        <f>F602*'ФОТ, МТР, макро'!AJ$13</f>
        <v>0</v>
      </c>
      <c r="G624" s="74">
        <f>G602*'ФОТ, МТР, макро'!AK$13</f>
        <v>0</v>
      </c>
      <c r="H624" s="74">
        <f>H602*'ФОТ, МТР, макро'!AL$13</f>
        <v>0</v>
      </c>
      <c r="I624" s="74">
        <f>I602*'ФОТ, МТР, макро'!AM$13</f>
        <v>0</v>
      </c>
      <c r="J624" s="74">
        <f>J602*'ФОТ, МТР, макро'!AN$13</f>
        <v>0</v>
      </c>
      <c r="K624" s="74">
        <f>K602*'ФОТ, МТР, макро'!AO$13</f>
        <v>0</v>
      </c>
      <c r="L624" s="74">
        <f>L602*'ФОТ, МТР, макро'!AP$13</f>
        <v>0</v>
      </c>
      <c r="M624" s="74">
        <f>M602*'ФОТ, МТР, макро'!AQ$13</f>
        <v>0</v>
      </c>
      <c r="N624" s="74">
        <f>N602*'ФОТ, МТР, макро'!AR$13</f>
        <v>0</v>
      </c>
      <c r="O624" s="74">
        <f>O602*'ФОТ, МТР, макро'!AS$13</f>
        <v>0</v>
      </c>
      <c r="P624" s="74">
        <f>P602*'ФОТ, МТР, макро'!AT$13</f>
        <v>0</v>
      </c>
      <c r="Q624" s="74">
        <f>Q602*'ФОТ, МТР, макро'!AU$13</f>
        <v>0</v>
      </c>
      <c r="R624" s="74">
        <f>R602*'ФОТ, МТР, макро'!AV$13</f>
        <v>0</v>
      </c>
      <c r="S624" s="74">
        <f>S602*'ФОТ, МТР, макро'!AW$13</f>
        <v>0</v>
      </c>
      <c r="T624" s="74">
        <f>T602*'ФОТ, МТР, макро'!AX$13</f>
        <v>0</v>
      </c>
      <c r="U624" s="74">
        <f>U602*'ФОТ, МТР, макро'!AY$13</f>
        <v>0</v>
      </c>
      <c r="V624" s="74">
        <f>V602*'ФОТ, МТР, макро'!AZ$13</f>
        <v>0</v>
      </c>
      <c r="W624" s="74">
        <f>W602*'ФОТ, МТР, макро'!BA$13</f>
        <v>0</v>
      </c>
      <c r="X624" s="74">
        <f>X602*'ФОТ, МТР, макро'!BB$13</f>
        <v>0</v>
      </c>
      <c r="Y624" s="74">
        <f>Y602*'ФОТ, МТР, макро'!BC$13</f>
        <v>0</v>
      </c>
      <c r="Z624" s="74">
        <f>Z602*'ФОТ, МТР, макро'!BD$13</f>
        <v>0</v>
      </c>
    </row>
    <row r="625" spans="1:29" outlineLevel="1" x14ac:dyDescent="0.25">
      <c r="A625" s="39" t="str">
        <f t="shared" si="1134"/>
        <v>БелАЗ 7531 (БТЛ)</v>
      </c>
      <c r="B625" s="39"/>
      <c r="D625" s="104" t="s">
        <v>88</v>
      </c>
      <c r="E625" s="9"/>
      <c r="F625" s="106">
        <f>F623-F624</f>
        <v>0</v>
      </c>
      <c r="G625" s="106">
        <f t="shared" ref="G625:Z625" si="1292">G623-G624</f>
        <v>0</v>
      </c>
      <c r="H625" s="106">
        <f t="shared" si="1292"/>
        <v>0</v>
      </c>
      <c r="I625" s="106">
        <f t="shared" si="1292"/>
        <v>0</v>
      </c>
      <c r="J625" s="106">
        <f t="shared" si="1292"/>
        <v>0</v>
      </c>
      <c r="K625" s="106">
        <f t="shared" si="1292"/>
        <v>0</v>
      </c>
      <c r="L625" s="106">
        <f t="shared" si="1292"/>
        <v>0</v>
      </c>
      <c r="M625" s="106">
        <f t="shared" si="1292"/>
        <v>0</v>
      </c>
      <c r="N625" s="106">
        <f t="shared" si="1292"/>
        <v>0</v>
      </c>
      <c r="O625" s="106">
        <f t="shared" si="1292"/>
        <v>0</v>
      </c>
      <c r="P625" s="106">
        <f t="shared" si="1292"/>
        <v>0</v>
      </c>
      <c r="Q625" s="106">
        <f t="shared" si="1292"/>
        <v>0</v>
      </c>
      <c r="R625" s="106">
        <f t="shared" si="1292"/>
        <v>0</v>
      </c>
      <c r="S625" s="106">
        <f t="shared" si="1292"/>
        <v>0</v>
      </c>
      <c r="T625" s="106">
        <f t="shared" si="1292"/>
        <v>0</v>
      </c>
      <c r="U625" s="106">
        <f t="shared" si="1292"/>
        <v>0</v>
      </c>
      <c r="V625" s="106">
        <f t="shared" si="1292"/>
        <v>0</v>
      </c>
      <c r="W625" s="106">
        <f t="shared" si="1292"/>
        <v>0</v>
      </c>
      <c r="X625" s="106">
        <f t="shared" si="1292"/>
        <v>0</v>
      </c>
      <c r="Y625" s="106">
        <f t="shared" si="1292"/>
        <v>0</v>
      </c>
      <c r="Z625" s="106">
        <f t="shared" si="1292"/>
        <v>0</v>
      </c>
    </row>
    <row r="626" spans="1:29" outlineLevel="1" x14ac:dyDescent="0.25">
      <c r="A626" s="39" t="str">
        <f t="shared" si="1134"/>
        <v>БелАЗ 7531 (БТЛ)</v>
      </c>
      <c r="B626" s="39"/>
      <c r="D626" s="107" t="s">
        <v>91</v>
      </c>
      <c r="E626" s="68" t="str">
        <f>E623</f>
        <v>тыс. руб.</v>
      </c>
      <c r="F626" s="69">
        <f>F623</f>
        <v>0</v>
      </c>
      <c r="G626" s="69">
        <f>F626+G623</f>
        <v>0</v>
      </c>
      <c r="H626" s="69">
        <f t="shared" ref="H626:H627" si="1293">G626+H623</f>
        <v>0</v>
      </c>
      <c r="I626" s="69">
        <f t="shared" ref="I626:I627" si="1294">H626+I623</f>
        <v>0</v>
      </c>
      <c r="J626" s="69">
        <f t="shared" ref="J626:J627" si="1295">I626+J623</f>
        <v>0</v>
      </c>
      <c r="K626" s="69">
        <f t="shared" ref="K626:K627" si="1296">J626+K623</f>
        <v>0</v>
      </c>
      <c r="L626" s="69">
        <f t="shared" ref="L626:L627" si="1297">K626+L623</f>
        <v>0</v>
      </c>
      <c r="M626" s="69">
        <f t="shared" ref="M626:M627" si="1298">L626+M623</f>
        <v>0</v>
      </c>
      <c r="N626" s="69">
        <f t="shared" ref="N626:N627" si="1299">M626+N623</f>
        <v>0</v>
      </c>
      <c r="O626" s="69">
        <f t="shared" ref="O626:O627" si="1300">N626+O623</f>
        <v>0</v>
      </c>
      <c r="P626" s="69">
        <f t="shared" ref="P626:P627" si="1301">O626+P623</f>
        <v>0</v>
      </c>
      <c r="Q626" s="69">
        <f t="shared" ref="Q626:Q627" si="1302">P626+Q623</f>
        <v>0</v>
      </c>
      <c r="R626" s="69">
        <f t="shared" ref="R626:R627" si="1303">Q626+R623</f>
        <v>0</v>
      </c>
      <c r="S626" s="69">
        <f t="shared" ref="S626:S627" si="1304">R626+S623</f>
        <v>0</v>
      </c>
      <c r="T626" s="69">
        <f t="shared" ref="T626:T627" si="1305">S626+T623</f>
        <v>0</v>
      </c>
      <c r="U626" s="69">
        <f t="shared" ref="U626:U627" si="1306">T626+U623</f>
        <v>0</v>
      </c>
      <c r="V626" s="69">
        <f t="shared" ref="V626:V627" si="1307">U626+V623</f>
        <v>0</v>
      </c>
      <c r="W626" s="69">
        <f t="shared" ref="W626:W627" si="1308">V626+W623</f>
        <v>0</v>
      </c>
      <c r="X626" s="69">
        <f t="shared" ref="X626:X627" si="1309">W626+X623</f>
        <v>0</v>
      </c>
      <c r="Y626" s="69">
        <f t="shared" ref="Y626:Y627" si="1310">X626+Y623</f>
        <v>0</v>
      </c>
      <c r="Z626" s="69">
        <f t="shared" ref="Z626:Z627" si="1311">Y626+Z623</f>
        <v>0</v>
      </c>
    </row>
    <row r="627" spans="1:29" outlineLevel="1" x14ac:dyDescent="0.25">
      <c r="A627" s="39" t="str">
        <f t="shared" si="1134"/>
        <v>БелАЗ 7531 (БТЛ)</v>
      </c>
      <c r="B627" s="39"/>
      <c r="D627" s="101" t="str">
        <f>D624</f>
        <v>Самосвал</v>
      </c>
      <c r="E627" s="9" t="str">
        <f>E624</f>
        <v>тыс. руб.</v>
      </c>
      <c r="F627" s="74">
        <f>F624</f>
        <v>0</v>
      </c>
      <c r="G627" s="74">
        <f>F627+G624</f>
        <v>0</v>
      </c>
      <c r="H627" s="74">
        <f t="shared" si="1293"/>
        <v>0</v>
      </c>
      <c r="I627" s="74">
        <f t="shared" si="1294"/>
        <v>0</v>
      </c>
      <c r="J627" s="74">
        <f t="shared" si="1295"/>
        <v>0</v>
      </c>
      <c r="K627" s="74">
        <f t="shared" si="1296"/>
        <v>0</v>
      </c>
      <c r="L627" s="74">
        <f t="shared" si="1297"/>
        <v>0</v>
      </c>
      <c r="M627" s="74">
        <f t="shared" si="1298"/>
        <v>0</v>
      </c>
      <c r="N627" s="74">
        <f t="shared" si="1299"/>
        <v>0</v>
      </c>
      <c r="O627" s="74">
        <f t="shared" si="1300"/>
        <v>0</v>
      </c>
      <c r="P627" s="74">
        <f t="shared" si="1301"/>
        <v>0</v>
      </c>
      <c r="Q627" s="74">
        <f t="shared" si="1302"/>
        <v>0</v>
      </c>
      <c r="R627" s="74">
        <f t="shared" si="1303"/>
        <v>0</v>
      </c>
      <c r="S627" s="74">
        <f t="shared" si="1304"/>
        <v>0</v>
      </c>
      <c r="T627" s="74">
        <f t="shared" si="1305"/>
        <v>0</v>
      </c>
      <c r="U627" s="74">
        <f t="shared" si="1306"/>
        <v>0</v>
      </c>
      <c r="V627" s="74">
        <f t="shared" si="1307"/>
        <v>0</v>
      </c>
      <c r="W627" s="74">
        <f t="shared" si="1308"/>
        <v>0</v>
      </c>
      <c r="X627" s="74">
        <f t="shared" si="1309"/>
        <v>0</v>
      </c>
      <c r="Y627" s="74">
        <f t="shared" si="1310"/>
        <v>0</v>
      </c>
      <c r="Z627" s="74">
        <f t="shared" si="1311"/>
        <v>0</v>
      </c>
    </row>
    <row r="628" spans="1:29" outlineLevel="1" x14ac:dyDescent="0.25">
      <c r="A628" s="39" t="str">
        <f t="shared" si="1134"/>
        <v>БелАЗ 7531 (БТЛ)</v>
      </c>
      <c r="B628" s="39"/>
      <c r="D628" s="101"/>
      <c r="E628" s="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9" outlineLevel="1" x14ac:dyDescent="0.25">
      <c r="A629" s="39" t="str">
        <f t="shared" si="1134"/>
        <v>БелАЗ 7531 (БТЛ)</v>
      </c>
      <c r="B629" s="39"/>
      <c r="D629" s="67" t="s">
        <v>92</v>
      </c>
      <c r="E629" s="68" t="str">
        <f>E604</f>
        <v>тыс. руб.</v>
      </c>
      <c r="F629" s="69">
        <f>F604*'ФОТ, МТР, макро'!AJ$13</f>
        <v>0</v>
      </c>
      <c r="G629" s="69">
        <f>G604*'ФОТ, МТР, макро'!AK$13</f>
        <v>80540.550889643564</v>
      </c>
      <c r="H629" s="69">
        <f>H604*'ФОТ, МТР, макро'!AL$13</f>
        <v>76868.95539054749</v>
      </c>
      <c r="I629" s="69">
        <f>I604*'ФОТ, МТР, макро'!AM$13</f>
        <v>91669.458158841298</v>
      </c>
      <c r="J629" s="69">
        <f>J604*'ФОТ, МТР, макро'!AN$13</f>
        <v>93723.788459839503</v>
      </c>
      <c r="K629" s="69">
        <f>K604*'ФОТ, МТР, макро'!AO$13</f>
        <v>64972.461966430099</v>
      </c>
      <c r="L629" s="69">
        <f>L604*'ФОТ, МТР, макро'!AP$13</f>
        <v>67414.587901346356</v>
      </c>
      <c r="M629" s="69">
        <f>M604*'ФОТ, МТР, макро'!AQ$13</f>
        <v>47926.593177701376</v>
      </c>
      <c r="N629" s="69">
        <f>N604*'ФОТ, МТР, макро'!AR$13</f>
        <v>62792.237959964186</v>
      </c>
      <c r="O629" s="69">
        <f>O604*'ФОТ, МТР, макро'!AS$13</f>
        <v>51913.181757650025</v>
      </c>
      <c r="P629" s="69">
        <f>P604*'ФОТ, МТР, макро'!AT$13</f>
        <v>34920.156705216046</v>
      </c>
      <c r="Q629" s="69">
        <f>Q604*'ФОТ, МТР, макро'!AU$13</f>
        <v>0</v>
      </c>
      <c r="R629" s="69">
        <f>R604*'ФОТ, МТР, макро'!AV$13</f>
        <v>0</v>
      </c>
      <c r="S629" s="69">
        <f>S604*'ФОТ, МТР, макро'!AW$13</f>
        <v>0</v>
      </c>
      <c r="T629" s="69">
        <f>T604*'ФОТ, МТР, макро'!AX$13</f>
        <v>0</v>
      </c>
      <c r="U629" s="69">
        <f>U604*'ФОТ, МТР, макро'!AY$13</f>
        <v>0</v>
      </c>
      <c r="V629" s="69">
        <f>V604*'ФОТ, МТР, макро'!AZ$13</f>
        <v>0</v>
      </c>
      <c r="W629" s="69">
        <f>W604*'ФОТ, МТР, макро'!BA$13</f>
        <v>0</v>
      </c>
      <c r="X629" s="69">
        <f>X604*'ФОТ, МТР, макро'!BB$13</f>
        <v>0</v>
      </c>
      <c r="Y629" s="69">
        <f>Y604*'ФОТ, МТР, макро'!BC$13</f>
        <v>0</v>
      </c>
      <c r="Z629" s="69">
        <f>Z604*'ФОТ, МТР, макро'!BD$13</f>
        <v>0</v>
      </c>
    </row>
    <row r="630" spans="1:29" outlineLevel="1" x14ac:dyDescent="0.25">
      <c r="A630" s="39" t="str">
        <f t="shared" si="1134"/>
        <v>БелАЗ 7531 (БТЛ)</v>
      </c>
      <c r="B630" s="39"/>
      <c r="D630" s="107" t="s">
        <v>93</v>
      </c>
      <c r="E630" s="68" t="str">
        <f>E629</f>
        <v>тыс. руб.</v>
      </c>
      <c r="F630" s="69">
        <f>F629</f>
        <v>0</v>
      </c>
      <c r="G630" s="69">
        <f>F630+G629</f>
        <v>80540.550889643564</v>
      </c>
      <c r="H630" s="69">
        <f t="shared" ref="H630" si="1312">G630+H629</f>
        <v>157409.50628019107</v>
      </c>
      <c r="I630" s="69">
        <f t="shared" ref="I630" si="1313">H630+I629</f>
        <v>249078.96443903237</v>
      </c>
      <c r="J630" s="69">
        <f t="shared" ref="J630" si="1314">I630+J629</f>
        <v>342802.7528988719</v>
      </c>
      <c r="K630" s="69">
        <f t="shared" ref="K630" si="1315">J630+K629</f>
        <v>407775.21486530197</v>
      </c>
      <c r="L630" s="69">
        <f t="shared" ref="L630" si="1316">K630+L629</f>
        <v>475189.80276664835</v>
      </c>
      <c r="M630" s="69">
        <f t="shared" ref="M630" si="1317">L630+M629</f>
        <v>523116.3959443497</v>
      </c>
      <c r="N630" s="69">
        <f t="shared" ref="N630" si="1318">M630+N629</f>
        <v>585908.6339043139</v>
      </c>
      <c r="O630" s="69">
        <f t="shared" ref="O630" si="1319">N630+O629</f>
        <v>637821.81566196389</v>
      </c>
      <c r="P630" s="69">
        <f t="shared" ref="P630" si="1320">O630+P629</f>
        <v>672741.97236717993</v>
      </c>
      <c r="Q630" s="69">
        <f t="shared" ref="Q630" si="1321">P630+Q629</f>
        <v>672741.97236717993</v>
      </c>
      <c r="R630" s="69">
        <f t="shared" ref="R630" si="1322">Q630+R629</f>
        <v>672741.97236717993</v>
      </c>
      <c r="S630" s="69">
        <f t="shared" ref="S630" si="1323">R630+S629</f>
        <v>672741.97236717993</v>
      </c>
      <c r="T630" s="69">
        <f t="shared" ref="T630" si="1324">S630+T629</f>
        <v>672741.97236717993</v>
      </c>
      <c r="U630" s="69">
        <f t="shared" ref="U630" si="1325">T630+U629</f>
        <v>672741.97236717993</v>
      </c>
      <c r="V630" s="69">
        <f t="shared" ref="V630" si="1326">U630+V629</f>
        <v>672741.97236717993</v>
      </c>
      <c r="W630" s="69">
        <f t="shared" ref="W630" si="1327">V630+W629</f>
        <v>672741.97236717993</v>
      </c>
      <c r="X630" s="69">
        <f t="shared" ref="X630" si="1328">W630+X629</f>
        <v>672741.97236717993</v>
      </c>
      <c r="Y630" s="69">
        <f t="shared" ref="Y630" si="1329">X630+Y629</f>
        <v>672741.97236717993</v>
      </c>
      <c r="Z630" s="69">
        <f t="shared" ref="Z630" si="1330">Y630+Z629</f>
        <v>672741.97236717993</v>
      </c>
    </row>
    <row r="631" spans="1:29" outlineLevel="1" x14ac:dyDescent="0.25">
      <c r="A631" s="39" t="str">
        <f t="shared" ref="A631:A653" si="1331">A630</f>
        <v>БелАЗ 7531 (БТЛ)</v>
      </c>
      <c r="B631" s="39"/>
      <c r="D631" s="101"/>
      <c r="E631" s="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9" outlineLevel="1" x14ac:dyDescent="0.25">
      <c r="A632" s="39" t="str">
        <f t="shared" si="1331"/>
        <v>БелАЗ 7531 (БТЛ)</v>
      </c>
      <c r="B632" s="39" t="str">
        <f>D632</f>
        <v>Аннуитет операционный</v>
      </c>
      <c r="C632" s="61">
        <f>E563</f>
        <v>10</v>
      </c>
      <c r="D632" s="108" t="s">
        <v>94</v>
      </c>
      <c r="E632" s="109" t="s">
        <v>95</v>
      </c>
      <c r="F632" s="110"/>
      <c r="G632" s="111">
        <f>G614/'ФОТ, МТР, макро'!AK$14/(G570/G565)</f>
        <v>7.6781480889081983</v>
      </c>
      <c r="H632" s="111">
        <f>H614/'ФОТ, МТР, макро'!AL$14/(H570/H565)</f>
        <v>7.8865196974275626</v>
      </c>
      <c r="I632" s="111">
        <f>I614/'ФОТ, МТР, макро'!AM$14/(I570/I565)</f>
        <v>8.6085433932740738</v>
      </c>
      <c r="J632" s="111">
        <f>J614/'ФОТ, МТР, макро'!AN$14/(J570/J565)</f>
        <v>9.3517557757147962</v>
      </c>
      <c r="K632" s="111">
        <f>K614/'ФОТ, МТР, макро'!AO$14/(K570/K565)</f>
        <v>9.2130665187987226</v>
      </c>
      <c r="L632" s="111">
        <f>L614/'ФОТ, МТР, макро'!AP$14/(L570/L565)</f>
        <v>9.3214295187577818</v>
      </c>
      <c r="M632" s="111">
        <f>M614/'ФОТ, МТР, макро'!AQ$14/(M570/M565)</f>
        <v>9.2736114216188259</v>
      </c>
      <c r="N632" s="111">
        <f>N614/'ФОТ, МТР, макро'!AR$14/(N570/N565)</f>
        <v>9.5007958168168472</v>
      </c>
      <c r="O632" s="111">
        <f>O614/'ФОТ, МТР, макро'!AS$14/(O570/O565)</f>
        <v>9.6066942542684099</v>
      </c>
      <c r="P632" s="111">
        <f>P614/'ФОТ, МТР, макро'!AT$14/(P570/P565)</f>
        <v>9.5582597017259801</v>
      </c>
      <c r="Q632" s="111" t="e">
        <f>Q614/'ФОТ, МТР, макро'!AU$14/(Q570/Q565)</f>
        <v>#DIV/0!</v>
      </c>
      <c r="R632" s="111" t="e">
        <f>R614/'ФОТ, МТР, макро'!AV$14/(R570/R565)</f>
        <v>#DIV/0!</v>
      </c>
      <c r="S632" s="111" t="e">
        <f>S614/'ФОТ, МТР, макро'!AW$14/(S570/S565)</f>
        <v>#DIV/0!</v>
      </c>
      <c r="T632" s="111" t="e">
        <f>T614/'ФОТ, МТР, макро'!AX$14/(T570/T565)</f>
        <v>#DIV/0!</v>
      </c>
      <c r="U632" s="111" t="e">
        <f>U614/'ФОТ, МТР, макро'!AY$14/(U570/U565)</f>
        <v>#DIV/0!</v>
      </c>
      <c r="V632" s="111" t="e">
        <f>V614/'ФОТ, МТР, макро'!AZ$14/(V570/V565)</f>
        <v>#DIV/0!</v>
      </c>
      <c r="W632" s="111" t="e">
        <f>W614/'ФОТ, МТР, макро'!BA$14/(W570/W565)</f>
        <v>#DIV/0!</v>
      </c>
      <c r="X632" s="111" t="e">
        <f>X614/'ФОТ, МТР, макро'!BB$14/(X570/X565)</f>
        <v>#DIV/0!</v>
      </c>
      <c r="Y632" s="111" t="e">
        <f>Y614/'ФОТ, МТР, макро'!BC$14/(Y570/Y565)</f>
        <v>#DIV/0!</v>
      </c>
      <c r="Z632" s="111" t="e">
        <f>Z614/'ФОТ, МТР, макро'!BD$14/(Z570/Z565)</f>
        <v>#DIV/0!</v>
      </c>
      <c r="AC632" s="112" cm="1">
        <f t="array" ref="AC632">INDEX(G632:Z632,1,$C632)</f>
        <v>9.5582597017259801</v>
      </c>
    </row>
    <row r="633" spans="1:29" outlineLevel="1" x14ac:dyDescent="0.25">
      <c r="A633" s="39" t="str">
        <f t="shared" si="1331"/>
        <v>БелАЗ 7531 (БТЛ)</v>
      </c>
      <c r="B633" s="39" t="str">
        <f t="shared" ref="B633:B642" si="1332">D633</f>
        <v>ТО, ТР, ППР</v>
      </c>
      <c r="C633" s="39">
        <f>C632</f>
        <v>10</v>
      </c>
      <c r="D633" s="113" t="str">
        <f>D615</f>
        <v>ТО, ТР, ППР</v>
      </c>
      <c r="E633" s="114" t="str">
        <f>E632</f>
        <v>руб/ткм</v>
      </c>
      <c r="F633" s="115"/>
      <c r="G633" s="116">
        <f>G615/'ФОТ, МТР, макро'!AK$14/(G570/G565)</f>
        <v>1.0470350750331809</v>
      </c>
      <c r="H633" s="116">
        <f>H615/'ФОТ, МТР, макро'!AL$14/(H570/H565)</f>
        <v>1.335398659449486</v>
      </c>
      <c r="I633" s="116">
        <f>I615/'ФОТ, МТР, макро'!AM$14/(I570/I565)</f>
        <v>2.3450710909486392</v>
      </c>
      <c r="J633" s="116">
        <f>J615/'ФОТ, МТР, макро'!AN$14/(J570/J565)</f>
        <v>3.3372859745789638</v>
      </c>
      <c r="K633" s="116">
        <f>K615/'ФОТ, МТР, макро'!AO$14/(K570/K565)</f>
        <v>3.203616811581866</v>
      </c>
      <c r="L633" s="116">
        <f>L615/'ФОТ, МТР, макро'!AP$14/(L570/L565)</f>
        <v>3.3768114690331181</v>
      </c>
      <c r="M633" s="116">
        <f>M615/'ФОТ, МТР, макро'!AQ$14/(M570/M565)</f>
        <v>3.2956488278770024</v>
      </c>
      <c r="N633" s="116">
        <f>N615/'ФОТ, МТР, макро'!AR$14/(N570/N565)</f>
        <v>3.6130605198887125</v>
      </c>
      <c r="O633" s="116">
        <f>O615/'ФОТ, МТР, макро'!AS$14/(O570/O565)</f>
        <v>3.7673422946037682</v>
      </c>
      <c r="P633" s="116">
        <f>P615/'ФОТ, МТР, макро'!AT$14/(P570/P565)</f>
        <v>3.6979755371677108</v>
      </c>
      <c r="Q633" s="116" t="e">
        <f>Q615/'ФОТ, МТР, макро'!AU$14/(Q570/Q565)</f>
        <v>#DIV/0!</v>
      </c>
      <c r="R633" s="116" t="e">
        <f>R615/'ФОТ, МТР, макро'!AV$14/(R570/R565)</f>
        <v>#DIV/0!</v>
      </c>
      <c r="S633" s="116" t="e">
        <f>S615/'ФОТ, МТР, макро'!AW$14/(S570/S565)</f>
        <v>#DIV/0!</v>
      </c>
      <c r="T633" s="116" t="e">
        <f>T615/'ФОТ, МТР, макро'!AX$14/(T570/T565)</f>
        <v>#DIV/0!</v>
      </c>
      <c r="U633" s="116" t="e">
        <f>U615/'ФОТ, МТР, макро'!AY$14/(U570/U565)</f>
        <v>#DIV/0!</v>
      </c>
      <c r="V633" s="116" t="e">
        <f>V615/'ФОТ, МТР, макро'!AZ$14/(V570/V565)</f>
        <v>#DIV/0!</v>
      </c>
      <c r="W633" s="116" t="e">
        <f>W615/'ФОТ, МТР, макро'!BA$14/(W570/W565)</f>
        <v>#DIV/0!</v>
      </c>
      <c r="X633" s="116" t="e">
        <f>X615/'ФОТ, МТР, макро'!BB$14/(X570/X565)</f>
        <v>#DIV/0!</v>
      </c>
      <c r="Y633" s="116" t="e">
        <f>Y615/'ФОТ, МТР, макро'!BC$14/(Y570/Y565)</f>
        <v>#DIV/0!</v>
      </c>
      <c r="Z633" s="116" t="e">
        <f>Z615/'ФОТ, МТР, макро'!BD$14/(Z570/Z565)</f>
        <v>#DIV/0!</v>
      </c>
      <c r="AC633" s="117" cm="1">
        <f t="array" ref="AC633">INDEX(G633:Z633,1,$C633)</f>
        <v>3.6979755371677108</v>
      </c>
    </row>
    <row r="634" spans="1:29" outlineLevel="1" x14ac:dyDescent="0.25">
      <c r="A634" s="39" t="str">
        <f t="shared" si="1331"/>
        <v>БелАЗ 7531 (БТЛ)</v>
      </c>
      <c r="B634" s="39" t="str">
        <f t="shared" si="1332"/>
        <v>Шины</v>
      </c>
      <c r="C634" s="39">
        <f t="shared" ref="C634:C642" si="1333">C633</f>
        <v>10</v>
      </c>
      <c r="D634" s="113" t="str">
        <f t="shared" ref="D634:D639" si="1334">D616</f>
        <v>Шины</v>
      </c>
      <c r="E634" s="114" t="str">
        <f t="shared" ref="E634:E639" si="1335">E633</f>
        <v>руб/ткм</v>
      </c>
      <c r="F634" s="115"/>
      <c r="G634" s="116">
        <f>G616/'ФОТ, МТР, макро'!AK$14/(G570/G565)</f>
        <v>1.657837360690771</v>
      </c>
      <c r="H634" s="116">
        <f>H616/'ФОТ, МТР, макро'!AL$14/(H570/H565)</f>
        <v>1.6573482346671136</v>
      </c>
      <c r="I634" s="116">
        <f>I616/'ФОТ, МТР, макро'!AM$14/(I570/I565)</f>
        <v>1.6538853673675751</v>
      </c>
      <c r="J634" s="116">
        <f>J616/'ФОТ, МТР, макро'!AN$14/(J570/J565)</f>
        <v>1.6542257140541348</v>
      </c>
      <c r="K634" s="116">
        <f>K616/'ФОТ, МТР, макро'!AO$14/(K570/K565)</f>
        <v>1.6488162312409658</v>
      </c>
      <c r="L634" s="116">
        <f>L616/'ФОТ, МТР, макро'!AP$14/(L570/L565)</f>
        <v>1.6457913228382286</v>
      </c>
      <c r="M634" s="116">
        <f>M616/'ФОТ, МТР, макро'!AQ$14/(M570/M565)</f>
        <v>1.6485514452951475</v>
      </c>
      <c r="N634" s="116">
        <f>N616/'ФОТ, МТР, макро'!AR$14/(N570/N565)</f>
        <v>1.6468231111477369</v>
      </c>
      <c r="O634" s="116">
        <f>O616/'ФОТ, МТР, макро'!AS$14/(O570/O565)</f>
        <v>1.6451925265466776</v>
      </c>
      <c r="P634" s="116">
        <f>P616/'ФОТ, МТР, макро'!AT$14/(P570/P565)</f>
        <v>1.646133858609776</v>
      </c>
      <c r="Q634" s="116" t="e">
        <f>Q616/'ФОТ, МТР, макро'!AU$14/(Q570/Q565)</f>
        <v>#DIV/0!</v>
      </c>
      <c r="R634" s="116" t="e">
        <f>R616/'ФОТ, МТР, макро'!AV$14/(R570/R565)</f>
        <v>#DIV/0!</v>
      </c>
      <c r="S634" s="116" t="e">
        <f>S616/'ФОТ, МТР, макро'!AW$14/(S570/S565)</f>
        <v>#DIV/0!</v>
      </c>
      <c r="T634" s="116" t="e">
        <f>T616/'ФОТ, МТР, макро'!AX$14/(T570/T565)</f>
        <v>#DIV/0!</v>
      </c>
      <c r="U634" s="116" t="e">
        <f>U616/'ФОТ, МТР, макро'!AY$14/(U570/U565)</f>
        <v>#DIV/0!</v>
      </c>
      <c r="V634" s="116" t="e">
        <f>V616/'ФОТ, МТР, макро'!AZ$14/(V570/V565)</f>
        <v>#DIV/0!</v>
      </c>
      <c r="W634" s="116" t="e">
        <f>W616/'ФОТ, МТР, макро'!BA$14/(W570/W565)</f>
        <v>#DIV/0!</v>
      </c>
      <c r="X634" s="116" t="e">
        <f>X616/'ФОТ, МТР, макро'!BB$14/(X570/X565)</f>
        <v>#DIV/0!</v>
      </c>
      <c r="Y634" s="116" t="e">
        <f>Y616/'ФОТ, МТР, макро'!BC$14/(Y570/Y565)</f>
        <v>#DIV/0!</v>
      </c>
      <c r="Z634" s="116" t="e">
        <f>Z616/'ФОТ, МТР, макро'!BD$14/(Z570/Z565)</f>
        <v>#DIV/0!</v>
      </c>
      <c r="AC634" s="117" cm="1">
        <f t="array" ref="AC634">INDEX(G634:Z634,1,$C634)</f>
        <v>1.646133858609776</v>
      </c>
    </row>
    <row r="635" spans="1:29" outlineLevel="1" x14ac:dyDescent="0.25">
      <c r="A635" s="39" t="str">
        <f t="shared" si="1331"/>
        <v>БелАЗ 7531 (БТЛ)</v>
      </c>
      <c r="B635" s="39" t="str">
        <f t="shared" si="1332"/>
        <v>Топливо</v>
      </c>
      <c r="C635" s="39">
        <f t="shared" si="1333"/>
        <v>10</v>
      </c>
      <c r="D635" s="113" t="str">
        <f t="shared" si="1334"/>
        <v>Топливо</v>
      </c>
      <c r="E635" s="114" t="str">
        <f t="shared" si="1335"/>
        <v>руб/ткм</v>
      </c>
      <c r="F635" s="115"/>
      <c r="G635" s="116">
        <f>G617/'ФОТ, МТР, макро'!AK$14/(G570/G565)</f>
        <v>5.9417027538616862</v>
      </c>
      <c r="H635" s="116">
        <f>H617/'ФОТ, МТР, макро'!AL$14/(H570/H565)</f>
        <v>5.9399497221646946</v>
      </c>
      <c r="I635" s="116">
        <f>I617/'ФОТ, МТР, макро'!AM$14/(I570/I565)</f>
        <v>5.9275387772446502</v>
      </c>
      <c r="J635" s="116">
        <f>J617/'ФОТ, МТР, макро'!AN$14/(J570/J565)</f>
        <v>5.9287585825722102</v>
      </c>
      <c r="K635" s="116">
        <f>K617/'ФОТ, МТР, макро'!AO$14/(K570/K565)</f>
        <v>5.9093709516199286</v>
      </c>
      <c r="L635" s="116">
        <f>L617/'ФОТ, МТР, макро'!AP$14/(L570/L565)</f>
        <v>5.8985296549928385</v>
      </c>
      <c r="M635" s="116">
        <f>M617/'ФОТ, МТР, макро'!AQ$14/(M570/M565)</f>
        <v>5.9084219566094678</v>
      </c>
      <c r="N635" s="116">
        <f>N617/'ФОТ, МТР, макро'!AR$14/(N570/N565)</f>
        <v>5.9022275927914274</v>
      </c>
      <c r="O635" s="116">
        <f>O617/'ФОТ, МТР, макро'!AS$14/(O570/O565)</f>
        <v>5.8963835641525231</v>
      </c>
      <c r="P635" s="116">
        <f>P617/'ФОТ, МТР, макро'!AT$14/(P570/P565)</f>
        <v>5.8997573060190227</v>
      </c>
      <c r="Q635" s="116" t="e">
        <f>Q617/'ФОТ, МТР, макро'!AU$14/(Q570/Q565)</f>
        <v>#DIV/0!</v>
      </c>
      <c r="R635" s="116" t="e">
        <f>R617/'ФОТ, МТР, макро'!AV$14/(R570/R565)</f>
        <v>#DIV/0!</v>
      </c>
      <c r="S635" s="116" t="e">
        <f>S617/'ФОТ, МТР, макро'!AW$14/(S570/S565)</f>
        <v>#DIV/0!</v>
      </c>
      <c r="T635" s="116" t="e">
        <f>T617/'ФОТ, МТР, макро'!AX$14/(T570/T565)</f>
        <v>#DIV/0!</v>
      </c>
      <c r="U635" s="116" t="e">
        <f>U617/'ФОТ, МТР, макро'!AY$14/(U570/U565)</f>
        <v>#DIV/0!</v>
      </c>
      <c r="V635" s="116" t="e">
        <f>V617/'ФОТ, МТР, макро'!AZ$14/(V570/V565)</f>
        <v>#DIV/0!</v>
      </c>
      <c r="W635" s="116" t="e">
        <f>W617/'ФОТ, МТР, макро'!BA$14/(W570/W565)</f>
        <v>#DIV/0!</v>
      </c>
      <c r="X635" s="116" t="e">
        <f>X617/'ФОТ, МТР, макро'!BB$14/(X570/X565)</f>
        <v>#DIV/0!</v>
      </c>
      <c r="Y635" s="116" t="e">
        <f>Y617/'ФОТ, МТР, макро'!BC$14/(Y570/Y565)</f>
        <v>#DIV/0!</v>
      </c>
      <c r="Z635" s="116" t="e">
        <f>Z617/'ФОТ, МТР, макро'!BD$14/(Z570/Z565)</f>
        <v>#DIV/0!</v>
      </c>
      <c r="AC635" s="117" cm="1">
        <f t="array" ref="AC635">INDEX(G635:Z635,1,$C635)</f>
        <v>5.8997573060190227</v>
      </c>
    </row>
    <row r="636" spans="1:29" outlineLevel="1" x14ac:dyDescent="0.25">
      <c r="A636" s="39" t="str">
        <f t="shared" si="1331"/>
        <v>БелАЗ 7531 (БТЛ)</v>
      </c>
      <c r="B636" s="39" t="str">
        <f t="shared" si="1332"/>
        <v>Смазочные</v>
      </c>
      <c r="C636" s="39">
        <f t="shared" si="1333"/>
        <v>10</v>
      </c>
      <c r="D636" s="113" t="str">
        <f t="shared" si="1334"/>
        <v>Смазочные</v>
      </c>
      <c r="E636" s="114" t="str">
        <f t="shared" si="1335"/>
        <v>руб/ткм</v>
      </c>
      <c r="F636" s="115"/>
      <c r="G636" s="116">
        <f>G618/'ФОТ, МТР, макро'!AK$14/(G570/G565)</f>
        <v>0</v>
      </c>
      <c r="H636" s="116">
        <f>H618/'ФОТ, МТР, макро'!AL$14/(H570/H565)</f>
        <v>0</v>
      </c>
      <c r="I636" s="116">
        <f>I618/'ФОТ, МТР, макро'!AM$14/(I570/I565)</f>
        <v>0</v>
      </c>
      <c r="J636" s="116">
        <f>J618/'ФОТ, МТР, макро'!AN$14/(J570/J565)</f>
        <v>0</v>
      </c>
      <c r="K636" s="116">
        <f>K618/'ФОТ, МТР, макро'!AO$14/(K570/K565)</f>
        <v>0</v>
      </c>
      <c r="L636" s="116">
        <f>L618/'ФОТ, МТР, макро'!AP$14/(L570/L565)</f>
        <v>0</v>
      </c>
      <c r="M636" s="116">
        <f>M618/'ФОТ, МТР, макро'!AQ$14/(M570/M565)</f>
        <v>0</v>
      </c>
      <c r="N636" s="116">
        <f>N618/'ФОТ, МТР, макро'!AR$14/(N570/N565)</f>
        <v>0</v>
      </c>
      <c r="O636" s="116">
        <f>O618/'ФОТ, МТР, макро'!AS$14/(O570/O565)</f>
        <v>0</v>
      </c>
      <c r="P636" s="116">
        <f>P618/'ФОТ, МТР, макро'!AT$14/(P570/P565)</f>
        <v>0</v>
      </c>
      <c r="Q636" s="116" t="e">
        <f>Q618/'ФОТ, МТР, макро'!AU$14/(Q570/Q565)</f>
        <v>#DIV/0!</v>
      </c>
      <c r="R636" s="116" t="e">
        <f>R618/'ФОТ, МТР, макро'!AV$14/(R570/R565)</f>
        <v>#DIV/0!</v>
      </c>
      <c r="S636" s="116" t="e">
        <f>S618/'ФОТ, МТР, макро'!AW$14/(S570/S565)</f>
        <v>#DIV/0!</v>
      </c>
      <c r="T636" s="116" t="e">
        <f>T618/'ФОТ, МТР, макро'!AX$14/(T570/T565)</f>
        <v>#DIV/0!</v>
      </c>
      <c r="U636" s="116" t="e">
        <f>U618/'ФОТ, МТР, макро'!AY$14/(U570/U565)</f>
        <v>#DIV/0!</v>
      </c>
      <c r="V636" s="116" t="e">
        <f>V618/'ФОТ, МТР, макро'!AZ$14/(V570/V565)</f>
        <v>#DIV/0!</v>
      </c>
      <c r="W636" s="116" t="e">
        <f>W618/'ФОТ, МТР, макро'!BA$14/(W570/W565)</f>
        <v>#DIV/0!</v>
      </c>
      <c r="X636" s="116" t="e">
        <f>X618/'ФОТ, МТР, макро'!BB$14/(X570/X565)</f>
        <v>#DIV/0!</v>
      </c>
      <c r="Y636" s="116" t="e">
        <f>Y618/'ФОТ, МТР, макро'!BC$14/(Y570/Y565)</f>
        <v>#DIV/0!</v>
      </c>
      <c r="Z636" s="116" t="e">
        <f>Z618/'ФОТ, МТР, макро'!BD$14/(Z570/Z565)</f>
        <v>#DIV/0!</v>
      </c>
      <c r="AC636" s="117" cm="1">
        <f t="array" ref="AC636">INDEX(G636:Z636,1,$C636)</f>
        <v>0</v>
      </c>
    </row>
    <row r="637" spans="1:29" outlineLevel="1" x14ac:dyDescent="0.25">
      <c r="A637" s="39" t="str">
        <f t="shared" si="1331"/>
        <v>БелАЗ 7531 (БТЛ)</v>
      </c>
      <c r="B637" s="39" t="str">
        <f t="shared" si="1332"/>
        <v>Затраты на персонал</v>
      </c>
      <c r="C637" s="39">
        <f t="shared" si="1333"/>
        <v>10</v>
      </c>
      <c r="D637" s="113" t="str">
        <f t="shared" si="1334"/>
        <v>Затраты на персонал</v>
      </c>
      <c r="E637" s="114" t="str">
        <f t="shared" si="1335"/>
        <v>руб/ткм</v>
      </c>
      <c r="F637" s="115"/>
      <c r="G637" s="116">
        <f>G619/'ФОТ, МТР, макро'!AK$14/(G570/G565)</f>
        <v>1.5726146908931127</v>
      </c>
      <c r="H637" s="116">
        <f>H619/'ФОТ, МТР, макро'!AL$14/(H570/H565)</f>
        <v>1.5644176747476144</v>
      </c>
      <c r="I637" s="116">
        <f>I619/'ФОТ, МТР, макро'!AM$14/(I570/I565)</f>
        <v>1.5336758487314683</v>
      </c>
      <c r="J637" s="116">
        <f>J619/'ФОТ, МТР, макро'!AN$14/(J570/J565)</f>
        <v>1.5308832258137948</v>
      </c>
      <c r="K637" s="116">
        <f>K619/'ФОТ, МТР, макро'!AO$14/(K570/K565)</f>
        <v>1.504735446583819</v>
      </c>
      <c r="L637" s="116">
        <f>L619/'ФОТ, МТР, макро'!AP$14/(L570/L565)</f>
        <v>1.4900621243954215</v>
      </c>
      <c r="M637" s="116">
        <f>M619/'ФОТ, МТР, макро'!AQ$14/(M570/M565)</f>
        <v>1.4947600877740601</v>
      </c>
      <c r="N637" s="116">
        <f>N619/'ФОТ, МТР, макро'!AR$14/(N570/N565)</f>
        <v>1.4882594356951788</v>
      </c>
      <c r="O637" s="116">
        <f>O619/'ФОТ, МТР, макро'!AS$14/(O570/O565)</f>
        <v>1.4827148554967338</v>
      </c>
      <c r="P637" s="116">
        <f>P619/'ФОТ, МТР, макро'!AT$14/(P570/P565)</f>
        <v>1.483181691058675</v>
      </c>
      <c r="Q637" s="116" t="e">
        <f>Q619/'ФОТ, МТР, макро'!AU$14/(Q570/Q565)</f>
        <v>#DIV/0!</v>
      </c>
      <c r="R637" s="116" t="e">
        <f>R619/'ФОТ, МТР, макро'!AV$14/(R570/R565)</f>
        <v>#DIV/0!</v>
      </c>
      <c r="S637" s="116" t="e">
        <f>S619/'ФОТ, МТР, макро'!AW$14/(S570/S565)</f>
        <v>#DIV/0!</v>
      </c>
      <c r="T637" s="116" t="e">
        <f>T619/'ФОТ, МТР, макро'!AX$14/(T570/T565)</f>
        <v>#DIV/0!</v>
      </c>
      <c r="U637" s="116" t="e">
        <f>U619/'ФОТ, МТР, макро'!AY$14/(U570/U565)</f>
        <v>#DIV/0!</v>
      </c>
      <c r="V637" s="116" t="e">
        <f>V619/'ФОТ, МТР, макро'!AZ$14/(V570/V565)</f>
        <v>#DIV/0!</v>
      </c>
      <c r="W637" s="116" t="e">
        <f>W619/'ФОТ, МТР, макро'!BA$14/(W570/W565)</f>
        <v>#DIV/0!</v>
      </c>
      <c r="X637" s="116" t="e">
        <f>X619/'ФОТ, МТР, макро'!BB$14/(X570/X565)</f>
        <v>#DIV/0!</v>
      </c>
      <c r="Y637" s="116" t="e">
        <f>Y619/'ФОТ, МТР, макро'!BC$14/(Y570/Y565)</f>
        <v>#DIV/0!</v>
      </c>
      <c r="Z637" s="116" t="e">
        <f>Z619/'ФОТ, МТР, макро'!BD$14/(Z570/Z565)</f>
        <v>#DIV/0!</v>
      </c>
      <c r="AC637" s="117" cm="1">
        <f t="array" ref="AC637">INDEX(G637:Z637,1,$C637)</f>
        <v>1.483181691058675</v>
      </c>
    </row>
    <row r="638" spans="1:29" outlineLevel="1" x14ac:dyDescent="0.25">
      <c r="A638" s="39" t="str">
        <f t="shared" si="1331"/>
        <v>БелАЗ 7531 (БТЛ)</v>
      </c>
      <c r="B638" s="39" t="str">
        <f t="shared" si="1332"/>
        <v>Транспортный налог</v>
      </c>
      <c r="C638" s="39">
        <f t="shared" si="1333"/>
        <v>10</v>
      </c>
      <c r="D638" s="113" t="str">
        <f t="shared" si="1334"/>
        <v>Транспортный налог</v>
      </c>
      <c r="E638" s="114" t="str">
        <f t="shared" si="1335"/>
        <v>руб/ткм</v>
      </c>
      <c r="F638" s="115"/>
      <c r="G638" s="116">
        <f>G620/'ФОТ, МТР, макро'!AK$14/(G570/G565)</f>
        <v>1.8340904732179295E-2</v>
      </c>
      <c r="H638" s="116">
        <f>H620/'ФОТ, МТР, макро'!AL$14/(H570/H565)</f>
        <v>1.8245305541173814E-2</v>
      </c>
      <c r="I638" s="116">
        <f>I620/'ФОТ, МТР, макро'!AM$14/(I570/I565)</f>
        <v>1.7886773406430013E-2</v>
      </c>
      <c r="J638" s="116">
        <f>J620/'ФОТ, МТР, макро'!AN$14/(J570/J565)</f>
        <v>1.7854203933956841E-2</v>
      </c>
      <c r="K638" s="116">
        <f>K620/'ФОТ, МТР, макро'!AO$14/(K570/K565)</f>
        <v>1.7549250705049459E-2</v>
      </c>
      <c r="L638" s="116">
        <f>L620/'ФОТ, МТР, макро'!AP$14/(L570/L565)</f>
        <v>1.7378120417433279E-2</v>
      </c>
      <c r="M638" s="116">
        <f>M620/'ФОТ, МТР, макро'!AQ$14/(M570/M565)</f>
        <v>1.7432911269421272E-2</v>
      </c>
      <c r="N638" s="116">
        <f>N620/'ФОТ, МТР, макро'!AR$14/(N570/N565)</f>
        <v>1.7357096232739851E-2</v>
      </c>
      <c r="O638" s="116">
        <f>O620/'ФОТ, МТР, макро'!AS$14/(O570/O565)</f>
        <v>1.7292431558176845E-2</v>
      </c>
      <c r="P638" s="116">
        <f>P620/'ФОТ, МТР, макро'!AT$14/(P570/P565)</f>
        <v>1.7297876112788178E-2</v>
      </c>
      <c r="Q638" s="116" t="e">
        <f>Q620/'ФОТ, МТР, макро'!AU$14/(Q570/Q565)</f>
        <v>#DIV/0!</v>
      </c>
      <c r="R638" s="116" t="e">
        <f>R620/'ФОТ, МТР, макро'!AV$14/(R570/R565)</f>
        <v>#DIV/0!</v>
      </c>
      <c r="S638" s="116" t="e">
        <f>S620/'ФОТ, МТР, макро'!AW$14/(S570/S565)</f>
        <v>#DIV/0!</v>
      </c>
      <c r="T638" s="116" t="e">
        <f>T620/'ФОТ, МТР, макро'!AX$14/(T570/T565)</f>
        <v>#DIV/0!</v>
      </c>
      <c r="U638" s="116" t="e">
        <f>U620/'ФОТ, МТР, макро'!AY$14/(U570/U565)</f>
        <v>#DIV/0!</v>
      </c>
      <c r="V638" s="116" t="e">
        <f>V620/'ФОТ, МТР, макро'!AZ$14/(V570/V565)</f>
        <v>#DIV/0!</v>
      </c>
      <c r="W638" s="116" t="e">
        <f>W620/'ФОТ, МТР, макро'!BA$14/(W570/W565)</f>
        <v>#DIV/0!</v>
      </c>
      <c r="X638" s="116" t="e">
        <f>X620/'ФОТ, МТР, макро'!BB$14/(X570/X565)</f>
        <v>#DIV/0!</v>
      </c>
      <c r="Y638" s="116" t="e">
        <f>Y620/'ФОТ, МТР, макро'!BC$14/(Y570/Y565)</f>
        <v>#DIV/0!</v>
      </c>
      <c r="Z638" s="116" t="e">
        <f>Z620/'ФОТ, МТР, макро'!BD$14/(Z570/Z565)</f>
        <v>#DIV/0!</v>
      </c>
      <c r="AC638" s="117" cm="1">
        <f t="array" ref="AC638">INDEX(G638:Z638,1,$C638)</f>
        <v>1.7297876112788178E-2</v>
      </c>
    </row>
    <row r="639" spans="1:29" outlineLevel="1" x14ac:dyDescent="0.25">
      <c r="A639" s="39" t="str">
        <f t="shared" si="1331"/>
        <v>БелАЗ 7531 (БТЛ)</v>
      </c>
      <c r="B639" s="39" t="str">
        <f t="shared" si="1332"/>
        <v>Налог на прибыль</v>
      </c>
      <c r="C639" s="39">
        <f t="shared" si="1333"/>
        <v>10</v>
      </c>
      <c r="D639" s="113" t="str">
        <f t="shared" si="1334"/>
        <v>Налог на прибыль</v>
      </c>
      <c r="E639" s="114" t="str">
        <f t="shared" si="1335"/>
        <v>руб/ткм</v>
      </c>
      <c r="F639" s="30"/>
      <c r="G639" s="116">
        <f>G621/'ФОТ, МТР, макро'!AK$14/(G570/G565)</f>
        <v>-2.5593826963027326</v>
      </c>
      <c r="H639" s="116">
        <f>H621/'ФОТ, МТР, макро'!AL$14/(H570/H565)</f>
        <v>-2.6288398991425206</v>
      </c>
      <c r="I639" s="116">
        <f>I621/'ФОТ, МТР, макро'!AM$14/(I570/I565)</f>
        <v>-2.8695144644246908</v>
      </c>
      <c r="J639" s="116">
        <f>J621/'ФОТ, МТР, макро'!AN$14/(J570/J565)</f>
        <v>-3.1172519252382656</v>
      </c>
      <c r="K639" s="116">
        <f>K621/'ФОТ, МТР, макро'!AO$14/(K570/K565)</f>
        <v>-3.0710221729329077</v>
      </c>
      <c r="L639" s="116">
        <f>L621/'ФОТ, МТР, макро'!AP$14/(L570/L565)</f>
        <v>-3.1071431729192605</v>
      </c>
      <c r="M639" s="116">
        <f>M621/'ФОТ, МТР, макро'!AQ$14/(M570/M565)</f>
        <v>-3.0912038072062753</v>
      </c>
      <c r="N639" s="116">
        <f>N621/'ФОТ, МТР, макро'!AR$14/(N570/N565)</f>
        <v>-3.1669319389389488</v>
      </c>
      <c r="O639" s="116">
        <f>O621/'ФОТ, МТР, макро'!AS$14/(O570/O565)</f>
        <v>-3.20223141808947</v>
      </c>
      <c r="P639" s="116">
        <f>P621/'ФОТ, МТР, макро'!AT$14/(P570/P565)</f>
        <v>-3.1860865672419934</v>
      </c>
      <c r="Q639" s="116" t="e">
        <f>Q621/'ФОТ, МТР, макро'!AU$14/(Q570/Q565)</f>
        <v>#DIV/0!</v>
      </c>
      <c r="R639" s="116" t="e">
        <f>R621/'ФОТ, МТР, макро'!AV$14/(R570/R565)</f>
        <v>#DIV/0!</v>
      </c>
      <c r="S639" s="116" t="e">
        <f>S621/'ФОТ, МТР, макро'!AW$14/(S570/S565)</f>
        <v>#DIV/0!</v>
      </c>
      <c r="T639" s="116" t="e">
        <f>T621/'ФОТ, МТР, макро'!AX$14/(T570/T565)</f>
        <v>#DIV/0!</v>
      </c>
      <c r="U639" s="116" t="e">
        <f>U621/'ФОТ, МТР, макро'!AY$14/(U570/U565)</f>
        <v>#DIV/0!</v>
      </c>
      <c r="V639" s="116" t="e">
        <f>V621/'ФОТ, МТР, макро'!AZ$14/(V570/V565)</f>
        <v>#DIV/0!</v>
      </c>
      <c r="W639" s="116" t="e">
        <f>W621/'ФОТ, МТР, макро'!BA$14/(W570/W565)</f>
        <v>#DIV/0!</v>
      </c>
      <c r="X639" s="116" t="e">
        <f>X621/'ФОТ, МТР, макро'!BB$14/(X570/X565)</f>
        <v>#DIV/0!</v>
      </c>
      <c r="Y639" s="116" t="e">
        <f>Y621/'ФОТ, МТР, макро'!BC$14/(Y570/Y565)</f>
        <v>#DIV/0!</v>
      </c>
      <c r="Z639" s="116" t="e">
        <f>Z621/'ФОТ, МТР, макро'!BD$14/(Z570/Z565)</f>
        <v>#DIV/0!</v>
      </c>
      <c r="AC639" s="117" cm="1">
        <f t="array" ref="AC639">INDEX(G639:Z639,1,$C639)</f>
        <v>-3.1860865672419934</v>
      </c>
    </row>
    <row r="640" spans="1:29" outlineLevel="1" x14ac:dyDescent="0.25">
      <c r="A640" s="39" t="str">
        <f t="shared" si="1331"/>
        <v>БелАЗ 7531 (БТЛ)</v>
      </c>
      <c r="B640" s="39" t="str">
        <f t="shared" si="1332"/>
        <v>Аннуитет инвестиционный</v>
      </c>
      <c r="C640" s="39">
        <f t="shared" si="1333"/>
        <v>10</v>
      </c>
      <c r="D640" s="108" t="s">
        <v>96</v>
      </c>
      <c r="E640" s="118" t="str">
        <f>E632</f>
        <v>руб/ткм</v>
      </c>
      <c r="F640" s="119"/>
      <c r="G640" s="111">
        <f>G626/'ФОТ, МТР, макро'!AK$14/(G570/G565)</f>
        <v>0</v>
      </c>
      <c r="H640" s="111">
        <f>H626/'ФОТ, МТР, макро'!AL$14/(H570/H565)</f>
        <v>0</v>
      </c>
      <c r="I640" s="111">
        <f>I626/'ФОТ, МТР, макро'!AM$14/(I570/I565)</f>
        <v>0</v>
      </c>
      <c r="J640" s="111">
        <f>J626/'ФОТ, МТР, макро'!AN$14/(J570/J565)</f>
        <v>0</v>
      </c>
      <c r="K640" s="111">
        <f>K626/'ФОТ, МТР, макро'!AO$14/(K570/K565)</f>
        <v>0</v>
      </c>
      <c r="L640" s="111">
        <f>L626/'ФОТ, МТР, макро'!AP$14/(L570/L565)</f>
        <v>0</v>
      </c>
      <c r="M640" s="111">
        <f>M626/'ФОТ, МТР, макро'!AQ$14/(M570/M565)</f>
        <v>0</v>
      </c>
      <c r="N640" s="111">
        <f>N626/'ФОТ, МТР, макро'!AR$14/(N570/N565)</f>
        <v>0</v>
      </c>
      <c r="O640" s="111">
        <f>O626/'ФОТ, МТР, макро'!AS$14/(O570/O565)</f>
        <v>0</v>
      </c>
      <c r="P640" s="111">
        <f>P626/'ФОТ, МТР, макро'!AT$14/(P570/P565)</f>
        <v>0</v>
      </c>
      <c r="Q640" s="111" t="e">
        <f>Q626/'ФОТ, МТР, макро'!AU$14/(Q570/Q565)</f>
        <v>#DIV/0!</v>
      </c>
      <c r="R640" s="111" t="e">
        <f>R626/'ФОТ, МТР, макро'!AV$14/(R570/R565)</f>
        <v>#DIV/0!</v>
      </c>
      <c r="S640" s="111" t="e">
        <f>S626/'ФОТ, МТР, макро'!AW$14/(S570/S565)</f>
        <v>#DIV/0!</v>
      </c>
      <c r="T640" s="111" t="e">
        <f>T626/'ФОТ, МТР, макро'!AX$14/(T570/T565)</f>
        <v>#DIV/0!</v>
      </c>
      <c r="U640" s="111" t="e">
        <f>U626/'ФОТ, МТР, макро'!AY$14/(U570/U565)</f>
        <v>#DIV/0!</v>
      </c>
      <c r="V640" s="111" t="e">
        <f>V626/'ФОТ, МТР, макро'!AZ$14/(V570/V565)</f>
        <v>#DIV/0!</v>
      </c>
      <c r="W640" s="111" t="e">
        <f>W626/'ФОТ, МТР, макро'!BA$14/(W570/W565)</f>
        <v>#DIV/0!</v>
      </c>
      <c r="X640" s="111" t="e">
        <f>X626/'ФОТ, МТР, макро'!BB$14/(X570/X565)</f>
        <v>#DIV/0!</v>
      </c>
      <c r="Y640" s="111" t="e">
        <f>Y626/'ФОТ, МТР, макро'!BC$14/(Y570/Y565)</f>
        <v>#DIV/0!</v>
      </c>
      <c r="Z640" s="111" t="e">
        <f>Z626/'ФОТ, МТР, макро'!BD$14/(Z570/Z565)</f>
        <v>#DIV/0!</v>
      </c>
      <c r="AC640" s="112" cm="1">
        <f t="array" ref="AC640">INDEX(G640:Z640,1,$C640)</f>
        <v>0</v>
      </c>
    </row>
    <row r="641" spans="1:29" outlineLevel="1" x14ac:dyDescent="0.25">
      <c r="A641" s="39" t="str">
        <f t="shared" si="1331"/>
        <v>БелАЗ 7531 (БТЛ)</v>
      </c>
      <c r="B641" s="39" t="str">
        <f t="shared" si="1332"/>
        <v>Самосвал</v>
      </c>
      <c r="C641" s="39">
        <f t="shared" si="1333"/>
        <v>10</v>
      </c>
      <c r="D641" s="101" t="str">
        <f>D627</f>
        <v>Самосвал</v>
      </c>
      <c r="E641" s="9" t="str">
        <f>E640</f>
        <v>руб/ткм</v>
      </c>
      <c r="F641" s="30"/>
      <c r="G641" s="120">
        <f>G627/'ФОТ, МТР, макро'!AK$14/(G570/G565)</f>
        <v>0</v>
      </c>
      <c r="H641" s="120">
        <f>H627/'ФОТ, МТР, макро'!AL$14/(H570/H565)</f>
        <v>0</v>
      </c>
      <c r="I641" s="120">
        <f>I627/'ФОТ, МТР, макро'!AM$14/(I570/I565)</f>
        <v>0</v>
      </c>
      <c r="J641" s="120">
        <f>J627/'ФОТ, МТР, макро'!AN$14/(J570/J565)</f>
        <v>0</v>
      </c>
      <c r="K641" s="120">
        <f>K627/'ФОТ, МТР, макро'!AO$14/(K570/K565)</f>
        <v>0</v>
      </c>
      <c r="L641" s="120">
        <f>L627/'ФОТ, МТР, макро'!AP$14/(L570/L565)</f>
        <v>0</v>
      </c>
      <c r="M641" s="120">
        <f>M627/'ФОТ, МТР, макро'!AQ$14/(M570/M565)</f>
        <v>0</v>
      </c>
      <c r="N641" s="120">
        <f>N627/'ФОТ, МТР, макро'!AR$14/(N570/N565)</f>
        <v>0</v>
      </c>
      <c r="O641" s="120">
        <f>O627/'ФОТ, МТР, макро'!AS$14/(O570/O565)</f>
        <v>0</v>
      </c>
      <c r="P641" s="120">
        <f>P627/'ФОТ, МТР, макро'!AT$14/(P570/P565)</f>
        <v>0</v>
      </c>
      <c r="Q641" s="120" t="e">
        <f>Q627/'ФОТ, МТР, макро'!AU$14/(Q570/Q565)</f>
        <v>#DIV/0!</v>
      </c>
      <c r="R641" s="120" t="e">
        <f>R627/'ФОТ, МТР, макро'!AV$14/(R570/R565)</f>
        <v>#DIV/0!</v>
      </c>
      <c r="S641" s="120" t="e">
        <f>S627/'ФОТ, МТР, макро'!AW$14/(S570/S565)</f>
        <v>#DIV/0!</v>
      </c>
      <c r="T641" s="120" t="e">
        <f>T627/'ФОТ, МТР, макро'!AX$14/(T570/T565)</f>
        <v>#DIV/0!</v>
      </c>
      <c r="U641" s="120" t="e">
        <f>U627/'ФОТ, МТР, макро'!AY$14/(U570/U565)</f>
        <v>#DIV/0!</v>
      </c>
      <c r="V641" s="120" t="e">
        <f>V627/'ФОТ, МТР, макро'!AZ$14/(V570/V565)</f>
        <v>#DIV/0!</v>
      </c>
      <c r="W641" s="120" t="e">
        <f>W627/'ФОТ, МТР, макро'!BA$14/(W570/W565)</f>
        <v>#DIV/0!</v>
      </c>
      <c r="X641" s="120" t="e">
        <f>X627/'ФОТ, МТР, макро'!BB$14/(X570/X565)</f>
        <v>#DIV/0!</v>
      </c>
      <c r="Y641" s="120" t="e">
        <f>Y627/'ФОТ, МТР, макро'!BC$14/(Y570/Y565)</f>
        <v>#DIV/0!</v>
      </c>
      <c r="Z641" s="120" t="e">
        <f>Z627/'ФОТ, МТР, макро'!BD$14/(Z570/Z565)</f>
        <v>#DIV/0!</v>
      </c>
      <c r="AC641" s="117" cm="1">
        <f t="array" ref="AC641">INDEX(G641:Z641,1,$C641)</f>
        <v>0</v>
      </c>
    </row>
    <row r="642" spans="1:29" outlineLevel="1" x14ac:dyDescent="0.25">
      <c r="A642" s="39" t="str">
        <f t="shared" si="1331"/>
        <v>БелАЗ 7531 (БТЛ)</v>
      </c>
      <c r="B642" s="39" t="str">
        <f t="shared" si="1332"/>
        <v>Аннуитет общий</v>
      </c>
      <c r="C642" s="39">
        <f t="shared" si="1333"/>
        <v>10</v>
      </c>
      <c r="D642" s="108" t="s">
        <v>97</v>
      </c>
      <c r="E642" s="118" t="str">
        <f>E632</f>
        <v>руб/ткм</v>
      </c>
      <c r="F642" s="119"/>
      <c r="G642" s="111">
        <f>G630/'ФОТ, МТР, макро'!AK$14/(G570/G565)</f>
        <v>7.6781480889081983</v>
      </c>
      <c r="H642" s="111">
        <f>H630/'ФОТ, МТР, макро'!AL$14/(H570/H565)</f>
        <v>7.8865196974275626</v>
      </c>
      <c r="I642" s="111">
        <f>I630/'ФОТ, МТР, макро'!AM$14/(I570/I565)</f>
        <v>8.6085433932740738</v>
      </c>
      <c r="J642" s="111">
        <f>J630/'ФОТ, МТР, макро'!AN$14/(J570/J565)</f>
        <v>9.3517557757147962</v>
      </c>
      <c r="K642" s="111">
        <f>K630/'ФОТ, МТР, макро'!AO$14/(K570/K565)</f>
        <v>9.2130665187987226</v>
      </c>
      <c r="L642" s="111">
        <f>L630/'ФОТ, МТР, макро'!AP$14/(L570/L565)</f>
        <v>9.3214295187577818</v>
      </c>
      <c r="M642" s="111">
        <f>M630/'ФОТ, МТР, макро'!AQ$14/(M570/M565)</f>
        <v>9.2736114216188259</v>
      </c>
      <c r="N642" s="111">
        <f>N630/'ФОТ, МТР, макро'!AR$14/(N570/N565)</f>
        <v>9.5007958168168472</v>
      </c>
      <c r="O642" s="111">
        <f>O630/'ФОТ, МТР, макро'!AS$14/(O570/O565)</f>
        <v>9.6066942542684099</v>
      </c>
      <c r="P642" s="111">
        <f>P630/'ФОТ, МТР, макро'!AT$14/(P570/P565)</f>
        <v>9.5582597017259801</v>
      </c>
      <c r="Q642" s="111" t="e">
        <f>Q630/'ФОТ, МТР, макро'!AU$14/(Q570/Q565)</f>
        <v>#DIV/0!</v>
      </c>
      <c r="R642" s="111" t="e">
        <f>R630/'ФОТ, МТР, макро'!AV$14/(R570/R565)</f>
        <v>#DIV/0!</v>
      </c>
      <c r="S642" s="111" t="e">
        <f>S630/'ФОТ, МТР, макро'!AW$14/(S570/S565)</f>
        <v>#DIV/0!</v>
      </c>
      <c r="T642" s="111" t="e">
        <f>T630/'ФОТ, МТР, макро'!AX$14/(T570/T565)</f>
        <v>#DIV/0!</v>
      </c>
      <c r="U642" s="111" t="e">
        <f>U630/'ФОТ, МТР, макро'!AY$14/(U570/U565)</f>
        <v>#DIV/0!</v>
      </c>
      <c r="V642" s="111" t="e">
        <f>V630/'ФОТ, МТР, макро'!AZ$14/(V570/V565)</f>
        <v>#DIV/0!</v>
      </c>
      <c r="W642" s="111" t="e">
        <f>W630/'ФОТ, МТР, макро'!BA$14/(W570/W565)</f>
        <v>#DIV/0!</v>
      </c>
      <c r="X642" s="111" t="e">
        <f>X630/'ФОТ, МТР, макро'!BB$14/(X570/X565)</f>
        <v>#DIV/0!</v>
      </c>
      <c r="Y642" s="111" t="e">
        <f>Y630/'ФОТ, МТР, макро'!BC$14/(Y570/Y565)</f>
        <v>#DIV/0!</v>
      </c>
      <c r="Z642" s="111" t="e">
        <f>Z630/'ФОТ, МТР, макро'!BD$14/(Z570/Z565)</f>
        <v>#DIV/0!</v>
      </c>
      <c r="AC642" s="112" cm="1">
        <f t="array" ref="AC642">INDEX(G642:Z642,1,$C642)</f>
        <v>9.5582597017259801</v>
      </c>
    </row>
    <row r="643" spans="1:29" outlineLevel="1" x14ac:dyDescent="0.25">
      <c r="A643" s="39" t="str">
        <f t="shared" si="1331"/>
        <v>БелАЗ 7531 (БТЛ)</v>
      </c>
      <c r="B643" s="39"/>
      <c r="D643" s="121"/>
      <c r="E643" s="1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9" outlineLevel="1" x14ac:dyDescent="0.25">
      <c r="A644" s="39" t="str">
        <f t="shared" si="1331"/>
        <v>БелАЗ 7531 (БТЛ)</v>
      </c>
      <c r="B644" s="39"/>
      <c r="D644" s="123" t="s">
        <v>88</v>
      </c>
      <c r="E644" s="124"/>
      <c r="F644" s="125"/>
      <c r="G644" s="126">
        <f>G642-G632-G640+G632-SUM(G633:G639)+G640-G641</f>
        <v>0</v>
      </c>
      <c r="H644" s="126">
        <f t="shared" ref="H644:I644" si="1336">H642-H632-H640+H632-SUM(H633:H639)+H640-H641</f>
        <v>8.8817841970012523E-16</v>
      </c>
      <c r="I644" s="126">
        <f t="shared" si="1336"/>
        <v>3.5527136788005009E-15</v>
      </c>
      <c r="J644" s="126">
        <f t="shared" ref="J644:Z644" si="1337">J642-J632-J640+J632-SUM(J633:J639)+J640-J641</f>
        <v>1.7763568394002505E-15</v>
      </c>
      <c r="K644" s="126">
        <f t="shared" si="1337"/>
        <v>0</v>
      </c>
      <c r="L644" s="126">
        <f t="shared" si="1337"/>
        <v>1.7763568394002505E-15</v>
      </c>
      <c r="M644" s="126">
        <f t="shared" si="1337"/>
        <v>1.7763568394002505E-15</v>
      </c>
      <c r="N644" s="126">
        <f t="shared" si="1337"/>
        <v>0</v>
      </c>
      <c r="O644" s="126">
        <f t="shared" si="1337"/>
        <v>-1.7763568394002505E-15</v>
      </c>
      <c r="P644" s="126">
        <f t="shared" si="1337"/>
        <v>0</v>
      </c>
      <c r="Q644" s="126" t="e">
        <f t="shared" si="1337"/>
        <v>#DIV/0!</v>
      </c>
      <c r="R644" s="126" t="e">
        <f t="shared" si="1337"/>
        <v>#DIV/0!</v>
      </c>
      <c r="S644" s="126" t="e">
        <f t="shared" si="1337"/>
        <v>#DIV/0!</v>
      </c>
      <c r="T644" s="126" t="e">
        <f t="shared" si="1337"/>
        <v>#DIV/0!</v>
      </c>
      <c r="U644" s="126" t="e">
        <f t="shared" si="1337"/>
        <v>#DIV/0!</v>
      </c>
      <c r="V644" s="126" t="e">
        <f t="shared" si="1337"/>
        <v>#DIV/0!</v>
      </c>
      <c r="W644" s="126" t="e">
        <f t="shared" si="1337"/>
        <v>#DIV/0!</v>
      </c>
      <c r="X644" s="126" t="e">
        <f t="shared" si="1337"/>
        <v>#DIV/0!</v>
      </c>
      <c r="Y644" s="126" t="e">
        <f t="shared" si="1337"/>
        <v>#DIV/0!</v>
      </c>
      <c r="Z644" s="126" t="e">
        <f t="shared" si="1337"/>
        <v>#DIV/0!</v>
      </c>
    </row>
    <row r="645" spans="1:29" outlineLevel="1" x14ac:dyDescent="0.25">
      <c r="A645" s="39" t="str">
        <f t="shared" si="1331"/>
        <v>БелАЗ 7531 (БТЛ)</v>
      </c>
      <c r="B645" s="39"/>
      <c r="D645" s="125"/>
      <c r="E645" s="124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9" outlineLevel="1" x14ac:dyDescent="0.25">
      <c r="A646" s="39" t="str">
        <f t="shared" si="1331"/>
        <v>БелАЗ 7531 (БТЛ)</v>
      </c>
      <c r="B646" s="39"/>
      <c r="D646" s="127" t="s">
        <v>98</v>
      </c>
      <c r="E646" s="128" t="str">
        <f>E642</f>
        <v>руб/ткм</v>
      </c>
      <c r="F646" s="129"/>
      <c r="G646" s="130">
        <f>SUM(G647:G652)</f>
        <v>10.237530785210931</v>
      </c>
      <c r="H646" s="130">
        <f t="shared" ref="H646:Z646" si="1338">SUM(H647:H652)</f>
        <v>10.829843912369888</v>
      </c>
      <c r="I646" s="130">
        <f t="shared" si="1338"/>
        <v>13.71548322618297</v>
      </c>
      <c r="J646" s="130">
        <f t="shared" si="1338"/>
        <v>16.204600928688617</v>
      </c>
      <c r="K646" s="130">
        <f t="shared" si="1338"/>
        <v>11.639067624686461</v>
      </c>
      <c r="L646" s="130">
        <f t="shared" si="1338"/>
        <v>13.643686604775677</v>
      </c>
      <c r="M646" s="130">
        <f t="shared" si="1338"/>
        <v>11.649541035544024</v>
      </c>
      <c r="N646" s="130">
        <f t="shared" si="1338"/>
        <v>16.204857113585298</v>
      </c>
      <c r="O646" s="130">
        <f t="shared" si="1338"/>
        <v>14.958327309416559</v>
      </c>
      <c r="P646" s="130">
        <f t="shared" si="1338"/>
        <v>11.641888434520954</v>
      </c>
      <c r="Q646" s="130" t="e">
        <f t="shared" si="1338"/>
        <v>#DIV/0!</v>
      </c>
      <c r="R646" s="130" t="e">
        <f t="shared" si="1338"/>
        <v>#DIV/0!</v>
      </c>
      <c r="S646" s="130" t="e">
        <f t="shared" si="1338"/>
        <v>#DIV/0!</v>
      </c>
      <c r="T646" s="130" t="e">
        <f t="shared" si="1338"/>
        <v>#DIV/0!</v>
      </c>
      <c r="U646" s="130" t="e">
        <f t="shared" si="1338"/>
        <v>#DIV/0!</v>
      </c>
      <c r="V646" s="130" t="e">
        <f t="shared" si="1338"/>
        <v>#DIV/0!</v>
      </c>
      <c r="W646" s="130" t="e">
        <f t="shared" si="1338"/>
        <v>#DIV/0!</v>
      </c>
      <c r="X646" s="130" t="e">
        <f t="shared" si="1338"/>
        <v>#DIV/0!</v>
      </c>
      <c r="Y646" s="130" t="e">
        <f t="shared" si="1338"/>
        <v>#DIV/0!</v>
      </c>
      <c r="Z646" s="130" t="e">
        <f t="shared" si="1338"/>
        <v>#DIV/0!</v>
      </c>
    </row>
    <row r="647" spans="1:29" outlineLevel="1" x14ac:dyDescent="0.25">
      <c r="A647" s="39" t="str">
        <f t="shared" si="1331"/>
        <v>БелАЗ 7531 (БТЛ)</v>
      </c>
      <c r="B647" s="39"/>
      <c r="D647" s="113" t="str">
        <f>D633</f>
        <v>ТО, ТР, ППР</v>
      </c>
      <c r="E647" s="114" t="str">
        <f>E646</f>
        <v>руб/ткм</v>
      </c>
      <c r="F647" s="115"/>
      <c r="G647" s="116">
        <f>G574/G569</f>
        <v>1.0470350750331809</v>
      </c>
      <c r="H647" s="116">
        <f t="shared" ref="H647:Z647" si="1339">H574/H569</f>
        <v>1.6558474331202051</v>
      </c>
      <c r="I647" s="116">
        <f t="shared" si="1339"/>
        <v>4.623053014568149</v>
      </c>
      <c r="J647" s="116">
        <f t="shared" si="1339"/>
        <v>7.0647375652773103</v>
      </c>
      <c r="K647" s="116">
        <f t="shared" si="1339"/>
        <v>2.6145952766529068</v>
      </c>
      <c r="L647" s="116">
        <f t="shared" si="1339"/>
        <v>4.6067877597408566</v>
      </c>
      <c r="M647" s="116">
        <f t="shared" si="1339"/>
        <v>2.5086499001543636</v>
      </c>
      <c r="N647" s="116">
        <f t="shared" si="1339"/>
        <v>7.1441814104054497</v>
      </c>
      <c r="O647" s="116">
        <f t="shared" si="1339"/>
        <v>5.9021927928733922</v>
      </c>
      <c r="P647" s="116">
        <f t="shared" si="1339"/>
        <v>2.5376048108722737</v>
      </c>
      <c r="Q647" s="116" t="e">
        <f t="shared" si="1339"/>
        <v>#DIV/0!</v>
      </c>
      <c r="R647" s="116" t="e">
        <f t="shared" si="1339"/>
        <v>#DIV/0!</v>
      </c>
      <c r="S647" s="116" t="e">
        <f t="shared" si="1339"/>
        <v>#DIV/0!</v>
      </c>
      <c r="T647" s="116" t="e">
        <f t="shared" si="1339"/>
        <v>#DIV/0!</v>
      </c>
      <c r="U647" s="116" t="e">
        <f t="shared" si="1339"/>
        <v>#DIV/0!</v>
      </c>
      <c r="V647" s="116" t="e">
        <f t="shared" si="1339"/>
        <v>#DIV/0!</v>
      </c>
      <c r="W647" s="116" t="e">
        <f t="shared" si="1339"/>
        <v>#DIV/0!</v>
      </c>
      <c r="X647" s="116" t="e">
        <f t="shared" si="1339"/>
        <v>#DIV/0!</v>
      </c>
      <c r="Y647" s="116" t="e">
        <f t="shared" si="1339"/>
        <v>#DIV/0!</v>
      </c>
      <c r="Z647" s="116" t="e">
        <f t="shared" si="1339"/>
        <v>#DIV/0!</v>
      </c>
    </row>
    <row r="648" spans="1:29" outlineLevel="1" x14ac:dyDescent="0.25">
      <c r="A648" s="39" t="str">
        <f t="shared" si="1331"/>
        <v>БелАЗ 7531 (БТЛ)</v>
      </c>
      <c r="B648" s="39"/>
      <c r="D648" s="113" t="str">
        <f t="shared" ref="D648:D652" si="1340">D634</f>
        <v>Шины</v>
      </c>
      <c r="E648" s="114" t="str">
        <f t="shared" ref="E648:E652" si="1341">E647</f>
        <v>руб/ткм</v>
      </c>
      <c r="F648" s="115"/>
      <c r="G648" s="116">
        <f>G579/G569</f>
        <v>1.657837360690771</v>
      </c>
      <c r="H648" s="116">
        <f t="shared" ref="H648:Z648" si="1342">H579/H569</f>
        <v>1.6578373606907706</v>
      </c>
      <c r="I648" s="116">
        <f t="shared" si="1342"/>
        <v>1.6578373606907708</v>
      </c>
      <c r="J648" s="116">
        <f t="shared" si="1342"/>
        <v>1.6578373606907708</v>
      </c>
      <c r="K648" s="116">
        <f t="shared" si="1342"/>
        <v>1.657837360690771</v>
      </c>
      <c r="L648" s="116">
        <f t="shared" si="1342"/>
        <v>1.6578373606907708</v>
      </c>
      <c r="M648" s="116">
        <f t="shared" si="1342"/>
        <v>1.6578373606907706</v>
      </c>
      <c r="N648" s="116">
        <f t="shared" si="1342"/>
        <v>1.6578373606907708</v>
      </c>
      <c r="O648" s="116">
        <f t="shared" si="1342"/>
        <v>1.657837360690771</v>
      </c>
      <c r="P648" s="116">
        <f t="shared" si="1342"/>
        <v>1.6578373606907708</v>
      </c>
      <c r="Q648" s="116" t="e">
        <f t="shared" si="1342"/>
        <v>#DIV/0!</v>
      </c>
      <c r="R648" s="116" t="e">
        <f t="shared" si="1342"/>
        <v>#DIV/0!</v>
      </c>
      <c r="S648" s="116" t="e">
        <f t="shared" si="1342"/>
        <v>#DIV/0!</v>
      </c>
      <c r="T648" s="116" t="e">
        <f t="shared" si="1342"/>
        <v>#DIV/0!</v>
      </c>
      <c r="U648" s="116" t="e">
        <f t="shared" si="1342"/>
        <v>#DIV/0!</v>
      </c>
      <c r="V648" s="116" t="e">
        <f t="shared" si="1342"/>
        <v>#DIV/0!</v>
      </c>
      <c r="W648" s="116" t="e">
        <f t="shared" si="1342"/>
        <v>#DIV/0!</v>
      </c>
      <c r="X648" s="116" t="e">
        <f t="shared" si="1342"/>
        <v>#DIV/0!</v>
      </c>
      <c r="Y648" s="116" t="e">
        <f t="shared" si="1342"/>
        <v>#DIV/0!</v>
      </c>
      <c r="Z648" s="116" t="e">
        <f t="shared" si="1342"/>
        <v>#DIV/0!</v>
      </c>
    </row>
    <row r="649" spans="1:29" outlineLevel="1" x14ac:dyDescent="0.25">
      <c r="A649" s="39" t="str">
        <f t="shared" si="1331"/>
        <v>БелАЗ 7531 (БТЛ)</v>
      </c>
      <c r="B649" s="39"/>
      <c r="D649" s="113" t="str">
        <f t="shared" si="1340"/>
        <v>Топливо</v>
      </c>
      <c r="E649" s="114" t="str">
        <f t="shared" si="1341"/>
        <v>руб/ткм</v>
      </c>
      <c r="F649" s="115"/>
      <c r="G649" s="116">
        <f>G583/G569</f>
        <v>5.9417027538616862</v>
      </c>
      <c r="H649" s="116">
        <f t="shared" ref="H649:Z649" si="1343">H583/H569</f>
        <v>5.941702753861688</v>
      </c>
      <c r="I649" s="116">
        <f t="shared" si="1343"/>
        <v>5.9417027538616871</v>
      </c>
      <c r="J649" s="116">
        <f t="shared" si="1343"/>
        <v>5.9417027538616871</v>
      </c>
      <c r="K649" s="116">
        <f t="shared" si="1343"/>
        <v>5.9417027538616862</v>
      </c>
      <c r="L649" s="116">
        <f t="shared" si="1343"/>
        <v>5.941702753861688</v>
      </c>
      <c r="M649" s="116">
        <f t="shared" si="1343"/>
        <v>5.9417027538616871</v>
      </c>
      <c r="N649" s="116">
        <f t="shared" si="1343"/>
        <v>5.9417027538616871</v>
      </c>
      <c r="O649" s="116">
        <f t="shared" si="1343"/>
        <v>5.9417027538616871</v>
      </c>
      <c r="P649" s="116">
        <f t="shared" si="1343"/>
        <v>5.941702753861688</v>
      </c>
      <c r="Q649" s="116" t="e">
        <f t="shared" si="1343"/>
        <v>#DIV/0!</v>
      </c>
      <c r="R649" s="116" t="e">
        <f t="shared" si="1343"/>
        <v>#DIV/0!</v>
      </c>
      <c r="S649" s="116" t="e">
        <f t="shared" si="1343"/>
        <v>#DIV/0!</v>
      </c>
      <c r="T649" s="116" t="e">
        <f t="shared" si="1343"/>
        <v>#DIV/0!</v>
      </c>
      <c r="U649" s="116" t="e">
        <f t="shared" si="1343"/>
        <v>#DIV/0!</v>
      </c>
      <c r="V649" s="116" t="e">
        <f t="shared" si="1343"/>
        <v>#DIV/0!</v>
      </c>
      <c r="W649" s="116" t="e">
        <f t="shared" si="1343"/>
        <v>#DIV/0!</v>
      </c>
      <c r="X649" s="116" t="e">
        <f t="shared" si="1343"/>
        <v>#DIV/0!</v>
      </c>
      <c r="Y649" s="116" t="e">
        <f t="shared" si="1343"/>
        <v>#DIV/0!</v>
      </c>
      <c r="Z649" s="116" t="e">
        <f t="shared" si="1343"/>
        <v>#DIV/0!</v>
      </c>
    </row>
    <row r="650" spans="1:29" outlineLevel="1" x14ac:dyDescent="0.25">
      <c r="A650" s="39" t="str">
        <f t="shared" si="1331"/>
        <v>БелАЗ 7531 (БТЛ)</v>
      </c>
      <c r="B650" s="39"/>
      <c r="D650" s="113" t="str">
        <f t="shared" si="1340"/>
        <v>Смазочные</v>
      </c>
      <c r="E650" s="114" t="str">
        <f t="shared" si="1341"/>
        <v>руб/ткм</v>
      </c>
      <c r="F650" s="115"/>
      <c r="G650" s="116">
        <f>G588/G569</f>
        <v>0</v>
      </c>
      <c r="H650" s="116">
        <f t="shared" ref="H650:Z650" si="1344">H588/H569</f>
        <v>0</v>
      </c>
      <c r="I650" s="116">
        <f t="shared" si="1344"/>
        <v>0</v>
      </c>
      <c r="J650" s="116">
        <f t="shared" si="1344"/>
        <v>0</v>
      </c>
      <c r="K650" s="116">
        <f t="shared" si="1344"/>
        <v>0</v>
      </c>
      <c r="L650" s="116">
        <f t="shared" si="1344"/>
        <v>0</v>
      </c>
      <c r="M650" s="116">
        <f t="shared" si="1344"/>
        <v>0</v>
      </c>
      <c r="N650" s="116">
        <f t="shared" si="1344"/>
        <v>0</v>
      </c>
      <c r="O650" s="116">
        <f t="shared" si="1344"/>
        <v>0</v>
      </c>
      <c r="P650" s="116">
        <f t="shared" si="1344"/>
        <v>0</v>
      </c>
      <c r="Q650" s="116" t="e">
        <f t="shared" si="1344"/>
        <v>#DIV/0!</v>
      </c>
      <c r="R650" s="116" t="e">
        <f t="shared" si="1344"/>
        <v>#DIV/0!</v>
      </c>
      <c r="S650" s="116" t="e">
        <f t="shared" si="1344"/>
        <v>#DIV/0!</v>
      </c>
      <c r="T650" s="116" t="e">
        <f t="shared" si="1344"/>
        <v>#DIV/0!</v>
      </c>
      <c r="U650" s="116" t="e">
        <f t="shared" si="1344"/>
        <v>#DIV/0!</v>
      </c>
      <c r="V650" s="116" t="e">
        <f t="shared" si="1344"/>
        <v>#DIV/0!</v>
      </c>
      <c r="W650" s="116" t="e">
        <f t="shared" si="1344"/>
        <v>#DIV/0!</v>
      </c>
      <c r="X650" s="116" t="e">
        <f t="shared" si="1344"/>
        <v>#DIV/0!</v>
      </c>
      <c r="Y650" s="116" t="e">
        <f t="shared" si="1344"/>
        <v>#DIV/0!</v>
      </c>
      <c r="Z650" s="116" t="e">
        <f t="shared" si="1344"/>
        <v>#DIV/0!</v>
      </c>
    </row>
    <row r="651" spans="1:29" outlineLevel="1" x14ac:dyDescent="0.25">
      <c r="A651" s="39" t="str">
        <f t="shared" si="1331"/>
        <v>БелАЗ 7531 (БТЛ)</v>
      </c>
      <c r="B651" s="39"/>
      <c r="D651" s="113" t="str">
        <f t="shared" si="1340"/>
        <v>Затраты на персонал</v>
      </c>
      <c r="E651" s="114" t="str">
        <f t="shared" si="1341"/>
        <v>руб/ткм</v>
      </c>
      <c r="F651" s="115"/>
      <c r="G651" s="116">
        <f>G590/G569</f>
        <v>1.5726146908931127</v>
      </c>
      <c r="H651" s="116">
        <f t="shared" ref="H651:Z651" si="1345">H590/H569</f>
        <v>1.5563056669220707</v>
      </c>
      <c r="I651" s="116">
        <f t="shared" si="1345"/>
        <v>1.4756797141194802</v>
      </c>
      <c r="J651" s="116">
        <f t="shared" si="1345"/>
        <v>1.5225660455517542</v>
      </c>
      <c r="K651" s="116">
        <f t="shared" si="1345"/>
        <v>1.4085052845354766</v>
      </c>
      <c r="L651" s="116">
        <f t="shared" si="1345"/>
        <v>1.4207885260000792</v>
      </c>
      <c r="M651" s="116">
        <f t="shared" si="1345"/>
        <v>1.5235819691366042</v>
      </c>
      <c r="N651" s="116">
        <f t="shared" si="1345"/>
        <v>1.4442912790152944</v>
      </c>
      <c r="O651" s="116">
        <f t="shared" si="1345"/>
        <v>1.4398024442303554</v>
      </c>
      <c r="P651" s="116">
        <f t="shared" si="1345"/>
        <v>1.4873964772729669</v>
      </c>
      <c r="Q651" s="116" t="e">
        <f t="shared" si="1345"/>
        <v>#DIV/0!</v>
      </c>
      <c r="R651" s="116" t="e">
        <f t="shared" si="1345"/>
        <v>#DIV/0!</v>
      </c>
      <c r="S651" s="116" t="e">
        <f t="shared" si="1345"/>
        <v>#DIV/0!</v>
      </c>
      <c r="T651" s="116" t="e">
        <f t="shared" si="1345"/>
        <v>#DIV/0!</v>
      </c>
      <c r="U651" s="116" t="e">
        <f t="shared" si="1345"/>
        <v>#DIV/0!</v>
      </c>
      <c r="V651" s="116" t="e">
        <f t="shared" si="1345"/>
        <v>#DIV/0!</v>
      </c>
      <c r="W651" s="116" t="e">
        <f t="shared" si="1345"/>
        <v>#DIV/0!</v>
      </c>
      <c r="X651" s="116" t="e">
        <f t="shared" si="1345"/>
        <v>#DIV/0!</v>
      </c>
      <c r="Y651" s="116" t="e">
        <f t="shared" si="1345"/>
        <v>#DIV/0!</v>
      </c>
      <c r="Z651" s="116" t="e">
        <f t="shared" si="1345"/>
        <v>#DIV/0!</v>
      </c>
    </row>
    <row r="652" spans="1:29" outlineLevel="1" x14ac:dyDescent="0.25">
      <c r="A652" s="39" t="str">
        <f t="shared" si="1331"/>
        <v>БелАЗ 7531 (БТЛ)</v>
      </c>
      <c r="B652" s="39"/>
      <c r="D652" s="113" t="str">
        <f t="shared" si="1340"/>
        <v>Транспортный налог</v>
      </c>
      <c r="E652" s="114" t="str">
        <f t="shared" si="1341"/>
        <v>руб/ткм</v>
      </c>
      <c r="F652" s="115"/>
      <c r="G652" s="116">
        <f>G594/G569</f>
        <v>1.8340904732179295E-2</v>
      </c>
      <c r="H652" s="116">
        <f t="shared" ref="H652:Z652" si="1346">H594/H569</f>
        <v>1.8150697775154219E-2</v>
      </c>
      <c r="I652" s="116">
        <f t="shared" si="1346"/>
        <v>1.7210382942883583E-2</v>
      </c>
      <c r="J652" s="116">
        <f t="shared" si="1346"/>
        <v>1.7757203307096476E-2</v>
      </c>
      <c r="K652" s="116">
        <f t="shared" si="1346"/>
        <v>1.6426948945621991E-2</v>
      </c>
      <c r="L652" s="116">
        <f t="shared" si="1346"/>
        <v>1.657020448228284E-2</v>
      </c>
      <c r="M652" s="116">
        <f t="shared" si="1346"/>
        <v>1.7769051700598591E-2</v>
      </c>
      <c r="N652" s="116">
        <f t="shared" si="1346"/>
        <v>1.6844309612097694E-2</v>
      </c>
      <c r="O652" s="116">
        <f t="shared" si="1346"/>
        <v>1.6791957760353065E-2</v>
      </c>
      <c r="P652" s="116">
        <f t="shared" si="1346"/>
        <v>1.7347031823255903E-2</v>
      </c>
      <c r="Q652" s="116" t="e">
        <f t="shared" si="1346"/>
        <v>#DIV/0!</v>
      </c>
      <c r="R652" s="116" t="e">
        <f t="shared" si="1346"/>
        <v>#DIV/0!</v>
      </c>
      <c r="S652" s="116" t="e">
        <f t="shared" si="1346"/>
        <v>#DIV/0!</v>
      </c>
      <c r="T652" s="116" t="e">
        <f t="shared" si="1346"/>
        <v>#DIV/0!</v>
      </c>
      <c r="U652" s="116" t="e">
        <f t="shared" si="1346"/>
        <v>#DIV/0!</v>
      </c>
      <c r="V652" s="116" t="e">
        <f t="shared" si="1346"/>
        <v>#DIV/0!</v>
      </c>
      <c r="W652" s="116" t="e">
        <f t="shared" si="1346"/>
        <v>#DIV/0!</v>
      </c>
      <c r="X652" s="116" t="e">
        <f t="shared" si="1346"/>
        <v>#DIV/0!</v>
      </c>
      <c r="Y652" s="116" t="e">
        <f t="shared" si="1346"/>
        <v>#DIV/0!</v>
      </c>
      <c r="Z652" s="116" t="e">
        <f t="shared" si="1346"/>
        <v>#DIV/0!</v>
      </c>
    </row>
    <row r="653" spans="1:29" outlineLevel="1" x14ac:dyDescent="0.25">
      <c r="A653" s="39" t="str">
        <f t="shared" si="1331"/>
        <v>БелАЗ 7531 (БТЛ)</v>
      </c>
      <c r="B653" s="39"/>
      <c r="D653" s="121"/>
      <c r="E653" s="12"/>
      <c r="F653" s="122"/>
      <c r="G653" s="131">
        <f>G646-(G573-G599)/G569</f>
        <v>0</v>
      </c>
      <c r="H653" s="131">
        <f t="shared" ref="H653:Z653" si="1347">H646-(H573-H599)/H569</f>
        <v>0</v>
      </c>
      <c r="I653" s="131">
        <f t="shared" si="1347"/>
        <v>0</v>
      </c>
      <c r="J653" s="131">
        <f t="shared" si="1347"/>
        <v>0</v>
      </c>
      <c r="K653" s="131">
        <f t="shared" si="1347"/>
        <v>0</v>
      </c>
      <c r="L653" s="131">
        <f t="shared" si="1347"/>
        <v>0</v>
      </c>
      <c r="M653" s="131">
        <f t="shared" si="1347"/>
        <v>0</v>
      </c>
      <c r="N653" s="131">
        <f t="shared" si="1347"/>
        <v>0</v>
      </c>
      <c r="O653" s="131">
        <f t="shared" si="1347"/>
        <v>0</v>
      </c>
      <c r="P653" s="131">
        <f t="shared" si="1347"/>
        <v>0</v>
      </c>
      <c r="Q653" s="131" t="e">
        <f t="shared" si="1347"/>
        <v>#DIV/0!</v>
      </c>
      <c r="R653" s="131" t="e">
        <f t="shared" si="1347"/>
        <v>#DIV/0!</v>
      </c>
      <c r="S653" s="131" t="e">
        <f t="shared" si="1347"/>
        <v>#DIV/0!</v>
      </c>
      <c r="T653" s="131" t="e">
        <f t="shared" si="1347"/>
        <v>#DIV/0!</v>
      </c>
      <c r="U653" s="131" t="e">
        <f t="shared" si="1347"/>
        <v>#DIV/0!</v>
      </c>
      <c r="V653" s="131" t="e">
        <f t="shared" si="1347"/>
        <v>#DIV/0!</v>
      </c>
      <c r="W653" s="131" t="e">
        <f t="shared" si="1347"/>
        <v>#DIV/0!</v>
      </c>
      <c r="X653" s="131" t="e">
        <f t="shared" si="1347"/>
        <v>#DIV/0!</v>
      </c>
      <c r="Y653" s="131" t="e">
        <f t="shared" si="1347"/>
        <v>#DIV/0!</v>
      </c>
      <c r="Z653" s="131" t="e">
        <f t="shared" si="1347"/>
        <v>#DIV/0!</v>
      </c>
    </row>
    <row r="654" spans="1:29" outlineLevel="1" x14ac:dyDescent="0.25">
      <c r="A654" s="2" t="s">
        <v>45</v>
      </c>
    </row>
    <row r="655" spans="1:29" x14ac:dyDescent="0.25">
      <c r="A655" s="2" t="s">
        <v>45</v>
      </c>
    </row>
  </sheetData>
  <autoFilter ref="A1:AC1" xr:uid="{827664F6-3C5F-4AF8-8446-390CCD6FBA65}"/>
  <conditionalFormatting sqref="G84:Z84">
    <cfRule type="cellIs" dxfId="79" priority="9" operator="equal">
      <formula>$AC$84</formula>
    </cfRule>
  </conditionalFormatting>
  <conditionalFormatting sqref="G177:Z177">
    <cfRule type="cellIs" dxfId="78" priority="8" operator="equal">
      <formula>$AC$177</formula>
    </cfRule>
  </conditionalFormatting>
  <conditionalFormatting sqref="G270:Z270">
    <cfRule type="cellIs" dxfId="77" priority="7" operator="equal">
      <formula>$AC$270</formula>
    </cfRule>
  </conditionalFormatting>
  <conditionalFormatting sqref="G363:Z363">
    <cfRule type="cellIs" dxfId="76" priority="6" operator="equal">
      <formula>$AC$363</formula>
    </cfRule>
  </conditionalFormatting>
  <conditionalFormatting sqref="G456:Z456">
    <cfRule type="cellIs" dxfId="75" priority="5" operator="equal">
      <formula>$AC$456</formula>
    </cfRule>
  </conditionalFormatting>
  <conditionalFormatting sqref="G549:Z549">
    <cfRule type="cellIs" dxfId="74" priority="2" operator="equal">
      <formula>$AC$549</formula>
    </cfRule>
  </conditionalFormatting>
  <conditionalFormatting sqref="G642:Z642">
    <cfRule type="cellIs" dxfId="73" priority="1" operator="equal">
      <formula>$AC$642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A9B4-C033-42CD-AFFD-B78384B15B9B}">
  <sheetPr>
    <tabColor rgb="FFFF0000"/>
  </sheetPr>
  <dimension ref="A1:AC295"/>
  <sheetViews>
    <sheetView showGridLines="0" workbookViewId="0">
      <pane xSplit="4" ySplit="4" topLeftCell="E254" activePane="bottomRight" state="frozen"/>
      <selection activeCell="D46" sqref="D46"/>
      <selection pane="topRight" activeCell="D46" sqref="D46"/>
      <selection pane="bottomLeft" activeCell="D46" sqref="D46"/>
      <selection pane="bottomRight" activeCell="E24" sqref="E24:W35"/>
    </sheetView>
  </sheetViews>
  <sheetFormatPr defaultRowHeight="13.6" outlineLevelRow="1" outlineLevelCol="1" x14ac:dyDescent="0.25"/>
  <cols>
    <col min="1" max="1" width="3.5" style="2" customWidth="1" outlineLevel="1"/>
    <col min="2" max="2" width="5" style="2" customWidth="1"/>
    <col min="3" max="3" width="43.25" style="2" bestFit="1" customWidth="1"/>
    <col min="4" max="4" width="7.375" style="2" bestFit="1" customWidth="1"/>
    <col min="5" max="24" width="8.125" style="2" customWidth="1"/>
    <col min="25" max="25" width="14" style="2" customWidth="1" outlineLevel="1"/>
    <col min="26" max="26" width="14.125" style="2" customWidth="1" outlineLevel="1"/>
    <col min="27" max="27" width="15.75" style="2" customWidth="1" outlineLevel="1"/>
    <col min="28" max="28" width="9" style="2" customWidth="1" outlineLevel="1"/>
    <col min="29" max="29" width="16.5" style="2" customWidth="1" outlineLevel="1"/>
    <col min="30" max="16384" width="9" style="2"/>
  </cols>
  <sheetData>
    <row r="1" spans="1:29" x14ac:dyDescent="0.25">
      <c r="E1" s="56">
        <f>ТСО!G2</f>
        <v>2027</v>
      </c>
      <c r="F1" s="56">
        <f>ТСО!H2</f>
        <v>2028</v>
      </c>
      <c r="G1" s="56">
        <f>ТСО!I2</f>
        <v>2029</v>
      </c>
      <c r="H1" s="56">
        <f>ТСО!J2</f>
        <v>2030</v>
      </c>
      <c r="I1" s="56">
        <f>ТСО!K2</f>
        <v>2031</v>
      </c>
      <c r="J1" s="56">
        <f>ТСО!L2</f>
        <v>2032</v>
      </c>
      <c r="K1" s="56">
        <f>ТСО!M2</f>
        <v>2033</v>
      </c>
      <c r="L1" s="56">
        <f>ТСО!N2</f>
        <v>2034</v>
      </c>
      <c r="M1" s="56">
        <f>ТСО!O2</f>
        <v>2035</v>
      </c>
      <c r="N1" s="56">
        <f>ТСО!P2</f>
        <v>2036</v>
      </c>
      <c r="O1" s="56">
        <f>ТСО!Q2</f>
        <v>2037</v>
      </c>
      <c r="P1" s="56">
        <f>ТСО!R2</f>
        <v>2038</v>
      </c>
      <c r="Q1" s="56">
        <f>ТСО!S2</f>
        <v>2039</v>
      </c>
      <c r="R1" s="56">
        <f>ТСО!T2</f>
        <v>2040</v>
      </c>
      <c r="S1" s="56">
        <f>ТСО!U2</f>
        <v>2041</v>
      </c>
      <c r="T1" s="56">
        <f>ТСО!V2</f>
        <v>2042</v>
      </c>
      <c r="U1" s="56">
        <f>ТСО!W2</f>
        <v>2043</v>
      </c>
      <c r="V1" s="56">
        <f>ТСО!X2</f>
        <v>2044</v>
      </c>
      <c r="W1" s="56">
        <f>ТСО!Y2</f>
        <v>2045</v>
      </c>
      <c r="X1" s="56">
        <f>ТСО!Z2</f>
        <v>2046</v>
      </c>
    </row>
    <row r="2" spans="1:29" ht="14.3" x14ac:dyDescent="0.25">
      <c r="B2" s="3" t="s">
        <v>195</v>
      </c>
    </row>
    <row r="3" spans="1:29" x14ac:dyDescent="0.25">
      <c r="Y3" s="132" t="s">
        <v>44</v>
      </c>
      <c r="Z3" s="132" t="s">
        <v>44</v>
      </c>
      <c r="AA3" s="132" t="s">
        <v>44</v>
      </c>
      <c r="AB3" s="132" t="s">
        <v>44</v>
      </c>
      <c r="AC3" s="132" t="s">
        <v>44</v>
      </c>
    </row>
    <row r="4" spans="1:29" x14ac:dyDescent="0.25">
      <c r="A4" s="56">
        <v>1</v>
      </c>
      <c r="B4" s="133" t="s">
        <v>3</v>
      </c>
      <c r="C4" s="134" t="s">
        <v>99</v>
      </c>
      <c r="D4" s="133" t="s">
        <v>8</v>
      </c>
      <c r="E4" s="133">
        <f>ТСО!G1</f>
        <v>1</v>
      </c>
      <c r="F4" s="133">
        <f>ТСО!H1</f>
        <v>2</v>
      </c>
      <c r="G4" s="133">
        <f>ТСО!I1</f>
        <v>3</v>
      </c>
      <c r="H4" s="133">
        <f>ТСО!J1</f>
        <v>4</v>
      </c>
      <c r="I4" s="133">
        <f>ТСО!K1</f>
        <v>5</v>
      </c>
      <c r="J4" s="133">
        <f>ТСО!L1</f>
        <v>6</v>
      </c>
      <c r="K4" s="133">
        <f>ТСО!M1</f>
        <v>7</v>
      </c>
      <c r="L4" s="133">
        <f>ТСО!N1</f>
        <v>8</v>
      </c>
      <c r="M4" s="133">
        <f>ТСО!O1</f>
        <v>9</v>
      </c>
      <c r="N4" s="133">
        <f>ТСО!P1</f>
        <v>10</v>
      </c>
      <c r="O4" s="133">
        <f>ТСО!Q1</f>
        <v>11</v>
      </c>
      <c r="P4" s="133">
        <f>ТСО!R1</f>
        <v>12</v>
      </c>
      <c r="Q4" s="133">
        <f>ТСО!S1</f>
        <v>13</v>
      </c>
      <c r="R4" s="133">
        <f>ТСО!T1</f>
        <v>14</v>
      </c>
      <c r="S4" s="133">
        <f>ТСО!U1</f>
        <v>15</v>
      </c>
      <c r="T4" s="133">
        <f>ТСО!V1</f>
        <v>16</v>
      </c>
      <c r="U4" s="133">
        <f>ТСО!W1</f>
        <v>17</v>
      </c>
      <c r="V4" s="133">
        <f>ТСО!X1</f>
        <v>18</v>
      </c>
      <c r="W4" s="133">
        <f>ТСО!Y1</f>
        <v>19</v>
      </c>
      <c r="X4" s="133">
        <f>ТСО!Z1</f>
        <v>20</v>
      </c>
      <c r="Z4" s="56" t="s">
        <v>100</v>
      </c>
    </row>
    <row r="5" spans="1:29" outlineLevel="1" x14ac:dyDescent="0.25">
      <c r="A5" s="56">
        <v>0</v>
      </c>
      <c r="B5" s="135" t="s">
        <v>45</v>
      </c>
      <c r="C5" s="136" t="s">
        <v>101</v>
      </c>
      <c r="D5" s="6" t="s">
        <v>102</v>
      </c>
      <c r="E5" s="137">
        <v>365</v>
      </c>
      <c r="F5" s="138">
        <f>E5</f>
        <v>365</v>
      </c>
      <c r="G5" s="138">
        <f t="shared" ref="G5:X5" si="0">F5</f>
        <v>365</v>
      </c>
      <c r="H5" s="138">
        <f t="shared" si="0"/>
        <v>365</v>
      </c>
      <c r="I5" s="138">
        <f t="shared" si="0"/>
        <v>365</v>
      </c>
      <c r="J5" s="138">
        <f t="shared" si="0"/>
        <v>365</v>
      </c>
      <c r="K5" s="138">
        <f t="shared" si="0"/>
        <v>365</v>
      </c>
      <c r="L5" s="138">
        <f t="shared" si="0"/>
        <v>365</v>
      </c>
      <c r="M5" s="138">
        <f t="shared" si="0"/>
        <v>365</v>
      </c>
      <c r="N5" s="138">
        <f t="shared" si="0"/>
        <v>365</v>
      </c>
      <c r="O5" s="138">
        <f t="shared" si="0"/>
        <v>365</v>
      </c>
      <c r="P5" s="138">
        <f t="shared" si="0"/>
        <v>365</v>
      </c>
      <c r="Q5" s="138">
        <f t="shared" si="0"/>
        <v>365</v>
      </c>
      <c r="R5" s="138">
        <f t="shared" si="0"/>
        <v>365</v>
      </c>
      <c r="S5" s="138">
        <f t="shared" si="0"/>
        <v>365</v>
      </c>
      <c r="T5" s="138">
        <f t="shared" si="0"/>
        <v>365</v>
      </c>
      <c r="U5" s="138">
        <f t="shared" si="0"/>
        <v>365</v>
      </c>
      <c r="V5" s="138">
        <f t="shared" si="0"/>
        <v>365</v>
      </c>
      <c r="W5" s="138">
        <f t="shared" si="0"/>
        <v>365</v>
      </c>
      <c r="X5" s="138">
        <f t="shared" si="0"/>
        <v>365</v>
      </c>
      <c r="Y5" s="179"/>
    </row>
    <row r="6" spans="1:29" outlineLevel="1" x14ac:dyDescent="0.25">
      <c r="A6" s="56">
        <v>0</v>
      </c>
      <c r="B6" s="68" t="s">
        <v>45</v>
      </c>
      <c r="C6" s="101" t="s">
        <v>103</v>
      </c>
      <c r="D6" s="9" t="s">
        <v>104</v>
      </c>
      <c r="E6" s="74">
        <f>E5*24</f>
        <v>8760</v>
      </c>
      <c r="F6" s="74">
        <f t="shared" ref="F6:X6" si="1">F5*24</f>
        <v>8760</v>
      </c>
      <c r="G6" s="74">
        <f t="shared" si="1"/>
        <v>8760</v>
      </c>
      <c r="H6" s="74">
        <f t="shared" si="1"/>
        <v>8760</v>
      </c>
      <c r="I6" s="74">
        <f t="shared" si="1"/>
        <v>8760</v>
      </c>
      <c r="J6" s="74">
        <f t="shared" si="1"/>
        <v>8760</v>
      </c>
      <c r="K6" s="74">
        <f t="shared" si="1"/>
        <v>8760</v>
      </c>
      <c r="L6" s="74">
        <f t="shared" si="1"/>
        <v>8760</v>
      </c>
      <c r="M6" s="74">
        <f t="shared" si="1"/>
        <v>8760</v>
      </c>
      <c r="N6" s="74">
        <f t="shared" si="1"/>
        <v>8760</v>
      </c>
      <c r="O6" s="74">
        <f t="shared" si="1"/>
        <v>8760</v>
      </c>
      <c r="P6" s="74">
        <f t="shared" si="1"/>
        <v>8760</v>
      </c>
      <c r="Q6" s="74">
        <f t="shared" si="1"/>
        <v>8760</v>
      </c>
      <c r="R6" s="74">
        <f t="shared" si="1"/>
        <v>8760</v>
      </c>
      <c r="S6" s="74">
        <f t="shared" si="1"/>
        <v>8760</v>
      </c>
      <c r="T6" s="74">
        <f t="shared" si="1"/>
        <v>8760</v>
      </c>
      <c r="U6" s="74">
        <f t="shared" si="1"/>
        <v>8760</v>
      </c>
      <c r="V6" s="74">
        <f t="shared" si="1"/>
        <v>8760</v>
      </c>
      <c r="W6" s="74">
        <f t="shared" si="1"/>
        <v>8760</v>
      </c>
      <c r="X6" s="74">
        <f t="shared" si="1"/>
        <v>8760</v>
      </c>
      <c r="Y6" s="179"/>
    </row>
    <row r="7" spans="1:29" x14ac:dyDescent="0.25">
      <c r="A7" s="139">
        <f>A23</f>
        <v>1</v>
      </c>
      <c r="B7" s="68">
        <v>1</v>
      </c>
      <c r="C7" s="67" t="s">
        <v>105</v>
      </c>
      <c r="D7" s="68" t="s">
        <v>106</v>
      </c>
      <c r="E7" s="140">
        <v>3.0395841095397622</v>
      </c>
      <c r="F7" s="140">
        <v>3.369823038832374</v>
      </c>
      <c r="G7" s="140">
        <v>4.0467053875846224</v>
      </c>
      <c r="H7" s="140">
        <v>3.9059063238423302</v>
      </c>
      <c r="I7" s="140">
        <v>4.7952057859231418</v>
      </c>
      <c r="J7" s="140">
        <v>5.3561072845576057</v>
      </c>
      <c r="K7" s="140">
        <v>4.419179771876939</v>
      </c>
      <c r="L7" s="140">
        <v>4.5262380343819704</v>
      </c>
      <c r="M7" s="140">
        <v>5.3840572084989065</v>
      </c>
      <c r="N7" s="140">
        <v>4.8197555032937718</v>
      </c>
      <c r="O7" s="140">
        <v>4.7397683360965877</v>
      </c>
      <c r="P7" s="140">
        <v>5.7368197620262222</v>
      </c>
      <c r="Q7" s="140">
        <v>5.8316077393561105</v>
      </c>
      <c r="R7" s="140">
        <v>6.0469832948366795</v>
      </c>
      <c r="S7" s="140">
        <v>5.999946528386281</v>
      </c>
      <c r="T7" s="140">
        <v>5.6103505932542266</v>
      </c>
      <c r="U7" s="140">
        <v>4.0567755435885688</v>
      </c>
      <c r="V7" s="140">
        <v>4.6317428907398046</v>
      </c>
      <c r="W7" s="140">
        <v>5.9728866141739037</v>
      </c>
      <c r="X7" s="140">
        <v>6.7844022745056485</v>
      </c>
      <c r="Y7" s="2" t="s">
        <v>165</v>
      </c>
    </row>
    <row r="8" spans="1:29" x14ac:dyDescent="0.25">
      <c r="A8" s="139">
        <f t="shared" ref="A8:A22" si="2">A24</f>
        <v>1</v>
      </c>
      <c r="B8" s="9"/>
      <c r="C8" s="141" t="str">
        <f>Свод!F23</f>
        <v>NHL NTE 240</v>
      </c>
      <c r="D8" s="9" t="str">
        <f>D7</f>
        <v>км</v>
      </c>
      <c r="E8" s="142">
        <f>IF($A8=1,E$7,0)</f>
        <v>3.0395841095397622</v>
      </c>
      <c r="F8" s="142">
        <f t="shared" ref="F8:X22" si="3">IF($A8=1,F$7,0)</f>
        <v>3.369823038832374</v>
      </c>
      <c r="G8" s="142">
        <f t="shared" si="3"/>
        <v>4.0467053875846224</v>
      </c>
      <c r="H8" s="142">
        <f t="shared" si="3"/>
        <v>3.9059063238423302</v>
      </c>
      <c r="I8" s="142">
        <f t="shared" si="3"/>
        <v>4.7952057859231418</v>
      </c>
      <c r="J8" s="142">
        <f t="shared" si="3"/>
        <v>5.3561072845576057</v>
      </c>
      <c r="K8" s="142">
        <f t="shared" si="3"/>
        <v>4.419179771876939</v>
      </c>
      <c r="L8" s="142">
        <f t="shared" si="3"/>
        <v>4.5262380343819704</v>
      </c>
      <c r="M8" s="142">
        <f t="shared" si="3"/>
        <v>5.3840572084989065</v>
      </c>
      <c r="N8" s="142">
        <f t="shared" si="3"/>
        <v>4.8197555032937718</v>
      </c>
      <c r="O8" s="142">
        <f t="shared" si="3"/>
        <v>4.7397683360965877</v>
      </c>
      <c r="P8" s="142">
        <f t="shared" si="3"/>
        <v>5.7368197620262222</v>
      </c>
      <c r="Q8" s="142">
        <f t="shared" si="3"/>
        <v>5.8316077393561105</v>
      </c>
      <c r="R8" s="142">
        <f t="shared" si="3"/>
        <v>6.0469832948366795</v>
      </c>
      <c r="S8" s="142">
        <f t="shared" si="3"/>
        <v>5.999946528386281</v>
      </c>
      <c r="T8" s="142">
        <f t="shared" si="3"/>
        <v>5.6103505932542266</v>
      </c>
      <c r="U8" s="142">
        <f t="shared" si="3"/>
        <v>4.0567755435885688</v>
      </c>
      <c r="V8" s="142">
        <f t="shared" si="3"/>
        <v>4.6317428907398046</v>
      </c>
      <c r="W8" s="142">
        <f t="shared" si="3"/>
        <v>5.9728866141739037</v>
      </c>
      <c r="X8" s="142">
        <f t="shared" si="3"/>
        <v>6.7844022745056485</v>
      </c>
      <c r="Y8" s="179"/>
    </row>
    <row r="9" spans="1:29" x14ac:dyDescent="0.25">
      <c r="A9" s="139">
        <f t="shared" si="2"/>
        <v>1</v>
      </c>
      <c r="B9" s="9"/>
      <c r="C9" s="141" t="str">
        <f>Свод!G23</f>
        <v>Estar ESDE240 (ГПБ К)</v>
      </c>
      <c r="D9" s="9" t="str">
        <f t="shared" ref="D9:D22" si="4">D8</f>
        <v>км</v>
      </c>
      <c r="E9" s="142">
        <f t="shared" ref="E9:T22" si="5">IF($A9=1,E$7,0)</f>
        <v>3.0395841095397622</v>
      </c>
      <c r="F9" s="142">
        <f t="shared" si="5"/>
        <v>3.369823038832374</v>
      </c>
      <c r="G9" s="142">
        <f t="shared" si="5"/>
        <v>4.0467053875846224</v>
      </c>
      <c r="H9" s="142">
        <f t="shared" si="5"/>
        <v>3.9059063238423302</v>
      </c>
      <c r="I9" s="142">
        <f t="shared" si="5"/>
        <v>4.7952057859231418</v>
      </c>
      <c r="J9" s="142">
        <f t="shared" si="5"/>
        <v>5.3561072845576057</v>
      </c>
      <c r="K9" s="142">
        <f t="shared" si="5"/>
        <v>4.419179771876939</v>
      </c>
      <c r="L9" s="142">
        <f t="shared" si="5"/>
        <v>4.5262380343819704</v>
      </c>
      <c r="M9" s="142">
        <f t="shared" si="5"/>
        <v>5.3840572084989065</v>
      </c>
      <c r="N9" s="142">
        <f t="shared" si="5"/>
        <v>4.8197555032937718</v>
      </c>
      <c r="O9" s="142">
        <f t="shared" si="5"/>
        <v>4.7397683360965877</v>
      </c>
      <c r="P9" s="142">
        <f t="shared" si="5"/>
        <v>5.7368197620262222</v>
      </c>
      <c r="Q9" s="142">
        <f t="shared" si="5"/>
        <v>5.8316077393561105</v>
      </c>
      <c r="R9" s="142">
        <f t="shared" si="5"/>
        <v>6.0469832948366795</v>
      </c>
      <c r="S9" s="142">
        <f t="shared" si="5"/>
        <v>5.999946528386281</v>
      </c>
      <c r="T9" s="142">
        <f t="shared" si="5"/>
        <v>5.6103505932542266</v>
      </c>
      <c r="U9" s="142">
        <f t="shared" si="3"/>
        <v>4.0567755435885688</v>
      </c>
      <c r="V9" s="142">
        <f t="shared" si="3"/>
        <v>4.6317428907398046</v>
      </c>
      <c r="W9" s="142">
        <f t="shared" si="3"/>
        <v>5.9728866141739037</v>
      </c>
      <c r="X9" s="142">
        <f t="shared" si="3"/>
        <v>6.7844022745056485</v>
      </c>
      <c r="Y9" s="179"/>
    </row>
    <row r="10" spans="1:29" x14ac:dyDescent="0.25">
      <c r="A10" s="139">
        <f t="shared" si="2"/>
        <v>1</v>
      </c>
      <c r="B10" s="9"/>
      <c r="C10" s="141" t="str">
        <f>Свод!H23</f>
        <v>SANY SET240S</v>
      </c>
      <c r="D10" s="9" t="str">
        <f t="shared" si="4"/>
        <v>км</v>
      </c>
      <c r="E10" s="142">
        <f t="shared" si="5"/>
        <v>3.0395841095397622</v>
      </c>
      <c r="F10" s="142">
        <f t="shared" si="3"/>
        <v>3.369823038832374</v>
      </c>
      <c r="G10" s="142">
        <f t="shared" si="3"/>
        <v>4.0467053875846224</v>
      </c>
      <c r="H10" s="142">
        <f t="shared" si="3"/>
        <v>3.9059063238423302</v>
      </c>
      <c r="I10" s="142">
        <f t="shared" si="3"/>
        <v>4.7952057859231418</v>
      </c>
      <c r="J10" s="142">
        <f t="shared" si="3"/>
        <v>5.3561072845576057</v>
      </c>
      <c r="K10" s="142">
        <f t="shared" si="3"/>
        <v>4.419179771876939</v>
      </c>
      <c r="L10" s="142">
        <f t="shared" si="3"/>
        <v>4.5262380343819704</v>
      </c>
      <c r="M10" s="142">
        <f t="shared" si="3"/>
        <v>5.3840572084989065</v>
      </c>
      <c r="N10" s="142">
        <f t="shared" si="3"/>
        <v>4.8197555032937718</v>
      </c>
      <c r="O10" s="142">
        <f t="shared" si="3"/>
        <v>4.7397683360965877</v>
      </c>
      <c r="P10" s="142">
        <f t="shared" si="3"/>
        <v>5.7368197620262222</v>
      </c>
      <c r="Q10" s="142">
        <f t="shared" si="3"/>
        <v>5.8316077393561105</v>
      </c>
      <c r="R10" s="142">
        <f t="shared" si="3"/>
        <v>6.0469832948366795</v>
      </c>
      <c r="S10" s="142">
        <f t="shared" si="3"/>
        <v>5.999946528386281</v>
      </c>
      <c r="T10" s="142">
        <f t="shared" si="3"/>
        <v>5.6103505932542266</v>
      </c>
      <c r="U10" s="142">
        <f t="shared" si="3"/>
        <v>4.0567755435885688</v>
      </c>
      <c r="V10" s="142">
        <f t="shared" si="3"/>
        <v>4.6317428907398046</v>
      </c>
      <c r="W10" s="142">
        <f t="shared" si="3"/>
        <v>5.9728866141739037</v>
      </c>
      <c r="X10" s="142">
        <f t="shared" si="3"/>
        <v>6.7844022745056485</v>
      </c>
      <c r="Y10" s="179"/>
    </row>
    <row r="11" spans="1:29" x14ac:dyDescent="0.25">
      <c r="A11" s="139">
        <f t="shared" si="2"/>
        <v>1</v>
      </c>
      <c r="B11" s="9"/>
      <c r="C11" s="141" t="str">
        <f>Свод!I23</f>
        <v>TZCO TZE240</v>
      </c>
      <c r="D11" s="9" t="str">
        <f t="shared" si="4"/>
        <v>км</v>
      </c>
      <c r="E11" s="142">
        <f t="shared" si="5"/>
        <v>3.0395841095397622</v>
      </c>
      <c r="F11" s="142">
        <f t="shared" si="3"/>
        <v>3.369823038832374</v>
      </c>
      <c r="G11" s="142">
        <f t="shared" si="3"/>
        <v>4.0467053875846224</v>
      </c>
      <c r="H11" s="142">
        <f t="shared" si="3"/>
        <v>3.9059063238423302</v>
      </c>
      <c r="I11" s="142">
        <f t="shared" si="3"/>
        <v>4.7952057859231418</v>
      </c>
      <c r="J11" s="142">
        <f t="shared" si="3"/>
        <v>5.3561072845576057</v>
      </c>
      <c r="K11" s="142">
        <f t="shared" si="3"/>
        <v>4.419179771876939</v>
      </c>
      <c r="L11" s="142">
        <f t="shared" si="3"/>
        <v>4.5262380343819704</v>
      </c>
      <c r="M11" s="142">
        <f t="shared" si="3"/>
        <v>5.3840572084989065</v>
      </c>
      <c r="N11" s="142">
        <f t="shared" si="3"/>
        <v>4.8197555032937718</v>
      </c>
      <c r="O11" s="142">
        <f t="shared" si="3"/>
        <v>4.7397683360965877</v>
      </c>
      <c r="P11" s="142">
        <f t="shared" si="3"/>
        <v>5.7368197620262222</v>
      </c>
      <c r="Q11" s="142">
        <f t="shared" si="3"/>
        <v>5.8316077393561105</v>
      </c>
      <c r="R11" s="142">
        <f t="shared" si="3"/>
        <v>6.0469832948366795</v>
      </c>
      <c r="S11" s="142">
        <f t="shared" si="3"/>
        <v>5.999946528386281</v>
      </c>
      <c r="T11" s="142">
        <f t="shared" si="3"/>
        <v>5.6103505932542266</v>
      </c>
      <c r="U11" s="142">
        <f t="shared" si="3"/>
        <v>4.0567755435885688</v>
      </c>
      <c r="V11" s="142">
        <f t="shared" si="3"/>
        <v>4.6317428907398046</v>
      </c>
      <c r="W11" s="142">
        <f t="shared" si="3"/>
        <v>5.9728866141739037</v>
      </c>
      <c r="X11" s="142">
        <f t="shared" si="3"/>
        <v>6.7844022745056485</v>
      </c>
      <c r="Y11" s="179"/>
    </row>
    <row r="12" spans="1:29" x14ac:dyDescent="0.25">
      <c r="A12" s="139">
        <f t="shared" si="2"/>
        <v>1</v>
      </c>
      <c r="B12" s="9"/>
      <c r="C12" s="141" t="str">
        <f>Свод!J23</f>
        <v>БелАЗ 7531 (ГПФК)</v>
      </c>
      <c r="D12" s="9" t="str">
        <f t="shared" si="4"/>
        <v>км</v>
      </c>
      <c r="E12" s="142">
        <f t="shared" si="5"/>
        <v>3.0395841095397622</v>
      </c>
      <c r="F12" s="142">
        <f t="shared" si="3"/>
        <v>3.369823038832374</v>
      </c>
      <c r="G12" s="142">
        <f t="shared" si="3"/>
        <v>4.0467053875846224</v>
      </c>
      <c r="H12" s="142">
        <f t="shared" si="3"/>
        <v>3.9059063238423302</v>
      </c>
      <c r="I12" s="142">
        <f t="shared" si="3"/>
        <v>4.7952057859231418</v>
      </c>
      <c r="J12" s="142">
        <f t="shared" si="3"/>
        <v>5.3561072845576057</v>
      </c>
      <c r="K12" s="142">
        <f t="shared" si="3"/>
        <v>4.419179771876939</v>
      </c>
      <c r="L12" s="142">
        <f t="shared" si="3"/>
        <v>4.5262380343819704</v>
      </c>
      <c r="M12" s="142">
        <f t="shared" si="3"/>
        <v>5.3840572084989065</v>
      </c>
      <c r="N12" s="142">
        <f t="shared" si="3"/>
        <v>4.8197555032937718</v>
      </c>
      <c r="O12" s="142">
        <f t="shared" si="3"/>
        <v>4.7397683360965877</v>
      </c>
      <c r="P12" s="142">
        <f t="shared" si="3"/>
        <v>5.7368197620262222</v>
      </c>
      <c r="Q12" s="142">
        <f t="shared" si="3"/>
        <v>5.8316077393561105</v>
      </c>
      <c r="R12" s="142">
        <f t="shared" si="3"/>
        <v>6.0469832948366795</v>
      </c>
      <c r="S12" s="142">
        <f t="shared" si="3"/>
        <v>5.999946528386281</v>
      </c>
      <c r="T12" s="142">
        <f t="shared" si="3"/>
        <v>5.6103505932542266</v>
      </c>
      <c r="U12" s="142">
        <f t="shared" si="3"/>
        <v>4.0567755435885688</v>
      </c>
      <c r="V12" s="142">
        <f t="shared" si="3"/>
        <v>4.6317428907398046</v>
      </c>
      <c r="W12" s="142">
        <f t="shared" si="3"/>
        <v>5.9728866141739037</v>
      </c>
      <c r="X12" s="142">
        <f t="shared" si="3"/>
        <v>6.7844022745056485</v>
      </c>
      <c r="Y12" s="179"/>
    </row>
    <row r="13" spans="1:29" x14ac:dyDescent="0.25">
      <c r="A13" s="139">
        <f t="shared" si="2"/>
        <v>1</v>
      </c>
      <c r="B13" s="9"/>
      <c r="C13" s="141" t="str">
        <f>Свод!K23</f>
        <v>XCMG 240</v>
      </c>
      <c r="D13" s="9" t="str">
        <f t="shared" si="4"/>
        <v>км</v>
      </c>
      <c r="E13" s="142">
        <f t="shared" si="5"/>
        <v>3.0395841095397622</v>
      </c>
      <c r="F13" s="142">
        <f t="shared" si="3"/>
        <v>3.369823038832374</v>
      </c>
      <c r="G13" s="142">
        <f t="shared" si="3"/>
        <v>4.0467053875846224</v>
      </c>
      <c r="H13" s="142">
        <f t="shared" si="3"/>
        <v>3.9059063238423302</v>
      </c>
      <c r="I13" s="142">
        <f t="shared" si="3"/>
        <v>4.7952057859231418</v>
      </c>
      <c r="J13" s="142">
        <f t="shared" si="3"/>
        <v>5.3561072845576057</v>
      </c>
      <c r="K13" s="142">
        <f t="shared" si="3"/>
        <v>4.419179771876939</v>
      </c>
      <c r="L13" s="142">
        <f t="shared" si="3"/>
        <v>4.5262380343819704</v>
      </c>
      <c r="M13" s="142">
        <f t="shared" si="3"/>
        <v>5.3840572084989065</v>
      </c>
      <c r="N13" s="142">
        <f t="shared" si="3"/>
        <v>4.8197555032937718</v>
      </c>
      <c r="O13" s="142">
        <f t="shared" si="3"/>
        <v>4.7397683360965877</v>
      </c>
      <c r="P13" s="142">
        <f t="shared" si="3"/>
        <v>5.7368197620262222</v>
      </c>
      <c r="Q13" s="142">
        <f t="shared" si="3"/>
        <v>5.8316077393561105</v>
      </c>
      <c r="R13" s="142">
        <f t="shared" si="3"/>
        <v>6.0469832948366795</v>
      </c>
      <c r="S13" s="142">
        <f t="shared" si="3"/>
        <v>5.999946528386281</v>
      </c>
      <c r="T13" s="142">
        <f t="shared" si="3"/>
        <v>5.6103505932542266</v>
      </c>
      <c r="U13" s="142">
        <f t="shared" si="3"/>
        <v>4.0567755435885688</v>
      </c>
      <c r="V13" s="142">
        <f t="shared" si="3"/>
        <v>4.6317428907398046</v>
      </c>
      <c r="W13" s="142">
        <f t="shared" si="3"/>
        <v>5.9728866141739037</v>
      </c>
      <c r="X13" s="142">
        <f t="shared" si="3"/>
        <v>6.7844022745056485</v>
      </c>
      <c r="Y13" s="179"/>
    </row>
    <row r="14" spans="1:29" x14ac:dyDescent="0.25">
      <c r="A14" s="139">
        <f t="shared" si="2"/>
        <v>1</v>
      </c>
      <c r="B14" s="9"/>
      <c r="C14" s="141" t="str">
        <f>Свод!L23</f>
        <v>БелАЗ 7531 (БТЛ)</v>
      </c>
      <c r="D14" s="9" t="str">
        <f t="shared" si="4"/>
        <v>км</v>
      </c>
      <c r="E14" s="142">
        <f t="shared" si="5"/>
        <v>3.0395841095397622</v>
      </c>
      <c r="F14" s="142">
        <f t="shared" si="3"/>
        <v>3.369823038832374</v>
      </c>
      <c r="G14" s="142">
        <f t="shared" si="3"/>
        <v>4.0467053875846224</v>
      </c>
      <c r="H14" s="142">
        <f t="shared" si="3"/>
        <v>3.9059063238423302</v>
      </c>
      <c r="I14" s="142">
        <f t="shared" si="3"/>
        <v>4.7952057859231418</v>
      </c>
      <c r="J14" s="142">
        <f t="shared" si="3"/>
        <v>5.3561072845576057</v>
      </c>
      <c r="K14" s="142">
        <f t="shared" si="3"/>
        <v>4.419179771876939</v>
      </c>
      <c r="L14" s="142">
        <f t="shared" si="3"/>
        <v>4.5262380343819704</v>
      </c>
      <c r="M14" s="142">
        <f t="shared" si="3"/>
        <v>5.3840572084989065</v>
      </c>
      <c r="N14" s="142">
        <f t="shared" si="3"/>
        <v>4.8197555032937718</v>
      </c>
      <c r="O14" s="142">
        <f t="shared" si="3"/>
        <v>4.7397683360965877</v>
      </c>
      <c r="P14" s="142">
        <f t="shared" si="3"/>
        <v>5.7368197620262222</v>
      </c>
      <c r="Q14" s="142">
        <f t="shared" si="3"/>
        <v>5.8316077393561105</v>
      </c>
      <c r="R14" s="142">
        <f t="shared" si="3"/>
        <v>6.0469832948366795</v>
      </c>
      <c r="S14" s="142">
        <f t="shared" si="3"/>
        <v>5.999946528386281</v>
      </c>
      <c r="T14" s="142">
        <f t="shared" si="3"/>
        <v>5.6103505932542266</v>
      </c>
      <c r="U14" s="142">
        <f t="shared" si="3"/>
        <v>4.0567755435885688</v>
      </c>
      <c r="V14" s="142">
        <f t="shared" si="3"/>
        <v>4.6317428907398046</v>
      </c>
      <c r="W14" s="142">
        <f t="shared" si="3"/>
        <v>5.9728866141739037</v>
      </c>
      <c r="X14" s="142">
        <f t="shared" si="3"/>
        <v>6.7844022745056485</v>
      </c>
      <c r="Y14" s="179"/>
    </row>
    <row r="15" spans="1:29" x14ac:dyDescent="0.25">
      <c r="A15" s="139">
        <f t="shared" si="2"/>
        <v>0</v>
      </c>
      <c r="B15" s="9"/>
      <c r="C15" s="141">
        <f>Свод!M23</f>
        <v>0</v>
      </c>
      <c r="D15" s="9" t="str">
        <f t="shared" si="4"/>
        <v>км</v>
      </c>
      <c r="E15" s="142">
        <f t="shared" si="5"/>
        <v>0</v>
      </c>
      <c r="F15" s="142">
        <f t="shared" si="3"/>
        <v>0</v>
      </c>
      <c r="G15" s="142">
        <f t="shared" si="3"/>
        <v>0</v>
      </c>
      <c r="H15" s="142">
        <f t="shared" si="3"/>
        <v>0</v>
      </c>
      <c r="I15" s="142">
        <f t="shared" si="3"/>
        <v>0</v>
      </c>
      <c r="J15" s="142">
        <f t="shared" si="3"/>
        <v>0</v>
      </c>
      <c r="K15" s="142">
        <f t="shared" si="3"/>
        <v>0</v>
      </c>
      <c r="L15" s="142">
        <f t="shared" si="3"/>
        <v>0</v>
      </c>
      <c r="M15" s="142">
        <f t="shared" si="3"/>
        <v>0</v>
      </c>
      <c r="N15" s="142">
        <f t="shared" si="3"/>
        <v>0</v>
      </c>
      <c r="O15" s="142">
        <f t="shared" si="3"/>
        <v>0</v>
      </c>
      <c r="P15" s="142">
        <f t="shared" si="3"/>
        <v>0</v>
      </c>
      <c r="Q15" s="142">
        <f t="shared" si="3"/>
        <v>0</v>
      </c>
      <c r="R15" s="142">
        <f t="shared" si="3"/>
        <v>0</v>
      </c>
      <c r="S15" s="142">
        <f t="shared" si="3"/>
        <v>0</v>
      </c>
      <c r="T15" s="142">
        <f t="shared" si="3"/>
        <v>0</v>
      </c>
      <c r="U15" s="142">
        <f t="shared" si="3"/>
        <v>0</v>
      </c>
      <c r="V15" s="142">
        <f t="shared" si="3"/>
        <v>0</v>
      </c>
      <c r="W15" s="142">
        <f t="shared" si="3"/>
        <v>0</v>
      </c>
      <c r="X15" s="142">
        <f t="shared" si="3"/>
        <v>0</v>
      </c>
      <c r="Y15" s="179"/>
    </row>
    <row r="16" spans="1:29" x14ac:dyDescent="0.25">
      <c r="A16" s="139">
        <f t="shared" si="2"/>
        <v>0</v>
      </c>
      <c r="B16" s="9"/>
      <c r="C16" s="141">
        <f>Свод!N23</f>
        <v>0</v>
      </c>
      <c r="D16" s="9" t="str">
        <f t="shared" si="4"/>
        <v>км</v>
      </c>
      <c r="E16" s="142">
        <f t="shared" si="5"/>
        <v>0</v>
      </c>
      <c r="F16" s="142">
        <f t="shared" si="3"/>
        <v>0</v>
      </c>
      <c r="G16" s="142">
        <f t="shared" si="3"/>
        <v>0</v>
      </c>
      <c r="H16" s="142">
        <f t="shared" si="3"/>
        <v>0</v>
      </c>
      <c r="I16" s="142">
        <f t="shared" si="3"/>
        <v>0</v>
      </c>
      <c r="J16" s="142">
        <f t="shared" si="3"/>
        <v>0</v>
      </c>
      <c r="K16" s="142">
        <f t="shared" si="3"/>
        <v>0</v>
      </c>
      <c r="L16" s="142">
        <f t="shared" si="3"/>
        <v>0</v>
      </c>
      <c r="M16" s="142">
        <f t="shared" si="3"/>
        <v>0</v>
      </c>
      <c r="N16" s="142">
        <f t="shared" si="3"/>
        <v>0</v>
      </c>
      <c r="O16" s="142">
        <f t="shared" si="3"/>
        <v>0</v>
      </c>
      <c r="P16" s="142">
        <f t="shared" si="3"/>
        <v>0</v>
      </c>
      <c r="Q16" s="142">
        <f t="shared" si="3"/>
        <v>0</v>
      </c>
      <c r="R16" s="142">
        <f t="shared" si="3"/>
        <v>0</v>
      </c>
      <c r="S16" s="142">
        <f t="shared" si="3"/>
        <v>0</v>
      </c>
      <c r="T16" s="142">
        <f t="shared" si="3"/>
        <v>0</v>
      </c>
      <c r="U16" s="142">
        <f t="shared" si="3"/>
        <v>0</v>
      </c>
      <c r="V16" s="142">
        <f t="shared" si="3"/>
        <v>0</v>
      </c>
      <c r="W16" s="142">
        <f t="shared" si="3"/>
        <v>0</v>
      </c>
      <c r="X16" s="142">
        <f t="shared" si="3"/>
        <v>0</v>
      </c>
      <c r="Y16" s="179"/>
    </row>
    <row r="17" spans="1:29" x14ac:dyDescent="0.25">
      <c r="A17" s="139">
        <f t="shared" si="2"/>
        <v>0</v>
      </c>
      <c r="B17" s="9"/>
      <c r="C17" s="141">
        <f>Свод!O23</f>
        <v>0</v>
      </c>
      <c r="D17" s="9" t="str">
        <f t="shared" si="4"/>
        <v>км</v>
      </c>
      <c r="E17" s="142">
        <f t="shared" si="5"/>
        <v>0</v>
      </c>
      <c r="F17" s="142">
        <f t="shared" si="3"/>
        <v>0</v>
      </c>
      <c r="G17" s="142">
        <f t="shared" si="3"/>
        <v>0</v>
      </c>
      <c r="H17" s="142">
        <f t="shared" si="3"/>
        <v>0</v>
      </c>
      <c r="I17" s="142">
        <f t="shared" si="3"/>
        <v>0</v>
      </c>
      <c r="J17" s="142">
        <f t="shared" si="3"/>
        <v>0</v>
      </c>
      <c r="K17" s="142">
        <f t="shared" si="3"/>
        <v>0</v>
      </c>
      <c r="L17" s="142">
        <f t="shared" si="3"/>
        <v>0</v>
      </c>
      <c r="M17" s="142">
        <f t="shared" si="3"/>
        <v>0</v>
      </c>
      <c r="N17" s="142">
        <f t="shared" si="3"/>
        <v>0</v>
      </c>
      <c r="O17" s="142">
        <f t="shared" si="3"/>
        <v>0</v>
      </c>
      <c r="P17" s="142">
        <f t="shared" si="3"/>
        <v>0</v>
      </c>
      <c r="Q17" s="142">
        <f t="shared" si="3"/>
        <v>0</v>
      </c>
      <c r="R17" s="142">
        <f t="shared" si="3"/>
        <v>0</v>
      </c>
      <c r="S17" s="142">
        <f t="shared" si="3"/>
        <v>0</v>
      </c>
      <c r="T17" s="142">
        <f t="shared" si="3"/>
        <v>0</v>
      </c>
      <c r="U17" s="142">
        <f t="shared" si="3"/>
        <v>0</v>
      </c>
      <c r="V17" s="142">
        <f t="shared" si="3"/>
        <v>0</v>
      </c>
      <c r="W17" s="142">
        <f t="shared" si="3"/>
        <v>0</v>
      </c>
      <c r="X17" s="142">
        <f t="shared" si="3"/>
        <v>0</v>
      </c>
      <c r="Y17" s="179"/>
    </row>
    <row r="18" spans="1:29" x14ac:dyDescent="0.25">
      <c r="A18" s="139">
        <f t="shared" si="2"/>
        <v>0</v>
      </c>
      <c r="B18" s="9"/>
      <c r="C18" s="141">
        <f>Свод!P23</f>
        <v>0</v>
      </c>
      <c r="D18" s="9" t="str">
        <f t="shared" si="4"/>
        <v>км</v>
      </c>
      <c r="E18" s="142">
        <f t="shared" si="5"/>
        <v>0</v>
      </c>
      <c r="F18" s="142">
        <f t="shared" si="3"/>
        <v>0</v>
      </c>
      <c r="G18" s="142">
        <f t="shared" si="3"/>
        <v>0</v>
      </c>
      <c r="H18" s="142">
        <f t="shared" si="3"/>
        <v>0</v>
      </c>
      <c r="I18" s="142">
        <f t="shared" si="3"/>
        <v>0</v>
      </c>
      <c r="J18" s="142">
        <f t="shared" si="3"/>
        <v>0</v>
      </c>
      <c r="K18" s="142">
        <f t="shared" si="3"/>
        <v>0</v>
      </c>
      <c r="L18" s="142">
        <f t="shared" si="3"/>
        <v>0</v>
      </c>
      <c r="M18" s="142">
        <f t="shared" si="3"/>
        <v>0</v>
      </c>
      <c r="N18" s="142">
        <f t="shared" si="3"/>
        <v>0</v>
      </c>
      <c r="O18" s="142">
        <f t="shared" si="3"/>
        <v>0</v>
      </c>
      <c r="P18" s="142">
        <f t="shared" si="3"/>
        <v>0</v>
      </c>
      <c r="Q18" s="142">
        <f t="shared" si="3"/>
        <v>0</v>
      </c>
      <c r="R18" s="142">
        <f t="shared" si="3"/>
        <v>0</v>
      </c>
      <c r="S18" s="142">
        <f t="shared" si="3"/>
        <v>0</v>
      </c>
      <c r="T18" s="142">
        <f t="shared" si="3"/>
        <v>0</v>
      </c>
      <c r="U18" s="142">
        <f t="shared" si="3"/>
        <v>0</v>
      </c>
      <c r="V18" s="142">
        <f t="shared" si="3"/>
        <v>0</v>
      </c>
      <c r="W18" s="142">
        <f t="shared" si="3"/>
        <v>0</v>
      </c>
      <c r="X18" s="142">
        <f t="shared" si="3"/>
        <v>0</v>
      </c>
      <c r="Y18" s="179"/>
    </row>
    <row r="19" spans="1:29" x14ac:dyDescent="0.25">
      <c r="A19" s="139">
        <f t="shared" si="2"/>
        <v>0</v>
      </c>
      <c r="B19" s="9"/>
      <c r="C19" s="141">
        <f>Свод!Q23</f>
        <v>0</v>
      </c>
      <c r="D19" s="9" t="str">
        <f t="shared" si="4"/>
        <v>км</v>
      </c>
      <c r="E19" s="142">
        <f t="shared" si="5"/>
        <v>0</v>
      </c>
      <c r="F19" s="142">
        <f t="shared" si="3"/>
        <v>0</v>
      </c>
      <c r="G19" s="142">
        <f t="shared" si="3"/>
        <v>0</v>
      </c>
      <c r="H19" s="142">
        <f t="shared" si="3"/>
        <v>0</v>
      </c>
      <c r="I19" s="142">
        <f t="shared" si="3"/>
        <v>0</v>
      </c>
      <c r="J19" s="142">
        <f t="shared" si="3"/>
        <v>0</v>
      </c>
      <c r="K19" s="142">
        <f t="shared" si="3"/>
        <v>0</v>
      </c>
      <c r="L19" s="142">
        <f t="shared" si="3"/>
        <v>0</v>
      </c>
      <c r="M19" s="142">
        <f t="shared" si="3"/>
        <v>0</v>
      </c>
      <c r="N19" s="142">
        <f t="shared" si="3"/>
        <v>0</v>
      </c>
      <c r="O19" s="142">
        <f t="shared" si="3"/>
        <v>0</v>
      </c>
      <c r="P19" s="142">
        <f t="shared" si="3"/>
        <v>0</v>
      </c>
      <c r="Q19" s="142">
        <f t="shared" si="3"/>
        <v>0</v>
      </c>
      <c r="R19" s="142">
        <f t="shared" si="3"/>
        <v>0</v>
      </c>
      <c r="S19" s="142">
        <f t="shared" si="3"/>
        <v>0</v>
      </c>
      <c r="T19" s="142">
        <f t="shared" si="3"/>
        <v>0</v>
      </c>
      <c r="U19" s="142">
        <f t="shared" si="3"/>
        <v>0</v>
      </c>
      <c r="V19" s="142">
        <f t="shared" si="3"/>
        <v>0</v>
      </c>
      <c r="W19" s="142">
        <f t="shared" si="3"/>
        <v>0</v>
      </c>
      <c r="X19" s="142">
        <f t="shared" si="3"/>
        <v>0</v>
      </c>
      <c r="Y19" s="179"/>
    </row>
    <row r="20" spans="1:29" x14ac:dyDescent="0.25">
      <c r="A20" s="139">
        <f t="shared" si="2"/>
        <v>0</v>
      </c>
      <c r="B20" s="9"/>
      <c r="C20" s="141">
        <f>Свод!R23</f>
        <v>0</v>
      </c>
      <c r="D20" s="9" t="str">
        <f t="shared" si="4"/>
        <v>км</v>
      </c>
      <c r="E20" s="142">
        <f t="shared" si="5"/>
        <v>0</v>
      </c>
      <c r="F20" s="142">
        <f t="shared" si="3"/>
        <v>0</v>
      </c>
      <c r="G20" s="142">
        <f t="shared" si="3"/>
        <v>0</v>
      </c>
      <c r="H20" s="142">
        <f t="shared" si="3"/>
        <v>0</v>
      </c>
      <c r="I20" s="142">
        <f t="shared" si="3"/>
        <v>0</v>
      </c>
      <c r="J20" s="142">
        <f t="shared" si="3"/>
        <v>0</v>
      </c>
      <c r="K20" s="142">
        <f t="shared" si="3"/>
        <v>0</v>
      </c>
      <c r="L20" s="142">
        <f t="shared" si="3"/>
        <v>0</v>
      </c>
      <c r="M20" s="142">
        <f t="shared" si="3"/>
        <v>0</v>
      </c>
      <c r="N20" s="142">
        <f t="shared" si="3"/>
        <v>0</v>
      </c>
      <c r="O20" s="142">
        <f t="shared" si="3"/>
        <v>0</v>
      </c>
      <c r="P20" s="142">
        <f t="shared" si="3"/>
        <v>0</v>
      </c>
      <c r="Q20" s="142">
        <f t="shared" si="3"/>
        <v>0</v>
      </c>
      <c r="R20" s="142">
        <f t="shared" si="3"/>
        <v>0</v>
      </c>
      <c r="S20" s="142">
        <f t="shared" si="3"/>
        <v>0</v>
      </c>
      <c r="T20" s="142">
        <f t="shared" si="3"/>
        <v>0</v>
      </c>
      <c r="U20" s="142">
        <f t="shared" si="3"/>
        <v>0</v>
      </c>
      <c r="V20" s="142">
        <f t="shared" si="3"/>
        <v>0</v>
      </c>
      <c r="W20" s="142">
        <f t="shared" si="3"/>
        <v>0</v>
      </c>
      <c r="X20" s="142">
        <f t="shared" si="3"/>
        <v>0</v>
      </c>
      <c r="Y20" s="179"/>
    </row>
    <row r="21" spans="1:29" x14ac:dyDescent="0.25">
      <c r="A21" s="139">
        <f t="shared" si="2"/>
        <v>0</v>
      </c>
      <c r="B21" s="9"/>
      <c r="C21" s="141">
        <f>Свод!S23</f>
        <v>0</v>
      </c>
      <c r="D21" s="9" t="str">
        <f t="shared" si="4"/>
        <v>км</v>
      </c>
      <c r="E21" s="142">
        <f t="shared" si="5"/>
        <v>0</v>
      </c>
      <c r="F21" s="142">
        <f t="shared" si="3"/>
        <v>0</v>
      </c>
      <c r="G21" s="142">
        <f t="shared" si="3"/>
        <v>0</v>
      </c>
      <c r="H21" s="142">
        <f t="shared" si="3"/>
        <v>0</v>
      </c>
      <c r="I21" s="142">
        <f t="shared" si="3"/>
        <v>0</v>
      </c>
      <c r="J21" s="142">
        <f t="shared" si="3"/>
        <v>0</v>
      </c>
      <c r="K21" s="142">
        <f t="shared" si="3"/>
        <v>0</v>
      </c>
      <c r="L21" s="142">
        <f t="shared" si="3"/>
        <v>0</v>
      </c>
      <c r="M21" s="142">
        <f t="shared" si="3"/>
        <v>0</v>
      </c>
      <c r="N21" s="142">
        <f t="shared" si="3"/>
        <v>0</v>
      </c>
      <c r="O21" s="142">
        <f t="shared" si="3"/>
        <v>0</v>
      </c>
      <c r="P21" s="142">
        <f t="shared" si="3"/>
        <v>0</v>
      </c>
      <c r="Q21" s="142">
        <f t="shared" si="3"/>
        <v>0</v>
      </c>
      <c r="R21" s="142">
        <f t="shared" si="3"/>
        <v>0</v>
      </c>
      <c r="S21" s="142">
        <f t="shared" si="3"/>
        <v>0</v>
      </c>
      <c r="T21" s="142">
        <f t="shared" si="3"/>
        <v>0</v>
      </c>
      <c r="U21" s="142">
        <f t="shared" si="3"/>
        <v>0</v>
      </c>
      <c r="V21" s="142">
        <f t="shared" si="3"/>
        <v>0</v>
      </c>
      <c r="W21" s="142">
        <f t="shared" si="3"/>
        <v>0</v>
      </c>
      <c r="X21" s="142">
        <f t="shared" si="3"/>
        <v>0</v>
      </c>
      <c r="Y21" s="179"/>
    </row>
    <row r="22" spans="1:29" x14ac:dyDescent="0.25">
      <c r="A22" s="139">
        <f t="shared" si="2"/>
        <v>0</v>
      </c>
      <c r="B22" s="9"/>
      <c r="C22" s="141">
        <f>Свод!T23</f>
        <v>0</v>
      </c>
      <c r="D22" s="9" t="str">
        <f t="shared" si="4"/>
        <v>км</v>
      </c>
      <c r="E22" s="142">
        <f t="shared" si="5"/>
        <v>0</v>
      </c>
      <c r="F22" s="142">
        <f t="shared" si="3"/>
        <v>0</v>
      </c>
      <c r="G22" s="142">
        <f t="shared" si="3"/>
        <v>0</v>
      </c>
      <c r="H22" s="142">
        <f t="shared" si="3"/>
        <v>0</v>
      </c>
      <c r="I22" s="142">
        <f t="shared" si="3"/>
        <v>0</v>
      </c>
      <c r="J22" s="142">
        <f t="shared" ref="J22:X22" si="6">IF($A22=1,J$7,0)</f>
        <v>0</v>
      </c>
      <c r="K22" s="142">
        <f t="shared" si="6"/>
        <v>0</v>
      </c>
      <c r="L22" s="142">
        <f t="shared" si="6"/>
        <v>0</v>
      </c>
      <c r="M22" s="142">
        <f t="shared" si="6"/>
        <v>0</v>
      </c>
      <c r="N22" s="142">
        <f t="shared" si="6"/>
        <v>0</v>
      </c>
      <c r="O22" s="142">
        <f t="shared" si="6"/>
        <v>0</v>
      </c>
      <c r="P22" s="142">
        <f t="shared" si="6"/>
        <v>0</v>
      </c>
      <c r="Q22" s="142">
        <f t="shared" si="6"/>
        <v>0</v>
      </c>
      <c r="R22" s="142">
        <f t="shared" si="6"/>
        <v>0</v>
      </c>
      <c r="S22" s="142">
        <f t="shared" si="6"/>
        <v>0</v>
      </c>
      <c r="T22" s="142">
        <f t="shared" si="6"/>
        <v>0</v>
      </c>
      <c r="U22" s="142">
        <f t="shared" si="6"/>
        <v>0</v>
      </c>
      <c r="V22" s="142">
        <f t="shared" si="6"/>
        <v>0</v>
      </c>
      <c r="W22" s="142">
        <f t="shared" si="6"/>
        <v>0</v>
      </c>
      <c r="X22" s="142">
        <f t="shared" si="6"/>
        <v>0</v>
      </c>
      <c r="Y22" s="179"/>
    </row>
    <row r="23" spans="1:29" x14ac:dyDescent="0.25">
      <c r="A23" s="56">
        <v>1</v>
      </c>
      <c r="B23" s="68">
        <f>B7+1</f>
        <v>2</v>
      </c>
      <c r="C23" s="67" t="s">
        <v>10</v>
      </c>
      <c r="D23" s="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179"/>
      <c r="Z23" s="52" t="s">
        <v>399</v>
      </c>
      <c r="AA23" s="52" t="s">
        <v>400</v>
      </c>
      <c r="AB23" s="52" t="s">
        <v>401</v>
      </c>
      <c r="AC23" s="52" t="s">
        <v>402</v>
      </c>
    </row>
    <row r="24" spans="1:29" x14ac:dyDescent="0.25">
      <c r="A24" s="143">
        <f>IF(MAX(E24:P24)=0,0,1)</f>
        <v>1</v>
      </c>
      <c r="B24" s="9"/>
      <c r="C24" s="31" t="str">
        <f>C8</f>
        <v>NHL NTE 240</v>
      </c>
      <c r="D24" s="9" t="s">
        <v>11</v>
      </c>
      <c r="E24" s="647">
        <f t="shared" ref="E24:E30" si="7">AC24</f>
        <v>227.8</v>
      </c>
      <c r="F24" s="89">
        <f>E24</f>
        <v>227.8</v>
      </c>
      <c r="G24" s="89">
        <f t="shared" ref="G24:X38" si="8">F24</f>
        <v>227.8</v>
      </c>
      <c r="H24" s="89">
        <f t="shared" si="8"/>
        <v>227.8</v>
      </c>
      <c r="I24" s="89">
        <f t="shared" si="8"/>
        <v>227.8</v>
      </c>
      <c r="J24" s="89">
        <f t="shared" si="8"/>
        <v>227.8</v>
      </c>
      <c r="K24" s="89">
        <f t="shared" si="8"/>
        <v>227.8</v>
      </c>
      <c r="L24" s="89">
        <f t="shared" si="8"/>
        <v>227.8</v>
      </c>
      <c r="M24" s="89">
        <f t="shared" si="8"/>
        <v>227.8</v>
      </c>
      <c r="N24" s="89">
        <f t="shared" si="8"/>
        <v>227.8</v>
      </c>
      <c r="O24" s="89">
        <f t="shared" si="8"/>
        <v>227.8</v>
      </c>
      <c r="P24" s="89">
        <f t="shared" si="8"/>
        <v>227.8</v>
      </c>
      <c r="Q24" s="89">
        <f t="shared" si="8"/>
        <v>227.8</v>
      </c>
      <c r="R24" s="89">
        <f t="shared" si="8"/>
        <v>227.8</v>
      </c>
      <c r="S24" s="89">
        <f t="shared" si="8"/>
        <v>227.8</v>
      </c>
      <c r="T24" s="89">
        <f t="shared" si="8"/>
        <v>227.8</v>
      </c>
      <c r="U24" s="89">
        <f t="shared" si="8"/>
        <v>227.8</v>
      </c>
      <c r="V24" s="89">
        <f t="shared" si="8"/>
        <v>227.8</v>
      </c>
      <c r="W24" s="89">
        <f t="shared" si="8"/>
        <v>227.8</v>
      </c>
      <c r="X24" s="89">
        <f t="shared" si="8"/>
        <v>227.8</v>
      </c>
      <c r="Y24" s="179" t="s">
        <v>635</v>
      </c>
      <c r="Z24" s="36">
        <v>236</v>
      </c>
      <c r="AA24" s="36"/>
      <c r="AB24" s="36">
        <v>8.1999999999999993</v>
      </c>
      <c r="AC24" s="426">
        <f>Z24-AA24-AB24</f>
        <v>227.8</v>
      </c>
    </row>
    <row r="25" spans="1:29" x14ac:dyDescent="0.25">
      <c r="A25" s="143">
        <f t="shared" ref="A25:A38" si="9">IF(MAX(E25:P25)=0,0,1)</f>
        <v>1</v>
      </c>
      <c r="B25" s="9"/>
      <c r="C25" s="31" t="str">
        <f t="shared" ref="C25:C38" si="10">C9</f>
        <v>Estar ESDE240 (ГПБ К)</v>
      </c>
      <c r="D25" s="9" t="str">
        <f>D24</f>
        <v>т</v>
      </c>
      <c r="E25" s="647">
        <f t="shared" si="7"/>
        <v>211.392</v>
      </c>
      <c r="F25" s="89">
        <f t="shared" ref="F25:U38" si="11">E25</f>
        <v>211.392</v>
      </c>
      <c r="G25" s="89">
        <f t="shared" si="11"/>
        <v>211.392</v>
      </c>
      <c r="H25" s="89">
        <f t="shared" si="11"/>
        <v>211.392</v>
      </c>
      <c r="I25" s="89">
        <f t="shared" si="11"/>
        <v>211.392</v>
      </c>
      <c r="J25" s="89">
        <f t="shared" si="11"/>
        <v>211.392</v>
      </c>
      <c r="K25" s="89">
        <f t="shared" si="11"/>
        <v>211.392</v>
      </c>
      <c r="L25" s="89">
        <f t="shared" si="11"/>
        <v>211.392</v>
      </c>
      <c r="M25" s="89">
        <f t="shared" si="11"/>
        <v>211.392</v>
      </c>
      <c r="N25" s="89">
        <f t="shared" si="11"/>
        <v>211.392</v>
      </c>
      <c r="O25" s="89">
        <f t="shared" si="11"/>
        <v>211.392</v>
      </c>
      <c r="P25" s="89">
        <f t="shared" si="11"/>
        <v>211.392</v>
      </c>
      <c r="Q25" s="89">
        <f t="shared" si="11"/>
        <v>211.392</v>
      </c>
      <c r="R25" s="89">
        <f t="shared" si="11"/>
        <v>211.392</v>
      </c>
      <c r="S25" s="89">
        <f t="shared" si="11"/>
        <v>211.392</v>
      </c>
      <c r="T25" s="89">
        <f t="shared" si="11"/>
        <v>211.392</v>
      </c>
      <c r="U25" s="89">
        <f t="shared" si="11"/>
        <v>211.392</v>
      </c>
      <c r="V25" s="89">
        <f t="shared" si="8"/>
        <v>211.392</v>
      </c>
      <c r="W25" s="89">
        <f t="shared" si="8"/>
        <v>211.392</v>
      </c>
      <c r="X25" s="89">
        <f t="shared" si="8"/>
        <v>211.392</v>
      </c>
      <c r="Y25" s="179" t="s">
        <v>635</v>
      </c>
      <c r="Z25" s="36">
        <f>ESDE240!D9</f>
        <v>220</v>
      </c>
      <c r="AA25" s="36"/>
      <c r="AB25" s="36">
        <v>8.6080000000000005</v>
      </c>
      <c r="AC25" s="426">
        <f t="shared" ref="AC25:AC38" si="12">Z25-AA25-AB25</f>
        <v>211.392</v>
      </c>
    </row>
    <row r="26" spans="1:29" x14ac:dyDescent="0.25">
      <c r="A26" s="143">
        <f t="shared" si="9"/>
        <v>1</v>
      </c>
      <c r="B26" s="9"/>
      <c r="C26" s="31" t="str">
        <f t="shared" si="10"/>
        <v>SANY SET240S</v>
      </c>
      <c r="D26" s="9" t="str">
        <f t="shared" ref="D26:D38" si="13">D25</f>
        <v>т</v>
      </c>
      <c r="E26" s="647">
        <f t="shared" si="7"/>
        <v>216.36200000000002</v>
      </c>
      <c r="F26" s="89">
        <f t="shared" si="11"/>
        <v>216.36200000000002</v>
      </c>
      <c r="G26" s="89">
        <f t="shared" si="8"/>
        <v>216.36200000000002</v>
      </c>
      <c r="H26" s="89">
        <f t="shared" si="8"/>
        <v>216.36200000000002</v>
      </c>
      <c r="I26" s="89">
        <f t="shared" si="8"/>
        <v>216.36200000000002</v>
      </c>
      <c r="J26" s="89">
        <f t="shared" si="8"/>
        <v>216.36200000000002</v>
      </c>
      <c r="K26" s="89">
        <f t="shared" si="8"/>
        <v>216.36200000000002</v>
      </c>
      <c r="L26" s="89">
        <f t="shared" si="8"/>
        <v>216.36200000000002</v>
      </c>
      <c r="M26" s="89">
        <f t="shared" si="8"/>
        <v>216.36200000000002</v>
      </c>
      <c r="N26" s="89">
        <f t="shared" si="8"/>
        <v>216.36200000000002</v>
      </c>
      <c r="O26" s="89">
        <f t="shared" si="8"/>
        <v>216.36200000000002</v>
      </c>
      <c r="P26" s="89">
        <f t="shared" si="8"/>
        <v>216.36200000000002</v>
      </c>
      <c r="Q26" s="89">
        <f t="shared" si="8"/>
        <v>216.36200000000002</v>
      </c>
      <c r="R26" s="89">
        <f t="shared" si="8"/>
        <v>216.36200000000002</v>
      </c>
      <c r="S26" s="89">
        <f t="shared" si="8"/>
        <v>216.36200000000002</v>
      </c>
      <c r="T26" s="89">
        <f t="shared" si="8"/>
        <v>216.36200000000002</v>
      </c>
      <c r="U26" s="89">
        <f t="shared" si="8"/>
        <v>216.36200000000002</v>
      </c>
      <c r="V26" s="89">
        <f t="shared" si="8"/>
        <v>216.36200000000002</v>
      </c>
      <c r="W26" s="89">
        <f t="shared" si="8"/>
        <v>216.36200000000002</v>
      </c>
      <c r="X26" s="89">
        <f t="shared" si="8"/>
        <v>216.36200000000002</v>
      </c>
      <c r="Y26" s="179" t="s">
        <v>635</v>
      </c>
      <c r="Z26" s="36">
        <v>390</v>
      </c>
      <c r="AA26" s="36">
        <f>170-4.8</f>
        <v>165.2</v>
      </c>
      <c r="AB26" s="36">
        <f>Загрузка!Y68/1000</f>
        <v>8.4380000000000006</v>
      </c>
      <c r="AC26" s="426">
        <f t="shared" si="12"/>
        <v>216.36200000000002</v>
      </c>
    </row>
    <row r="27" spans="1:29" x14ac:dyDescent="0.25">
      <c r="A27" s="143">
        <f t="shared" si="9"/>
        <v>1</v>
      </c>
      <c r="B27" s="9"/>
      <c r="C27" s="31" t="str">
        <f t="shared" si="10"/>
        <v>TZCO TZE240</v>
      </c>
      <c r="D27" s="9" t="str">
        <f t="shared" si="13"/>
        <v>т</v>
      </c>
      <c r="E27" s="647">
        <f t="shared" si="7"/>
        <v>222</v>
      </c>
      <c r="F27" s="89">
        <f t="shared" si="11"/>
        <v>222</v>
      </c>
      <c r="G27" s="89">
        <f t="shared" si="8"/>
        <v>222</v>
      </c>
      <c r="H27" s="89">
        <f t="shared" si="8"/>
        <v>222</v>
      </c>
      <c r="I27" s="89">
        <f t="shared" si="8"/>
        <v>222</v>
      </c>
      <c r="J27" s="89">
        <f t="shared" si="8"/>
        <v>222</v>
      </c>
      <c r="K27" s="89">
        <f t="shared" si="8"/>
        <v>222</v>
      </c>
      <c r="L27" s="89">
        <f t="shared" si="8"/>
        <v>222</v>
      </c>
      <c r="M27" s="89">
        <f t="shared" si="8"/>
        <v>222</v>
      </c>
      <c r="N27" s="89">
        <f t="shared" si="8"/>
        <v>222</v>
      </c>
      <c r="O27" s="89">
        <f t="shared" si="8"/>
        <v>222</v>
      </c>
      <c r="P27" s="89">
        <f t="shared" si="8"/>
        <v>222</v>
      </c>
      <c r="Q27" s="89">
        <f t="shared" si="8"/>
        <v>222</v>
      </c>
      <c r="R27" s="89">
        <f t="shared" si="8"/>
        <v>222</v>
      </c>
      <c r="S27" s="89">
        <f t="shared" si="8"/>
        <v>222</v>
      </c>
      <c r="T27" s="89">
        <f t="shared" si="8"/>
        <v>222</v>
      </c>
      <c r="U27" s="89">
        <f t="shared" si="8"/>
        <v>222</v>
      </c>
      <c r="V27" s="89">
        <f t="shared" si="8"/>
        <v>222</v>
      </c>
      <c r="W27" s="89">
        <f t="shared" si="8"/>
        <v>222</v>
      </c>
      <c r="X27" s="89">
        <f t="shared" si="8"/>
        <v>222</v>
      </c>
      <c r="Y27" s="179" t="s">
        <v>635</v>
      </c>
      <c r="Z27" s="36">
        <f>Загрузка!E104/1000</f>
        <v>395</v>
      </c>
      <c r="AA27" s="36">
        <f>Загрузка!E103/1000</f>
        <v>165</v>
      </c>
      <c r="AB27" s="36">
        <f>Загрузка!E106/1000</f>
        <v>8</v>
      </c>
      <c r="AC27" s="426">
        <f t="shared" si="12"/>
        <v>222</v>
      </c>
    </row>
    <row r="28" spans="1:29" x14ac:dyDescent="0.25">
      <c r="A28" s="143">
        <f t="shared" si="9"/>
        <v>1</v>
      </c>
      <c r="B28" s="9"/>
      <c r="C28" s="31" t="str">
        <f t="shared" si="10"/>
        <v>БелАЗ 7531 (ГПФК)</v>
      </c>
      <c r="D28" s="9" t="str">
        <f t="shared" si="13"/>
        <v>т</v>
      </c>
      <c r="E28" s="648">
        <f t="shared" si="7"/>
        <v>231</v>
      </c>
      <c r="F28" s="89">
        <f t="shared" si="11"/>
        <v>231</v>
      </c>
      <c r="G28" s="89">
        <f t="shared" si="8"/>
        <v>231</v>
      </c>
      <c r="H28" s="89">
        <f t="shared" si="8"/>
        <v>231</v>
      </c>
      <c r="I28" s="89">
        <f t="shared" si="8"/>
        <v>231</v>
      </c>
      <c r="J28" s="89">
        <f t="shared" si="8"/>
        <v>231</v>
      </c>
      <c r="K28" s="89">
        <f t="shared" si="8"/>
        <v>231</v>
      </c>
      <c r="L28" s="89">
        <f t="shared" si="8"/>
        <v>231</v>
      </c>
      <c r="M28" s="89">
        <f t="shared" si="8"/>
        <v>231</v>
      </c>
      <c r="N28" s="89">
        <f t="shared" si="8"/>
        <v>231</v>
      </c>
      <c r="O28" s="89">
        <f t="shared" si="8"/>
        <v>231</v>
      </c>
      <c r="P28" s="89">
        <f t="shared" si="8"/>
        <v>231</v>
      </c>
      <c r="Q28" s="89">
        <f t="shared" si="8"/>
        <v>231</v>
      </c>
      <c r="R28" s="89">
        <f t="shared" si="8"/>
        <v>231</v>
      </c>
      <c r="S28" s="89">
        <f t="shared" si="8"/>
        <v>231</v>
      </c>
      <c r="T28" s="89">
        <f t="shared" si="8"/>
        <v>231</v>
      </c>
      <c r="U28" s="89">
        <f t="shared" si="8"/>
        <v>231</v>
      </c>
      <c r="V28" s="89">
        <f t="shared" si="8"/>
        <v>231</v>
      </c>
      <c r="W28" s="89">
        <f t="shared" si="8"/>
        <v>231</v>
      </c>
      <c r="X28" s="89">
        <f t="shared" si="8"/>
        <v>231</v>
      </c>
      <c r="Y28" s="217"/>
      <c r="Z28" s="176">
        <f>БелАЗ!E9</f>
        <v>240</v>
      </c>
      <c r="AA28" s="176"/>
      <c r="AB28" s="176">
        <v>9</v>
      </c>
      <c r="AC28" s="426">
        <f t="shared" si="12"/>
        <v>231</v>
      </c>
    </row>
    <row r="29" spans="1:29" x14ac:dyDescent="0.25">
      <c r="A29" s="143">
        <f t="shared" si="9"/>
        <v>1</v>
      </c>
      <c r="B29" s="9"/>
      <c r="C29" s="31" t="str">
        <f t="shared" si="10"/>
        <v>XCMG 240</v>
      </c>
      <c r="D29" s="9" t="str">
        <f t="shared" si="13"/>
        <v>т</v>
      </c>
      <c r="E29" s="648">
        <f t="shared" si="7"/>
        <v>211.392</v>
      </c>
      <c r="F29" s="89">
        <f t="shared" si="11"/>
        <v>211.392</v>
      </c>
      <c r="G29" s="89">
        <f t="shared" si="8"/>
        <v>211.392</v>
      </c>
      <c r="H29" s="89">
        <f t="shared" si="8"/>
        <v>211.392</v>
      </c>
      <c r="I29" s="89">
        <f t="shared" si="8"/>
        <v>211.392</v>
      </c>
      <c r="J29" s="89">
        <f t="shared" si="8"/>
        <v>211.392</v>
      </c>
      <c r="K29" s="89">
        <f t="shared" si="8"/>
        <v>211.392</v>
      </c>
      <c r="L29" s="89">
        <f t="shared" si="8"/>
        <v>211.392</v>
      </c>
      <c r="M29" s="89">
        <f t="shared" si="8"/>
        <v>211.392</v>
      </c>
      <c r="N29" s="89">
        <f t="shared" si="8"/>
        <v>211.392</v>
      </c>
      <c r="O29" s="89">
        <f t="shared" si="8"/>
        <v>211.392</v>
      </c>
      <c r="P29" s="89">
        <f t="shared" si="8"/>
        <v>211.392</v>
      </c>
      <c r="Q29" s="89">
        <f t="shared" si="8"/>
        <v>211.392</v>
      </c>
      <c r="R29" s="89">
        <f t="shared" si="8"/>
        <v>211.392</v>
      </c>
      <c r="S29" s="89">
        <f t="shared" si="8"/>
        <v>211.392</v>
      </c>
      <c r="T29" s="89">
        <f t="shared" si="8"/>
        <v>211.392</v>
      </c>
      <c r="U29" s="89">
        <f t="shared" si="8"/>
        <v>211.392</v>
      </c>
      <c r="V29" s="89">
        <f t="shared" si="8"/>
        <v>211.392</v>
      </c>
      <c r="W29" s="89">
        <f t="shared" si="8"/>
        <v>211.392</v>
      </c>
      <c r="X29" s="89">
        <f t="shared" si="8"/>
        <v>211.392</v>
      </c>
      <c r="Y29" s="217"/>
      <c r="Z29" s="176">
        <f>Z25</f>
        <v>220</v>
      </c>
      <c r="AA29" s="176"/>
      <c r="AB29" s="176">
        <f>AB25</f>
        <v>8.6080000000000005</v>
      </c>
      <c r="AC29" s="426">
        <f t="shared" si="12"/>
        <v>211.392</v>
      </c>
    </row>
    <row r="30" spans="1:29" x14ac:dyDescent="0.25">
      <c r="A30" s="143">
        <f t="shared" si="9"/>
        <v>1</v>
      </c>
      <c r="B30" s="9"/>
      <c r="C30" s="31" t="str">
        <f t="shared" si="10"/>
        <v>БелАЗ 7531 (БТЛ)</v>
      </c>
      <c r="D30" s="9" t="str">
        <f t="shared" si="13"/>
        <v>т</v>
      </c>
      <c r="E30" s="648">
        <f t="shared" si="7"/>
        <v>231</v>
      </c>
      <c r="F30" s="89">
        <f t="shared" si="11"/>
        <v>231</v>
      </c>
      <c r="G30" s="89">
        <f t="shared" si="8"/>
        <v>231</v>
      </c>
      <c r="H30" s="89">
        <f t="shared" si="8"/>
        <v>231</v>
      </c>
      <c r="I30" s="89">
        <f t="shared" si="8"/>
        <v>231</v>
      </c>
      <c r="J30" s="89">
        <f t="shared" si="8"/>
        <v>231</v>
      </c>
      <c r="K30" s="89">
        <f t="shared" si="8"/>
        <v>231</v>
      </c>
      <c r="L30" s="89">
        <f t="shared" si="8"/>
        <v>231</v>
      </c>
      <c r="M30" s="89">
        <f t="shared" si="8"/>
        <v>231</v>
      </c>
      <c r="N30" s="89">
        <f t="shared" si="8"/>
        <v>231</v>
      </c>
      <c r="O30" s="89">
        <f t="shared" si="8"/>
        <v>231</v>
      </c>
      <c r="P30" s="89">
        <f t="shared" si="8"/>
        <v>231</v>
      </c>
      <c r="Q30" s="89">
        <f t="shared" si="8"/>
        <v>231</v>
      </c>
      <c r="R30" s="89">
        <f t="shared" si="8"/>
        <v>231</v>
      </c>
      <c r="S30" s="89">
        <f t="shared" si="8"/>
        <v>231</v>
      </c>
      <c r="T30" s="89">
        <f t="shared" si="8"/>
        <v>231</v>
      </c>
      <c r="U30" s="89">
        <f t="shared" si="8"/>
        <v>231</v>
      </c>
      <c r="V30" s="89">
        <f t="shared" si="8"/>
        <v>231</v>
      </c>
      <c r="W30" s="89">
        <f t="shared" si="8"/>
        <v>231</v>
      </c>
      <c r="X30" s="89">
        <f t="shared" si="8"/>
        <v>231</v>
      </c>
      <c r="Y30" s="217"/>
      <c r="Z30" s="176">
        <f>Z28</f>
        <v>240</v>
      </c>
      <c r="AA30" s="176"/>
      <c r="AB30" s="176">
        <f>AB28</f>
        <v>9</v>
      </c>
      <c r="AC30" s="426">
        <f t="shared" si="12"/>
        <v>231</v>
      </c>
    </row>
    <row r="31" spans="1:29" x14ac:dyDescent="0.25">
      <c r="A31" s="143">
        <f t="shared" si="9"/>
        <v>0</v>
      </c>
      <c r="B31" s="9"/>
      <c r="C31" s="31">
        <f t="shared" si="10"/>
        <v>0</v>
      </c>
      <c r="D31" s="9" t="str">
        <f t="shared" si="13"/>
        <v>т</v>
      </c>
      <c r="E31" s="90"/>
      <c r="F31" s="89">
        <f t="shared" si="11"/>
        <v>0</v>
      </c>
      <c r="G31" s="89">
        <f t="shared" si="8"/>
        <v>0</v>
      </c>
      <c r="H31" s="89">
        <f t="shared" si="8"/>
        <v>0</v>
      </c>
      <c r="I31" s="89">
        <f t="shared" si="8"/>
        <v>0</v>
      </c>
      <c r="J31" s="89">
        <f t="shared" si="8"/>
        <v>0</v>
      </c>
      <c r="K31" s="89">
        <f t="shared" si="8"/>
        <v>0</v>
      </c>
      <c r="L31" s="89">
        <f t="shared" si="8"/>
        <v>0</v>
      </c>
      <c r="M31" s="89">
        <f t="shared" si="8"/>
        <v>0</v>
      </c>
      <c r="N31" s="89">
        <f t="shared" si="8"/>
        <v>0</v>
      </c>
      <c r="O31" s="89">
        <f t="shared" si="8"/>
        <v>0</v>
      </c>
      <c r="P31" s="89">
        <f t="shared" si="8"/>
        <v>0</v>
      </c>
      <c r="Q31" s="89">
        <f t="shared" si="8"/>
        <v>0</v>
      </c>
      <c r="R31" s="89">
        <f t="shared" si="8"/>
        <v>0</v>
      </c>
      <c r="S31" s="89">
        <f t="shared" si="8"/>
        <v>0</v>
      </c>
      <c r="T31" s="89">
        <f t="shared" si="8"/>
        <v>0</v>
      </c>
      <c r="U31" s="89">
        <f t="shared" si="8"/>
        <v>0</v>
      </c>
      <c r="V31" s="89">
        <f t="shared" si="8"/>
        <v>0</v>
      </c>
      <c r="W31" s="89">
        <f t="shared" si="8"/>
        <v>0</v>
      </c>
      <c r="X31" s="89">
        <f t="shared" si="8"/>
        <v>0</v>
      </c>
      <c r="Y31" s="179"/>
      <c r="Z31" s="36"/>
      <c r="AA31" s="36"/>
      <c r="AB31" s="36"/>
      <c r="AC31" s="426">
        <f t="shared" si="12"/>
        <v>0</v>
      </c>
    </row>
    <row r="32" spans="1:29" x14ac:dyDescent="0.25">
      <c r="A32" s="143">
        <f t="shared" si="9"/>
        <v>0</v>
      </c>
      <c r="B32" s="9"/>
      <c r="C32" s="31">
        <f t="shared" si="10"/>
        <v>0</v>
      </c>
      <c r="D32" s="9" t="str">
        <f t="shared" si="13"/>
        <v>т</v>
      </c>
      <c r="E32" s="90"/>
      <c r="F32" s="89">
        <f t="shared" si="11"/>
        <v>0</v>
      </c>
      <c r="G32" s="89">
        <f t="shared" si="8"/>
        <v>0</v>
      </c>
      <c r="H32" s="89">
        <f t="shared" si="8"/>
        <v>0</v>
      </c>
      <c r="I32" s="89">
        <f t="shared" si="8"/>
        <v>0</v>
      </c>
      <c r="J32" s="89">
        <f t="shared" si="8"/>
        <v>0</v>
      </c>
      <c r="K32" s="89">
        <f t="shared" si="8"/>
        <v>0</v>
      </c>
      <c r="L32" s="89">
        <f t="shared" si="8"/>
        <v>0</v>
      </c>
      <c r="M32" s="89">
        <f t="shared" si="8"/>
        <v>0</v>
      </c>
      <c r="N32" s="89">
        <f t="shared" si="8"/>
        <v>0</v>
      </c>
      <c r="O32" s="89">
        <f t="shared" si="8"/>
        <v>0</v>
      </c>
      <c r="P32" s="89">
        <f t="shared" si="8"/>
        <v>0</v>
      </c>
      <c r="Q32" s="89">
        <f t="shared" si="8"/>
        <v>0</v>
      </c>
      <c r="R32" s="89">
        <f t="shared" si="8"/>
        <v>0</v>
      </c>
      <c r="S32" s="89">
        <f t="shared" si="8"/>
        <v>0</v>
      </c>
      <c r="T32" s="89">
        <f t="shared" si="8"/>
        <v>0</v>
      </c>
      <c r="U32" s="89">
        <f t="shared" si="8"/>
        <v>0</v>
      </c>
      <c r="V32" s="89">
        <f t="shared" si="8"/>
        <v>0</v>
      </c>
      <c r="W32" s="89">
        <f t="shared" si="8"/>
        <v>0</v>
      </c>
      <c r="X32" s="89">
        <f t="shared" si="8"/>
        <v>0</v>
      </c>
      <c r="Y32" s="179"/>
      <c r="Z32" s="36"/>
      <c r="AA32" s="36"/>
      <c r="AB32" s="36"/>
      <c r="AC32" s="426">
        <f t="shared" si="12"/>
        <v>0</v>
      </c>
    </row>
    <row r="33" spans="1:29" x14ac:dyDescent="0.25">
      <c r="A33" s="143">
        <f t="shared" si="9"/>
        <v>0</v>
      </c>
      <c r="B33" s="9"/>
      <c r="C33" s="31">
        <f t="shared" si="10"/>
        <v>0</v>
      </c>
      <c r="D33" s="9" t="str">
        <f t="shared" si="13"/>
        <v>т</v>
      </c>
      <c r="E33" s="90"/>
      <c r="F33" s="89">
        <f t="shared" si="11"/>
        <v>0</v>
      </c>
      <c r="G33" s="89">
        <f t="shared" si="8"/>
        <v>0</v>
      </c>
      <c r="H33" s="89">
        <f t="shared" si="8"/>
        <v>0</v>
      </c>
      <c r="I33" s="89">
        <f t="shared" si="8"/>
        <v>0</v>
      </c>
      <c r="J33" s="89">
        <f t="shared" si="8"/>
        <v>0</v>
      </c>
      <c r="K33" s="89">
        <f t="shared" si="8"/>
        <v>0</v>
      </c>
      <c r="L33" s="89">
        <f t="shared" si="8"/>
        <v>0</v>
      </c>
      <c r="M33" s="89">
        <f t="shared" si="8"/>
        <v>0</v>
      </c>
      <c r="N33" s="89">
        <f t="shared" si="8"/>
        <v>0</v>
      </c>
      <c r="O33" s="89">
        <f t="shared" si="8"/>
        <v>0</v>
      </c>
      <c r="P33" s="89">
        <f t="shared" si="8"/>
        <v>0</v>
      </c>
      <c r="Q33" s="89">
        <f t="shared" si="8"/>
        <v>0</v>
      </c>
      <c r="R33" s="89">
        <f t="shared" si="8"/>
        <v>0</v>
      </c>
      <c r="S33" s="89">
        <f t="shared" si="8"/>
        <v>0</v>
      </c>
      <c r="T33" s="89">
        <f t="shared" si="8"/>
        <v>0</v>
      </c>
      <c r="U33" s="89">
        <f t="shared" si="8"/>
        <v>0</v>
      </c>
      <c r="V33" s="89">
        <f t="shared" si="8"/>
        <v>0</v>
      </c>
      <c r="W33" s="89">
        <f t="shared" si="8"/>
        <v>0</v>
      </c>
      <c r="X33" s="89">
        <f t="shared" si="8"/>
        <v>0</v>
      </c>
      <c r="Y33" s="179"/>
      <c r="Z33" s="36"/>
      <c r="AA33" s="36"/>
      <c r="AB33" s="36"/>
      <c r="AC33" s="426">
        <f t="shared" si="12"/>
        <v>0</v>
      </c>
    </row>
    <row r="34" spans="1:29" x14ac:dyDescent="0.25">
      <c r="A34" s="143">
        <f t="shared" si="9"/>
        <v>0</v>
      </c>
      <c r="B34" s="9"/>
      <c r="C34" s="31">
        <f t="shared" si="10"/>
        <v>0</v>
      </c>
      <c r="D34" s="9" t="str">
        <f t="shared" si="13"/>
        <v>т</v>
      </c>
      <c r="E34" s="90"/>
      <c r="F34" s="89">
        <f t="shared" si="11"/>
        <v>0</v>
      </c>
      <c r="G34" s="89">
        <f t="shared" si="8"/>
        <v>0</v>
      </c>
      <c r="H34" s="89">
        <f t="shared" si="8"/>
        <v>0</v>
      </c>
      <c r="I34" s="89">
        <f t="shared" si="8"/>
        <v>0</v>
      </c>
      <c r="J34" s="89">
        <f t="shared" si="8"/>
        <v>0</v>
      </c>
      <c r="K34" s="89">
        <f t="shared" si="8"/>
        <v>0</v>
      </c>
      <c r="L34" s="89">
        <f t="shared" si="8"/>
        <v>0</v>
      </c>
      <c r="M34" s="89">
        <f t="shared" si="8"/>
        <v>0</v>
      </c>
      <c r="N34" s="89">
        <f t="shared" si="8"/>
        <v>0</v>
      </c>
      <c r="O34" s="89">
        <f t="shared" si="8"/>
        <v>0</v>
      </c>
      <c r="P34" s="89">
        <f t="shared" si="8"/>
        <v>0</v>
      </c>
      <c r="Q34" s="89">
        <f t="shared" si="8"/>
        <v>0</v>
      </c>
      <c r="R34" s="89">
        <f t="shared" si="8"/>
        <v>0</v>
      </c>
      <c r="S34" s="89">
        <f t="shared" si="8"/>
        <v>0</v>
      </c>
      <c r="T34" s="89">
        <f t="shared" si="8"/>
        <v>0</v>
      </c>
      <c r="U34" s="89">
        <f t="shared" si="8"/>
        <v>0</v>
      </c>
      <c r="V34" s="89">
        <f t="shared" si="8"/>
        <v>0</v>
      </c>
      <c r="W34" s="89">
        <f t="shared" si="8"/>
        <v>0</v>
      </c>
      <c r="X34" s="89">
        <f t="shared" si="8"/>
        <v>0</v>
      </c>
      <c r="Y34" s="179"/>
      <c r="Z34" s="36"/>
      <c r="AA34" s="36"/>
      <c r="AB34" s="36"/>
      <c r="AC34" s="426">
        <f t="shared" si="12"/>
        <v>0</v>
      </c>
    </row>
    <row r="35" spans="1:29" x14ac:dyDescent="0.25">
      <c r="A35" s="143">
        <f t="shared" si="9"/>
        <v>0</v>
      </c>
      <c r="B35" s="9"/>
      <c r="C35" s="31">
        <f t="shared" si="10"/>
        <v>0</v>
      </c>
      <c r="D35" s="9" t="str">
        <f t="shared" si="13"/>
        <v>т</v>
      </c>
      <c r="E35" s="90"/>
      <c r="F35" s="89">
        <f t="shared" si="11"/>
        <v>0</v>
      </c>
      <c r="G35" s="89">
        <f t="shared" si="8"/>
        <v>0</v>
      </c>
      <c r="H35" s="89">
        <f t="shared" si="8"/>
        <v>0</v>
      </c>
      <c r="I35" s="89">
        <f t="shared" si="8"/>
        <v>0</v>
      </c>
      <c r="J35" s="89">
        <f t="shared" si="8"/>
        <v>0</v>
      </c>
      <c r="K35" s="89">
        <f t="shared" si="8"/>
        <v>0</v>
      </c>
      <c r="L35" s="89">
        <f t="shared" si="8"/>
        <v>0</v>
      </c>
      <c r="M35" s="89">
        <f t="shared" si="8"/>
        <v>0</v>
      </c>
      <c r="N35" s="89">
        <f t="shared" si="8"/>
        <v>0</v>
      </c>
      <c r="O35" s="89">
        <f t="shared" si="8"/>
        <v>0</v>
      </c>
      <c r="P35" s="89">
        <f t="shared" si="8"/>
        <v>0</v>
      </c>
      <c r="Q35" s="89">
        <f t="shared" si="8"/>
        <v>0</v>
      </c>
      <c r="R35" s="89">
        <f t="shared" si="8"/>
        <v>0</v>
      </c>
      <c r="S35" s="89">
        <f t="shared" si="8"/>
        <v>0</v>
      </c>
      <c r="T35" s="89">
        <f t="shared" si="8"/>
        <v>0</v>
      </c>
      <c r="U35" s="89">
        <f t="shared" si="8"/>
        <v>0</v>
      </c>
      <c r="V35" s="89">
        <f t="shared" si="8"/>
        <v>0</v>
      </c>
      <c r="W35" s="89">
        <f t="shared" si="8"/>
        <v>0</v>
      </c>
      <c r="X35" s="89">
        <f t="shared" si="8"/>
        <v>0</v>
      </c>
      <c r="Y35" s="179"/>
      <c r="Z35" s="36"/>
      <c r="AA35" s="36"/>
      <c r="AB35" s="36"/>
      <c r="AC35" s="426">
        <f t="shared" si="12"/>
        <v>0</v>
      </c>
    </row>
    <row r="36" spans="1:29" x14ac:dyDescent="0.25">
      <c r="A36" s="143">
        <f t="shared" si="9"/>
        <v>0</v>
      </c>
      <c r="B36" s="9"/>
      <c r="C36" s="31">
        <f t="shared" si="10"/>
        <v>0</v>
      </c>
      <c r="D36" s="9" t="str">
        <f t="shared" si="13"/>
        <v>т</v>
      </c>
      <c r="E36" s="90"/>
      <c r="F36" s="89">
        <f t="shared" si="11"/>
        <v>0</v>
      </c>
      <c r="G36" s="89">
        <f t="shared" si="8"/>
        <v>0</v>
      </c>
      <c r="H36" s="89">
        <f t="shared" si="8"/>
        <v>0</v>
      </c>
      <c r="I36" s="89">
        <f t="shared" si="8"/>
        <v>0</v>
      </c>
      <c r="J36" s="89">
        <f t="shared" si="8"/>
        <v>0</v>
      </c>
      <c r="K36" s="89">
        <f t="shared" si="8"/>
        <v>0</v>
      </c>
      <c r="L36" s="89">
        <f t="shared" si="8"/>
        <v>0</v>
      </c>
      <c r="M36" s="89">
        <f t="shared" si="8"/>
        <v>0</v>
      </c>
      <c r="N36" s="89">
        <f t="shared" si="8"/>
        <v>0</v>
      </c>
      <c r="O36" s="89">
        <f t="shared" si="8"/>
        <v>0</v>
      </c>
      <c r="P36" s="89">
        <f t="shared" si="8"/>
        <v>0</v>
      </c>
      <c r="Q36" s="89">
        <f t="shared" si="8"/>
        <v>0</v>
      </c>
      <c r="R36" s="89">
        <f t="shared" si="8"/>
        <v>0</v>
      </c>
      <c r="S36" s="89">
        <f t="shared" si="8"/>
        <v>0</v>
      </c>
      <c r="T36" s="89">
        <f t="shared" si="8"/>
        <v>0</v>
      </c>
      <c r="U36" s="89">
        <f t="shared" si="8"/>
        <v>0</v>
      </c>
      <c r="V36" s="89">
        <f t="shared" si="8"/>
        <v>0</v>
      </c>
      <c r="W36" s="89">
        <f t="shared" si="8"/>
        <v>0</v>
      </c>
      <c r="X36" s="89">
        <f t="shared" si="8"/>
        <v>0</v>
      </c>
      <c r="Y36" s="179"/>
      <c r="Z36" s="36"/>
      <c r="AA36" s="36"/>
      <c r="AB36" s="36"/>
      <c r="AC36" s="426">
        <f t="shared" si="12"/>
        <v>0</v>
      </c>
    </row>
    <row r="37" spans="1:29" x14ac:dyDescent="0.25">
      <c r="A37" s="143">
        <f t="shared" si="9"/>
        <v>0</v>
      </c>
      <c r="B37" s="9"/>
      <c r="C37" s="31">
        <f t="shared" si="10"/>
        <v>0</v>
      </c>
      <c r="D37" s="9" t="str">
        <f t="shared" si="13"/>
        <v>т</v>
      </c>
      <c r="E37" s="90"/>
      <c r="F37" s="89">
        <f t="shared" si="11"/>
        <v>0</v>
      </c>
      <c r="G37" s="89">
        <f t="shared" si="8"/>
        <v>0</v>
      </c>
      <c r="H37" s="89">
        <f t="shared" si="8"/>
        <v>0</v>
      </c>
      <c r="I37" s="89">
        <f t="shared" si="8"/>
        <v>0</v>
      </c>
      <c r="J37" s="89">
        <f t="shared" si="8"/>
        <v>0</v>
      </c>
      <c r="K37" s="89">
        <f t="shared" si="8"/>
        <v>0</v>
      </c>
      <c r="L37" s="89">
        <f t="shared" si="8"/>
        <v>0</v>
      </c>
      <c r="M37" s="89">
        <f t="shared" si="8"/>
        <v>0</v>
      </c>
      <c r="N37" s="89">
        <f t="shared" si="8"/>
        <v>0</v>
      </c>
      <c r="O37" s="89">
        <f t="shared" si="8"/>
        <v>0</v>
      </c>
      <c r="P37" s="89">
        <f t="shared" si="8"/>
        <v>0</v>
      </c>
      <c r="Q37" s="89">
        <f t="shared" si="8"/>
        <v>0</v>
      </c>
      <c r="R37" s="89">
        <f t="shared" si="8"/>
        <v>0</v>
      </c>
      <c r="S37" s="89">
        <f t="shared" si="8"/>
        <v>0</v>
      </c>
      <c r="T37" s="89">
        <f t="shared" si="8"/>
        <v>0</v>
      </c>
      <c r="U37" s="89">
        <f t="shared" si="8"/>
        <v>0</v>
      </c>
      <c r="V37" s="89">
        <f t="shared" si="8"/>
        <v>0</v>
      </c>
      <c r="W37" s="89">
        <f t="shared" si="8"/>
        <v>0</v>
      </c>
      <c r="X37" s="89">
        <f t="shared" si="8"/>
        <v>0</v>
      </c>
      <c r="Y37" s="179"/>
      <c r="Z37" s="36"/>
      <c r="AA37" s="36"/>
      <c r="AB37" s="36"/>
      <c r="AC37" s="426">
        <f t="shared" si="12"/>
        <v>0</v>
      </c>
    </row>
    <row r="38" spans="1:29" x14ac:dyDescent="0.25">
      <c r="A38" s="143">
        <f t="shared" si="9"/>
        <v>0</v>
      </c>
      <c r="B38" s="9"/>
      <c r="C38" s="31">
        <f t="shared" si="10"/>
        <v>0</v>
      </c>
      <c r="D38" s="9" t="str">
        <f t="shared" si="13"/>
        <v>т</v>
      </c>
      <c r="E38" s="90"/>
      <c r="F38" s="89">
        <f t="shared" si="11"/>
        <v>0</v>
      </c>
      <c r="G38" s="89">
        <f t="shared" si="8"/>
        <v>0</v>
      </c>
      <c r="H38" s="89">
        <f t="shared" si="8"/>
        <v>0</v>
      </c>
      <c r="I38" s="89">
        <f t="shared" si="8"/>
        <v>0</v>
      </c>
      <c r="J38" s="89">
        <f t="shared" si="8"/>
        <v>0</v>
      </c>
      <c r="K38" s="89">
        <f t="shared" si="8"/>
        <v>0</v>
      </c>
      <c r="L38" s="89">
        <f t="shared" si="8"/>
        <v>0</v>
      </c>
      <c r="M38" s="89">
        <f t="shared" si="8"/>
        <v>0</v>
      </c>
      <c r="N38" s="89">
        <f t="shared" si="8"/>
        <v>0</v>
      </c>
      <c r="O38" s="89">
        <f t="shared" si="8"/>
        <v>0</v>
      </c>
      <c r="P38" s="89">
        <f t="shared" si="8"/>
        <v>0</v>
      </c>
      <c r="Q38" s="89">
        <f t="shared" si="8"/>
        <v>0</v>
      </c>
      <c r="R38" s="89">
        <f t="shared" si="8"/>
        <v>0</v>
      </c>
      <c r="S38" s="89">
        <f t="shared" si="8"/>
        <v>0</v>
      </c>
      <c r="T38" s="89">
        <f t="shared" si="8"/>
        <v>0</v>
      </c>
      <c r="U38" s="89">
        <f t="shared" si="8"/>
        <v>0</v>
      </c>
      <c r="V38" s="89">
        <f t="shared" si="8"/>
        <v>0</v>
      </c>
      <c r="W38" s="89">
        <f t="shared" si="8"/>
        <v>0</v>
      </c>
      <c r="X38" s="89">
        <f t="shared" si="8"/>
        <v>0</v>
      </c>
      <c r="Y38" s="179"/>
      <c r="Z38" s="36"/>
      <c r="AA38" s="36"/>
      <c r="AB38" s="36"/>
      <c r="AC38" s="426">
        <f t="shared" si="12"/>
        <v>0</v>
      </c>
    </row>
    <row r="39" spans="1:29" x14ac:dyDescent="0.25">
      <c r="A39" s="139">
        <f>A23</f>
        <v>1</v>
      </c>
      <c r="B39" s="68">
        <f>B23+1</f>
        <v>3</v>
      </c>
      <c r="C39" s="67" t="s">
        <v>107</v>
      </c>
      <c r="D39" s="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79"/>
    </row>
    <row r="40" spans="1:29" x14ac:dyDescent="0.25">
      <c r="A40" s="139">
        <f t="shared" ref="A40:A103" si="14">A24</f>
        <v>1</v>
      </c>
      <c r="B40" s="9"/>
      <c r="C40" s="31" t="str">
        <f>C24</f>
        <v>NHL NTE 240</v>
      </c>
      <c r="D40" s="9" t="s">
        <v>17</v>
      </c>
      <c r="E40" s="644">
        <f>'Факт NTE'!D7</f>
        <v>0.98371378402107112</v>
      </c>
      <c r="F40" s="41">
        <f>E40</f>
        <v>0.98371378402107112</v>
      </c>
      <c r="G40" s="41">
        <f t="shared" ref="G40:X54" si="15">F40</f>
        <v>0.98371378402107112</v>
      </c>
      <c r="H40" s="41">
        <f t="shared" si="15"/>
        <v>0.98371378402107112</v>
      </c>
      <c r="I40" s="41">
        <f t="shared" si="15"/>
        <v>0.98371378402107112</v>
      </c>
      <c r="J40" s="41">
        <f t="shared" si="15"/>
        <v>0.98371378402107112</v>
      </c>
      <c r="K40" s="41">
        <f t="shared" si="15"/>
        <v>0.98371378402107112</v>
      </c>
      <c r="L40" s="41">
        <f t="shared" si="15"/>
        <v>0.98371378402107112</v>
      </c>
      <c r="M40" s="41">
        <f t="shared" si="15"/>
        <v>0.98371378402107112</v>
      </c>
      <c r="N40" s="41">
        <f t="shared" si="15"/>
        <v>0.98371378402107112</v>
      </c>
      <c r="O40" s="41">
        <f t="shared" si="15"/>
        <v>0.98371378402107112</v>
      </c>
      <c r="P40" s="41">
        <f t="shared" si="15"/>
        <v>0.98371378402107112</v>
      </c>
      <c r="Q40" s="41">
        <f t="shared" si="15"/>
        <v>0.98371378402107112</v>
      </c>
      <c r="R40" s="41">
        <f t="shared" si="15"/>
        <v>0.98371378402107112</v>
      </c>
      <c r="S40" s="41">
        <f t="shared" si="15"/>
        <v>0.98371378402107112</v>
      </c>
      <c r="T40" s="41">
        <f t="shared" si="15"/>
        <v>0.98371378402107112</v>
      </c>
      <c r="U40" s="41">
        <f t="shared" si="15"/>
        <v>0.98371378402107112</v>
      </c>
      <c r="V40" s="41">
        <f t="shared" si="15"/>
        <v>0.98371378402107112</v>
      </c>
      <c r="W40" s="41">
        <f t="shared" si="15"/>
        <v>0.98371378402107112</v>
      </c>
      <c r="X40" s="41">
        <f t="shared" si="15"/>
        <v>0.98371378402107112</v>
      </c>
      <c r="Y40" s="179" t="s">
        <v>169</v>
      </c>
      <c r="AA40" s="92"/>
    </row>
    <row r="41" spans="1:29" x14ac:dyDescent="0.25">
      <c r="A41" s="139">
        <f t="shared" si="14"/>
        <v>1</v>
      </c>
      <c r="B41" s="9"/>
      <c r="C41" s="31" t="str">
        <f t="shared" ref="C41:C54" si="16">C25</f>
        <v>Estar ESDE240 (ГПБ К)</v>
      </c>
      <c r="D41" s="9" t="str">
        <f>D40</f>
        <v>коэфф.</v>
      </c>
      <c r="E41" s="145">
        <f>E40</f>
        <v>0.98371378402107112</v>
      </c>
      <c r="F41" s="41">
        <f t="shared" ref="F41:U54" si="17">E41</f>
        <v>0.98371378402107112</v>
      </c>
      <c r="G41" s="41">
        <f t="shared" si="17"/>
        <v>0.98371378402107112</v>
      </c>
      <c r="H41" s="41">
        <f t="shared" si="17"/>
        <v>0.98371378402107112</v>
      </c>
      <c r="I41" s="41">
        <f t="shared" si="17"/>
        <v>0.98371378402107112</v>
      </c>
      <c r="J41" s="41">
        <f t="shared" si="17"/>
        <v>0.98371378402107112</v>
      </c>
      <c r="K41" s="41">
        <f t="shared" si="17"/>
        <v>0.98371378402107112</v>
      </c>
      <c r="L41" s="41">
        <f t="shared" si="17"/>
        <v>0.98371378402107112</v>
      </c>
      <c r="M41" s="41">
        <f t="shared" si="17"/>
        <v>0.98371378402107112</v>
      </c>
      <c r="N41" s="41">
        <f t="shared" si="17"/>
        <v>0.98371378402107112</v>
      </c>
      <c r="O41" s="41">
        <f t="shared" si="17"/>
        <v>0.98371378402107112</v>
      </c>
      <c r="P41" s="41">
        <f t="shared" si="17"/>
        <v>0.98371378402107112</v>
      </c>
      <c r="Q41" s="41">
        <f t="shared" si="17"/>
        <v>0.98371378402107112</v>
      </c>
      <c r="R41" s="41">
        <f t="shared" si="17"/>
        <v>0.98371378402107112</v>
      </c>
      <c r="S41" s="41">
        <f t="shared" si="17"/>
        <v>0.98371378402107112</v>
      </c>
      <c r="T41" s="41">
        <f t="shared" si="17"/>
        <v>0.98371378402107112</v>
      </c>
      <c r="U41" s="41">
        <f t="shared" si="17"/>
        <v>0.98371378402107112</v>
      </c>
      <c r="V41" s="41">
        <f t="shared" si="15"/>
        <v>0.98371378402107112</v>
      </c>
      <c r="W41" s="41">
        <f t="shared" si="15"/>
        <v>0.98371378402107112</v>
      </c>
      <c r="X41" s="41">
        <f t="shared" si="15"/>
        <v>0.98371378402107112</v>
      </c>
      <c r="Y41" s="179" t="s">
        <v>170</v>
      </c>
    </row>
    <row r="42" spans="1:29" x14ac:dyDescent="0.25">
      <c r="A42" s="139">
        <f t="shared" si="14"/>
        <v>1</v>
      </c>
      <c r="B42" s="9"/>
      <c r="C42" s="31" t="str">
        <f t="shared" si="16"/>
        <v>SANY SET240S</v>
      </c>
      <c r="D42" s="9" t="str">
        <f t="shared" ref="D42:E54" si="18">D41</f>
        <v>коэфф.</v>
      </c>
      <c r="E42" s="145">
        <f t="shared" si="18"/>
        <v>0.98371378402107112</v>
      </c>
      <c r="F42" s="41">
        <f t="shared" si="17"/>
        <v>0.98371378402107112</v>
      </c>
      <c r="G42" s="41">
        <f t="shared" si="15"/>
        <v>0.98371378402107112</v>
      </c>
      <c r="H42" s="41">
        <f t="shared" si="15"/>
        <v>0.98371378402107112</v>
      </c>
      <c r="I42" s="41">
        <f t="shared" si="15"/>
        <v>0.98371378402107112</v>
      </c>
      <c r="J42" s="41">
        <f t="shared" si="15"/>
        <v>0.98371378402107112</v>
      </c>
      <c r="K42" s="41">
        <f t="shared" si="15"/>
        <v>0.98371378402107112</v>
      </c>
      <c r="L42" s="41">
        <f t="shared" si="15"/>
        <v>0.98371378402107112</v>
      </c>
      <c r="M42" s="41">
        <f t="shared" si="15"/>
        <v>0.98371378402107112</v>
      </c>
      <c r="N42" s="41">
        <f t="shared" si="15"/>
        <v>0.98371378402107112</v>
      </c>
      <c r="O42" s="41">
        <f t="shared" si="15"/>
        <v>0.98371378402107112</v>
      </c>
      <c r="P42" s="41">
        <f t="shared" si="15"/>
        <v>0.98371378402107112</v>
      </c>
      <c r="Q42" s="41">
        <f t="shared" si="15"/>
        <v>0.98371378402107112</v>
      </c>
      <c r="R42" s="41">
        <f t="shared" si="15"/>
        <v>0.98371378402107112</v>
      </c>
      <c r="S42" s="41">
        <f t="shared" si="15"/>
        <v>0.98371378402107112</v>
      </c>
      <c r="T42" s="41">
        <f t="shared" si="15"/>
        <v>0.98371378402107112</v>
      </c>
      <c r="U42" s="41">
        <f t="shared" si="15"/>
        <v>0.98371378402107112</v>
      </c>
      <c r="V42" s="41">
        <f t="shared" si="15"/>
        <v>0.98371378402107112</v>
      </c>
      <c r="W42" s="41">
        <f t="shared" si="15"/>
        <v>0.98371378402107112</v>
      </c>
      <c r="X42" s="41">
        <f t="shared" si="15"/>
        <v>0.98371378402107112</v>
      </c>
      <c r="Y42" s="179" t="s">
        <v>170</v>
      </c>
    </row>
    <row r="43" spans="1:29" x14ac:dyDescent="0.25">
      <c r="A43" s="139">
        <f t="shared" si="14"/>
        <v>1</v>
      </c>
      <c r="B43" s="9"/>
      <c r="C43" s="31" t="str">
        <f t="shared" si="16"/>
        <v>TZCO TZE240</v>
      </c>
      <c r="D43" s="9" t="str">
        <f t="shared" si="18"/>
        <v>коэфф.</v>
      </c>
      <c r="E43" s="145">
        <f t="shared" si="18"/>
        <v>0.98371378402107112</v>
      </c>
      <c r="F43" s="41">
        <f t="shared" si="17"/>
        <v>0.98371378402107112</v>
      </c>
      <c r="G43" s="41">
        <f t="shared" si="15"/>
        <v>0.98371378402107112</v>
      </c>
      <c r="H43" s="41">
        <f t="shared" si="15"/>
        <v>0.98371378402107112</v>
      </c>
      <c r="I43" s="41">
        <f t="shared" si="15"/>
        <v>0.98371378402107112</v>
      </c>
      <c r="J43" s="41">
        <f t="shared" si="15"/>
        <v>0.98371378402107112</v>
      </c>
      <c r="K43" s="41">
        <f t="shared" si="15"/>
        <v>0.98371378402107112</v>
      </c>
      <c r="L43" s="41">
        <f t="shared" si="15"/>
        <v>0.98371378402107112</v>
      </c>
      <c r="M43" s="41">
        <f t="shared" si="15"/>
        <v>0.98371378402107112</v>
      </c>
      <c r="N43" s="41">
        <f t="shared" si="15"/>
        <v>0.98371378402107112</v>
      </c>
      <c r="O43" s="41">
        <f t="shared" si="15"/>
        <v>0.98371378402107112</v>
      </c>
      <c r="P43" s="41">
        <f t="shared" si="15"/>
        <v>0.98371378402107112</v>
      </c>
      <c r="Q43" s="41">
        <f t="shared" si="15"/>
        <v>0.98371378402107112</v>
      </c>
      <c r="R43" s="41">
        <f t="shared" si="15"/>
        <v>0.98371378402107112</v>
      </c>
      <c r="S43" s="41">
        <f t="shared" si="15"/>
        <v>0.98371378402107112</v>
      </c>
      <c r="T43" s="41">
        <f t="shared" si="15"/>
        <v>0.98371378402107112</v>
      </c>
      <c r="U43" s="41">
        <f t="shared" si="15"/>
        <v>0.98371378402107112</v>
      </c>
      <c r="V43" s="41">
        <f t="shared" si="15"/>
        <v>0.98371378402107112</v>
      </c>
      <c r="W43" s="41">
        <f t="shared" si="15"/>
        <v>0.98371378402107112</v>
      </c>
      <c r="X43" s="41">
        <f t="shared" si="15"/>
        <v>0.98371378402107112</v>
      </c>
      <c r="Y43" s="179" t="s">
        <v>170</v>
      </c>
    </row>
    <row r="44" spans="1:29" x14ac:dyDescent="0.25">
      <c r="A44" s="139">
        <f t="shared" si="14"/>
        <v>1</v>
      </c>
      <c r="B44" s="9"/>
      <c r="C44" s="31" t="str">
        <f t="shared" si="16"/>
        <v>БелАЗ 7531 (ГПФК)</v>
      </c>
      <c r="D44" s="9" t="str">
        <f t="shared" si="18"/>
        <v>коэфф.</v>
      </c>
      <c r="E44" s="145">
        <f t="shared" si="18"/>
        <v>0.98371378402107112</v>
      </c>
      <c r="F44" s="41">
        <f t="shared" si="17"/>
        <v>0.98371378402107112</v>
      </c>
      <c r="G44" s="41">
        <f t="shared" si="15"/>
        <v>0.98371378402107112</v>
      </c>
      <c r="H44" s="41">
        <f t="shared" si="15"/>
        <v>0.98371378402107112</v>
      </c>
      <c r="I44" s="41">
        <f t="shared" si="15"/>
        <v>0.98371378402107112</v>
      </c>
      <c r="J44" s="41">
        <f t="shared" si="15"/>
        <v>0.98371378402107112</v>
      </c>
      <c r="K44" s="41">
        <f t="shared" si="15"/>
        <v>0.98371378402107112</v>
      </c>
      <c r="L44" s="41">
        <f t="shared" si="15"/>
        <v>0.98371378402107112</v>
      </c>
      <c r="M44" s="41">
        <f t="shared" si="15"/>
        <v>0.98371378402107112</v>
      </c>
      <c r="N44" s="41">
        <f t="shared" si="15"/>
        <v>0.98371378402107112</v>
      </c>
      <c r="O44" s="41">
        <f t="shared" si="15"/>
        <v>0.98371378402107112</v>
      </c>
      <c r="P44" s="41">
        <f t="shared" si="15"/>
        <v>0.98371378402107112</v>
      </c>
      <c r="Q44" s="41">
        <f t="shared" si="15"/>
        <v>0.98371378402107112</v>
      </c>
      <c r="R44" s="41">
        <f t="shared" si="15"/>
        <v>0.98371378402107112</v>
      </c>
      <c r="S44" s="41">
        <f t="shared" si="15"/>
        <v>0.98371378402107112</v>
      </c>
      <c r="T44" s="41">
        <f t="shared" si="15"/>
        <v>0.98371378402107112</v>
      </c>
      <c r="U44" s="41">
        <f t="shared" si="15"/>
        <v>0.98371378402107112</v>
      </c>
      <c r="V44" s="41">
        <f t="shared" si="15"/>
        <v>0.98371378402107112</v>
      </c>
      <c r="W44" s="41">
        <f t="shared" si="15"/>
        <v>0.98371378402107112</v>
      </c>
      <c r="X44" s="41">
        <f t="shared" si="15"/>
        <v>0.98371378402107112</v>
      </c>
      <c r="Y44" s="179" t="s">
        <v>170</v>
      </c>
    </row>
    <row r="45" spans="1:29" x14ac:dyDescent="0.25">
      <c r="A45" s="139">
        <f t="shared" si="14"/>
        <v>1</v>
      </c>
      <c r="B45" s="9"/>
      <c r="C45" s="31" t="str">
        <f t="shared" si="16"/>
        <v>XCMG 240</v>
      </c>
      <c r="D45" s="9" t="str">
        <f t="shared" si="18"/>
        <v>коэфф.</v>
      </c>
      <c r="E45" s="145">
        <f t="shared" si="18"/>
        <v>0.98371378402107112</v>
      </c>
      <c r="F45" s="41">
        <f t="shared" si="17"/>
        <v>0.98371378402107112</v>
      </c>
      <c r="G45" s="41">
        <f t="shared" si="15"/>
        <v>0.98371378402107112</v>
      </c>
      <c r="H45" s="41">
        <f t="shared" si="15"/>
        <v>0.98371378402107112</v>
      </c>
      <c r="I45" s="41">
        <f t="shared" si="15"/>
        <v>0.98371378402107112</v>
      </c>
      <c r="J45" s="41">
        <f t="shared" si="15"/>
        <v>0.98371378402107112</v>
      </c>
      <c r="K45" s="41">
        <f t="shared" si="15"/>
        <v>0.98371378402107112</v>
      </c>
      <c r="L45" s="41">
        <f t="shared" si="15"/>
        <v>0.98371378402107112</v>
      </c>
      <c r="M45" s="41">
        <f t="shared" si="15"/>
        <v>0.98371378402107112</v>
      </c>
      <c r="N45" s="41">
        <f t="shared" si="15"/>
        <v>0.98371378402107112</v>
      </c>
      <c r="O45" s="41">
        <f t="shared" si="15"/>
        <v>0.98371378402107112</v>
      </c>
      <c r="P45" s="41">
        <f t="shared" si="15"/>
        <v>0.98371378402107112</v>
      </c>
      <c r="Q45" s="41">
        <f t="shared" si="15"/>
        <v>0.98371378402107112</v>
      </c>
      <c r="R45" s="41">
        <f t="shared" si="15"/>
        <v>0.98371378402107112</v>
      </c>
      <c r="S45" s="41">
        <f t="shared" si="15"/>
        <v>0.98371378402107112</v>
      </c>
      <c r="T45" s="41">
        <f t="shared" si="15"/>
        <v>0.98371378402107112</v>
      </c>
      <c r="U45" s="41">
        <f t="shared" si="15"/>
        <v>0.98371378402107112</v>
      </c>
      <c r="V45" s="41">
        <f t="shared" si="15"/>
        <v>0.98371378402107112</v>
      </c>
      <c r="W45" s="41">
        <f t="shared" si="15"/>
        <v>0.98371378402107112</v>
      </c>
      <c r="X45" s="41">
        <f t="shared" si="15"/>
        <v>0.98371378402107112</v>
      </c>
      <c r="Y45" s="179" t="s">
        <v>170</v>
      </c>
      <c r="AC45" s="92"/>
    </row>
    <row r="46" spans="1:29" x14ac:dyDescent="0.25">
      <c r="A46" s="139">
        <f t="shared" si="14"/>
        <v>1</v>
      </c>
      <c r="B46" s="9"/>
      <c r="C46" s="31" t="str">
        <f t="shared" si="16"/>
        <v>БелАЗ 7531 (БТЛ)</v>
      </c>
      <c r="D46" s="9" t="str">
        <f t="shared" si="18"/>
        <v>коэфф.</v>
      </c>
      <c r="E46" s="145">
        <f t="shared" si="18"/>
        <v>0.98371378402107112</v>
      </c>
      <c r="F46" s="41">
        <f t="shared" si="17"/>
        <v>0.98371378402107112</v>
      </c>
      <c r="G46" s="41">
        <f t="shared" si="15"/>
        <v>0.98371378402107112</v>
      </c>
      <c r="H46" s="41">
        <f t="shared" si="15"/>
        <v>0.98371378402107112</v>
      </c>
      <c r="I46" s="41">
        <f t="shared" si="15"/>
        <v>0.98371378402107112</v>
      </c>
      <c r="J46" s="41">
        <f t="shared" si="15"/>
        <v>0.98371378402107112</v>
      </c>
      <c r="K46" s="41">
        <f t="shared" si="15"/>
        <v>0.98371378402107112</v>
      </c>
      <c r="L46" s="41">
        <f t="shared" si="15"/>
        <v>0.98371378402107112</v>
      </c>
      <c r="M46" s="41">
        <f t="shared" si="15"/>
        <v>0.98371378402107112</v>
      </c>
      <c r="N46" s="41">
        <f t="shared" si="15"/>
        <v>0.98371378402107112</v>
      </c>
      <c r="O46" s="41">
        <f t="shared" si="15"/>
        <v>0.98371378402107112</v>
      </c>
      <c r="P46" s="41">
        <f t="shared" si="15"/>
        <v>0.98371378402107112</v>
      </c>
      <c r="Q46" s="41">
        <f t="shared" si="15"/>
        <v>0.98371378402107112</v>
      </c>
      <c r="R46" s="41">
        <f t="shared" si="15"/>
        <v>0.98371378402107112</v>
      </c>
      <c r="S46" s="41">
        <f t="shared" si="15"/>
        <v>0.98371378402107112</v>
      </c>
      <c r="T46" s="41">
        <f t="shared" si="15"/>
        <v>0.98371378402107112</v>
      </c>
      <c r="U46" s="41">
        <f t="shared" si="15"/>
        <v>0.98371378402107112</v>
      </c>
      <c r="V46" s="41">
        <f t="shared" si="15"/>
        <v>0.98371378402107112</v>
      </c>
      <c r="W46" s="41">
        <f t="shared" si="15"/>
        <v>0.98371378402107112</v>
      </c>
      <c r="X46" s="41">
        <f t="shared" si="15"/>
        <v>0.98371378402107112</v>
      </c>
      <c r="Y46" s="179" t="s">
        <v>170</v>
      </c>
    </row>
    <row r="47" spans="1:29" x14ac:dyDescent="0.25">
      <c r="A47" s="139">
        <f t="shared" si="14"/>
        <v>0</v>
      </c>
      <c r="B47" s="9"/>
      <c r="C47" s="31">
        <f t="shared" si="16"/>
        <v>0</v>
      </c>
      <c r="D47" s="9" t="str">
        <f t="shared" si="18"/>
        <v>коэфф.</v>
      </c>
      <c r="E47" s="145"/>
      <c r="F47" s="41">
        <f t="shared" si="17"/>
        <v>0</v>
      </c>
      <c r="G47" s="41">
        <f t="shared" si="15"/>
        <v>0</v>
      </c>
      <c r="H47" s="41">
        <f t="shared" si="15"/>
        <v>0</v>
      </c>
      <c r="I47" s="41">
        <f t="shared" si="15"/>
        <v>0</v>
      </c>
      <c r="J47" s="41">
        <f t="shared" si="15"/>
        <v>0</v>
      </c>
      <c r="K47" s="41">
        <f t="shared" si="15"/>
        <v>0</v>
      </c>
      <c r="L47" s="41">
        <f t="shared" si="15"/>
        <v>0</v>
      </c>
      <c r="M47" s="41">
        <f t="shared" si="15"/>
        <v>0</v>
      </c>
      <c r="N47" s="41">
        <f t="shared" si="15"/>
        <v>0</v>
      </c>
      <c r="O47" s="41">
        <f t="shared" si="15"/>
        <v>0</v>
      </c>
      <c r="P47" s="41">
        <f t="shared" si="15"/>
        <v>0</v>
      </c>
      <c r="Q47" s="41">
        <f t="shared" si="15"/>
        <v>0</v>
      </c>
      <c r="R47" s="41">
        <f t="shared" si="15"/>
        <v>0</v>
      </c>
      <c r="S47" s="41">
        <f t="shared" si="15"/>
        <v>0</v>
      </c>
      <c r="T47" s="41">
        <f t="shared" si="15"/>
        <v>0</v>
      </c>
      <c r="U47" s="41">
        <f t="shared" si="15"/>
        <v>0</v>
      </c>
      <c r="V47" s="41">
        <f t="shared" si="15"/>
        <v>0</v>
      </c>
      <c r="W47" s="41">
        <f t="shared" si="15"/>
        <v>0</v>
      </c>
      <c r="X47" s="41">
        <f t="shared" si="15"/>
        <v>0</v>
      </c>
      <c r="Y47" s="179"/>
    </row>
    <row r="48" spans="1:29" x14ac:dyDescent="0.25">
      <c r="A48" s="139">
        <f t="shared" si="14"/>
        <v>0</v>
      </c>
      <c r="B48" s="9"/>
      <c r="C48" s="31">
        <f t="shared" si="16"/>
        <v>0</v>
      </c>
      <c r="D48" s="9" t="str">
        <f t="shared" si="18"/>
        <v>коэфф.</v>
      </c>
      <c r="E48" s="145"/>
      <c r="F48" s="41">
        <f t="shared" si="17"/>
        <v>0</v>
      </c>
      <c r="G48" s="41">
        <f t="shared" si="15"/>
        <v>0</v>
      </c>
      <c r="H48" s="41">
        <f t="shared" si="15"/>
        <v>0</v>
      </c>
      <c r="I48" s="41">
        <f t="shared" si="15"/>
        <v>0</v>
      </c>
      <c r="J48" s="41">
        <f t="shared" si="15"/>
        <v>0</v>
      </c>
      <c r="K48" s="41">
        <f t="shared" si="15"/>
        <v>0</v>
      </c>
      <c r="L48" s="41">
        <f t="shared" si="15"/>
        <v>0</v>
      </c>
      <c r="M48" s="41">
        <f t="shared" si="15"/>
        <v>0</v>
      </c>
      <c r="N48" s="41">
        <f t="shared" si="15"/>
        <v>0</v>
      </c>
      <c r="O48" s="41">
        <f t="shared" si="15"/>
        <v>0</v>
      </c>
      <c r="P48" s="41">
        <f t="shared" si="15"/>
        <v>0</v>
      </c>
      <c r="Q48" s="41">
        <f t="shared" si="15"/>
        <v>0</v>
      </c>
      <c r="R48" s="41">
        <f t="shared" si="15"/>
        <v>0</v>
      </c>
      <c r="S48" s="41">
        <f t="shared" si="15"/>
        <v>0</v>
      </c>
      <c r="T48" s="41">
        <f t="shared" si="15"/>
        <v>0</v>
      </c>
      <c r="U48" s="41">
        <f t="shared" si="15"/>
        <v>0</v>
      </c>
      <c r="V48" s="41">
        <f t="shared" si="15"/>
        <v>0</v>
      </c>
      <c r="W48" s="41">
        <f t="shared" si="15"/>
        <v>0</v>
      </c>
      <c r="X48" s="41">
        <f t="shared" si="15"/>
        <v>0</v>
      </c>
      <c r="Y48" s="179"/>
    </row>
    <row r="49" spans="1:27" x14ac:dyDescent="0.25">
      <c r="A49" s="139">
        <f t="shared" si="14"/>
        <v>0</v>
      </c>
      <c r="B49" s="9"/>
      <c r="C49" s="31">
        <f t="shared" si="16"/>
        <v>0</v>
      </c>
      <c r="D49" s="9" t="str">
        <f t="shared" si="18"/>
        <v>коэфф.</v>
      </c>
      <c r="E49" s="145"/>
      <c r="F49" s="41">
        <f t="shared" si="17"/>
        <v>0</v>
      </c>
      <c r="G49" s="41">
        <f t="shared" si="15"/>
        <v>0</v>
      </c>
      <c r="H49" s="41">
        <f t="shared" si="15"/>
        <v>0</v>
      </c>
      <c r="I49" s="41">
        <f t="shared" si="15"/>
        <v>0</v>
      </c>
      <c r="J49" s="41">
        <f t="shared" si="15"/>
        <v>0</v>
      </c>
      <c r="K49" s="41">
        <f t="shared" si="15"/>
        <v>0</v>
      </c>
      <c r="L49" s="41">
        <f t="shared" si="15"/>
        <v>0</v>
      </c>
      <c r="M49" s="41">
        <f t="shared" si="15"/>
        <v>0</v>
      </c>
      <c r="N49" s="41">
        <f t="shared" si="15"/>
        <v>0</v>
      </c>
      <c r="O49" s="41">
        <f t="shared" si="15"/>
        <v>0</v>
      </c>
      <c r="P49" s="41">
        <f t="shared" si="15"/>
        <v>0</v>
      </c>
      <c r="Q49" s="41">
        <f t="shared" si="15"/>
        <v>0</v>
      </c>
      <c r="R49" s="41">
        <f t="shared" si="15"/>
        <v>0</v>
      </c>
      <c r="S49" s="41">
        <f t="shared" si="15"/>
        <v>0</v>
      </c>
      <c r="T49" s="41">
        <f t="shared" si="15"/>
        <v>0</v>
      </c>
      <c r="U49" s="41">
        <f t="shared" si="15"/>
        <v>0</v>
      </c>
      <c r="V49" s="41">
        <f t="shared" si="15"/>
        <v>0</v>
      </c>
      <c r="W49" s="41">
        <f t="shared" si="15"/>
        <v>0</v>
      </c>
      <c r="X49" s="41">
        <f t="shared" si="15"/>
        <v>0</v>
      </c>
      <c r="Y49" s="179"/>
    </row>
    <row r="50" spans="1:27" x14ac:dyDescent="0.25">
      <c r="A50" s="139">
        <f t="shared" si="14"/>
        <v>0</v>
      </c>
      <c r="B50" s="9"/>
      <c r="C50" s="31">
        <f t="shared" si="16"/>
        <v>0</v>
      </c>
      <c r="D50" s="9" t="str">
        <f t="shared" si="18"/>
        <v>коэфф.</v>
      </c>
      <c r="E50" s="145"/>
      <c r="F50" s="41">
        <f t="shared" si="17"/>
        <v>0</v>
      </c>
      <c r="G50" s="41">
        <f t="shared" si="15"/>
        <v>0</v>
      </c>
      <c r="H50" s="41">
        <f t="shared" si="15"/>
        <v>0</v>
      </c>
      <c r="I50" s="41">
        <f t="shared" si="15"/>
        <v>0</v>
      </c>
      <c r="J50" s="41">
        <f t="shared" si="15"/>
        <v>0</v>
      </c>
      <c r="K50" s="41">
        <f t="shared" si="15"/>
        <v>0</v>
      </c>
      <c r="L50" s="41">
        <f t="shared" si="15"/>
        <v>0</v>
      </c>
      <c r="M50" s="41">
        <f t="shared" si="15"/>
        <v>0</v>
      </c>
      <c r="N50" s="41">
        <f t="shared" si="15"/>
        <v>0</v>
      </c>
      <c r="O50" s="41">
        <f t="shared" si="15"/>
        <v>0</v>
      </c>
      <c r="P50" s="41">
        <f t="shared" si="15"/>
        <v>0</v>
      </c>
      <c r="Q50" s="41">
        <f t="shared" si="15"/>
        <v>0</v>
      </c>
      <c r="R50" s="41">
        <f t="shared" si="15"/>
        <v>0</v>
      </c>
      <c r="S50" s="41">
        <f t="shared" si="15"/>
        <v>0</v>
      </c>
      <c r="T50" s="41">
        <f t="shared" si="15"/>
        <v>0</v>
      </c>
      <c r="U50" s="41">
        <f t="shared" si="15"/>
        <v>0</v>
      </c>
      <c r="V50" s="41">
        <f t="shared" si="15"/>
        <v>0</v>
      </c>
      <c r="W50" s="41">
        <f t="shared" si="15"/>
        <v>0</v>
      </c>
      <c r="X50" s="41">
        <f t="shared" si="15"/>
        <v>0</v>
      </c>
      <c r="Y50" s="179"/>
    </row>
    <row r="51" spans="1:27" x14ac:dyDescent="0.25">
      <c r="A51" s="139">
        <f t="shared" si="14"/>
        <v>0</v>
      </c>
      <c r="B51" s="9"/>
      <c r="C51" s="31">
        <f t="shared" si="16"/>
        <v>0</v>
      </c>
      <c r="D51" s="9" t="str">
        <f t="shared" si="18"/>
        <v>коэфф.</v>
      </c>
      <c r="E51" s="145"/>
      <c r="F51" s="41">
        <f t="shared" si="17"/>
        <v>0</v>
      </c>
      <c r="G51" s="41">
        <f t="shared" si="15"/>
        <v>0</v>
      </c>
      <c r="H51" s="41">
        <f t="shared" si="15"/>
        <v>0</v>
      </c>
      <c r="I51" s="41">
        <f t="shared" si="15"/>
        <v>0</v>
      </c>
      <c r="J51" s="41">
        <f t="shared" si="15"/>
        <v>0</v>
      </c>
      <c r="K51" s="41">
        <f t="shared" si="15"/>
        <v>0</v>
      </c>
      <c r="L51" s="41">
        <f t="shared" si="15"/>
        <v>0</v>
      </c>
      <c r="M51" s="41">
        <f t="shared" si="15"/>
        <v>0</v>
      </c>
      <c r="N51" s="41">
        <f t="shared" si="15"/>
        <v>0</v>
      </c>
      <c r="O51" s="41">
        <f t="shared" si="15"/>
        <v>0</v>
      </c>
      <c r="P51" s="41">
        <f t="shared" si="15"/>
        <v>0</v>
      </c>
      <c r="Q51" s="41">
        <f t="shared" si="15"/>
        <v>0</v>
      </c>
      <c r="R51" s="41">
        <f t="shared" si="15"/>
        <v>0</v>
      </c>
      <c r="S51" s="41">
        <f t="shared" si="15"/>
        <v>0</v>
      </c>
      <c r="T51" s="41">
        <f t="shared" si="15"/>
        <v>0</v>
      </c>
      <c r="U51" s="41">
        <f t="shared" si="15"/>
        <v>0</v>
      </c>
      <c r="V51" s="41">
        <f t="shared" si="15"/>
        <v>0</v>
      </c>
      <c r="W51" s="41">
        <f t="shared" si="15"/>
        <v>0</v>
      </c>
      <c r="X51" s="41">
        <f t="shared" si="15"/>
        <v>0</v>
      </c>
      <c r="Y51" s="179"/>
    </row>
    <row r="52" spans="1:27" x14ac:dyDescent="0.25">
      <c r="A52" s="139">
        <f t="shared" si="14"/>
        <v>0</v>
      </c>
      <c r="B52" s="9"/>
      <c r="C52" s="31">
        <f t="shared" si="16"/>
        <v>0</v>
      </c>
      <c r="D52" s="9" t="str">
        <f t="shared" si="18"/>
        <v>коэфф.</v>
      </c>
      <c r="E52" s="145"/>
      <c r="F52" s="41">
        <f t="shared" si="17"/>
        <v>0</v>
      </c>
      <c r="G52" s="41">
        <f t="shared" si="15"/>
        <v>0</v>
      </c>
      <c r="H52" s="41">
        <f t="shared" si="15"/>
        <v>0</v>
      </c>
      <c r="I52" s="41">
        <f t="shared" si="15"/>
        <v>0</v>
      </c>
      <c r="J52" s="41">
        <f t="shared" si="15"/>
        <v>0</v>
      </c>
      <c r="K52" s="41">
        <f t="shared" si="15"/>
        <v>0</v>
      </c>
      <c r="L52" s="41">
        <f t="shared" si="15"/>
        <v>0</v>
      </c>
      <c r="M52" s="41">
        <f t="shared" si="15"/>
        <v>0</v>
      </c>
      <c r="N52" s="41">
        <f t="shared" si="15"/>
        <v>0</v>
      </c>
      <c r="O52" s="41">
        <f t="shared" si="15"/>
        <v>0</v>
      </c>
      <c r="P52" s="41">
        <f t="shared" si="15"/>
        <v>0</v>
      </c>
      <c r="Q52" s="41">
        <f t="shared" si="15"/>
        <v>0</v>
      </c>
      <c r="R52" s="41">
        <f t="shared" si="15"/>
        <v>0</v>
      </c>
      <c r="S52" s="41">
        <f t="shared" si="15"/>
        <v>0</v>
      </c>
      <c r="T52" s="41">
        <f t="shared" si="15"/>
        <v>0</v>
      </c>
      <c r="U52" s="41">
        <f t="shared" si="15"/>
        <v>0</v>
      </c>
      <c r="V52" s="41">
        <f t="shared" si="15"/>
        <v>0</v>
      </c>
      <c r="W52" s="41">
        <f t="shared" si="15"/>
        <v>0</v>
      </c>
      <c r="X52" s="41">
        <f t="shared" si="15"/>
        <v>0</v>
      </c>
      <c r="Y52" s="179"/>
    </row>
    <row r="53" spans="1:27" x14ac:dyDescent="0.25">
      <c r="A53" s="139">
        <f t="shared" si="14"/>
        <v>0</v>
      </c>
      <c r="B53" s="9"/>
      <c r="C53" s="31">
        <f t="shared" si="16"/>
        <v>0</v>
      </c>
      <c r="D53" s="9" t="str">
        <f t="shared" si="18"/>
        <v>коэфф.</v>
      </c>
      <c r="E53" s="145"/>
      <c r="F53" s="41">
        <f t="shared" si="17"/>
        <v>0</v>
      </c>
      <c r="G53" s="41">
        <f t="shared" si="15"/>
        <v>0</v>
      </c>
      <c r="H53" s="41">
        <f t="shared" si="15"/>
        <v>0</v>
      </c>
      <c r="I53" s="41">
        <f t="shared" si="15"/>
        <v>0</v>
      </c>
      <c r="J53" s="41">
        <f t="shared" si="15"/>
        <v>0</v>
      </c>
      <c r="K53" s="41">
        <f t="shared" si="15"/>
        <v>0</v>
      </c>
      <c r="L53" s="41">
        <f t="shared" si="15"/>
        <v>0</v>
      </c>
      <c r="M53" s="41">
        <f t="shared" si="15"/>
        <v>0</v>
      </c>
      <c r="N53" s="41">
        <f t="shared" si="15"/>
        <v>0</v>
      </c>
      <c r="O53" s="41">
        <f t="shared" si="15"/>
        <v>0</v>
      </c>
      <c r="P53" s="41">
        <f t="shared" si="15"/>
        <v>0</v>
      </c>
      <c r="Q53" s="41">
        <f t="shared" si="15"/>
        <v>0</v>
      </c>
      <c r="R53" s="41">
        <f t="shared" si="15"/>
        <v>0</v>
      </c>
      <c r="S53" s="41">
        <f t="shared" si="15"/>
        <v>0</v>
      </c>
      <c r="T53" s="41">
        <f t="shared" si="15"/>
        <v>0</v>
      </c>
      <c r="U53" s="41">
        <f t="shared" si="15"/>
        <v>0</v>
      </c>
      <c r="V53" s="41">
        <f t="shared" si="15"/>
        <v>0</v>
      </c>
      <c r="W53" s="41">
        <f t="shared" si="15"/>
        <v>0</v>
      </c>
      <c r="X53" s="41">
        <f t="shared" si="15"/>
        <v>0</v>
      </c>
      <c r="Y53" s="179"/>
    </row>
    <row r="54" spans="1:27" x14ac:dyDescent="0.25">
      <c r="A54" s="139">
        <f t="shared" si="14"/>
        <v>0</v>
      </c>
      <c r="B54" s="9"/>
      <c r="C54" s="31">
        <f t="shared" si="16"/>
        <v>0</v>
      </c>
      <c r="D54" s="9" t="str">
        <f t="shared" si="18"/>
        <v>коэфф.</v>
      </c>
      <c r="E54" s="145"/>
      <c r="F54" s="41">
        <f t="shared" si="17"/>
        <v>0</v>
      </c>
      <c r="G54" s="41">
        <f t="shared" si="15"/>
        <v>0</v>
      </c>
      <c r="H54" s="41">
        <f t="shared" si="15"/>
        <v>0</v>
      </c>
      <c r="I54" s="41">
        <f t="shared" si="15"/>
        <v>0</v>
      </c>
      <c r="J54" s="41">
        <f t="shared" si="15"/>
        <v>0</v>
      </c>
      <c r="K54" s="41">
        <f t="shared" si="15"/>
        <v>0</v>
      </c>
      <c r="L54" s="41">
        <f t="shared" si="15"/>
        <v>0</v>
      </c>
      <c r="M54" s="41">
        <f t="shared" si="15"/>
        <v>0</v>
      </c>
      <c r="N54" s="41">
        <f t="shared" si="15"/>
        <v>0</v>
      </c>
      <c r="O54" s="41">
        <f t="shared" si="15"/>
        <v>0</v>
      </c>
      <c r="P54" s="41">
        <f t="shared" si="15"/>
        <v>0</v>
      </c>
      <c r="Q54" s="41">
        <f t="shared" si="15"/>
        <v>0</v>
      </c>
      <c r="R54" s="41">
        <f t="shared" si="15"/>
        <v>0</v>
      </c>
      <c r="S54" s="41">
        <f t="shared" si="15"/>
        <v>0</v>
      </c>
      <c r="T54" s="41">
        <f t="shared" si="15"/>
        <v>0</v>
      </c>
      <c r="U54" s="41">
        <f t="shared" si="15"/>
        <v>0</v>
      </c>
      <c r="V54" s="41">
        <f t="shared" si="15"/>
        <v>0</v>
      </c>
      <c r="W54" s="41">
        <f t="shared" si="15"/>
        <v>0</v>
      </c>
      <c r="X54" s="41">
        <f t="shared" si="15"/>
        <v>0</v>
      </c>
      <c r="Y54" s="179"/>
    </row>
    <row r="55" spans="1:27" x14ac:dyDescent="0.25">
      <c r="A55" s="139">
        <f t="shared" si="14"/>
        <v>1</v>
      </c>
      <c r="B55" s="68">
        <f>B39+1</f>
        <v>4</v>
      </c>
      <c r="C55" s="67" t="s">
        <v>50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187" t="s">
        <v>15</v>
      </c>
    </row>
    <row r="56" spans="1:27" x14ac:dyDescent="0.25">
      <c r="A56" s="139">
        <f t="shared" si="14"/>
        <v>1</v>
      </c>
      <c r="B56" s="30"/>
      <c r="C56" s="31" t="str">
        <f>C40</f>
        <v>NHL NTE 240</v>
      </c>
      <c r="D56" s="9" t="s">
        <v>17</v>
      </c>
      <c r="E56" s="145">
        <f>'NHL NTE240'!E12</f>
        <v>0.93755029173008619</v>
      </c>
      <c r="F56" s="145">
        <f>'NHL NTE240'!F12</f>
        <v>0.93038070776255699</v>
      </c>
      <c r="G56" s="145">
        <f>'NHL NTE240'!G12</f>
        <v>0.92090265093860979</v>
      </c>
      <c r="H56" s="145">
        <f>'NHL NTE240'!H12</f>
        <v>0.90840582191780817</v>
      </c>
      <c r="I56" s="145">
        <f>'NHL NTE240'!I12</f>
        <v>0.93333288939624548</v>
      </c>
      <c r="J56" s="145">
        <f>'NHL NTE240'!J12</f>
        <v>0.92172393455098933</v>
      </c>
      <c r="K56" s="145">
        <f>'NHL NTE240'!K12</f>
        <v>0.93126858193810236</v>
      </c>
      <c r="L56" s="145">
        <f>'NHL NTE240'!L12</f>
        <v>0.91113603500761031</v>
      </c>
      <c r="M56" s="145">
        <f>'NHL NTE240'!M12</f>
        <v>0.91706259512937582</v>
      </c>
      <c r="N56" s="145">
        <f>'NHL NTE240'!N12</f>
        <v>0.93222304667681377</v>
      </c>
      <c r="O56" s="145">
        <f>'NHL NTE240'!O12</f>
        <v>0.91462094114662595</v>
      </c>
      <c r="P56" s="145">
        <f>'NHL NTE240'!P12</f>
        <v>0.91328912988330779</v>
      </c>
      <c r="Q56" s="145">
        <f>'NHL NTE240'!Q12</f>
        <v>0.93377682648401816</v>
      </c>
      <c r="R56" s="145">
        <f>'NHL NTE240'!R12</f>
        <v>0.93266698376458645</v>
      </c>
      <c r="S56" s="145">
        <f>'NHL NTE240'!S12</f>
        <v>0.89848382800608828</v>
      </c>
      <c r="T56" s="145">
        <f>'NHL NTE240'!T12</f>
        <v>0.92556399036022319</v>
      </c>
      <c r="U56" s="145">
        <f>'NHL NTE240'!U12</f>
        <v>0.93422076357179096</v>
      </c>
      <c r="V56" s="145">
        <f>'NHL NTE240'!V12</f>
        <v>0.90469894723490607</v>
      </c>
      <c r="W56" s="145">
        <f>'NHL NTE240'!W12</f>
        <v>0.9344427321156773</v>
      </c>
      <c r="X56" s="145">
        <f>'NHL NTE240'!X12</f>
        <v>0.9220124936580415</v>
      </c>
      <c r="Y56" s="187">
        <f>COUNT(E56:X56)</f>
        <v>20</v>
      </c>
      <c r="Z56" s="146">
        <f>SUM(E56:X56)/Y56</f>
        <v>0.92288815956367343</v>
      </c>
      <c r="AA56" s="179" t="s">
        <v>943</v>
      </c>
    </row>
    <row r="57" spans="1:27" x14ac:dyDescent="0.25">
      <c r="A57" s="139">
        <f t="shared" si="14"/>
        <v>1</v>
      </c>
      <c r="B57" s="30"/>
      <c r="C57" s="31" t="str">
        <f t="shared" ref="C57:C70" si="19">C41</f>
        <v>Estar ESDE240 (ГПБ К)</v>
      </c>
      <c r="D57" s="9" t="str">
        <f>D56</f>
        <v>коэфф.</v>
      </c>
      <c r="E57" s="145">
        <f>ESDE240!E12</f>
        <v>0.91162480974124804</v>
      </c>
      <c r="F57" s="145">
        <f>ESDE240!F12</f>
        <v>0.89608701166920346</v>
      </c>
      <c r="G57" s="145">
        <f>ESDE240!G12</f>
        <v>0.84869672754946723</v>
      </c>
      <c r="H57" s="145">
        <f>ESDE240!H12</f>
        <v>0.80563483003551495</v>
      </c>
      <c r="I57" s="145">
        <f>ESDE240!I12</f>
        <v>0.89852866565195333</v>
      </c>
      <c r="J57" s="145">
        <f>ESDE240!J12</f>
        <v>0.82206050228310501</v>
      </c>
      <c r="K57" s="145">
        <f>ESDE240!K12</f>
        <v>0.88942795535261288</v>
      </c>
      <c r="L57" s="145">
        <f>ESDE240!L12</f>
        <v>0.81118404363267382</v>
      </c>
      <c r="M57" s="145">
        <f>ESDE240!M12</f>
        <v>0.85613267376966007</v>
      </c>
      <c r="N57" s="145">
        <f>ESDE240!N12</f>
        <v>0.83393581938102479</v>
      </c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87">
        <f t="shared" ref="Y57:Y70" si="20">COUNT(E57:X57)</f>
        <v>10</v>
      </c>
      <c r="Z57" s="146">
        <f t="shared" ref="Z57:Z70" si="21">SUM(E57:X57)/Y57</f>
        <v>0.85733130390664647</v>
      </c>
      <c r="AA57" s="179" t="s">
        <v>890</v>
      </c>
    </row>
    <row r="58" spans="1:27" x14ac:dyDescent="0.25">
      <c r="A58" s="139">
        <f t="shared" si="14"/>
        <v>1</v>
      </c>
      <c r="B58" s="30"/>
      <c r="C58" s="31" t="str">
        <f t="shared" si="19"/>
        <v>SANY SET240S</v>
      </c>
      <c r="D58" s="9" t="str">
        <f t="shared" ref="D58:D70" si="22">D57</f>
        <v>коэфф.</v>
      </c>
      <c r="E58" s="145">
        <f>SANY!E12</f>
        <v>0.93570839675291717</v>
      </c>
      <c r="F58" s="145">
        <f>SANY!F12</f>
        <v>0.90263508371385082</v>
      </c>
      <c r="G58" s="145">
        <f>SANY!G12</f>
        <v>0.86578830542871643</v>
      </c>
      <c r="H58" s="145">
        <f>SANY!H12</f>
        <v>0.90352295788939629</v>
      </c>
      <c r="I58" s="145">
        <f>SANY!I12</f>
        <v>0.85025050735667174</v>
      </c>
      <c r="J58" s="145">
        <f>SANY!J12</f>
        <v>0.90352295788939629</v>
      </c>
      <c r="K58" s="145">
        <f>SANY!K12</f>
        <v>0.86578830542871643</v>
      </c>
      <c r="L58" s="145">
        <f>SANY!L12</f>
        <v>0.90352295788939629</v>
      </c>
      <c r="M58" s="145">
        <f>SANY!M12</f>
        <v>0.85025050735667174</v>
      </c>
      <c r="N58" s="145">
        <f>SANY!N12</f>
        <v>0.88465563165905625</v>
      </c>
      <c r="O58" s="145">
        <f>SANY!O12</f>
        <v>0.8635686199898529</v>
      </c>
      <c r="P58" s="145">
        <f>SANY!P12</f>
        <v>0.8713375190258752</v>
      </c>
      <c r="Q58" s="145"/>
      <c r="R58" s="145"/>
      <c r="S58" s="145"/>
      <c r="T58" s="145"/>
      <c r="U58" s="145"/>
      <c r="V58" s="145"/>
      <c r="W58" s="145"/>
      <c r="X58" s="145"/>
      <c r="Y58" s="187">
        <f t="shared" si="20"/>
        <v>12</v>
      </c>
      <c r="Z58" s="146">
        <f t="shared" si="21"/>
        <v>0.88337931253170965</v>
      </c>
      <c r="AA58" s="179" t="s">
        <v>676</v>
      </c>
    </row>
    <row r="59" spans="1:27" x14ac:dyDescent="0.25">
      <c r="A59" s="139">
        <f t="shared" si="14"/>
        <v>1</v>
      </c>
      <c r="B59" s="30"/>
      <c r="C59" s="31" t="str">
        <f t="shared" si="19"/>
        <v>TZCO TZE240</v>
      </c>
      <c r="D59" s="9" t="str">
        <f t="shared" si="22"/>
        <v>коэфф.</v>
      </c>
      <c r="E59" s="145">
        <f>TZCO!E12</f>
        <v>0.90962709284627086</v>
      </c>
      <c r="F59" s="145">
        <f>TZCO!F12</f>
        <v>0.88376775748351089</v>
      </c>
      <c r="G59" s="145">
        <f>TZCO!G12</f>
        <v>0.77400431253170976</v>
      </c>
      <c r="H59" s="145">
        <f>TZCO!H12</f>
        <v>0.88376775748351089</v>
      </c>
      <c r="I59" s="145">
        <f>TZCO!I12</f>
        <v>0.90962709284627086</v>
      </c>
      <c r="J59" s="145">
        <f>TZCO!J12</f>
        <v>0.74814497716894979</v>
      </c>
      <c r="K59" s="145">
        <f>TZCO!K12</f>
        <v>0.90962709284627086</v>
      </c>
      <c r="L59" s="145">
        <f>TZCO!L12</f>
        <v>0.88376775748351089</v>
      </c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87">
        <f t="shared" si="20"/>
        <v>8</v>
      </c>
      <c r="Z59" s="146">
        <f t="shared" si="21"/>
        <v>0.86279173008625065</v>
      </c>
      <c r="AA59" s="179" t="s">
        <v>677</v>
      </c>
    </row>
    <row r="60" spans="1:27" x14ac:dyDescent="0.25">
      <c r="A60" s="139">
        <f t="shared" si="14"/>
        <v>1</v>
      </c>
      <c r="B60" s="30"/>
      <c r="C60" s="31" t="str">
        <f t="shared" si="19"/>
        <v>БелАЗ 7531 (ГПФК)</v>
      </c>
      <c r="D60" s="9" t="str">
        <f t="shared" si="22"/>
        <v>коэфф.</v>
      </c>
      <c r="E60" s="145">
        <f>БелАЗ!E12</f>
        <v>0.90830416032470829</v>
      </c>
      <c r="F60" s="145">
        <f>БелАЗ!F12</f>
        <v>0.88577435312024355</v>
      </c>
      <c r="G60" s="145">
        <f>БелАЗ!G12</f>
        <v>0.86468734145103998</v>
      </c>
      <c r="H60" s="145">
        <f>БелАЗ!H12</f>
        <v>0.87460193641129713</v>
      </c>
      <c r="I60" s="145">
        <f>БелАЗ!I12</f>
        <v>0.88129798748520216</v>
      </c>
      <c r="J60" s="145">
        <f>БелАЗ!J12</f>
        <v>0.8456720361914426</v>
      </c>
      <c r="K60" s="145">
        <f>БелАЗ!K12</f>
        <v>0.89713174361576187</v>
      </c>
      <c r="L60" s="145">
        <f>БелАЗ!L12</f>
        <v>0.85462476746152538</v>
      </c>
      <c r="M60" s="145">
        <f>БелАЗ!M12</f>
        <v>0.84219452900388969</v>
      </c>
      <c r="N60" s="145">
        <f>БелАЗ!N12</f>
        <v>0.86135781329274486</v>
      </c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87">
        <f t="shared" si="20"/>
        <v>10</v>
      </c>
      <c r="Z60" s="146">
        <f t="shared" si="21"/>
        <v>0.8715646668357856</v>
      </c>
      <c r="AA60" s="179" t="s">
        <v>679</v>
      </c>
    </row>
    <row r="61" spans="1:27" x14ac:dyDescent="0.25">
      <c r="A61" s="139">
        <f t="shared" si="14"/>
        <v>1</v>
      </c>
      <c r="B61" s="30"/>
      <c r="C61" s="31" t="str">
        <f t="shared" si="19"/>
        <v>XCMG 240</v>
      </c>
      <c r="D61" s="9" t="str">
        <f t="shared" si="22"/>
        <v>коэфф.</v>
      </c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87">
        <f t="shared" si="20"/>
        <v>0</v>
      </c>
      <c r="Z61" s="146" t="e">
        <f t="shared" si="21"/>
        <v>#DIV/0!</v>
      </c>
      <c r="AA61" s="217" t="s">
        <v>675</v>
      </c>
    </row>
    <row r="62" spans="1:27" x14ac:dyDescent="0.25">
      <c r="A62" s="139">
        <f t="shared" si="14"/>
        <v>1</v>
      </c>
      <c r="B62" s="30"/>
      <c r="C62" s="31" t="str">
        <f t="shared" si="19"/>
        <v>БелАЗ 7531 (БТЛ)</v>
      </c>
      <c r="D62" s="9" t="str">
        <f t="shared" si="22"/>
        <v>коэфф.</v>
      </c>
      <c r="E62" s="145">
        <f>БелАЗ_Б!E12</f>
        <v>0.92956036751648907</v>
      </c>
      <c r="F62" s="145">
        <f>БелАЗ_Б!F12</f>
        <v>0.90792065417300871</v>
      </c>
      <c r="G62" s="145">
        <f>БелАЗ_Б!G12</f>
        <v>0.8994118599906985</v>
      </c>
      <c r="H62" s="145">
        <f>БелАЗ_Б!H12</f>
        <v>0.88050753900304413</v>
      </c>
      <c r="I62" s="145">
        <f>БелАЗ_Б!I12</f>
        <v>0.9011506135844749</v>
      </c>
      <c r="J62" s="145">
        <f>БелАЗ_Б!J12</f>
        <v>0.87025999122695752</v>
      </c>
      <c r="K62" s="145">
        <f>БелАЗ_Б!K12</f>
        <v>0.85058935026636229</v>
      </c>
      <c r="L62" s="145">
        <f>БелАЗ_Б!L12</f>
        <v>0.89171695046930488</v>
      </c>
      <c r="M62" s="145">
        <f>БелАЗ_Б!M12</f>
        <v>0.85775576325469305</v>
      </c>
      <c r="N62" s="145">
        <f>БелАЗ_Б!N12</f>
        <v>0.85228053917216307</v>
      </c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87">
        <f t="shared" si="20"/>
        <v>10</v>
      </c>
      <c r="Z62" s="146">
        <f t="shared" si="21"/>
        <v>0.88411536286571957</v>
      </c>
      <c r="AA62" s="179" t="s">
        <v>772</v>
      </c>
    </row>
    <row r="63" spans="1:27" x14ac:dyDescent="0.25">
      <c r="A63" s="139">
        <f t="shared" si="14"/>
        <v>0</v>
      </c>
      <c r="B63" s="30"/>
      <c r="C63" s="31">
        <f t="shared" si="19"/>
        <v>0</v>
      </c>
      <c r="D63" s="9" t="str">
        <f t="shared" si="22"/>
        <v>коэфф.</v>
      </c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87">
        <f t="shared" si="20"/>
        <v>0</v>
      </c>
      <c r="Z63" s="146" t="e">
        <f t="shared" si="21"/>
        <v>#DIV/0!</v>
      </c>
    </row>
    <row r="64" spans="1:27" x14ac:dyDescent="0.25">
      <c r="A64" s="139">
        <f t="shared" si="14"/>
        <v>0</v>
      </c>
      <c r="B64" s="30"/>
      <c r="C64" s="31">
        <f t="shared" si="19"/>
        <v>0</v>
      </c>
      <c r="D64" s="9" t="str">
        <f t="shared" si="22"/>
        <v>коэфф.</v>
      </c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87">
        <f t="shared" si="20"/>
        <v>0</v>
      </c>
      <c r="Z64" s="146" t="e">
        <f t="shared" si="21"/>
        <v>#DIV/0!</v>
      </c>
    </row>
    <row r="65" spans="1:26" x14ac:dyDescent="0.25">
      <c r="A65" s="139">
        <f t="shared" si="14"/>
        <v>0</v>
      </c>
      <c r="B65" s="30"/>
      <c r="C65" s="31">
        <f t="shared" si="19"/>
        <v>0</v>
      </c>
      <c r="D65" s="9" t="str">
        <f t="shared" si="22"/>
        <v>коэфф.</v>
      </c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87">
        <f t="shared" si="20"/>
        <v>0</v>
      </c>
      <c r="Z65" s="146" t="e">
        <f t="shared" si="21"/>
        <v>#DIV/0!</v>
      </c>
    </row>
    <row r="66" spans="1:26" x14ac:dyDescent="0.25">
      <c r="A66" s="139">
        <f t="shared" si="14"/>
        <v>0</v>
      </c>
      <c r="B66" s="30"/>
      <c r="C66" s="31">
        <f t="shared" si="19"/>
        <v>0</v>
      </c>
      <c r="D66" s="9" t="str">
        <f t="shared" si="22"/>
        <v>коэфф.</v>
      </c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87">
        <f t="shared" si="20"/>
        <v>0</v>
      </c>
      <c r="Z66" s="146" t="e">
        <f t="shared" si="21"/>
        <v>#DIV/0!</v>
      </c>
    </row>
    <row r="67" spans="1:26" x14ac:dyDescent="0.25">
      <c r="A67" s="139">
        <f t="shared" si="14"/>
        <v>0</v>
      </c>
      <c r="B67" s="30"/>
      <c r="C67" s="31">
        <f t="shared" si="19"/>
        <v>0</v>
      </c>
      <c r="D67" s="9" t="str">
        <f t="shared" si="22"/>
        <v>коэфф.</v>
      </c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87">
        <f t="shared" si="20"/>
        <v>0</v>
      </c>
      <c r="Z67" s="146" t="e">
        <f t="shared" si="21"/>
        <v>#DIV/0!</v>
      </c>
    </row>
    <row r="68" spans="1:26" x14ac:dyDescent="0.25">
      <c r="A68" s="139">
        <f t="shared" si="14"/>
        <v>0</v>
      </c>
      <c r="B68" s="30"/>
      <c r="C68" s="31">
        <f t="shared" si="19"/>
        <v>0</v>
      </c>
      <c r="D68" s="9" t="str">
        <f t="shared" si="22"/>
        <v>коэфф.</v>
      </c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87">
        <f t="shared" si="20"/>
        <v>0</v>
      </c>
      <c r="Z68" s="146" t="e">
        <f t="shared" si="21"/>
        <v>#DIV/0!</v>
      </c>
    </row>
    <row r="69" spans="1:26" x14ac:dyDescent="0.25">
      <c r="A69" s="139">
        <f t="shared" si="14"/>
        <v>0</v>
      </c>
      <c r="B69" s="30"/>
      <c r="C69" s="31">
        <f t="shared" si="19"/>
        <v>0</v>
      </c>
      <c r="D69" s="9" t="str">
        <f t="shared" si="22"/>
        <v>коэфф.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87">
        <f t="shared" si="20"/>
        <v>0</v>
      </c>
      <c r="Z69" s="146" t="e">
        <f t="shared" si="21"/>
        <v>#DIV/0!</v>
      </c>
    </row>
    <row r="70" spans="1:26" x14ac:dyDescent="0.25">
      <c r="A70" s="139">
        <f t="shared" si="14"/>
        <v>0</v>
      </c>
      <c r="B70" s="30"/>
      <c r="C70" s="31">
        <f t="shared" si="19"/>
        <v>0</v>
      </c>
      <c r="D70" s="9" t="str">
        <f t="shared" si="22"/>
        <v>коэфф.</v>
      </c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87">
        <f t="shared" si="20"/>
        <v>0</v>
      </c>
      <c r="Z70" s="146" t="e">
        <f t="shared" si="21"/>
        <v>#DIV/0!</v>
      </c>
    </row>
    <row r="71" spans="1:26" outlineLevel="1" x14ac:dyDescent="0.25">
      <c r="A71" s="139">
        <f t="shared" si="14"/>
        <v>1</v>
      </c>
      <c r="B71" s="68" t="s">
        <v>45</v>
      </c>
      <c r="C71" s="67" t="s">
        <v>108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179"/>
    </row>
    <row r="72" spans="1:26" outlineLevel="1" x14ac:dyDescent="0.25">
      <c r="A72" s="139">
        <f t="shared" si="14"/>
        <v>1</v>
      </c>
      <c r="B72" s="30"/>
      <c r="C72" s="31" t="str">
        <f>C56</f>
        <v>NHL NTE 240</v>
      </c>
      <c r="D72" s="9" t="s">
        <v>104</v>
      </c>
      <c r="E72" s="74">
        <f>E$6*E56</f>
        <v>8212.940555555555</v>
      </c>
      <c r="F72" s="74">
        <f t="shared" ref="F72:X86" si="23">F$6*F56</f>
        <v>8150.1349999999993</v>
      </c>
      <c r="G72" s="74">
        <f t="shared" si="23"/>
        <v>8067.1072222222219</v>
      </c>
      <c r="H72" s="74">
        <f t="shared" si="23"/>
        <v>7957.6349999999993</v>
      </c>
      <c r="I72" s="74">
        <f t="shared" si="23"/>
        <v>8175.9961111111106</v>
      </c>
      <c r="J72" s="74">
        <f t="shared" si="23"/>
        <v>8074.3016666666663</v>
      </c>
      <c r="K72" s="74">
        <f t="shared" si="23"/>
        <v>8157.9127777777767</v>
      </c>
      <c r="L72" s="74">
        <f t="shared" si="23"/>
        <v>7981.5516666666663</v>
      </c>
      <c r="M72" s="74">
        <f t="shared" si="23"/>
        <v>8033.4683333333323</v>
      </c>
      <c r="N72" s="74">
        <f t="shared" si="23"/>
        <v>8166.2738888888889</v>
      </c>
      <c r="O72" s="74">
        <f t="shared" si="23"/>
        <v>8012.0794444444437</v>
      </c>
      <c r="P72" s="74">
        <f t="shared" si="23"/>
        <v>8000.4127777777767</v>
      </c>
      <c r="Q72" s="74">
        <f t="shared" si="23"/>
        <v>8179.8849999999993</v>
      </c>
      <c r="R72" s="74">
        <f t="shared" si="23"/>
        <v>8170.1627777777776</v>
      </c>
      <c r="S72" s="74">
        <f t="shared" si="23"/>
        <v>7870.7183333333332</v>
      </c>
      <c r="T72" s="74">
        <f t="shared" si="23"/>
        <v>8107.940555555555</v>
      </c>
      <c r="U72" s="74">
        <f t="shared" si="23"/>
        <v>8183.7738888888889</v>
      </c>
      <c r="V72" s="74">
        <f t="shared" si="23"/>
        <v>7925.1627777777776</v>
      </c>
      <c r="W72" s="74">
        <f t="shared" si="23"/>
        <v>8185.7183333333332</v>
      </c>
      <c r="X72" s="74">
        <f t="shared" si="23"/>
        <v>8076.8294444444437</v>
      </c>
      <c r="Y72" s="179"/>
    </row>
    <row r="73" spans="1:26" outlineLevel="1" x14ac:dyDescent="0.25">
      <c r="A73" s="139">
        <f t="shared" si="14"/>
        <v>1</v>
      </c>
      <c r="B73" s="30"/>
      <c r="C73" s="31" t="str">
        <f t="shared" ref="C73:C86" si="24">C57</f>
        <v>Estar ESDE240 (ГПБ К)</v>
      </c>
      <c r="D73" s="9" t="str">
        <f>D72</f>
        <v>час.</v>
      </c>
      <c r="E73" s="74">
        <f t="shared" ref="E73:T86" si="25">E$6*E57</f>
        <v>7985.833333333333</v>
      </c>
      <c r="F73" s="74">
        <f t="shared" si="25"/>
        <v>7849.7222222222226</v>
      </c>
      <c r="G73" s="74">
        <f t="shared" si="25"/>
        <v>7434.583333333333</v>
      </c>
      <c r="H73" s="74">
        <f t="shared" si="25"/>
        <v>7057.3611111111113</v>
      </c>
      <c r="I73" s="74">
        <f t="shared" si="25"/>
        <v>7871.1111111111113</v>
      </c>
      <c r="J73" s="74">
        <f t="shared" si="25"/>
        <v>7201.25</v>
      </c>
      <c r="K73" s="74">
        <f t="shared" si="25"/>
        <v>7791.3888888888887</v>
      </c>
      <c r="L73" s="74">
        <f t="shared" si="25"/>
        <v>7105.9722222222226</v>
      </c>
      <c r="M73" s="74">
        <f t="shared" si="25"/>
        <v>7499.7222222222226</v>
      </c>
      <c r="N73" s="74">
        <f t="shared" si="25"/>
        <v>7305.2777777777774</v>
      </c>
      <c r="O73" s="74">
        <f t="shared" si="25"/>
        <v>0</v>
      </c>
      <c r="P73" s="74">
        <f t="shared" si="25"/>
        <v>0</v>
      </c>
      <c r="Q73" s="74">
        <f t="shared" si="25"/>
        <v>0</v>
      </c>
      <c r="R73" s="74">
        <f t="shared" si="25"/>
        <v>0</v>
      </c>
      <c r="S73" s="74">
        <f t="shared" si="25"/>
        <v>0</v>
      </c>
      <c r="T73" s="74">
        <f t="shared" si="25"/>
        <v>0</v>
      </c>
      <c r="U73" s="74">
        <f t="shared" si="23"/>
        <v>0</v>
      </c>
      <c r="V73" s="74">
        <f t="shared" si="23"/>
        <v>0</v>
      </c>
      <c r="W73" s="74">
        <f t="shared" si="23"/>
        <v>0</v>
      </c>
      <c r="X73" s="74">
        <f t="shared" si="23"/>
        <v>0</v>
      </c>
      <c r="Y73" s="179"/>
    </row>
    <row r="74" spans="1:26" outlineLevel="1" x14ac:dyDescent="0.25">
      <c r="A74" s="139">
        <f t="shared" si="14"/>
        <v>1</v>
      </c>
      <c r="B74" s="30"/>
      <c r="C74" s="31" t="str">
        <f t="shared" si="24"/>
        <v>SANY SET240S</v>
      </c>
      <c r="D74" s="9" t="str">
        <f t="shared" ref="D74:D86" si="26">D73</f>
        <v>час.</v>
      </c>
      <c r="E74" s="74">
        <f t="shared" si="25"/>
        <v>8196.8055555555547</v>
      </c>
      <c r="F74" s="74">
        <f t="shared" si="23"/>
        <v>7907.083333333333</v>
      </c>
      <c r="G74" s="74">
        <f t="shared" si="23"/>
        <v>7584.3055555555557</v>
      </c>
      <c r="H74" s="74">
        <f t="shared" si="23"/>
        <v>7914.8611111111113</v>
      </c>
      <c r="I74" s="74">
        <f t="shared" si="23"/>
        <v>7448.1944444444443</v>
      </c>
      <c r="J74" s="74">
        <f t="shared" si="23"/>
        <v>7914.8611111111113</v>
      </c>
      <c r="K74" s="74">
        <f t="shared" si="23"/>
        <v>7584.3055555555557</v>
      </c>
      <c r="L74" s="74">
        <f t="shared" si="23"/>
        <v>7914.8611111111113</v>
      </c>
      <c r="M74" s="74">
        <f t="shared" si="23"/>
        <v>7448.1944444444443</v>
      </c>
      <c r="N74" s="74">
        <f t="shared" si="23"/>
        <v>7749.583333333333</v>
      </c>
      <c r="O74" s="74">
        <f t="shared" si="23"/>
        <v>7564.8611111111113</v>
      </c>
      <c r="P74" s="74">
        <f t="shared" si="23"/>
        <v>7632.916666666667</v>
      </c>
      <c r="Q74" s="74">
        <f t="shared" si="23"/>
        <v>0</v>
      </c>
      <c r="R74" s="74">
        <f t="shared" si="23"/>
        <v>0</v>
      </c>
      <c r="S74" s="74">
        <f t="shared" si="23"/>
        <v>0</v>
      </c>
      <c r="T74" s="74">
        <f t="shared" si="23"/>
        <v>0</v>
      </c>
      <c r="U74" s="74">
        <f t="shared" si="23"/>
        <v>0</v>
      </c>
      <c r="V74" s="74">
        <f t="shared" si="23"/>
        <v>0</v>
      </c>
      <c r="W74" s="74">
        <f t="shared" si="23"/>
        <v>0</v>
      </c>
      <c r="X74" s="74">
        <f t="shared" si="23"/>
        <v>0</v>
      </c>
      <c r="Y74" s="179"/>
    </row>
    <row r="75" spans="1:26" outlineLevel="1" x14ac:dyDescent="0.25">
      <c r="A75" s="139">
        <f t="shared" si="14"/>
        <v>1</v>
      </c>
      <c r="B75" s="30"/>
      <c r="C75" s="31" t="str">
        <f t="shared" si="24"/>
        <v>TZCO TZE240</v>
      </c>
      <c r="D75" s="9" t="str">
        <f t="shared" si="26"/>
        <v>час.</v>
      </c>
      <c r="E75" s="74">
        <f t="shared" si="25"/>
        <v>7968.333333333333</v>
      </c>
      <c r="F75" s="74">
        <f t="shared" si="23"/>
        <v>7741.8055555555557</v>
      </c>
      <c r="G75" s="74">
        <f t="shared" si="23"/>
        <v>6780.2777777777774</v>
      </c>
      <c r="H75" s="74">
        <f t="shared" si="23"/>
        <v>7741.8055555555557</v>
      </c>
      <c r="I75" s="74">
        <f t="shared" si="23"/>
        <v>7968.333333333333</v>
      </c>
      <c r="J75" s="74">
        <f t="shared" si="23"/>
        <v>6553.75</v>
      </c>
      <c r="K75" s="74">
        <f t="shared" si="23"/>
        <v>7968.333333333333</v>
      </c>
      <c r="L75" s="74">
        <f t="shared" si="23"/>
        <v>7741.8055555555557</v>
      </c>
      <c r="M75" s="74">
        <f t="shared" si="23"/>
        <v>0</v>
      </c>
      <c r="N75" s="74">
        <f t="shared" si="23"/>
        <v>0</v>
      </c>
      <c r="O75" s="74">
        <f t="shared" si="23"/>
        <v>0</v>
      </c>
      <c r="P75" s="74">
        <f t="shared" si="23"/>
        <v>0</v>
      </c>
      <c r="Q75" s="74">
        <f t="shared" si="23"/>
        <v>0</v>
      </c>
      <c r="R75" s="74">
        <f t="shared" si="23"/>
        <v>0</v>
      </c>
      <c r="S75" s="74">
        <f t="shared" si="23"/>
        <v>0</v>
      </c>
      <c r="T75" s="74">
        <f t="shared" si="23"/>
        <v>0</v>
      </c>
      <c r="U75" s="74">
        <f t="shared" si="23"/>
        <v>0</v>
      </c>
      <c r="V75" s="74">
        <f t="shared" si="23"/>
        <v>0</v>
      </c>
      <c r="W75" s="74">
        <f t="shared" si="23"/>
        <v>0</v>
      </c>
      <c r="X75" s="74">
        <f t="shared" si="23"/>
        <v>0</v>
      </c>
      <c r="Y75" s="179"/>
    </row>
    <row r="76" spans="1:26" outlineLevel="1" x14ac:dyDescent="0.25">
      <c r="A76" s="139">
        <f t="shared" si="14"/>
        <v>1</v>
      </c>
      <c r="B76" s="30"/>
      <c r="C76" s="31" t="str">
        <f t="shared" si="24"/>
        <v>БелАЗ 7531 (ГПФК)</v>
      </c>
      <c r="D76" s="9" t="str">
        <f t="shared" si="26"/>
        <v>час.</v>
      </c>
      <c r="E76" s="74">
        <f t="shared" si="25"/>
        <v>7956.7444444444445</v>
      </c>
      <c r="F76" s="74">
        <f t="shared" si="23"/>
        <v>7759.3833333333332</v>
      </c>
      <c r="G76" s="74">
        <f t="shared" si="23"/>
        <v>7574.6611111111106</v>
      </c>
      <c r="H76" s="74">
        <f t="shared" si="23"/>
        <v>7661.5129629629628</v>
      </c>
      <c r="I76" s="74">
        <f t="shared" si="23"/>
        <v>7720.1703703703706</v>
      </c>
      <c r="J76" s="74">
        <f t="shared" si="23"/>
        <v>7408.0870370370376</v>
      </c>
      <c r="K76" s="74">
        <f t="shared" si="23"/>
        <v>7858.8740740740741</v>
      </c>
      <c r="L76" s="74">
        <f t="shared" si="23"/>
        <v>7486.5129629629628</v>
      </c>
      <c r="M76" s="74">
        <f t="shared" si="23"/>
        <v>7377.6240740740741</v>
      </c>
      <c r="N76" s="74">
        <f t="shared" si="23"/>
        <v>7545.4944444444445</v>
      </c>
      <c r="O76" s="74">
        <f t="shared" si="23"/>
        <v>0</v>
      </c>
      <c r="P76" s="74">
        <f t="shared" si="23"/>
        <v>0</v>
      </c>
      <c r="Q76" s="74">
        <f t="shared" si="23"/>
        <v>0</v>
      </c>
      <c r="R76" s="74">
        <f t="shared" si="23"/>
        <v>0</v>
      </c>
      <c r="S76" s="74">
        <f t="shared" si="23"/>
        <v>0</v>
      </c>
      <c r="T76" s="74">
        <f t="shared" si="23"/>
        <v>0</v>
      </c>
      <c r="U76" s="74">
        <f t="shared" si="23"/>
        <v>0</v>
      </c>
      <c r="V76" s="74">
        <f t="shared" si="23"/>
        <v>0</v>
      </c>
      <c r="W76" s="74">
        <f t="shared" si="23"/>
        <v>0</v>
      </c>
      <c r="X76" s="74">
        <f t="shared" si="23"/>
        <v>0</v>
      </c>
      <c r="Y76" s="179"/>
    </row>
    <row r="77" spans="1:26" outlineLevel="1" x14ac:dyDescent="0.25">
      <c r="A77" s="139">
        <f t="shared" si="14"/>
        <v>1</v>
      </c>
      <c r="B77" s="30"/>
      <c r="C77" s="31" t="str">
        <f t="shared" si="24"/>
        <v>XCMG 240</v>
      </c>
      <c r="D77" s="9" t="str">
        <f t="shared" si="26"/>
        <v>час.</v>
      </c>
      <c r="E77" s="74">
        <f t="shared" si="25"/>
        <v>0</v>
      </c>
      <c r="F77" s="74">
        <f t="shared" si="23"/>
        <v>0</v>
      </c>
      <c r="G77" s="74">
        <f t="shared" si="23"/>
        <v>0</v>
      </c>
      <c r="H77" s="74">
        <f t="shared" si="23"/>
        <v>0</v>
      </c>
      <c r="I77" s="74">
        <f t="shared" si="23"/>
        <v>0</v>
      </c>
      <c r="J77" s="74">
        <f t="shared" si="23"/>
        <v>0</v>
      </c>
      <c r="K77" s="74">
        <f t="shared" si="23"/>
        <v>0</v>
      </c>
      <c r="L77" s="74">
        <f t="shared" si="23"/>
        <v>0</v>
      </c>
      <c r="M77" s="74">
        <f t="shared" si="23"/>
        <v>0</v>
      </c>
      <c r="N77" s="74">
        <f t="shared" si="23"/>
        <v>0</v>
      </c>
      <c r="O77" s="74">
        <f t="shared" si="23"/>
        <v>0</v>
      </c>
      <c r="P77" s="74">
        <f t="shared" si="23"/>
        <v>0</v>
      </c>
      <c r="Q77" s="74">
        <f t="shared" si="23"/>
        <v>0</v>
      </c>
      <c r="R77" s="74">
        <f t="shared" si="23"/>
        <v>0</v>
      </c>
      <c r="S77" s="74">
        <f t="shared" si="23"/>
        <v>0</v>
      </c>
      <c r="T77" s="74">
        <f t="shared" si="23"/>
        <v>0</v>
      </c>
      <c r="U77" s="74">
        <f t="shared" si="23"/>
        <v>0</v>
      </c>
      <c r="V77" s="74">
        <f t="shared" si="23"/>
        <v>0</v>
      </c>
      <c r="W77" s="74">
        <f t="shared" si="23"/>
        <v>0</v>
      </c>
      <c r="X77" s="74">
        <f t="shared" si="23"/>
        <v>0</v>
      </c>
      <c r="Y77" s="179"/>
    </row>
    <row r="78" spans="1:26" outlineLevel="1" x14ac:dyDescent="0.25">
      <c r="A78" s="139">
        <f t="shared" si="14"/>
        <v>1</v>
      </c>
      <c r="B78" s="30"/>
      <c r="C78" s="31" t="str">
        <f t="shared" si="24"/>
        <v>БелАЗ 7531 (БТЛ)</v>
      </c>
      <c r="D78" s="9" t="str">
        <f t="shared" si="26"/>
        <v>час.</v>
      </c>
      <c r="E78" s="74">
        <f t="shared" si="25"/>
        <v>8142.9488194444439</v>
      </c>
      <c r="F78" s="74">
        <f t="shared" si="23"/>
        <v>7953.3849305555559</v>
      </c>
      <c r="G78" s="74">
        <f t="shared" si="23"/>
        <v>7878.8478935185185</v>
      </c>
      <c r="H78" s="74">
        <f t="shared" si="23"/>
        <v>7713.2460416666663</v>
      </c>
      <c r="I78" s="74">
        <f t="shared" si="23"/>
        <v>7894.0793750000003</v>
      </c>
      <c r="J78" s="74">
        <f t="shared" si="23"/>
        <v>7623.4775231481481</v>
      </c>
      <c r="K78" s="74">
        <f t="shared" si="23"/>
        <v>7451.1627083333333</v>
      </c>
      <c r="L78" s="74">
        <f t="shared" si="23"/>
        <v>7811.4404861111107</v>
      </c>
      <c r="M78" s="74">
        <f t="shared" si="23"/>
        <v>7513.9404861111107</v>
      </c>
      <c r="N78" s="74">
        <f t="shared" si="23"/>
        <v>7465.9775231481481</v>
      </c>
      <c r="O78" s="74">
        <f t="shared" si="23"/>
        <v>0</v>
      </c>
      <c r="P78" s="74">
        <f t="shared" si="23"/>
        <v>0</v>
      </c>
      <c r="Q78" s="74">
        <f t="shared" si="23"/>
        <v>0</v>
      </c>
      <c r="R78" s="74">
        <f t="shared" si="23"/>
        <v>0</v>
      </c>
      <c r="S78" s="74">
        <f t="shared" si="23"/>
        <v>0</v>
      </c>
      <c r="T78" s="74">
        <f t="shared" si="23"/>
        <v>0</v>
      </c>
      <c r="U78" s="74">
        <f t="shared" si="23"/>
        <v>0</v>
      </c>
      <c r="V78" s="74">
        <f t="shared" si="23"/>
        <v>0</v>
      </c>
      <c r="W78" s="74">
        <f t="shared" si="23"/>
        <v>0</v>
      </c>
      <c r="X78" s="74">
        <f t="shared" si="23"/>
        <v>0</v>
      </c>
      <c r="Y78" s="179"/>
    </row>
    <row r="79" spans="1:26" outlineLevel="1" x14ac:dyDescent="0.25">
      <c r="A79" s="139">
        <f t="shared" si="14"/>
        <v>0</v>
      </c>
      <c r="B79" s="30"/>
      <c r="C79" s="31">
        <f t="shared" si="24"/>
        <v>0</v>
      </c>
      <c r="D79" s="9" t="str">
        <f t="shared" si="26"/>
        <v>час.</v>
      </c>
      <c r="E79" s="74">
        <f t="shared" si="25"/>
        <v>0</v>
      </c>
      <c r="F79" s="74">
        <f t="shared" si="23"/>
        <v>0</v>
      </c>
      <c r="G79" s="74">
        <f t="shared" si="23"/>
        <v>0</v>
      </c>
      <c r="H79" s="74">
        <f t="shared" si="23"/>
        <v>0</v>
      </c>
      <c r="I79" s="74">
        <f t="shared" si="23"/>
        <v>0</v>
      </c>
      <c r="J79" s="74">
        <f t="shared" si="23"/>
        <v>0</v>
      </c>
      <c r="K79" s="74">
        <f t="shared" si="23"/>
        <v>0</v>
      </c>
      <c r="L79" s="74">
        <f t="shared" si="23"/>
        <v>0</v>
      </c>
      <c r="M79" s="74">
        <f t="shared" si="23"/>
        <v>0</v>
      </c>
      <c r="N79" s="74">
        <f t="shared" si="23"/>
        <v>0</v>
      </c>
      <c r="O79" s="74">
        <f t="shared" si="23"/>
        <v>0</v>
      </c>
      <c r="P79" s="74">
        <f t="shared" si="23"/>
        <v>0</v>
      </c>
      <c r="Q79" s="74">
        <f t="shared" si="23"/>
        <v>0</v>
      </c>
      <c r="R79" s="74">
        <f t="shared" si="23"/>
        <v>0</v>
      </c>
      <c r="S79" s="74">
        <f t="shared" si="23"/>
        <v>0</v>
      </c>
      <c r="T79" s="74">
        <f t="shared" si="23"/>
        <v>0</v>
      </c>
      <c r="U79" s="74">
        <f t="shared" si="23"/>
        <v>0</v>
      </c>
      <c r="V79" s="74">
        <f t="shared" si="23"/>
        <v>0</v>
      </c>
      <c r="W79" s="74">
        <f t="shared" si="23"/>
        <v>0</v>
      </c>
      <c r="X79" s="74">
        <f t="shared" si="23"/>
        <v>0</v>
      </c>
      <c r="Y79" s="179"/>
    </row>
    <row r="80" spans="1:26" outlineLevel="1" x14ac:dyDescent="0.25">
      <c r="A80" s="139">
        <f t="shared" si="14"/>
        <v>0</v>
      </c>
      <c r="B80" s="30"/>
      <c r="C80" s="31">
        <f t="shared" si="24"/>
        <v>0</v>
      </c>
      <c r="D80" s="9" t="str">
        <f t="shared" si="26"/>
        <v>час.</v>
      </c>
      <c r="E80" s="74">
        <f t="shared" si="25"/>
        <v>0</v>
      </c>
      <c r="F80" s="74">
        <f t="shared" si="23"/>
        <v>0</v>
      </c>
      <c r="G80" s="74">
        <f t="shared" si="23"/>
        <v>0</v>
      </c>
      <c r="H80" s="74">
        <f t="shared" si="23"/>
        <v>0</v>
      </c>
      <c r="I80" s="74">
        <f t="shared" si="23"/>
        <v>0</v>
      </c>
      <c r="J80" s="74">
        <f t="shared" si="23"/>
        <v>0</v>
      </c>
      <c r="K80" s="74">
        <f t="shared" si="23"/>
        <v>0</v>
      </c>
      <c r="L80" s="74">
        <f t="shared" si="23"/>
        <v>0</v>
      </c>
      <c r="M80" s="74">
        <f t="shared" si="23"/>
        <v>0</v>
      </c>
      <c r="N80" s="74">
        <f t="shared" si="23"/>
        <v>0</v>
      </c>
      <c r="O80" s="74">
        <f t="shared" si="23"/>
        <v>0</v>
      </c>
      <c r="P80" s="74">
        <f t="shared" si="23"/>
        <v>0</v>
      </c>
      <c r="Q80" s="74">
        <f t="shared" si="23"/>
        <v>0</v>
      </c>
      <c r="R80" s="74">
        <f t="shared" si="23"/>
        <v>0</v>
      </c>
      <c r="S80" s="74">
        <f t="shared" si="23"/>
        <v>0</v>
      </c>
      <c r="T80" s="74">
        <f t="shared" si="23"/>
        <v>0</v>
      </c>
      <c r="U80" s="74">
        <f t="shared" si="23"/>
        <v>0</v>
      </c>
      <c r="V80" s="74">
        <f t="shared" si="23"/>
        <v>0</v>
      </c>
      <c r="W80" s="74">
        <f t="shared" si="23"/>
        <v>0</v>
      </c>
      <c r="X80" s="74">
        <f t="shared" si="23"/>
        <v>0</v>
      </c>
      <c r="Y80" s="179"/>
    </row>
    <row r="81" spans="1:25" outlineLevel="1" x14ac:dyDescent="0.25">
      <c r="A81" s="139">
        <f t="shared" si="14"/>
        <v>0</v>
      </c>
      <c r="B81" s="30"/>
      <c r="C81" s="31">
        <f t="shared" si="24"/>
        <v>0</v>
      </c>
      <c r="D81" s="9" t="str">
        <f t="shared" si="26"/>
        <v>час.</v>
      </c>
      <c r="E81" s="74">
        <f t="shared" si="25"/>
        <v>0</v>
      </c>
      <c r="F81" s="74">
        <f t="shared" si="23"/>
        <v>0</v>
      </c>
      <c r="G81" s="74">
        <f t="shared" si="23"/>
        <v>0</v>
      </c>
      <c r="H81" s="74">
        <f t="shared" si="23"/>
        <v>0</v>
      </c>
      <c r="I81" s="74">
        <f t="shared" si="23"/>
        <v>0</v>
      </c>
      <c r="J81" s="74">
        <f t="shared" si="23"/>
        <v>0</v>
      </c>
      <c r="K81" s="74">
        <f t="shared" si="23"/>
        <v>0</v>
      </c>
      <c r="L81" s="74">
        <f t="shared" si="23"/>
        <v>0</v>
      </c>
      <c r="M81" s="74">
        <f t="shared" si="23"/>
        <v>0</v>
      </c>
      <c r="N81" s="74">
        <f t="shared" si="23"/>
        <v>0</v>
      </c>
      <c r="O81" s="74">
        <f t="shared" si="23"/>
        <v>0</v>
      </c>
      <c r="P81" s="74">
        <f t="shared" si="23"/>
        <v>0</v>
      </c>
      <c r="Q81" s="74">
        <f t="shared" si="23"/>
        <v>0</v>
      </c>
      <c r="R81" s="74">
        <f t="shared" si="23"/>
        <v>0</v>
      </c>
      <c r="S81" s="74">
        <f t="shared" si="23"/>
        <v>0</v>
      </c>
      <c r="T81" s="74">
        <f t="shared" si="23"/>
        <v>0</v>
      </c>
      <c r="U81" s="74">
        <f t="shared" si="23"/>
        <v>0</v>
      </c>
      <c r="V81" s="74">
        <f t="shared" si="23"/>
        <v>0</v>
      </c>
      <c r="W81" s="74">
        <f t="shared" si="23"/>
        <v>0</v>
      </c>
      <c r="X81" s="74">
        <f t="shared" si="23"/>
        <v>0</v>
      </c>
      <c r="Y81" s="179"/>
    </row>
    <row r="82" spans="1:25" outlineLevel="1" x14ac:dyDescent="0.25">
      <c r="A82" s="139">
        <f t="shared" si="14"/>
        <v>0</v>
      </c>
      <c r="B82" s="30"/>
      <c r="C82" s="31">
        <f t="shared" si="24"/>
        <v>0</v>
      </c>
      <c r="D82" s="9" t="str">
        <f t="shared" si="26"/>
        <v>час.</v>
      </c>
      <c r="E82" s="74">
        <f t="shared" si="25"/>
        <v>0</v>
      </c>
      <c r="F82" s="74">
        <f t="shared" si="23"/>
        <v>0</v>
      </c>
      <c r="G82" s="74">
        <f t="shared" si="23"/>
        <v>0</v>
      </c>
      <c r="H82" s="74">
        <f t="shared" si="23"/>
        <v>0</v>
      </c>
      <c r="I82" s="74">
        <f t="shared" si="23"/>
        <v>0</v>
      </c>
      <c r="J82" s="74">
        <f t="shared" si="23"/>
        <v>0</v>
      </c>
      <c r="K82" s="74">
        <f t="shared" si="23"/>
        <v>0</v>
      </c>
      <c r="L82" s="74">
        <f t="shared" si="23"/>
        <v>0</v>
      </c>
      <c r="M82" s="74">
        <f t="shared" si="23"/>
        <v>0</v>
      </c>
      <c r="N82" s="74">
        <f t="shared" si="23"/>
        <v>0</v>
      </c>
      <c r="O82" s="74">
        <f t="shared" si="23"/>
        <v>0</v>
      </c>
      <c r="P82" s="74">
        <f t="shared" si="23"/>
        <v>0</v>
      </c>
      <c r="Q82" s="74">
        <f t="shared" si="23"/>
        <v>0</v>
      </c>
      <c r="R82" s="74">
        <f t="shared" si="23"/>
        <v>0</v>
      </c>
      <c r="S82" s="74">
        <f t="shared" si="23"/>
        <v>0</v>
      </c>
      <c r="T82" s="74">
        <f t="shared" si="23"/>
        <v>0</v>
      </c>
      <c r="U82" s="74">
        <f t="shared" si="23"/>
        <v>0</v>
      </c>
      <c r="V82" s="74">
        <f t="shared" si="23"/>
        <v>0</v>
      </c>
      <c r="W82" s="74">
        <f t="shared" si="23"/>
        <v>0</v>
      </c>
      <c r="X82" s="74">
        <f t="shared" si="23"/>
        <v>0</v>
      </c>
      <c r="Y82" s="179"/>
    </row>
    <row r="83" spans="1:25" outlineLevel="1" x14ac:dyDescent="0.25">
      <c r="A83" s="139">
        <f t="shared" si="14"/>
        <v>0</v>
      </c>
      <c r="B83" s="30"/>
      <c r="C83" s="31">
        <f t="shared" si="24"/>
        <v>0</v>
      </c>
      <c r="D83" s="9" t="str">
        <f t="shared" si="26"/>
        <v>час.</v>
      </c>
      <c r="E83" s="74">
        <f t="shared" si="25"/>
        <v>0</v>
      </c>
      <c r="F83" s="74">
        <f t="shared" si="23"/>
        <v>0</v>
      </c>
      <c r="G83" s="74">
        <f t="shared" si="23"/>
        <v>0</v>
      </c>
      <c r="H83" s="74">
        <f t="shared" si="23"/>
        <v>0</v>
      </c>
      <c r="I83" s="74">
        <f t="shared" si="23"/>
        <v>0</v>
      </c>
      <c r="J83" s="74">
        <f t="shared" si="23"/>
        <v>0</v>
      </c>
      <c r="K83" s="74">
        <f t="shared" si="23"/>
        <v>0</v>
      </c>
      <c r="L83" s="74">
        <f t="shared" si="23"/>
        <v>0</v>
      </c>
      <c r="M83" s="74">
        <f t="shared" si="23"/>
        <v>0</v>
      </c>
      <c r="N83" s="74">
        <f t="shared" si="23"/>
        <v>0</v>
      </c>
      <c r="O83" s="74">
        <f t="shared" si="23"/>
        <v>0</v>
      </c>
      <c r="P83" s="74">
        <f t="shared" si="23"/>
        <v>0</v>
      </c>
      <c r="Q83" s="74">
        <f t="shared" si="23"/>
        <v>0</v>
      </c>
      <c r="R83" s="74">
        <f t="shared" si="23"/>
        <v>0</v>
      </c>
      <c r="S83" s="74">
        <f t="shared" si="23"/>
        <v>0</v>
      </c>
      <c r="T83" s="74">
        <f t="shared" si="23"/>
        <v>0</v>
      </c>
      <c r="U83" s="74">
        <f t="shared" si="23"/>
        <v>0</v>
      </c>
      <c r="V83" s="74">
        <f t="shared" si="23"/>
        <v>0</v>
      </c>
      <c r="W83" s="74">
        <f t="shared" si="23"/>
        <v>0</v>
      </c>
      <c r="X83" s="74">
        <f t="shared" si="23"/>
        <v>0</v>
      </c>
      <c r="Y83" s="179"/>
    </row>
    <row r="84" spans="1:25" outlineLevel="1" x14ac:dyDescent="0.25">
      <c r="A84" s="139">
        <f t="shared" si="14"/>
        <v>0</v>
      </c>
      <c r="B84" s="30"/>
      <c r="C84" s="31">
        <f t="shared" si="24"/>
        <v>0</v>
      </c>
      <c r="D84" s="9" t="str">
        <f t="shared" si="26"/>
        <v>час.</v>
      </c>
      <c r="E84" s="74">
        <f t="shared" si="25"/>
        <v>0</v>
      </c>
      <c r="F84" s="74">
        <f t="shared" si="23"/>
        <v>0</v>
      </c>
      <c r="G84" s="74">
        <f t="shared" si="23"/>
        <v>0</v>
      </c>
      <c r="H84" s="74">
        <f t="shared" si="23"/>
        <v>0</v>
      </c>
      <c r="I84" s="74">
        <f t="shared" si="23"/>
        <v>0</v>
      </c>
      <c r="J84" s="74">
        <f t="shared" si="23"/>
        <v>0</v>
      </c>
      <c r="K84" s="74">
        <f t="shared" si="23"/>
        <v>0</v>
      </c>
      <c r="L84" s="74">
        <f t="shared" si="23"/>
        <v>0</v>
      </c>
      <c r="M84" s="74">
        <f t="shared" si="23"/>
        <v>0</v>
      </c>
      <c r="N84" s="74">
        <f t="shared" si="23"/>
        <v>0</v>
      </c>
      <c r="O84" s="74">
        <f t="shared" si="23"/>
        <v>0</v>
      </c>
      <c r="P84" s="74">
        <f t="shared" si="23"/>
        <v>0</v>
      </c>
      <c r="Q84" s="74">
        <f t="shared" si="23"/>
        <v>0</v>
      </c>
      <c r="R84" s="74">
        <f t="shared" si="23"/>
        <v>0</v>
      </c>
      <c r="S84" s="74">
        <f t="shared" si="23"/>
        <v>0</v>
      </c>
      <c r="T84" s="74">
        <f t="shared" si="23"/>
        <v>0</v>
      </c>
      <c r="U84" s="74">
        <f t="shared" si="23"/>
        <v>0</v>
      </c>
      <c r="V84" s="74">
        <f t="shared" si="23"/>
        <v>0</v>
      </c>
      <c r="W84" s="74">
        <f t="shared" si="23"/>
        <v>0</v>
      </c>
      <c r="X84" s="74">
        <f t="shared" si="23"/>
        <v>0</v>
      </c>
      <c r="Y84" s="179"/>
    </row>
    <row r="85" spans="1:25" outlineLevel="1" x14ac:dyDescent="0.25">
      <c r="A85" s="139">
        <f t="shared" si="14"/>
        <v>0</v>
      </c>
      <c r="B85" s="30"/>
      <c r="C85" s="31">
        <f t="shared" si="24"/>
        <v>0</v>
      </c>
      <c r="D85" s="9" t="str">
        <f t="shared" si="26"/>
        <v>час.</v>
      </c>
      <c r="E85" s="74">
        <f t="shared" si="25"/>
        <v>0</v>
      </c>
      <c r="F85" s="74">
        <f t="shared" si="23"/>
        <v>0</v>
      </c>
      <c r="G85" s="74">
        <f t="shared" si="23"/>
        <v>0</v>
      </c>
      <c r="H85" s="74">
        <f t="shared" si="23"/>
        <v>0</v>
      </c>
      <c r="I85" s="74">
        <f t="shared" si="23"/>
        <v>0</v>
      </c>
      <c r="J85" s="74">
        <f t="shared" si="23"/>
        <v>0</v>
      </c>
      <c r="K85" s="74">
        <f t="shared" si="23"/>
        <v>0</v>
      </c>
      <c r="L85" s="74">
        <f t="shared" si="23"/>
        <v>0</v>
      </c>
      <c r="M85" s="74">
        <f t="shared" si="23"/>
        <v>0</v>
      </c>
      <c r="N85" s="74">
        <f t="shared" si="23"/>
        <v>0</v>
      </c>
      <c r="O85" s="74">
        <f t="shared" si="23"/>
        <v>0</v>
      </c>
      <c r="P85" s="74">
        <f t="shared" si="23"/>
        <v>0</v>
      </c>
      <c r="Q85" s="74">
        <f t="shared" si="23"/>
        <v>0</v>
      </c>
      <c r="R85" s="74">
        <f t="shared" si="23"/>
        <v>0</v>
      </c>
      <c r="S85" s="74">
        <f t="shared" si="23"/>
        <v>0</v>
      </c>
      <c r="T85" s="74">
        <f t="shared" si="23"/>
        <v>0</v>
      </c>
      <c r="U85" s="74">
        <f t="shared" si="23"/>
        <v>0</v>
      </c>
      <c r="V85" s="74">
        <f t="shared" si="23"/>
        <v>0</v>
      </c>
      <c r="W85" s="74">
        <f t="shared" si="23"/>
        <v>0</v>
      </c>
      <c r="X85" s="74">
        <f t="shared" si="23"/>
        <v>0</v>
      </c>
      <c r="Y85" s="179"/>
    </row>
    <row r="86" spans="1:25" outlineLevel="1" x14ac:dyDescent="0.25">
      <c r="A86" s="139">
        <f t="shared" si="14"/>
        <v>0</v>
      </c>
      <c r="B86" s="30"/>
      <c r="C86" s="31">
        <f t="shared" si="24"/>
        <v>0</v>
      </c>
      <c r="D86" s="9" t="str">
        <f t="shared" si="26"/>
        <v>час.</v>
      </c>
      <c r="E86" s="74">
        <f t="shared" si="25"/>
        <v>0</v>
      </c>
      <c r="F86" s="74">
        <f t="shared" si="23"/>
        <v>0</v>
      </c>
      <c r="G86" s="74">
        <f t="shared" si="23"/>
        <v>0</v>
      </c>
      <c r="H86" s="74">
        <f t="shared" si="23"/>
        <v>0</v>
      </c>
      <c r="I86" s="74">
        <f t="shared" si="23"/>
        <v>0</v>
      </c>
      <c r="J86" s="74">
        <f t="shared" ref="J86:X86" si="27">J$6*J70</f>
        <v>0</v>
      </c>
      <c r="K86" s="74">
        <f t="shared" si="27"/>
        <v>0</v>
      </c>
      <c r="L86" s="74">
        <f t="shared" si="27"/>
        <v>0</v>
      </c>
      <c r="M86" s="74">
        <f t="shared" si="27"/>
        <v>0</v>
      </c>
      <c r="N86" s="74">
        <f t="shared" si="27"/>
        <v>0</v>
      </c>
      <c r="O86" s="74">
        <f t="shared" si="27"/>
        <v>0</v>
      </c>
      <c r="P86" s="74">
        <f t="shared" si="27"/>
        <v>0</v>
      </c>
      <c r="Q86" s="74">
        <f t="shared" si="27"/>
        <v>0</v>
      </c>
      <c r="R86" s="74">
        <f t="shared" si="27"/>
        <v>0</v>
      </c>
      <c r="S86" s="74">
        <f t="shared" si="27"/>
        <v>0</v>
      </c>
      <c r="T86" s="74">
        <f t="shared" si="27"/>
        <v>0</v>
      </c>
      <c r="U86" s="74">
        <f t="shared" si="27"/>
        <v>0</v>
      </c>
      <c r="V86" s="74">
        <f t="shared" si="27"/>
        <v>0</v>
      </c>
      <c r="W86" s="74">
        <f t="shared" si="27"/>
        <v>0</v>
      </c>
      <c r="X86" s="74">
        <f t="shared" si="27"/>
        <v>0</v>
      </c>
      <c r="Y86" s="179"/>
    </row>
    <row r="87" spans="1:25" ht="27.2" x14ac:dyDescent="0.25">
      <c r="A87" s="139">
        <f t="shared" si="14"/>
        <v>1</v>
      </c>
      <c r="B87" s="68">
        <f>B55+1</f>
        <v>5</v>
      </c>
      <c r="C87" s="67" t="s">
        <v>109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179"/>
    </row>
    <row r="88" spans="1:25" x14ac:dyDescent="0.25">
      <c r="A88" s="139">
        <f t="shared" si="14"/>
        <v>1</v>
      </c>
      <c r="B88" s="30"/>
      <c r="C88" s="31" t="str">
        <f>C72</f>
        <v>NHL NTE 240</v>
      </c>
      <c r="D88" s="9" t="s">
        <v>110</v>
      </c>
      <c r="E88" s="78">
        <f>SUM(Простои!M9:O9)</f>
        <v>50</v>
      </c>
      <c r="F88" s="74">
        <f>E88</f>
        <v>50</v>
      </c>
      <c r="G88" s="74">
        <f t="shared" ref="G88:X102" si="28">F88</f>
        <v>50</v>
      </c>
      <c r="H88" s="74">
        <f t="shared" si="28"/>
        <v>50</v>
      </c>
      <c r="I88" s="74">
        <f t="shared" si="28"/>
        <v>50</v>
      </c>
      <c r="J88" s="74">
        <f t="shared" si="28"/>
        <v>50</v>
      </c>
      <c r="K88" s="74">
        <f t="shared" si="28"/>
        <v>50</v>
      </c>
      <c r="L88" s="74">
        <f t="shared" si="28"/>
        <v>50</v>
      </c>
      <c r="M88" s="74">
        <f t="shared" si="28"/>
        <v>50</v>
      </c>
      <c r="N88" s="74">
        <f t="shared" si="28"/>
        <v>50</v>
      </c>
      <c r="O88" s="74">
        <f t="shared" si="28"/>
        <v>50</v>
      </c>
      <c r="P88" s="74">
        <f t="shared" si="28"/>
        <v>50</v>
      </c>
      <c r="Q88" s="74">
        <f t="shared" si="28"/>
        <v>50</v>
      </c>
      <c r="R88" s="74">
        <f t="shared" si="28"/>
        <v>50</v>
      </c>
      <c r="S88" s="74">
        <f t="shared" si="28"/>
        <v>50</v>
      </c>
      <c r="T88" s="74">
        <f t="shared" si="28"/>
        <v>50</v>
      </c>
      <c r="U88" s="74">
        <f t="shared" si="28"/>
        <v>50</v>
      </c>
      <c r="V88" s="74">
        <f t="shared" si="28"/>
        <v>50</v>
      </c>
      <c r="W88" s="74">
        <f t="shared" si="28"/>
        <v>50</v>
      </c>
      <c r="X88" s="74">
        <f t="shared" si="28"/>
        <v>50</v>
      </c>
      <c r="Y88" s="179"/>
    </row>
    <row r="89" spans="1:25" x14ac:dyDescent="0.25">
      <c r="A89" s="139">
        <f t="shared" si="14"/>
        <v>1</v>
      </c>
      <c r="B89" s="30"/>
      <c r="C89" s="31" t="str">
        <f t="shared" ref="C89:C102" si="29">C73</f>
        <v>Estar ESDE240 (ГПБ К)</v>
      </c>
      <c r="D89" s="9" t="str">
        <f>D88</f>
        <v>мин/см</v>
      </c>
      <c r="E89" s="78">
        <f>SUM(Простои!M10:O10)</f>
        <v>50</v>
      </c>
      <c r="F89" s="74">
        <f t="shared" ref="F89:U102" si="30">E89</f>
        <v>50</v>
      </c>
      <c r="G89" s="74">
        <f t="shared" si="30"/>
        <v>50</v>
      </c>
      <c r="H89" s="74">
        <f t="shared" si="30"/>
        <v>50</v>
      </c>
      <c r="I89" s="74">
        <f t="shared" si="30"/>
        <v>50</v>
      </c>
      <c r="J89" s="74">
        <f t="shared" si="30"/>
        <v>50</v>
      </c>
      <c r="K89" s="74">
        <f t="shared" si="30"/>
        <v>50</v>
      </c>
      <c r="L89" s="74">
        <f t="shared" si="30"/>
        <v>50</v>
      </c>
      <c r="M89" s="74">
        <f t="shared" si="30"/>
        <v>50</v>
      </c>
      <c r="N89" s="74">
        <f t="shared" si="30"/>
        <v>50</v>
      </c>
      <c r="O89" s="74">
        <f t="shared" si="30"/>
        <v>50</v>
      </c>
      <c r="P89" s="74">
        <f t="shared" si="30"/>
        <v>50</v>
      </c>
      <c r="Q89" s="74">
        <f t="shared" si="30"/>
        <v>50</v>
      </c>
      <c r="R89" s="74">
        <f t="shared" si="30"/>
        <v>50</v>
      </c>
      <c r="S89" s="74">
        <f t="shared" si="30"/>
        <v>50</v>
      </c>
      <c r="T89" s="74">
        <f t="shared" si="30"/>
        <v>50</v>
      </c>
      <c r="U89" s="74">
        <f t="shared" si="30"/>
        <v>50</v>
      </c>
      <c r="V89" s="74">
        <f t="shared" si="28"/>
        <v>50</v>
      </c>
      <c r="W89" s="74">
        <f t="shared" si="28"/>
        <v>50</v>
      </c>
      <c r="X89" s="74">
        <f t="shared" si="28"/>
        <v>50</v>
      </c>
      <c r="Y89" s="179"/>
    </row>
    <row r="90" spans="1:25" x14ac:dyDescent="0.25">
      <c r="A90" s="139">
        <f t="shared" si="14"/>
        <v>1</v>
      </c>
      <c r="B90" s="30"/>
      <c r="C90" s="31" t="str">
        <f t="shared" si="29"/>
        <v>SANY SET240S</v>
      </c>
      <c r="D90" s="9" t="str">
        <f t="shared" ref="D90:D102" si="31">D89</f>
        <v>мин/см</v>
      </c>
      <c r="E90" s="78">
        <f>SUM(Простои!M11:O11)</f>
        <v>50</v>
      </c>
      <c r="F90" s="74">
        <f t="shared" si="30"/>
        <v>50</v>
      </c>
      <c r="G90" s="74">
        <f t="shared" si="28"/>
        <v>50</v>
      </c>
      <c r="H90" s="74">
        <f t="shared" si="28"/>
        <v>50</v>
      </c>
      <c r="I90" s="74">
        <f t="shared" si="28"/>
        <v>50</v>
      </c>
      <c r="J90" s="74">
        <f t="shared" si="28"/>
        <v>50</v>
      </c>
      <c r="K90" s="74">
        <f t="shared" si="28"/>
        <v>50</v>
      </c>
      <c r="L90" s="74">
        <f t="shared" si="28"/>
        <v>50</v>
      </c>
      <c r="M90" s="74">
        <f t="shared" si="28"/>
        <v>50</v>
      </c>
      <c r="N90" s="74">
        <f t="shared" si="28"/>
        <v>50</v>
      </c>
      <c r="O90" s="74">
        <f t="shared" si="28"/>
        <v>50</v>
      </c>
      <c r="P90" s="74">
        <f t="shared" si="28"/>
        <v>50</v>
      </c>
      <c r="Q90" s="74">
        <f t="shared" si="28"/>
        <v>50</v>
      </c>
      <c r="R90" s="74">
        <f t="shared" si="28"/>
        <v>50</v>
      </c>
      <c r="S90" s="74">
        <f t="shared" si="28"/>
        <v>50</v>
      </c>
      <c r="T90" s="74">
        <f t="shared" si="28"/>
        <v>50</v>
      </c>
      <c r="U90" s="74">
        <f t="shared" si="28"/>
        <v>50</v>
      </c>
      <c r="V90" s="74">
        <f t="shared" si="28"/>
        <v>50</v>
      </c>
      <c r="W90" s="74">
        <f t="shared" si="28"/>
        <v>50</v>
      </c>
      <c r="X90" s="74">
        <f t="shared" si="28"/>
        <v>50</v>
      </c>
      <c r="Y90" s="179"/>
    </row>
    <row r="91" spans="1:25" x14ac:dyDescent="0.25">
      <c r="A91" s="139">
        <f t="shared" si="14"/>
        <v>1</v>
      </c>
      <c r="B91" s="30"/>
      <c r="C91" s="31" t="str">
        <f t="shared" si="29"/>
        <v>TZCO TZE240</v>
      </c>
      <c r="D91" s="9" t="str">
        <f t="shared" si="31"/>
        <v>мин/см</v>
      </c>
      <c r="E91" s="78">
        <f>SUM(Простои!M12:O12)</f>
        <v>50</v>
      </c>
      <c r="F91" s="74">
        <f t="shared" si="30"/>
        <v>50</v>
      </c>
      <c r="G91" s="74">
        <f t="shared" si="28"/>
        <v>50</v>
      </c>
      <c r="H91" s="74">
        <f t="shared" si="28"/>
        <v>50</v>
      </c>
      <c r="I91" s="74">
        <f t="shared" si="28"/>
        <v>50</v>
      </c>
      <c r="J91" s="74">
        <f t="shared" si="28"/>
        <v>50</v>
      </c>
      <c r="K91" s="74">
        <f t="shared" si="28"/>
        <v>50</v>
      </c>
      <c r="L91" s="74">
        <f t="shared" si="28"/>
        <v>50</v>
      </c>
      <c r="M91" s="74">
        <f t="shared" si="28"/>
        <v>50</v>
      </c>
      <c r="N91" s="74">
        <f t="shared" si="28"/>
        <v>50</v>
      </c>
      <c r="O91" s="74">
        <f t="shared" si="28"/>
        <v>50</v>
      </c>
      <c r="P91" s="74">
        <f t="shared" si="28"/>
        <v>50</v>
      </c>
      <c r="Q91" s="74">
        <f t="shared" si="28"/>
        <v>50</v>
      </c>
      <c r="R91" s="74">
        <f t="shared" si="28"/>
        <v>50</v>
      </c>
      <c r="S91" s="74">
        <f t="shared" si="28"/>
        <v>50</v>
      </c>
      <c r="T91" s="74">
        <f t="shared" si="28"/>
        <v>50</v>
      </c>
      <c r="U91" s="74">
        <f t="shared" si="28"/>
        <v>50</v>
      </c>
      <c r="V91" s="74">
        <f t="shared" si="28"/>
        <v>50</v>
      </c>
      <c r="W91" s="74">
        <f t="shared" si="28"/>
        <v>50</v>
      </c>
      <c r="X91" s="74">
        <f t="shared" si="28"/>
        <v>50</v>
      </c>
      <c r="Y91" s="179"/>
    </row>
    <row r="92" spans="1:25" x14ac:dyDescent="0.25">
      <c r="A92" s="139">
        <f t="shared" si="14"/>
        <v>1</v>
      </c>
      <c r="B92" s="30"/>
      <c r="C92" s="31" t="str">
        <f t="shared" si="29"/>
        <v>БелАЗ 7531 (ГПФК)</v>
      </c>
      <c r="D92" s="9" t="str">
        <f t="shared" si="31"/>
        <v>мин/см</v>
      </c>
      <c r="E92" s="78">
        <f>SUM(Простои!M13:O13)</f>
        <v>50</v>
      </c>
      <c r="F92" s="74">
        <f t="shared" si="30"/>
        <v>50</v>
      </c>
      <c r="G92" s="74">
        <f t="shared" si="28"/>
        <v>50</v>
      </c>
      <c r="H92" s="74">
        <f t="shared" si="28"/>
        <v>50</v>
      </c>
      <c r="I92" s="74">
        <f t="shared" si="28"/>
        <v>50</v>
      </c>
      <c r="J92" s="74">
        <f t="shared" si="28"/>
        <v>50</v>
      </c>
      <c r="K92" s="74">
        <f t="shared" si="28"/>
        <v>50</v>
      </c>
      <c r="L92" s="74">
        <f t="shared" si="28"/>
        <v>50</v>
      </c>
      <c r="M92" s="74">
        <f t="shared" si="28"/>
        <v>50</v>
      </c>
      <c r="N92" s="74">
        <f t="shared" si="28"/>
        <v>50</v>
      </c>
      <c r="O92" s="74">
        <f t="shared" si="28"/>
        <v>50</v>
      </c>
      <c r="P92" s="74">
        <f t="shared" si="28"/>
        <v>50</v>
      </c>
      <c r="Q92" s="74">
        <f t="shared" si="28"/>
        <v>50</v>
      </c>
      <c r="R92" s="74">
        <f t="shared" si="28"/>
        <v>50</v>
      </c>
      <c r="S92" s="74">
        <f t="shared" si="28"/>
        <v>50</v>
      </c>
      <c r="T92" s="74">
        <f t="shared" si="28"/>
        <v>50</v>
      </c>
      <c r="U92" s="74">
        <f t="shared" si="28"/>
        <v>50</v>
      </c>
      <c r="V92" s="74">
        <f t="shared" si="28"/>
        <v>50</v>
      </c>
      <c r="W92" s="74">
        <f t="shared" si="28"/>
        <v>50</v>
      </c>
      <c r="X92" s="74">
        <f t="shared" si="28"/>
        <v>50</v>
      </c>
      <c r="Y92" s="179"/>
    </row>
    <row r="93" spans="1:25" x14ac:dyDescent="0.25">
      <c r="A93" s="139">
        <f t="shared" si="14"/>
        <v>1</v>
      </c>
      <c r="B93" s="30"/>
      <c r="C93" s="31" t="str">
        <f t="shared" si="29"/>
        <v>XCMG 240</v>
      </c>
      <c r="D93" s="9" t="str">
        <f t="shared" si="31"/>
        <v>мин/см</v>
      </c>
      <c r="E93" s="78">
        <f>SUM(Простои!M14:O14)</f>
        <v>50</v>
      </c>
      <c r="F93" s="74">
        <f t="shared" si="30"/>
        <v>50</v>
      </c>
      <c r="G93" s="74">
        <f t="shared" si="28"/>
        <v>50</v>
      </c>
      <c r="H93" s="74">
        <f t="shared" si="28"/>
        <v>50</v>
      </c>
      <c r="I93" s="74">
        <f t="shared" si="28"/>
        <v>50</v>
      </c>
      <c r="J93" s="74">
        <f t="shared" si="28"/>
        <v>50</v>
      </c>
      <c r="K93" s="74">
        <f t="shared" si="28"/>
        <v>50</v>
      </c>
      <c r="L93" s="74">
        <f t="shared" si="28"/>
        <v>50</v>
      </c>
      <c r="M93" s="74">
        <f t="shared" si="28"/>
        <v>50</v>
      </c>
      <c r="N93" s="74">
        <f t="shared" si="28"/>
        <v>50</v>
      </c>
      <c r="O93" s="74">
        <f t="shared" si="28"/>
        <v>50</v>
      </c>
      <c r="P93" s="74">
        <f t="shared" si="28"/>
        <v>50</v>
      </c>
      <c r="Q93" s="74">
        <f t="shared" si="28"/>
        <v>50</v>
      </c>
      <c r="R93" s="74">
        <f t="shared" si="28"/>
        <v>50</v>
      </c>
      <c r="S93" s="74">
        <f t="shared" si="28"/>
        <v>50</v>
      </c>
      <c r="T93" s="74">
        <f t="shared" si="28"/>
        <v>50</v>
      </c>
      <c r="U93" s="74">
        <f t="shared" si="28"/>
        <v>50</v>
      </c>
      <c r="V93" s="74">
        <f t="shared" si="28"/>
        <v>50</v>
      </c>
      <c r="W93" s="74">
        <f t="shared" si="28"/>
        <v>50</v>
      </c>
      <c r="X93" s="74">
        <f t="shared" si="28"/>
        <v>50</v>
      </c>
      <c r="Y93" s="179"/>
    </row>
    <row r="94" spans="1:25" x14ac:dyDescent="0.25">
      <c r="A94" s="139">
        <f t="shared" si="14"/>
        <v>1</v>
      </c>
      <c r="B94" s="30"/>
      <c r="C94" s="31" t="str">
        <f t="shared" si="29"/>
        <v>БелАЗ 7531 (БТЛ)</v>
      </c>
      <c r="D94" s="9" t="str">
        <f t="shared" si="31"/>
        <v>мин/см</v>
      </c>
      <c r="E94" s="78">
        <f>SUM(Простои!M15:O15)</f>
        <v>50</v>
      </c>
      <c r="F94" s="74">
        <f t="shared" si="30"/>
        <v>50</v>
      </c>
      <c r="G94" s="74">
        <f t="shared" si="28"/>
        <v>50</v>
      </c>
      <c r="H94" s="74">
        <f t="shared" si="28"/>
        <v>50</v>
      </c>
      <c r="I94" s="74">
        <f t="shared" si="28"/>
        <v>50</v>
      </c>
      <c r="J94" s="74">
        <f t="shared" si="28"/>
        <v>50</v>
      </c>
      <c r="K94" s="74">
        <f t="shared" si="28"/>
        <v>50</v>
      </c>
      <c r="L94" s="74">
        <f t="shared" si="28"/>
        <v>50</v>
      </c>
      <c r="M94" s="74">
        <f t="shared" si="28"/>
        <v>50</v>
      </c>
      <c r="N94" s="74">
        <f t="shared" si="28"/>
        <v>50</v>
      </c>
      <c r="O94" s="74">
        <f t="shared" si="28"/>
        <v>50</v>
      </c>
      <c r="P94" s="74">
        <f t="shared" si="28"/>
        <v>50</v>
      </c>
      <c r="Q94" s="74">
        <f t="shared" si="28"/>
        <v>50</v>
      </c>
      <c r="R94" s="74">
        <f t="shared" si="28"/>
        <v>50</v>
      </c>
      <c r="S94" s="74">
        <f t="shared" si="28"/>
        <v>50</v>
      </c>
      <c r="T94" s="74">
        <f t="shared" si="28"/>
        <v>50</v>
      </c>
      <c r="U94" s="74">
        <f t="shared" si="28"/>
        <v>50</v>
      </c>
      <c r="V94" s="74">
        <f t="shared" si="28"/>
        <v>50</v>
      </c>
      <c r="W94" s="74">
        <f t="shared" si="28"/>
        <v>50</v>
      </c>
      <c r="X94" s="74">
        <f t="shared" si="28"/>
        <v>50</v>
      </c>
      <c r="Y94" s="179"/>
    </row>
    <row r="95" spans="1:25" x14ac:dyDescent="0.25">
      <c r="A95" s="139">
        <f t="shared" si="14"/>
        <v>0</v>
      </c>
      <c r="B95" s="30"/>
      <c r="C95" s="31">
        <f t="shared" si="29"/>
        <v>0</v>
      </c>
      <c r="D95" s="9" t="str">
        <f t="shared" si="31"/>
        <v>мин/см</v>
      </c>
      <c r="E95" s="78">
        <f>SUM(Простои!M16:O16)</f>
        <v>0</v>
      </c>
      <c r="F95" s="74">
        <f t="shared" si="30"/>
        <v>0</v>
      </c>
      <c r="G95" s="74">
        <f t="shared" si="28"/>
        <v>0</v>
      </c>
      <c r="H95" s="74">
        <f t="shared" si="28"/>
        <v>0</v>
      </c>
      <c r="I95" s="74">
        <f t="shared" si="28"/>
        <v>0</v>
      </c>
      <c r="J95" s="74">
        <f t="shared" si="28"/>
        <v>0</v>
      </c>
      <c r="K95" s="74">
        <f t="shared" si="28"/>
        <v>0</v>
      </c>
      <c r="L95" s="74">
        <f t="shared" si="28"/>
        <v>0</v>
      </c>
      <c r="M95" s="74">
        <f t="shared" si="28"/>
        <v>0</v>
      </c>
      <c r="N95" s="74">
        <f t="shared" si="28"/>
        <v>0</v>
      </c>
      <c r="O95" s="74">
        <f t="shared" si="28"/>
        <v>0</v>
      </c>
      <c r="P95" s="74">
        <f t="shared" si="28"/>
        <v>0</v>
      </c>
      <c r="Q95" s="74">
        <f t="shared" si="28"/>
        <v>0</v>
      </c>
      <c r="R95" s="74">
        <f t="shared" si="28"/>
        <v>0</v>
      </c>
      <c r="S95" s="74">
        <f t="shared" si="28"/>
        <v>0</v>
      </c>
      <c r="T95" s="74">
        <f t="shared" si="28"/>
        <v>0</v>
      </c>
      <c r="U95" s="74">
        <f t="shared" si="28"/>
        <v>0</v>
      </c>
      <c r="V95" s="74">
        <f t="shared" si="28"/>
        <v>0</v>
      </c>
      <c r="W95" s="74">
        <f t="shared" si="28"/>
        <v>0</v>
      </c>
      <c r="X95" s="74">
        <f t="shared" si="28"/>
        <v>0</v>
      </c>
      <c r="Y95" s="179"/>
    </row>
    <row r="96" spans="1:25" x14ac:dyDescent="0.25">
      <c r="A96" s="139">
        <f t="shared" si="14"/>
        <v>0</v>
      </c>
      <c r="B96" s="30"/>
      <c r="C96" s="31">
        <f t="shared" si="29"/>
        <v>0</v>
      </c>
      <c r="D96" s="9" t="str">
        <f t="shared" si="31"/>
        <v>мин/см</v>
      </c>
      <c r="E96" s="78">
        <f>SUM(Простои!M17:O17)</f>
        <v>0</v>
      </c>
      <c r="F96" s="74">
        <f t="shared" si="30"/>
        <v>0</v>
      </c>
      <c r="G96" s="74">
        <f t="shared" si="28"/>
        <v>0</v>
      </c>
      <c r="H96" s="74">
        <f t="shared" si="28"/>
        <v>0</v>
      </c>
      <c r="I96" s="74">
        <f t="shared" si="28"/>
        <v>0</v>
      </c>
      <c r="J96" s="74">
        <f t="shared" si="28"/>
        <v>0</v>
      </c>
      <c r="K96" s="74">
        <f t="shared" si="28"/>
        <v>0</v>
      </c>
      <c r="L96" s="74">
        <f t="shared" si="28"/>
        <v>0</v>
      </c>
      <c r="M96" s="74">
        <f t="shared" si="28"/>
        <v>0</v>
      </c>
      <c r="N96" s="74">
        <f t="shared" si="28"/>
        <v>0</v>
      </c>
      <c r="O96" s="74">
        <f t="shared" si="28"/>
        <v>0</v>
      </c>
      <c r="P96" s="74">
        <f t="shared" si="28"/>
        <v>0</v>
      </c>
      <c r="Q96" s="74">
        <f t="shared" si="28"/>
        <v>0</v>
      </c>
      <c r="R96" s="74">
        <f t="shared" si="28"/>
        <v>0</v>
      </c>
      <c r="S96" s="74">
        <f t="shared" si="28"/>
        <v>0</v>
      </c>
      <c r="T96" s="74">
        <f t="shared" si="28"/>
        <v>0</v>
      </c>
      <c r="U96" s="74">
        <f t="shared" si="28"/>
        <v>0</v>
      </c>
      <c r="V96" s="74">
        <f t="shared" si="28"/>
        <v>0</v>
      </c>
      <c r="W96" s="74">
        <f t="shared" si="28"/>
        <v>0</v>
      </c>
      <c r="X96" s="74">
        <f t="shared" si="28"/>
        <v>0</v>
      </c>
      <c r="Y96" s="179"/>
    </row>
    <row r="97" spans="1:25" x14ac:dyDescent="0.25">
      <c r="A97" s="139">
        <f t="shared" si="14"/>
        <v>0</v>
      </c>
      <c r="B97" s="30"/>
      <c r="C97" s="31">
        <f t="shared" si="29"/>
        <v>0</v>
      </c>
      <c r="D97" s="9" t="str">
        <f t="shared" si="31"/>
        <v>мин/см</v>
      </c>
      <c r="E97" s="78">
        <f>SUM(Простои!M18:O18)</f>
        <v>0</v>
      </c>
      <c r="F97" s="74">
        <f t="shared" si="30"/>
        <v>0</v>
      </c>
      <c r="G97" s="74">
        <f t="shared" si="28"/>
        <v>0</v>
      </c>
      <c r="H97" s="74">
        <f t="shared" si="28"/>
        <v>0</v>
      </c>
      <c r="I97" s="74">
        <f t="shared" si="28"/>
        <v>0</v>
      </c>
      <c r="J97" s="74">
        <f t="shared" si="28"/>
        <v>0</v>
      </c>
      <c r="K97" s="74">
        <f t="shared" si="28"/>
        <v>0</v>
      </c>
      <c r="L97" s="74">
        <f t="shared" si="28"/>
        <v>0</v>
      </c>
      <c r="M97" s="74">
        <f t="shared" si="28"/>
        <v>0</v>
      </c>
      <c r="N97" s="74">
        <f t="shared" si="28"/>
        <v>0</v>
      </c>
      <c r="O97" s="74">
        <f t="shared" si="28"/>
        <v>0</v>
      </c>
      <c r="P97" s="74">
        <f t="shared" si="28"/>
        <v>0</v>
      </c>
      <c r="Q97" s="74">
        <f t="shared" si="28"/>
        <v>0</v>
      </c>
      <c r="R97" s="74">
        <f t="shared" si="28"/>
        <v>0</v>
      </c>
      <c r="S97" s="74">
        <f t="shared" si="28"/>
        <v>0</v>
      </c>
      <c r="T97" s="74">
        <f t="shared" si="28"/>
        <v>0</v>
      </c>
      <c r="U97" s="74">
        <f t="shared" si="28"/>
        <v>0</v>
      </c>
      <c r="V97" s="74">
        <f t="shared" si="28"/>
        <v>0</v>
      </c>
      <c r="W97" s="74">
        <f t="shared" si="28"/>
        <v>0</v>
      </c>
      <c r="X97" s="74">
        <f t="shared" si="28"/>
        <v>0</v>
      </c>
      <c r="Y97" s="179"/>
    </row>
    <row r="98" spans="1:25" x14ac:dyDescent="0.25">
      <c r="A98" s="139">
        <f t="shared" si="14"/>
        <v>0</v>
      </c>
      <c r="B98" s="30"/>
      <c r="C98" s="31">
        <f t="shared" si="29"/>
        <v>0</v>
      </c>
      <c r="D98" s="9" t="str">
        <f t="shared" si="31"/>
        <v>мин/см</v>
      </c>
      <c r="E98" s="78">
        <f>SUM(Простои!M19:O19)</f>
        <v>0</v>
      </c>
      <c r="F98" s="74">
        <f t="shared" si="30"/>
        <v>0</v>
      </c>
      <c r="G98" s="74">
        <f t="shared" si="28"/>
        <v>0</v>
      </c>
      <c r="H98" s="74">
        <f t="shared" si="28"/>
        <v>0</v>
      </c>
      <c r="I98" s="74">
        <f t="shared" si="28"/>
        <v>0</v>
      </c>
      <c r="J98" s="74">
        <f t="shared" si="28"/>
        <v>0</v>
      </c>
      <c r="K98" s="74">
        <f t="shared" si="28"/>
        <v>0</v>
      </c>
      <c r="L98" s="74">
        <f t="shared" si="28"/>
        <v>0</v>
      </c>
      <c r="M98" s="74">
        <f t="shared" si="28"/>
        <v>0</v>
      </c>
      <c r="N98" s="74">
        <f t="shared" si="28"/>
        <v>0</v>
      </c>
      <c r="O98" s="74">
        <f t="shared" si="28"/>
        <v>0</v>
      </c>
      <c r="P98" s="74">
        <f t="shared" si="28"/>
        <v>0</v>
      </c>
      <c r="Q98" s="74">
        <f t="shared" si="28"/>
        <v>0</v>
      </c>
      <c r="R98" s="74">
        <f t="shared" si="28"/>
        <v>0</v>
      </c>
      <c r="S98" s="74">
        <f t="shared" si="28"/>
        <v>0</v>
      </c>
      <c r="T98" s="74">
        <f t="shared" si="28"/>
        <v>0</v>
      </c>
      <c r="U98" s="74">
        <f t="shared" si="28"/>
        <v>0</v>
      </c>
      <c r="V98" s="74">
        <f t="shared" si="28"/>
        <v>0</v>
      </c>
      <c r="W98" s="74">
        <f t="shared" si="28"/>
        <v>0</v>
      </c>
      <c r="X98" s="74">
        <f t="shared" si="28"/>
        <v>0</v>
      </c>
      <c r="Y98" s="179"/>
    </row>
    <row r="99" spans="1:25" x14ac:dyDescent="0.25">
      <c r="A99" s="139">
        <f t="shared" si="14"/>
        <v>0</v>
      </c>
      <c r="B99" s="30"/>
      <c r="C99" s="31">
        <f t="shared" si="29"/>
        <v>0</v>
      </c>
      <c r="D99" s="9" t="str">
        <f t="shared" si="31"/>
        <v>мин/см</v>
      </c>
      <c r="E99" s="78">
        <f>SUM(Простои!M20:O20)</f>
        <v>0</v>
      </c>
      <c r="F99" s="74">
        <f t="shared" si="30"/>
        <v>0</v>
      </c>
      <c r="G99" s="74">
        <f t="shared" si="28"/>
        <v>0</v>
      </c>
      <c r="H99" s="74">
        <f t="shared" si="28"/>
        <v>0</v>
      </c>
      <c r="I99" s="74">
        <f t="shared" si="28"/>
        <v>0</v>
      </c>
      <c r="J99" s="74">
        <f t="shared" si="28"/>
        <v>0</v>
      </c>
      <c r="K99" s="74">
        <f t="shared" si="28"/>
        <v>0</v>
      </c>
      <c r="L99" s="74">
        <f t="shared" si="28"/>
        <v>0</v>
      </c>
      <c r="M99" s="74">
        <f t="shared" si="28"/>
        <v>0</v>
      </c>
      <c r="N99" s="74">
        <f t="shared" si="28"/>
        <v>0</v>
      </c>
      <c r="O99" s="74">
        <f t="shared" si="28"/>
        <v>0</v>
      </c>
      <c r="P99" s="74">
        <f t="shared" si="28"/>
        <v>0</v>
      </c>
      <c r="Q99" s="74">
        <f t="shared" si="28"/>
        <v>0</v>
      </c>
      <c r="R99" s="74">
        <f t="shared" si="28"/>
        <v>0</v>
      </c>
      <c r="S99" s="74">
        <f t="shared" si="28"/>
        <v>0</v>
      </c>
      <c r="T99" s="74">
        <f t="shared" si="28"/>
        <v>0</v>
      </c>
      <c r="U99" s="74">
        <f t="shared" si="28"/>
        <v>0</v>
      </c>
      <c r="V99" s="74">
        <f t="shared" si="28"/>
        <v>0</v>
      </c>
      <c r="W99" s="74">
        <f t="shared" si="28"/>
        <v>0</v>
      </c>
      <c r="X99" s="74">
        <f t="shared" si="28"/>
        <v>0</v>
      </c>
      <c r="Y99" s="179"/>
    </row>
    <row r="100" spans="1:25" x14ac:dyDescent="0.25">
      <c r="A100" s="139">
        <f t="shared" si="14"/>
        <v>0</v>
      </c>
      <c r="B100" s="30"/>
      <c r="C100" s="31">
        <f t="shared" si="29"/>
        <v>0</v>
      </c>
      <c r="D100" s="9" t="str">
        <f t="shared" si="31"/>
        <v>мин/см</v>
      </c>
      <c r="E100" s="78">
        <f>SUM(Простои!M21:O21)</f>
        <v>0</v>
      </c>
      <c r="F100" s="74">
        <f t="shared" si="30"/>
        <v>0</v>
      </c>
      <c r="G100" s="74">
        <f t="shared" si="28"/>
        <v>0</v>
      </c>
      <c r="H100" s="74">
        <f t="shared" si="28"/>
        <v>0</v>
      </c>
      <c r="I100" s="74">
        <f t="shared" si="28"/>
        <v>0</v>
      </c>
      <c r="J100" s="74">
        <f t="shared" si="28"/>
        <v>0</v>
      </c>
      <c r="K100" s="74">
        <f t="shared" si="28"/>
        <v>0</v>
      </c>
      <c r="L100" s="74">
        <f t="shared" si="28"/>
        <v>0</v>
      </c>
      <c r="M100" s="74">
        <f t="shared" si="28"/>
        <v>0</v>
      </c>
      <c r="N100" s="74">
        <f t="shared" si="28"/>
        <v>0</v>
      </c>
      <c r="O100" s="74">
        <f t="shared" si="28"/>
        <v>0</v>
      </c>
      <c r="P100" s="74">
        <f t="shared" si="28"/>
        <v>0</v>
      </c>
      <c r="Q100" s="74">
        <f t="shared" si="28"/>
        <v>0</v>
      </c>
      <c r="R100" s="74">
        <f t="shared" si="28"/>
        <v>0</v>
      </c>
      <c r="S100" s="74">
        <f t="shared" si="28"/>
        <v>0</v>
      </c>
      <c r="T100" s="74">
        <f t="shared" si="28"/>
        <v>0</v>
      </c>
      <c r="U100" s="74">
        <f t="shared" si="28"/>
        <v>0</v>
      </c>
      <c r="V100" s="74">
        <f t="shared" si="28"/>
        <v>0</v>
      </c>
      <c r="W100" s="74">
        <f t="shared" si="28"/>
        <v>0</v>
      </c>
      <c r="X100" s="74">
        <f t="shared" si="28"/>
        <v>0</v>
      </c>
      <c r="Y100" s="179"/>
    </row>
    <row r="101" spans="1:25" x14ac:dyDescent="0.25">
      <c r="A101" s="139">
        <f t="shared" si="14"/>
        <v>0</v>
      </c>
      <c r="B101" s="30"/>
      <c r="C101" s="31">
        <f t="shared" si="29"/>
        <v>0</v>
      </c>
      <c r="D101" s="9" t="str">
        <f t="shared" si="31"/>
        <v>мин/см</v>
      </c>
      <c r="E101" s="78">
        <f>SUM(Простои!M22:O22)</f>
        <v>0</v>
      </c>
      <c r="F101" s="74">
        <f t="shared" si="30"/>
        <v>0</v>
      </c>
      <c r="G101" s="74">
        <f t="shared" si="28"/>
        <v>0</v>
      </c>
      <c r="H101" s="74">
        <f t="shared" si="28"/>
        <v>0</v>
      </c>
      <c r="I101" s="74">
        <f t="shared" si="28"/>
        <v>0</v>
      </c>
      <c r="J101" s="74">
        <f t="shared" si="28"/>
        <v>0</v>
      </c>
      <c r="K101" s="74">
        <f t="shared" si="28"/>
        <v>0</v>
      </c>
      <c r="L101" s="74">
        <f t="shared" si="28"/>
        <v>0</v>
      </c>
      <c r="M101" s="74">
        <f t="shared" si="28"/>
        <v>0</v>
      </c>
      <c r="N101" s="74">
        <f t="shared" si="28"/>
        <v>0</v>
      </c>
      <c r="O101" s="74">
        <f t="shared" si="28"/>
        <v>0</v>
      </c>
      <c r="P101" s="74">
        <f t="shared" si="28"/>
        <v>0</v>
      </c>
      <c r="Q101" s="74">
        <f t="shared" si="28"/>
        <v>0</v>
      </c>
      <c r="R101" s="74">
        <f t="shared" si="28"/>
        <v>0</v>
      </c>
      <c r="S101" s="74">
        <f t="shared" si="28"/>
        <v>0</v>
      </c>
      <c r="T101" s="74">
        <f t="shared" si="28"/>
        <v>0</v>
      </c>
      <c r="U101" s="74">
        <f t="shared" si="28"/>
        <v>0</v>
      </c>
      <c r="V101" s="74">
        <f t="shared" si="28"/>
        <v>0</v>
      </c>
      <c r="W101" s="74">
        <f t="shared" si="28"/>
        <v>0</v>
      </c>
      <c r="X101" s="74">
        <f t="shared" si="28"/>
        <v>0</v>
      </c>
      <c r="Y101" s="179"/>
    </row>
    <row r="102" spans="1:25" x14ac:dyDescent="0.25">
      <c r="A102" s="139">
        <f t="shared" si="14"/>
        <v>0</v>
      </c>
      <c r="B102" s="30"/>
      <c r="C102" s="31">
        <f t="shared" si="29"/>
        <v>0</v>
      </c>
      <c r="D102" s="9" t="str">
        <f t="shared" si="31"/>
        <v>мин/см</v>
      </c>
      <c r="E102" s="78">
        <f>SUM(Простои!M23:O23)</f>
        <v>0</v>
      </c>
      <c r="F102" s="74">
        <f t="shared" si="30"/>
        <v>0</v>
      </c>
      <c r="G102" s="74">
        <f t="shared" si="28"/>
        <v>0</v>
      </c>
      <c r="H102" s="74">
        <f t="shared" si="28"/>
        <v>0</v>
      </c>
      <c r="I102" s="74">
        <f t="shared" si="28"/>
        <v>0</v>
      </c>
      <c r="J102" s="74">
        <f t="shared" si="28"/>
        <v>0</v>
      </c>
      <c r="K102" s="74">
        <f t="shared" si="28"/>
        <v>0</v>
      </c>
      <c r="L102" s="74">
        <f t="shared" si="28"/>
        <v>0</v>
      </c>
      <c r="M102" s="74">
        <f t="shared" si="28"/>
        <v>0</v>
      </c>
      <c r="N102" s="74">
        <f t="shared" si="28"/>
        <v>0</v>
      </c>
      <c r="O102" s="74">
        <f t="shared" si="28"/>
        <v>0</v>
      </c>
      <c r="P102" s="74">
        <f t="shared" si="28"/>
        <v>0</v>
      </c>
      <c r="Q102" s="74">
        <f t="shared" si="28"/>
        <v>0</v>
      </c>
      <c r="R102" s="74">
        <f t="shared" si="28"/>
        <v>0</v>
      </c>
      <c r="S102" s="74">
        <f t="shared" si="28"/>
        <v>0</v>
      </c>
      <c r="T102" s="74">
        <f t="shared" si="28"/>
        <v>0</v>
      </c>
      <c r="U102" s="74">
        <f t="shared" si="28"/>
        <v>0</v>
      </c>
      <c r="V102" s="74">
        <f t="shared" si="28"/>
        <v>0</v>
      </c>
      <c r="W102" s="74">
        <f t="shared" si="28"/>
        <v>0</v>
      </c>
      <c r="X102" s="74">
        <f t="shared" si="28"/>
        <v>0</v>
      </c>
      <c r="Y102" s="179"/>
    </row>
    <row r="103" spans="1:25" x14ac:dyDescent="0.25">
      <c r="A103" s="139">
        <f t="shared" si="14"/>
        <v>1</v>
      </c>
      <c r="B103" s="68">
        <f>B87+1</f>
        <v>6</v>
      </c>
      <c r="C103" s="98" t="s">
        <v>111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179"/>
    </row>
    <row r="104" spans="1:25" x14ac:dyDescent="0.25">
      <c r="A104" s="139">
        <f t="shared" ref="A104:A167" si="32">A88</f>
        <v>1</v>
      </c>
      <c r="B104" s="30"/>
      <c r="C104" s="31" t="str">
        <f>C88</f>
        <v>NHL NTE 240</v>
      </c>
      <c r="D104" s="9" t="s">
        <v>110</v>
      </c>
      <c r="E104" s="78">
        <f>SUM(Простои!C9,Простои!E9:K9)</f>
        <v>52.380163934426228</v>
      </c>
      <c r="F104" s="78">
        <f>E104+Простои!S9</f>
        <v>52.380163934426228</v>
      </c>
      <c r="G104" s="78">
        <f>F104+Простои!W9</f>
        <v>47.462131147540987</v>
      </c>
      <c r="H104" s="89">
        <f t="shared" ref="H104:X118" si="33">G104</f>
        <v>47.462131147540987</v>
      </c>
      <c r="I104" s="89">
        <f t="shared" si="33"/>
        <v>47.462131147540987</v>
      </c>
      <c r="J104" s="89">
        <f t="shared" si="33"/>
        <v>47.462131147540987</v>
      </c>
      <c r="K104" s="89">
        <f t="shared" si="33"/>
        <v>47.462131147540987</v>
      </c>
      <c r="L104" s="89">
        <f t="shared" si="33"/>
        <v>47.462131147540987</v>
      </c>
      <c r="M104" s="89">
        <f t="shared" si="33"/>
        <v>47.462131147540987</v>
      </c>
      <c r="N104" s="89">
        <f t="shared" si="33"/>
        <v>47.462131147540987</v>
      </c>
      <c r="O104" s="89">
        <f t="shared" si="33"/>
        <v>47.462131147540987</v>
      </c>
      <c r="P104" s="89">
        <f t="shared" si="33"/>
        <v>47.462131147540987</v>
      </c>
      <c r="Q104" s="89">
        <f t="shared" si="33"/>
        <v>47.462131147540987</v>
      </c>
      <c r="R104" s="89">
        <f t="shared" si="33"/>
        <v>47.462131147540987</v>
      </c>
      <c r="S104" s="89">
        <f t="shared" si="33"/>
        <v>47.462131147540987</v>
      </c>
      <c r="T104" s="89">
        <f t="shared" si="33"/>
        <v>47.462131147540987</v>
      </c>
      <c r="U104" s="89">
        <f t="shared" si="33"/>
        <v>47.462131147540987</v>
      </c>
      <c r="V104" s="89">
        <f t="shared" si="33"/>
        <v>47.462131147540987</v>
      </c>
      <c r="W104" s="89">
        <f t="shared" si="33"/>
        <v>47.462131147540987</v>
      </c>
      <c r="X104" s="89">
        <f t="shared" si="33"/>
        <v>47.462131147540987</v>
      </c>
      <c r="Y104" s="179"/>
    </row>
    <row r="105" spans="1:25" x14ac:dyDescent="0.25">
      <c r="A105" s="139">
        <f t="shared" si="32"/>
        <v>1</v>
      </c>
      <c r="B105" s="30"/>
      <c r="C105" s="31" t="str">
        <f t="shared" ref="C105:C118" si="34">C89</f>
        <v>Estar ESDE240 (ГПБ К)</v>
      </c>
      <c r="D105" s="9" t="str">
        <f>D104</f>
        <v>мин/см</v>
      </c>
      <c r="E105" s="78">
        <f>SUM(Простои!C10,Простои!E10:K10)</f>
        <v>52.380163934426228</v>
      </c>
      <c r="F105" s="78">
        <f>E105+Простои!S10</f>
        <v>52.380163934426228</v>
      </c>
      <c r="G105" s="78">
        <f>F105+Простои!W10</f>
        <v>47.462131147540987</v>
      </c>
      <c r="H105" s="89">
        <f t="shared" ref="H105:U105" si="35">G105</f>
        <v>47.462131147540987</v>
      </c>
      <c r="I105" s="89">
        <f t="shared" si="35"/>
        <v>47.462131147540987</v>
      </c>
      <c r="J105" s="89">
        <f t="shared" si="35"/>
        <v>47.462131147540987</v>
      </c>
      <c r="K105" s="89">
        <f t="shared" si="35"/>
        <v>47.462131147540987</v>
      </c>
      <c r="L105" s="89">
        <f t="shared" si="35"/>
        <v>47.462131147540987</v>
      </c>
      <c r="M105" s="89">
        <f t="shared" si="35"/>
        <v>47.462131147540987</v>
      </c>
      <c r="N105" s="89">
        <f t="shared" si="35"/>
        <v>47.462131147540987</v>
      </c>
      <c r="O105" s="89">
        <f t="shared" si="35"/>
        <v>47.462131147540987</v>
      </c>
      <c r="P105" s="89">
        <f t="shared" si="35"/>
        <v>47.462131147540987</v>
      </c>
      <c r="Q105" s="89">
        <f t="shared" si="35"/>
        <v>47.462131147540987</v>
      </c>
      <c r="R105" s="89">
        <f t="shared" si="35"/>
        <v>47.462131147540987</v>
      </c>
      <c r="S105" s="89">
        <f t="shared" si="35"/>
        <v>47.462131147540987</v>
      </c>
      <c r="T105" s="89">
        <f t="shared" si="35"/>
        <v>47.462131147540987</v>
      </c>
      <c r="U105" s="89">
        <f t="shared" si="35"/>
        <v>47.462131147540987</v>
      </c>
      <c r="V105" s="89">
        <f t="shared" si="33"/>
        <v>47.462131147540987</v>
      </c>
      <c r="W105" s="89">
        <f t="shared" si="33"/>
        <v>47.462131147540987</v>
      </c>
      <c r="X105" s="89">
        <f t="shared" si="33"/>
        <v>47.462131147540987</v>
      </c>
      <c r="Y105" s="179"/>
    </row>
    <row r="106" spans="1:25" x14ac:dyDescent="0.25">
      <c r="A106" s="139">
        <f t="shared" si="32"/>
        <v>1</v>
      </c>
      <c r="B106" s="30"/>
      <c r="C106" s="31" t="str">
        <f t="shared" si="34"/>
        <v>SANY SET240S</v>
      </c>
      <c r="D106" s="9" t="str">
        <f t="shared" ref="D106:D118" si="36">D105</f>
        <v>мин/см</v>
      </c>
      <c r="E106" s="78">
        <f>SUM(Простои!C11,Простои!E11:K11)</f>
        <v>52.380163934426228</v>
      </c>
      <c r="F106" s="78">
        <f>E106+Простои!S11</f>
        <v>52.380163934426228</v>
      </c>
      <c r="G106" s="78">
        <f>F106+Простои!W11</f>
        <v>47.462131147540987</v>
      </c>
      <c r="H106" s="89">
        <f t="shared" si="33"/>
        <v>47.462131147540987</v>
      </c>
      <c r="I106" s="89">
        <f t="shared" si="33"/>
        <v>47.462131147540987</v>
      </c>
      <c r="J106" s="89">
        <f t="shared" si="33"/>
        <v>47.462131147540987</v>
      </c>
      <c r="K106" s="89">
        <f t="shared" si="33"/>
        <v>47.462131147540987</v>
      </c>
      <c r="L106" s="89">
        <f t="shared" si="33"/>
        <v>47.462131147540987</v>
      </c>
      <c r="M106" s="89">
        <f t="shared" si="33"/>
        <v>47.462131147540987</v>
      </c>
      <c r="N106" s="89">
        <f t="shared" si="33"/>
        <v>47.462131147540987</v>
      </c>
      <c r="O106" s="89">
        <f t="shared" si="33"/>
        <v>47.462131147540987</v>
      </c>
      <c r="P106" s="89">
        <f t="shared" si="33"/>
        <v>47.462131147540987</v>
      </c>
      <c r="Q106" s="89">
        <f t="shared" si="33"/>
        <v>47.462131147540987</v>
      </c>
      <c r="R106" s="89">
        <f t="shared" si="33"/>
        <v>47.462131147540987</v>
      </c>
      <c r="S106" s="89">
        <f t="shared" si="33"/>
        <v>47.462131147540987</v>
      </c>
      <c r="T106" s="89">
        <f t="shared" si="33"/>
        <v>47.462131147540987</v>
      </c>
      <c r="U106" s="89">
        <f t="shared" si="33"/>
        <v>47.462131147540987</v>
      </c>
      <c r="V106" s="89">
        <f t="shared" si="33"/>
        <v>47.462131147540987</v>
      </c>
      <c r="W106" s="89">
        <f t="shared" si="33"/>
        <v>47.462131147540987</v>
      </c>
      <c r="X106" s="89">
        <f t="shared" si="33"/>
        <v>47.462131147540987</v>
      </c>
      <c r="Y106" s="179"/>
    </row>
    <row r="107" spans="1:25" x14ac:dyDescent="0.25">
      <c r="A107" s="139">
        <f t="shared" si="32"/>
        <v>1</v>
      </c>
      <c r="B107" s="30"/>
      <c r="C107" s="31" t="str">
        <f t="shared" si="34"/>
        <v>TZCO TZE240</v>
      </c>
      <c r="D107" s="9" t="str">
        <f t="shared" si="36"/>
        <v>мин/см</v>
      </c>
      <c r="E107" s="78">
        <f>SUM(Простои!C12,Простои!E12:K12)</f>
        <v>52.380163934426228</v>
      </c>
      <c r="F107" s="78">
        <f>E107+Простои!S12</f>
        <v>52.380163934426228</v>
      </c>
      <c r="G107" s="78">
        <f>F107+Простои!W12</f>
        <v>47.462131147540987</v>
      </c>
      <c r="H107" s="89">
        <f t="shared" si="33"/>
        <v>47.462131147540987</v>
      </c>
      <c r="I107" s="89">
        <f t="shared" si="33"/>
        <v>47.462131147540987</v>
      </c>
      <c r="J107" s="89">
        <f t="shared" si="33"/>
        <v>47.462131147540987</v>
      </c>
      <c r="K107" s="89">
        <f t="shared" si="33"/>
        <v>47.462131147540987</v>
      </c>
      <c r="L107" s="89">
        <f t="shared" si="33"/>
        <v>47.462131147540987</v>
      </c>
      <c r="M107" s="89">
        <f t="shared" si="33"/>
        <v>47.462131147540987</v>
      </c>
      <c r="N107" s="89">
        <f t="shared" si="33"/>
        <v>47.462131147540987</v>
      </c>
      <c r="O107" s="89">
        <f t="shared" si="33"/>
        <v>47.462131147540987</v>
      </c>
      <c r="P107" s="89">
        <f t="shared" si="33"/>
        <v>47.462131147540987</v>
      </c>
      <c r="Q107" s="89">
        <f t="shared" si="33"/>
        <v>47.462131147540987</v>
      </c>
      <c r="R107" s="89">
        <f t="shared" si="33"/>
        <v>47.462131147540987</v>
      </c>
      <c r="S107" s="89">
        <f t="shared" si="33"/>
        <v>47.462131147540987</v>
      </c>
      <c r="T107" s="89">
        <f t="shared" si="33"/>
        <v>47.462131147540987</v>
      </c>
      <c r="U107" s="89">
        <f t="shared" si="33"/>
        <v>47.462131147540987</v>
      </c>
      <c r="V107" s="89">
        <f t="shared" si="33"/>
        <v>47.462131147540987</v>
      </c>
      <c r="W107" s="89">
        <f t="shared" si="33"/>
        <v>47.462131147540987</v>
      </c>
      <c r="X107" s="89">
        <f t="shared" si="33"/>
        <v>47.462131147540987</v>
      </c>
      <c r="Y107" s="179"/>
    </row>
    <row r="108" spans="1:25" x14ac:dyDescent="0.25">
      <c r="A108" s="139">
        <f t="shared" si="32"/>
        <v>1</v>
      </c>
      <c r="B108" s="30"/>
      <c r="C108" s="31" t="str">
        <f t="shared" si="34"/>
        <v>БелАЗ 7531 (ГПФК)</v>
      </c>
      <c r="D108" s="9" t="str">
        <f t="shared" si="36"/>
        <v>мин/см</v>
      </c>
      <c r="E108" s="78">
        <f>SUM(Простои!C13,Простои!E13:K13)</f>
        <v>52.380163934426228</v>
      </c>
      <c r="F108" s="78">
        <f>E108+Простои!S13</f>
        <v>52.380163934426228</v>
      </c>
      <c r="G108" s="78">
        <f>F108+Простои!W13</f>
        <v>47.462131147540987</v>
      </c>
      <c r="H108" s="89">
        <f t="shared" si="33"/>
        <v>47.462131147540987</v>
      </c>
      <c r="I108" s="89">
        <f t="shared" si="33"/>
        <v>47.462131147540987</v>
      </c>
      <c r="J108" s="89">
        <f t="shared" si="33"/>
        <v>47.462131147540987</v>
      </c>
      <c r="K108" s="89">
        <f t="shared" si="33"/>
        <v>47.462131147540987</v>
      </c>
      <c r="L108" s="89">
        <f t="shared" si="33"/>
        <v>47.462131147540987</v>
      </c>
      <c r="M108" s="89">
        <f t="shared" si="33"/>
        <v>47.462131147540987</v>
      </c>
      <c r="N108" s="89">
        <f t="shared" si="33"/>
        <v>47.462131147540987</v>
      </c>
      <c r="O108" s="89">
        <f t="shared" si="33"/>
        <v>47.462131147540987</v>
      </c>
      <c r="P108" s="89">
        <f t="shared" si="33"/>
        <v>47.462131147540987</v>
      </c>
      <c r="Q108" s="89">
        <f t="shared" si="33"/>
        <v>47.462131147540987</v>
      </c>
      <c r="R108" s="89">
        <f t="shared" si="33"/>
        <v>47.462131147540987</v>
      </c>
      <c r="S108" s="89">
        <f t="shared" si="33"/>
        <v>47.462131147540987</v>
      </c>
      <c r="T108" s="89">
        <f t="shared" si="33"/>
        <v>47.462131147540987</v>
      </c>
      <c r="U108" s="89">
        <f t="shared" si="33"/>
        <v>47.462131147540987</v>
      </c>
      <c r="V108" s="89">
        <f t="shared" si="33"/>
        <v>47.462131147540987</v>
      </c>
      <c r="W108" s="89">
        <f t="shared" si="33"/>
        <v>47.462131147540987</v>
      </c>
      <c r="X108" s="89">
        <f t="shared" si="33"/>
        <v>47.462131147540987</v>
      </c>
      <c r="Y108" s="179"/>
    </row>
    <row r="109" spans="1:25" x14ac:dyDescent="0.25">
      <c r="A109" s="139">
        <f t="shared" si="32"/>
        <v>1</v>
      </c>
      <c r="B109" s="30"/>
      <c r="C109" s="31" t="str">
        <f t="shared" si="34"/>
        <v>XCMG 240</v>
      </c>
      <c r="D109" s="9" t="str">
        <f t="shared" si="36"/>
        <v>мин/см</v>
      </c>
      <c r="E109" s="78">
        <f>SUM(Простои!C14,Простои!E14:K14)</f>
        <v>52.380163934426228</v>
      </c>
      <c r="F109" s="78">
        <f>E109+Простои!S14</f>
        <v>52.380163934426228</v>
      </c>
      <c r="G109" s="78">
        <f>F109+Простои!W14</f>
        <v>47.462131147540987</v>
      </c>
      <c r="H109" s="89">
        <f t="shared" si="33"/>
        <v>47.462131147540987</v>
      </c>
      <c r="I109" s="89">
        <f t="shared" si="33"/>
        <v>47.462131147540987</v>
      </c>
      <c r="J109" s="89">
        <f t="shared" si="33"/>
        <v>47.462131147540987</v>
      </c>
      <c r="K109" s="89">
        <f t="shared" si="33"/>
        <v>47.462131147540987</v>
      </c>
      <c r="L109" s="89">
        <f t="shared" si="33"/>
        <v>47.462131147540987</v>
      </c>
      <c r="M109" s="89">
        <f t="shared" si="33"/>
        <v>47.462131147540987</v>
      </c>
      <c r="N109" s="89">
        <f t="shared" si="33"/>
        <v>47.462131147540987</v>
      </c>
      <c r="O109" s="89">
        <f t="shared" si="33"/>
        <v>47.462131147540987</v>
      </c>
      <c r="P109" s="89">
        <f t="shared" si="33"/>
        <v>47.462131147540987</v>
      </c>
      <c r="Q109" s="89">
        <f t="shared" si="33"/>
        <v>47.462131147540987</v>
      </c>
      <c r="R109" s="89">
        <f t="shared" si="33"/>
        <v>47.462131147540987</v>
      </c>
      <c r="S109" s="89">
        <f t="shared" si="33"/>
        <v>47.462131147540987</v>
      </c>
      <c r="T109" s="89">
        <f t="shared" si="33"/>
        <v>47.462131147540987</v>
      </c>
      <c r="U109" s="89">
        <f t="shared" si="33"/>
        <v>47.462131147540987</v>
      </c>
      <c r="V109" s="89">
        <f t="shared" si="33"/>
        <v>47.462131147540987</v>
      </c>
      <c r="W109" s="89">
        <f t="shared" si="33"/>
        <v>47.462131147540987</v>
      </c>
      <c r="X109" s="89">
        <f t="shared" si="33"/>
        <v>47.462131147540987</v>
      </c>
      <c r="Y109" s="179"/>
    </row>
    <row r="110" spans="1:25" x14ac:dyDescent="0.25">
      <c r="A110" s="139">
        <f t="shared" si="32"/>
        <v>1</v>
      </c>
      <c r="B110" s="30"/>
      <c r="C110" s="31" t="str">
        <f t="shared" si="34"/>
        <v>БелАЗ 7531 (БТЛ)</v>
      </c>
      <c r="D110" s="9" t="str">
        <f t="shared" si="36"/>
        <v>мин/см</v>
      </c>
      <c r="E110" s="78">
        <f>SUM(Простои!C15,Простои!E15:K15)</f>
        <v>52.380163934426228</v>
      </c>
      <c r="F110" s="78">
        <f>E110+Простои!S15</f>
        <v>52.380163934426228</v>
      </c>
      <c r="G110" s="78">
        <f>F110+Простои!W15</f>
        <v>47.462131147540987</v>
      </c>
      <c r="H110" s="89">
        <f t="shared" si="33"/>
        <v>47.462131147540987</v>
      </c>
      <c r="I110" s="89">
        <f t="shared" si="33"/>
        <v>47.462131147540987</v>
      </c>
      <c r="J110" s="89">
        <f t="shared" si="33"/>
        <v>47.462131147540987</v>
      </c>
      <c r="K110" s="89">
        <f t="shared" si="33"/>
        <v>47.462131147540987</v>
      </c>
      <c r="L110" s="89">
        <f t="shared" si="33"/>
        <v>47.462131147540987</v>
      </c>
      <c r="M110" s="89">
        <f t="shared" si="33"/>
        <v>47.462131147540987</v>
      </c>
      <c r="N110" s="89">
        <f t="shared" si="33"/>
        <v>47.462131147540987</v>
      </c>
      <c r="O110" s="89">
        <f t="shared" si="33"/>
        <v>47.462131147540987</v>
      </c>
      <c r="P110" s="89">
        <f t="shared" si="33"/>
        <v>47.462131147540987</v>
      </c>
      <c r="Q110" s="89">
        <f t="shared" si="33"/>
        <v>47.462131147540987</v>
      </c>
      <c r="R110" s="89">
        <f t="shared" si="33"/>
        <v>47.462131147540987</v>
      </c>
      <c r="S110" s="89">
        <f t="shared" si="33"/>
        <v>47.462131147540987</v>
      </c>
      <c r="T110" s="89">
        <f t="shared" si="33"/>
        <v>47.462131147540987</v>
      </c>
      <c r="U110" s="89">
        <f t="shared" si="33"/>
        <v>47.462131147540987</v>
      </c>
      <c r="V110" s="89">
        <f t="shared" si="33"/>
        <v>47.462131147540987</v>
      </c>
      <c r="W110" s="89">
        <f t="shared" si="33"/>
        <v>47.462131147540987</v>
      </c>
      <c r="X110" s="89">
        <f t="shared" si="33"/>
        <v>47.462131147540987</v>
      </c>
      <c r="Y110" s="179"/>
    </row>
    <row r="111" spans="1:25" x14ac:dyDescent="0.25">
      <c r="A111" s="139">
        <f t="shared" si="32"/>
        <v>0</v>
      </c>
      <c r="B111" s="30"/>
      <c r="C111" s="31">
        <f t="shared" si="34"/>
        <v>0</v>
      </c>
      <c r="D111" s="9" t="str">
        <f t="shared" si="36"/>
        <v>мин/см</v>
      </c>
      <c r="E111" s="78">
        <f>SUM(Простои!C16,Простои!E16:K16)</f>
        <v>0</v>
      </c>
      <c r="F111" s="78">
        <f>E111+Простои!S16</f>
        <v>0</v>
      </c>
      <c r="G111" s="78">
        <f>F111+Простои!W16</f>
        <v>0</v>
      </c>
      <c r="H111" s="89">
        <f t="shared" si="33"/>
        <v>0</v>
      </c>
      <c r="I111" s="89">
        <f t="shared" si="33"/>
        <v>0</v>
      </c>
      <c r="J111" s="89">
        <f t="shared" si="33"/>
        <v>0</v>
      </c>
      <c r="K111" s="89">
        <f t="shared" si="33"/>
        <v>0</v>
      </c>
      <c r="L111" s="89">
        <f t="shared" si="33"/>
        <v>0</v>
      </c>
      <c r="M111" s="89">
        <f t="shared" si="33"/>
        <v>0</v>
      </c>
      <c r="N111" s="89">
        <f t="shared" si="33"/>
        <v>0</v>
      </c>
      <c r="O111" s="89">
        <f t="shared" si="33"/>
        <v>0</v>
      </c>
      <c r="P111" s="89">
        <f t="shared" si="33"/>
        <v>0</v>
      </c>
      <c r="Q111" s="89">
        <f t="shared" si="33"/>
        <v>0</v>
      </c>
      <c r="R111" s="89">
        <f t="shared" si="33"/>
        <v>0</v>
      </c>
      <c r="S111" s="89">
        <f t="shared" si="33"/>
        <v>0</v>
      </c>
      <c r="T111" s="89">
        <f t="shared" si="33"/>
        <v>0</v>
      </c>
      <c r="U111" s="89">
        <f t="shared" si="33"/>
        <v>0</v>
      </c>
      <c r="V111" s="89">
        <f t="shared" si="33"/>
        <v>0</v>
      </c>
      <c r="W111" s="89">
        <f t="shared" si="33"/>
        <v>0</v>
      </c>
      <c r="X111" s="89">
        <f t="shared" si="33"/>
        <v>0</v>
      </c>
      <c r="Y111" s="179"/>
    </row>
    <row r="112" spans="1:25" x14ac:dyDescent="0.25">
      <c r="A112" s="139">
        <f t="shared" si="32"/>
        <v>0</v>
      </c>
      <c r="B112" s="30"/>
      <c r="C112" s="31">
        <f t="shared" si="34"/>
        <v>0</v>
      </c>
      <c r="D112" s="9" t="str">
        <f t="shared" si="36"/>
        <v>мин/см</v>
      </c>
      <c r="E112" s="78">
        <f>SUM(Простои!C17,Простои!E17:K17)</f>
        <v>0</v>
      </c>
      <c r="F112" s="78">
        <f>E112+Простои!S17</f>
        <v>0</v>
      </c>
      <c r="G112" s="78">
        <f>F112+Простои!W17</f>
        <v>0</v>
      </c>
      <c r="H112" s="89">
        <f t="shared" si="33"/>
        <v>0</v>
      </c>
      <c r="I112" s="89">
        <f t="shared" si="33"/>
        <v>0</v>
      </c>
      <c r="J112" s="89">
        <f t="shared" si="33"/>
        <v>0</v>
      </c>
      <c r="K112" s="89">
        <f t="shared" si="33"/>
        <v>0</v>
      </c>
      <c r="L112" s="89">
        <f t="shared" si="33"/>
        <v>0</v>
      </c>
      <c r="M112" s="89">
        <f t="shared" si="33"/>
        <v>0</v>
      </c>
      <c r="N112" s="89">
        <f t="shared" si="33"/>
        <v>0</v>
      </c>
      <c r="O112" s="89">
        <f t="shared" si="33"/>
        <v>0</v>
      </c>
      <c r="P112" s="89">
        <f t="shared" si="33"/>
        <v>0</v>
      </c>
      <c r="Q112" s="89">
        <f t="shared" si="33"/>
        <v>0</v>
      </c>
      <c r="R112" s="89">
        <f t="shared" si="33"/>
        <v>0</v>
      </c>
      <c r="S112" s="89">
        <f t="shared" si="33"/>
        <v>0</v>
      </c>
      <c r="T112" s="89">
        <f t="shared" si="33"/>
        <v>0</v>
      </c>
      <c r="U112" s="89">
        <f t="shared" si="33"/>
        <v>0</v>
      </c>
      <c r="V112" s="89">
        <f t="shared" si="33"/>
        <v>0</v>
      </c>
      <c r="W112" s="89">
        <f t="shared" si="33"/>
        <v>0</v>
      </c>
      <c r="X112" s="89">
        <f t="shared" si="33"/>
        <v>0</v>
      </c>
      <c r="Y112" s="179"/>
    </row>
    <row r="113" spans="1:26" x14ac:dyDescent="0.25">
      <c r="A113" s="139">
        <f t="shared" si="32"/>
        <v>0</v>
      </c>
      <c r="B113" s="30"/>
      <c r="C113" s="31">
        <f t="shared" si="34"/>
        <v>0</v>
      </c>
      <c r="D113" s="9" t="str">
        <f t="shared" si="36"/>
        <v>мин/см</v>
      </c>
      <c r="E113" s="78">
        <f>SUM(Простои!C18,Простои!E18:K18)</f>
        <v>0</v>
      </c>
      <c r="F113" s="78">
        <f>E113+Простои!S18</f>
        <v>0</v>
      </c>
      <c r="G113" s="78">
        <f>F113+Простои!W18</f>
        <v>0</v>
      </c>
      <c r="H113" s="89">
        <f t="shared" si="33"/>
        <v>0</v>
      </c>
      <c r="I113" s="89">
        <f t="shared" si="33"/>
        <v>0</v>
      </c>
      <c r="J113" s="89">
        <f t="shared" si="33"/>
        <v>0</v>
      </c>
      <c r="K113" s="89">
        <f t="shared" si="33"/>
        <v>0</v>
      </c>
      <c r="L113" s="89">
        <f t="shared" si="33"/>
        <v>0</v>
      </c>
      <c r="M113" s="89">
        <f t="shared" si="33"/>
        <v>0</v>
      </c>
      <c r="N113" s="89">
        <f t="shared" si="33"/>
        <v>0</v>
      </c>
      <c r="O113" s="89">
        <f t="shared" si="33"/>
        <v>0</v>
      </c>
      <c r="P113" s="89">
        <f t="shared" si="33"/>
        <v>0</v>
      </c>
      <c r="Q113" s="89">
        <f t="shared" si="33"/>
        <v>0</v>
      </c>
      <c r="R113" s="89">
        <f t="shared" si="33"/>
        <v>0</v>
      </c>
      <c r="S113" s="89">
        <f t="shared" si="33"/>
        <v>0</v>
      </c>
      <c r="T113" s="89">
        <f t="shared" si="33"/>
        <v>0</v>
      </c>
      <c r="U113" s="89">
        <f t="shared" si="33"/>
        <v>0</v>
      </c>
      <c r="V113" s="89">
        <f t="shared" si="33"/>
        <v>0</v>
      </c>
      <c r="W113" s="89">
        <f t="shared" si="33"/>
        <v>0</v>
      </c>
      <c r="X113" s="89">
        <f t="shared" si="33"/>
        <v>0</v>
      </c>
      <c r="Y113" s="179"/>
    </row>
    <row r="114" spans="1:26" x14ac:dyDescent="0.25">
      <c r="A114" s="139">
        <f t="shared" si="32"/>
        <v>0</v>
      </c>
      <c r="B114" s="30"/>
      <c r="C114" s="31">
        <f t="shared" si="34"/>
        <v>0</v>
      </c>
      <c r="D114" s="9" t="str">
        <f t="shared" si="36"/>
        <v>мин/см</v>
      </c>
      <c r="E114" s="78">
        <f>SUM(Простои!C19,Простои!E19:K19)</f>
        <v>0</v>
      </c>
      <c r="F114" s="78">
        <f>E114+Простои!S19</f>
        <v>0</v>
      </c>
      <c r="G114" s="78">
        <f>F114+Простои!W19</f>
        <v>0</v>
      </c>
      <c r="H114" s="89">
        <f t="shared" si="33"/>
        <v>0</v>
      </c>
      <c r="I114" s="89">
        <f t="shared" si="33"/>
        <v>0</v>
      </c>
      <c r="J114" s="89">
        <f t="shared" si="33"/>
        <v>0</v>
      </c>
      <c r="K114" s="89">
        <f t="shared" si="33"/>
        <v>0</v>
      </c>
      <c r="L114" s="89">
        <f t="shared" si="33"/>
        <v>0</v>
      </c>
      <c r="M114" s="89">
        <f t="shared" si="33"/>
        <v>0</v>
      </c>
      <c r="N114" s="89">
        <f t="shared" si="33"/>
        <v>0</v>
      </c>
      <c r="O114" s="89">
        <f t="shared" si="33"/>
        <v>0</v>
      </c>
      <c r="P114" s="89">
        <f t="shared" si="33"/>
        <v>0</v>
      </c>
      <c r="Q114" s="89">
        <f t="shared" si="33"/>
        <v>0</v>
      </c>
      <c r="R114" s="89">
        <f t="shared" si="33"/>
        <v>0</v>
      </c>
      <c r="S114" s="89">
        <f t="shared" si="33"/>
        <v>0</v>
      </c>
      <c r="T114" s="89">
        <f t="shared" si="33"/>
        <v>0</v>
      </c>
      <c r="U114" s="89">
        <f t="shared" si="33"/>
        <v>0</v>
      </c>
      <c r="V114" s="89">
        <f t="shared" si="33"/>
        <v>0</v>
      </c>
      <c r="W114" s="89">
        <f t="shared" si="33"/>
        <v>0</v>
      </c>
      <c r="X114" s="89">
        <f t="shared" si="33"/>
        <v>0</v>
      </c>
      <c r="Y114" s="179"/>
    </row>
    <row r="115" spans="1:26" x14ac:dyDescent="0.25">
      <c r="A115" s="139">
        <f t="shared" si="32"/>
        <v>0</v>
      </c>
      <c r="B115" s="30"/>
      <c r="C115" s="31">
        <f t="shared" si="34"/>
        <v>0</v>
      </c>
      <c r="D115" s="9" t="str">
        <f t="shared" si="36"/>
        <v>мин/см</v>
      </c>
      <c r="E115" s="78">
        <f>SUM(Простои!C20,Простои!E20:K20)</f>
        <v>0</v>
      </c>
      <c r="F115" s="78">
        <f>E115+Простои!S20</f>
        <v>0</v>
      </c>
      <c r="G115" s="78">
        <f>F115+Простои!W20</f>
        <v>0</v>
      </c>
      <c r="H115" s="89">
        <f t="shared" si="33"/>
        <v>0</v>
      </c>
      <c r="I115" s="89">
        <f t="shared" si="33"/>
        <v>0</v>
      </c>
      <c r="J115" s="89">
        <f t="shared" si="33"/>
        <v>0</v>
      </c>
      <c r="K115" s="89">
        <f t="shared" si="33"/>
        <v>0</v>
      </c>
      <c r="L115" s="89">
        <f t="shared" si="33"/>
        <v>0</v>
      </c>
      <c r="M115" s="89">
        <f t="shared" si="33"/>
        <v>0</v>
      </c>
      <c r="N115" s="89">
        <f t="shared" si="33"/>
        <v>0</v>
      </c>
      <c r="O115" s="89">
        <f t="shared" si="33"/>
        <v>0</v>
      </c>
      <c r="P115" s="89">
        <f t="shared" si="33"/>
        <v>0</v>
      </c>
      <c r="Q115" s="89">
        <f t="shared" si="33"/>
        <v>0</v>
      </c>
      <c r="R115" s="89">
        <f t="shared" si="33"/>
        <v>0</v>
      </c>
      <c r="S115" s="89">
        <f t="shared" si="33"/>
        <v>0</v>
      </c>
      <c r="T115" s="89">
        <f t="shared" si="33"/>
        <v>0</v>
      </c>
      <c r="U115" s="89">
        <f t="shared" si="33"/>
        <v>0</v>
      </c>
      <c r="V115" s="89">
        <f t="shared" si="33"/>
        <v>0</v>
      </c>
      <c r="W115" s="89">
        <f t="shared" si="33"/>
        <v>0</v>
      </c>
      <c r="X115" s="89">
        <f t="shared" si="33"/>
        <v>0</v>
      </c>
      <c r="Y115" s="179"/>
    </row>
    <row r="116" spans="1:26" x14ac:dyDescent="0.25">
      <c r="A116" s="139">
        <f t="shared" si="32"/>
        <v>0</v>
      </c>
      <c r="B116" s="30"/>
      <c r="C116" s="31">
        <f t="shared" si="34"/>
        <v>0</v>
      </c>
      <c r="D116" s="9" t="str">
        <f t="shared" si="36"/>
        <v>мин/см</v>
      </c>
      <c r="E116" s="78">
        <f>SUM(Простои!C21,Простои!E21:K21)</f>
        <v>0</v>
      </c>
      <c r="F116" s="78">
        <f>E116+Простои!S21</f>
        <v>0</v>
      </c>
      <c r="G116" s="78">
        <f>F116+Простои!W21</f>
        <v>0</v>
      </c>
      <c r="H116" s="89">
        <f t="shared" si="33"/>
        <v>0</v>
      </c>
      <c r="I116" s="89">
        <f t="shared" si="33"/>
        <v>0</v>
      </c>
      <c r="J116" s="89">
        <f t="shared" si="33"/>
        <v>0</v>
      </c>
      <c r="K116" s="89">
        <f t="shared" si="33"/>
        <v>0</v>
      </c>
      <c r="L116" s="89">
        <f t="shared" si="33"/>
        <v>0</v>
      </c>
      <c r="M116" s="89">
        <f t="shared" si="33"/>
        <v>0</v>
      </c>
      <c r="N116" s="89">
        <f t="shared" si="33"/>
        <v>0</v>
      </c>
      <c r="O116" s="89">
        <f t="shared" si="33"/>
        <v>0</v>
      </c>
      <c r="P116" s="89">
        <f t="shared" si="33"/>
        <v>0</v>
      </c>
      <c r="Q116" s="89">
        <f t="shared" si="33"/>
        <v>0</v>
      </c>
      <c r="R116" s="89">
        <f t="shared" si="33"/>
        <v>0</v>
      </c>
      <c r="S116" s="89">
        <f t="shared" si="33"/>
        <v>0</v>
      </c>
      <c r="T116" s="89">
        <f t="shared" si="33"/>
        <v>0</v>
      </c>
      <c r="U116" s="89">
        <f t="shared" si="33"/>
        <v>0</v>
      </c>
      <c r="V116" s="89">
        <f t="shared" si="33"/>
        <v>0</v>
      </c>
      <c r="W116" s="89">
        <f t="shared" si="33"/>
        <v>0</v>
      </c>
      <c r="X116" s="89">
        <f t="shared" si="33"/>
        <v>0</v>
      </c>
      <c r="Y116" s="179"/>
    </row>
    <row r="117" spans="1:26" x14ac:dyDescent="0.25">
      <c r="A117" s="139">
        <f t="shared" si="32"/>
        <v>0</v>
      </c>
      <c r="B117" s="30"/>
      <c r="C117" s="31">
        <f t="shared" si="34"/>
        <v>0</v>
      </c>
      <c r="D117" s="9" t="str">
        <f t="shared" si="36"/>
        <v>мин/см</v>
      </c>
      <c r="E117" s="78">
        <f>SUM(Простои!C22,Простои!E22:K22)</f>
        <v>0</v>
      </c>
      <c r="F117" s="78">
        <f>E117+Простои!S22</f>
        <v>0</v>
      </c>
      <c r="G117" s="78">
        <f>F117+Простои!W22</f>
        <v>0</v>
      </c>
      <c r="H117" s="89">
        <f t="shared" si="33"/>
        <v>0</v>
      </c>
      <c r="I117" s="89">
        <f t="shared" si="33"/>
        <v>0</v>
      </c>
      <c r="J117" s="89">
        <f t="shared" si="33"/>
        <v>0</v>
      </c>
      <c r="K117" s="89">
        <f t="shared" si="33"/>
        <v>0</v>
      </c>
      <c r="L117" s="89">
        <f t="shared" si="33"/>
        <v>0</v>
      </c>
      <c r="M117" s="89">
        <f t="shared" si="33"/>
        <v>0</v>
      </c>
      <c r="N117" s="89">
        <f t="shared" si="33"/>
        <v>0</v>
      </c>
      <c r="O117" s="89">
        <f t="shared" si="33"/>
        <v>0</v>
      </c>
      <c r="P117" s="89">
        <f t="shared" si="33"/>
        <v>0</v>
      </c>
      <c r="Q117" s="89">
        <f t="shared" si="33"/>
        <v>0</v>
      </c>
      <c r="R117" s="89">
        <f t="shared" si="33"/>
        <v>0</v>
      </c>
      <c r="S117" s="89">
        <f t="shared" si="33"/>
        <v>0</v>
      </c>
      <c r="T117" s="89">
        <f t="shared" si="33"/>
        <v>0</v>
      </c>
      <c r="U117" s="89">
        <f t="shared" si="33"/>
        <v>0</v>
      </c>
      <c r="V117" s="89">
        <f t="shared" si="33"/>
        <v>0</v>
      </c>
      <c r="W117" s="89">
        <f t="shared" si="33"/>
        <v>0</v>
      </c>
      <c r="X117" s="89">
        <f t="shared" si="33"/>
        <v>0</v>
      </c>
      <c r="Y117" s="179"/>
    </row>
    <row r="118" spans="1:26" x14ac:dyDescent="0.25">
      <c r="A118" s="139">
        <f t="shared" si="32"/>
        <v>0</v>
      </c>
      <c r="B118" s="30"/>
      <c r="C118" s="31">
        <f t="shared" si="34"/>
        <v>0</v>
      </c>
      <c r="D118" s="9" t="str">
        <f t="shared" si="36"/>
        <v>мин/см</v>
      </c>
      <c r="E118" s="78">
        <f>SUM(Простои!C23,Простои!E23:K23)</f>
        <v>0</v>
      </c>
      <c r="F118" s="78">
        <f>E118+Простои!S23</f>
        <v>0</v>
      </c>
      <c r="G118" s="78">
        <f>F118+Простои!W23</f>
        <v>0</v>
      </c>
      <c r="H118" s="89">
        <f t="shared" si="33"/>
        <v>0</v>
      </c>
      <c r="I118" s="89">
        <f t="shared" si="33"/>
        <v>0</v>
      </c>
      <c r="J118" s="89">
        <f t="shared" si="33"/>
        <v>0</v>
      </c>
      <c r="K118" s="89">
        <f t="shared" si="33"/>
        <v>0</v>
      </c>
      <c r="L118" s="89">
        <f t="shared" si="33"/>
        <v>0</v>
      </c>
      <c r="M118" s="89">
        <f t="shared" si="33"/>
        <v>0</v>
      </c>
      <c r="N118" s="89">
        <f t="shared" si="33"/>
        <v>0</v>
      </c>
      <c r="O118" s="89">
        <f t="shared" si="33"/>
        <v>0</v>
      </c>
      <c r="P118" s="89">
        <f t="shared" si="33"/>
        <v>0</v>
      </c>
      <c r="Q118" s="89">
        <f t="shared" si="33"/>
        <v>0</v>
      </c>
      <c r="R118" s="89">
        <f t="shared" si="33"/>
        <v>0</v>
      </c>
      <c r="S118" s="89">
        <f t="shared" si="33"/>
        <v>0</v>
      </c>
      <c r="T118" s="89">
        <f t="shared" si="33"/>
        <v>0</v>
      </c>
      <c r="U118" s="89">
        <f t="shared" si="33"/>
        <v>0</v>
      </c>
      <c r="V118" s="89">
        <f t="shared" si="33"/>
        <v>0</v>
      </c>
      <c r="W118" s="89">
        <f t="shared" si="33"/>
        <v>0</v>
      </c>
      <c r="X118" s="89">
        <f t="shared" si="33"/>
        <v>0</v>
      </c>
      <c r="Y118" s="179"/>
    </row>
    <row r="119" spans="1:26" x14ac:dyDescent="0.25">
      <c r="A119" s="139">
        <f t="shared" si="32"/>
        <v>1</v>
      </c>
      <c r="B119" s="68">
        <f>B103+1</f>
        <v>7</v>
      </c>
      <c r="C119" s="98" t="s">
        <v>52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179"/>
    </row>
    <row r="120" spans="1:26" x14ac:dyDescent="0.25">
      <c r="A120" s="139">
        <f t="shared" si="32"/>
        <v>1</v>
      </c>
      <c r="B120" s="30"/>
      <c r="C120" s="31" t="str">
        <f>C104</f>
        <v>NHL NTE 240</v>
      </c>
      <c r="D120" s="9" t="s">
        <v>17</v>
      </c>
      <c r="E120" s="142">
        <f>(E72-(E88+E104)/60*(E72/12))/E$6</f>
        <v>0.8042356353910648</v>
      </c>
      <c r="F120" s="142">
        <f t="shared" ref="F120:X134" si="37">(F72-(F88+F104)/60*(F72/12))/F$6</f>
        <v>0.79808552806511524</v>
      </c>
      <c r="G120" s="142">
        <f t="shared" si="37"/>
        <v>0.79624551907764185</v>
      </c>
      <c r="H120" s="142">
        <f t="shared" si="37"/>
        <v>0.78544031170816475</v>
      </c>
      <c r="I120" s="142">
        <f t="shared" si="37"/>
        <v>0.80699314985367565</v>
      </c>
      <c r="J120" s="142">
        <f t="shared" si="37"/>
        <v>0.79695563039677264</v>
      </c>
      <c r="K120" s="142">
        <f t="shared" si="37"/>
        <v>0.8052082754569414</v>
      </c>
      <c r="L120" s="142">
        <f t="shared" si="37"/>
        <v>0.78780095203932943</v>
      </c>
      <c r="M120" s="142">
        <f t="shared" si="37"/>
        <v>0.79292526885575987</v>
      </c>
      <c r="N120" s="142">
        <f t="shared" si="37"/>
        <v>0.80603353996295846</v>
      </c>
      <c r="O120" s="142">
        <f t="shared" si="37"/>
        <v>0.79081412709618171</v>
      </c>
      <c r="P120" s="142">
        <f t="shared" si="37"/>
        <v>0.78966259522732096</v>
      </c>
      <c r="Q120" s="142">
        <f t="shared" si="37"/>
        <v>0.80737699380996264</v>
      </c>
      <c r="R120" s="142">
        <f t="shared" si="37"/>
        <v>0.80641738391924533</v>
      </c>
      <c r="S120" s="142">
        <f t="shared" si="37"/>
        <v>0.77686139928515208</v>
      </c>
      <c r="T120" s="142">
        <f t="shared" si="37"/>
        <v>0.80027588061865451</v>
      </c>
      <c r="U120" s="142">
        <f t="shared" si="37"/>
        <v>0.80776083776624963</v>
      </c>
      <c r="V120" s="142">
        <f t="shared" si="37"/>
        <v>0.78223521467316903</v>
      </c>
      <c r="W120" s="142">
        <f t="shared" si="37"/>
        <v>0.80795275974439307</v>
      </c>
      <c r="X120" s="142">
        <f t="shared" si="37"/>
        <v>0.79720512896835904</v>
      </c>
      <c r="Y120" s="179"/>
      <c r="Z120" s="146">
        <f>SUM(E120:X120)/Y56</f>
        <v>0.79732430659580567</v>
      </c>
    </row>
    <row r="121" spans="1:26" x14ac:dyDescent="0.25">
      <c r="A121" s="139">
        <f t="shared" si="32"/>
        <v>1</v>
      </c>
      <c r="B121" s="30"/>
      <c r="C121" s="31" t="str">
        <f t="shared" ref="C121:C134" si="38">C105</f>
        <v>Estar ESDE240 (ГПБ К)</v>
      </c>
      <c r="D121" s="9" t="str">
        <f>D120</f>
        <v>коэфф.</v>
      </c>
      <c r="E121" s="142">
        <f t="shared" ref="E121:T134" si="39">(E73-(E89+E105)/60*(E73/12))/E$6</f>
        <v>0.7819966188134716</v>
      </c>
      <c r="F121" s="142">
        <f t="shared" si="39"/>
        <v>0.76866821284392139</v>
      </c>
      <c r="G121" s="142">
        <f t="shared" si="39"/>
        <v>0.73381368343152964</v>
      </c>
      <c r="H121" s="142">
        <f t="shared" si="39"/>
        <v>0.69658081967169794</v>
      </c>
      <c r="I121" s="142">
        <f t="shared" si="39"/>
        <v>0.77690016752473712</v>
      </c>
      <c r="J121" s="142">
        <f t="shared" si="39"/>
        <v>0.71078304605431419</v>
      </c>
      <c r="K121" s="142">
        <f t="shared" si="39"/>
        <v>0.76903136642085512</v>
      </c>
      <c r="L121" s="142">
        <f t="shared" si="39"/>
        <v>0.70137886912528458</v>
      </c>
      <c r="M121" s="142">
        <f t="shared" si="39"/>
        <v>0.74024306969933573</v>
      </c>
      <c r="N121" s="142">
        <f t="shared" si="39"/>
        <v>0.7210508718849894</v>
      </c>
      <c r="O121" s="142">
        <f t="shared" si="39"/>
        <v>0</v>
      </c>
      <c r="P121" s="142">
        <f t="shared" si="39"/>
        <v>0</v>
      </c>
      <c r="Q121" s="142">
        <f t="shared" si="39"/>
        <v>0</v>
      </c>
      <c r="R121" s="142">
        <f t="shared" si="39"/>
        <v>0</v>
      </c>
      <c r="S121" s="142">
        <f t="shared" si="39"/>
        <v>0</v>
      </c>
      <c r="T121" s="142">
        <f t="shared" si="39"/>
        <v>0</v>
      </c>
      <c r="U121" s="142">
        <f t="shared" si="37"/>
        <v>0</v>
      </c>
      <c r="V121" s="142">
        <f t="shared" si="37"/>
        <v>0</v>
      </c>
      <c r="W121" s="142">
        <f t="shared" si="37"/>
        <v>0</v>
      </c>
      <c r="X121" s="142">
        <f t="shared" si="37"/>
        <v>0</v>
      </c>
      <c r="Y121" s="179"/>
      <c r="Z121" s="146">
        <f t="shared" ref="Z121:Z134" si="40">SUM(E121:X121)/Y57</f>
        <v>0.74004467254701367</v>
      </c>
    </row>
    <row r="122" spans="1:26" x14ac:dyDescent="0.25">
      <c r="A122" s="139">
        <f t="shared" si="32"/>
        <v>1</v>
      </c>
      <c r="B122" s="30"/>
      <c r="C122" s="31" t="str">
        <f t="shared" si="38"/>
        <v>SANY SET240S</v>
      </c>
      <c r="D122" s="9" t="str">
        <f t="shared" ref="D122:D134" si="41">D121</f>
        <v>коэфф.</v>
      </c>
      <c r="E122" s="142">
        <f t="shared" si="39"/>
        <v>0.80265564806627443</v>
      </c>
      <c r="F122" s="142">
        <f t="shared" si="37"/>
        <v>0.77428518393108892</v>
      </c>
      <c r="G122" s="142">
        <f t="shared" si="37"/>
        <v>0.74859167574857644</v>
      </c>
      <c r="H122" s="142">
        <f t="shared" si="37"/>
        <v>0.78121841203296505</v>
      </c>
      <c r="I122" s="142">
        <f t="shared" si="37"/>
        <v>0.73515713727853393</v>
      </c>
      <c r="J122" s="142">
        <f t="shared" si="37"/>
        <v>0.78121841203296505</v>
      </c>
      <c r="K122" s="142">
        <f t="shared" si="37"/>
        <v>0.74859167574857644</v>
      </c>
      <c r="L122" s="142">
        <f t="shared" si="37"/>
        <v>0.78121841203296505</v>
      </c>
      <c r="M122" s="142">
        <f t="shared" si="37"/>
        <v>0.73515713727853393</v>
      </c>
      <c r="N122" s="142">
        <f t="shared" si="37"/>
        <v>0.76490504389077063</v>
      </c>
      <c r="O122" s="142">
        <f t="shared" si="37"/>
        <v>0.74667245596714182</v>
      </c>
      <c r="P122" s="142">
        <f t="shared" si="37"/>
        <v>0.75338972520216296</v>
      </c>
      <c r="Q122" s="142">
        <f t="shared" si="37"/>
        <v>0</v>
      </c>
      <c r="R122" s="142">
        <f t="shared" si="37"/>
        <v>0</v>
      </c>
      <c r="S122" s="142">
        <f t="shared" si="37"/>
        <v>0</v>
      </c>
      <c r="T122" s="142">
        <f t="shared" si="37"/>
        <v>0</v>
      </c>
      <c r="U122" s="142">
        <f t="shared" si="37"/>
        <v>0</v>
      </c>
      <c r="V122" s="142">
        <f t="shared" si="37"/>
        <v>0</v>
      </c>
      <c r="W122" s="142">
        <f t="shared" si="37"/>
        <v>0</v>
      </c>
      <c r="X122" s="142">
        <f t="shared" si="37"/>
        <v>0</v>
      </c>
      <c r="Y122" s="179"/>
      <c r="Z122" s="146">
        <f t="shared" si="40"/>
        <v>0.7627550766008796</v>
      </c>
    </row>
    <row r="123" spans="1:26" x14ac:dyDescent="0.25">
      <c r="A123" s="139">
        <f t="shared" si="32"/>
        <v>1</v>
      </c>
      <c r="B123" s="30"/>
      <c r="C123" s="31" t="str">
        <f t="shared" si="38"/>
        <v>TZCO TZE240</v>
      </c>
      <c r="D123" s="9" t="str">
        <f t="shared" si="41"/>
        <v>коэфф.</v>
      </c>
      <c r="E123" s="142">
        <f t="shared" si="39"/>
        <v>0.7802829666173865</v>
      </c>
      <c r="F123" s="142">
        <f t="shared" si="37"/>
        <v>0.75810069096806354</v>
      </c>
      <c r="G123" s="142">
        <f t="shared" si="37"/>
        <v>0.66923193778625445</v>
      </c>
      <c r="H123" s="142">
        <f t="shared" si="37"/>
        <v>0.76413735597819687</v>
      </c>
      <c r="I123" s="142">
        <f t="shared" si="37"/>
        <v>0.78649626643191017</v>
      </c>
      <c r="J123" s="142">
        <f t="shared" si="37"/>
        <v>0.64687302733254115</v>
      </c>
      <c r="K123" s="142">
        <f t="shared" si="37"/>
        <v>0.78649626643191017</v>
      </c>
      <c r="L123" s="142">
        <f t="shared" si="37"/>
        <v>0.76413735597819687</v>
      </c>
      <c r="M123" s="142">
        <f t="shared" si="37"/>
        <v>0</v>
      </c>
      <c r="N123" s="142">
        <f t="shared" si="37"/>
        <v>0</v>
      </c>
      <c r="O123" s="142">
        <f t="shared" si="37"/>
        <v>0</v>
      </c>
      <c r="P123" s="142">
        <f t="shared" si="37"/>
        <v>0</v>
      </c>
      <c r="Q123" s="142">
        <f t="shared" si="37"/>
        <v>0</v>
      </c>
      <c r="R123" s="142">
        <f t="shared" si="37"/>
        <v>0</v>
      </c>
      <c r="S123" s="142">
        <f t="shared" si="37"/>
        <v>0</v>
      </c>
      <c r="T123" s="142">
        <f t="shared" si="37"/>
        <v>0</v>
      </c>
      <c r="U123" s="142">
        <f t="shared" si="37"/>
        <v>0</v>
      </c>
      <c r="V123" s="142">
        <f t="shared" si="37"/>
        <v>0</v>
      </c>
      <c r="W123" s="142">
        <f t="shared" si="37"/>
        <v>0</v>
      </c>
      <c r="X123" s="142">
        <f t="shared" si="37"/>
        <v>0</v>
      </c>
      <c r="Y123" s="179"/>
      <c r="Z123" s="146">
        <f t="shared" si="40"/>
        <v>0.74446948344055741</v>
      </c>
    </row>
    <row r="124" spans="1:26" x14ac:dyDescent="0.25">
      <c r="A124" s="139">
        <f t="shared" si="32"/>
        <v>1</v>
      </c>
      <c r="B124" s="30"/>
      <c r="C124" s="31" t="str">
        <f t="shared" si="38"/>
        <v>БелАЗ 7531 (ГПФК)</v>
      </c>
      <c r="D124" s="9" t="str">
        <f t="shared" si="41"/>
        <v>коэфф.</v>
      </c>
      <c r="E124" s="142">
        <f t="shared" si="39"/>
        <v>0.77914814805197918</v>
      </c>
      <c r="F124" s="142">
        <f t="shared" si="37"/>
        <v>0.75982195939613117</v>
      </c>
      <c r="G124" s="142">
        <f t="shared" si="37"/>
        <v>0.74763974273698475</v>
      </c>
      <c r="H124" s="142">
        <f t="shared" si="37"/>
        <v>0.75621225776072609</v>
      </c>
      <c r="I124" s="142">
        <f t="shared" si="37"/>
        <v>0.76200190410138724</v>
      </c>
      <c r="J124" s="142">
        <f t="shared" si="37"/>
        <v>0.73119842660936152</v>
      </c>
      <c r="K124" s="142">
        <f t="shared" si="37"/>
        <v>0.77569233854228758</v>
      </c>
      <c r="L124" s="142">
        <f t="shared" si="37"/>
        <v>0.73893927972781437</v>
      </c>
      <c r="M124" s="142">
        <f t="shared" si="37"/>
        <v>0.72819164895178057</v>
      </c>
      <c r="N124" s="142">
        <f t="shared" si="37"/>
        <v>0.74476091306483283</v>
      </c>
      <c r="O124" s="142">
        <f t="shared" si="37"/>
        <v>0</v>
      </c>
      <c r="P124" s="142">
        <f t="shared" si="37"/>
        <v>0</v>
      </c>
      <c r="Q124" s="142">
        <f t="shared" si="37"/>
        <v>0</v>
      </c>
      <c r="R124" s="142">
        <f t="shared" si="37"/>
        <v>0</v>
      </c>
      <c r="S124" s="142">
        <f t="shared" si="37"/>
        <v>0</v>
      </c>
      <c r="T124" s="142">
        <f t="shared" si="37"/>
        <v>0</v>
      </c>
      <c r="U124" s="142">
        <f t="shared" si="37"/>
        <v>0</v>
      </c>
      <c r="V124" s="142">
        <f t="shared" si="37"/>
        <v>0</v>
      </c>
      <c r="W124" s="142">
        <f t="shared" si="37"/>
        <v>0</v>
      </c>
      <c r="X124" s="142">
        <f t="shared" si="37"/>
        <v>0</v>
      </c>
      <c r="Y124" s="179"/>
      <c r="Z124" s="146">
        <f t="shared" si="40"/>
        <v>0.7523606618943286</v>
      </c>
    </row>
    <row r="125" spans="1:26" x14ac:dyDescent="0.25">
      <c r="A125" s="139">
        <f t="shared" si="32"/>
        <v>1</v>
      </c>
      <c r="B125" s="30"/>
      <c r="C125" s="31" t="str">
        <f t="shared" si="38"/>
        <v>XCMG 240</v>
      </c>
      <c r="D125" s="9" t="str">
        <f t="shared" si="41"/>
        <v>коэфф.</v>
      </c>
      <c r="E125" s="142">
        <f t="shared" si="39"/>
        <v>0</v>
      </c>
      <c r="F125" s="142">
        <f t="shared" si="37"/>
        <v>0</v>
      </c>
      <c r="G125" s="142">
        <f t="shared" si="37"/>
        <v>0</v>
      </c>
      <c r="H125" s="142">
        <f t="shared" si="37"/>
        <v>0</v>
      </c>
      <c r="I125" s="142">
        <f t="shared" si="37"/>
        <v>0</v>
      </c>
      <c r="J125" s="142">
        <f t="shared" si="37"/>
        <v>0</v>
      </c>
      <c r="K125" s="142">
        <f t="shared" si="37"/>
        <v>0</v>
      </c>
      <c r="L125" s="142">
        <f t="shared" si="37"/>
        <v>0</v>
      </c>
      <c r="M125" s="142">
        <f t="shared" si="37"/>
        <v>0</v>
      </c>
      <c r="N125" s="142">
        <f t="shared" si="37"/>
        <v>0</v>
      </c>
      <c r="O125" s="142">
        <f t="shared" si="37"/>
        <v>0</v>
      </c>
      <c r="P125" s="142">
        <f t="shared" si="37"/>
        <v>0</v>
      </c>
      <c r="Q125" s="142">
        <f t="shared" si="37"/>
        <v>0</v>
      </c>
      <c r="R125" s="142">
        <f t="shared" si="37"/>
        <v>0</v>
      </c>
      <c r="S125" s="142">
        <f t="shared" si="37"/>
        <v>0</v>
      </c>
      <c r="T125" s="142">
        <f t="shared" si="37"/>
        <v>0</v>
      </c>
      <c r="U125" s="142">
        <f t="shared" si="37"/>
        <v>0</v>
      </c>
      <c r="V125" s="142">
        <f t="shared" si="37"/>
        <v>0</v>
      </c>
      <c r="W125" s="142">
        <f t="shared" si="37"/>
        <v>0</v>
      </c>
      <c r="X125" s="142">
        <f t="shared" si="37"/>
        <v>0</v>
      </c>
      <c r="Y125" s="179"/>
      <c r="Z125" s="146" t="e">
        <f t="shared" si="40"/>
        <v>#DIV/0!</v>
      </c>
    </row>
    <row r="126" spans="1:26" x14ac:dyDescent="0.25">
      <c r="A126" s="139">
        <f t="shared" si="32"/>
        <v>1</v>
      </c>
      <c r="B126" s="30"/>
      <c r="C126" s="31" t="str">
        <f t="shared" si="38"/>
        <v>БелАЗ 7531 (БТЛ)</v>
      </c>
      <c r="D126" s="9" t="str">
        <f t="shared" si="41"/>
        <v>коэфф.</v>
      </c>
      <c r="E126" s="142">
        <f t="shared" si="39"/>
        <v>0.7973818358313729</v>
      </c>
      <c r="F126" s="142">
        <f t="shared" si="37"/>
        <v>0.77881917443178073</v>
      </c>
      <c r="G126" s="142">
        <f t="shared" si="37"/>
        <v>0.77766380908227173</v>
      </c>
      <c r="H126" s="142">
        <f t="shared" si="37"/>
        <v>0.76131845394372011</v>
      </c>
      <c r="I126" s="142">
        <f t="shared" si="37"/>
        <v>0.77916719791106226</v>
      </c>
      <c r="J126" s="142">
        <f t="shared" si="37"/>
        <v>0.75245805595276372</v>
      </c>
      <c r="K126" s="142">
        <f t="shared" si="37"/>
        <v>0.73545011303252628</v>
      </c>
      <c r="L126" s="142">
        <f t="shared" si="37"/>
        <v>0.77101051383996499</v>
      </c>
      <c r="M126" s="142">
        <f t="shared" si="37"/>
        <v>0.74164645118401518</v>
      </c>
      <c r="N126" s="142">
        <f t="shared" si="37"/>
        <v>0.73691237572314316</v>
      </c>
      <c r="O126" s="142">
        <f t="shared" si="37"/>
        <v>0</v>
      </c>
      <c r="P126" s="142">
        <f t="shared" si="37"/>
        <v>0</v>
      </c>
      <c r="Q126" s="142">
        <f t="shared" si="37"/>
        <v>0</v>
      </c>
      <c r="R126" s="142">
        <f t="shared" si="37"/>
        <v>0</v>
      </c>
      <c r="S126" s="142">
        <f t="shared" si="37"/>
        <v>0</v>
      </c>
      <c r="T126" s="142">
        <f t="shared" si="37"/>
        <v>0</v>
      </c>
      <c r="U126" s="142">
        <f t="shared" si="37"/>
        <v>0</v>
      </c>
      <c r="V126" s="142">
        <f t="shared" si="37"/>
        <v>0</v>
      </c>
      <c r="W126" s="142">
        <f t="shared" si="37"/>
        <v>0</v>
      </c>
      <c r="X126" s="142">
        <f t="shared" si="37"/>
        <v>0</v>
      </c>
      <c r="Y126" s="179"/>
      <c r="Z126" s="146">
        <f t="shared" si="40"/>
        <v>0.76318279809326217</v>
      </c>
    </row>
    <row r="127" spans="1:26" x14ac:dyDescent="0.25">
      <c r="A127" s="139">
        <f t="shared" si="32"/>
        <v>0</v>
      </c>
      <c r="B127" s="30"/>
      <c r="C127" s="31">
        <f t="shared" si="38"/>
        <v>0</v>
      </c>
      <c r="D127" s="9" t="str">
        <f t="shared" si="41"/>
        <v>коэфф.</v>
      </c>
      <c r="E127" s="142">
        <f t="shared" si="39"/>
        <v>0</v>
      </c>
      <c r="F127" s="142">
        <f t="shared" si="37"/>
        <v>0</v>
      </c>
      <c r="G127" s="142">
        <f t="shared" si="37"/>
        <v>0</v>
      </c>
      <c r="H127" s="142">
        <f t="shared" si="37"/>
        <v>0</v>
      </c>
      <c r="I127" s="142">
        <f t="shared" si="37"/>
        <v>0</v>
      </c>
      <c r="J127" s="142">
        <f t="shared" si="37"/>
        <v>0</v>
      </c>
      <c r="K127" s="142">
        <f t="shared" si="37"/>
        <v>0</v>
      </c>
      <c r="L127" s="142">
        <f t="shared" si="37"/>
        <v>0</v>
      </c>
      <c r="M127" s="142">
        <f t="shared" si="37"/>
        <v>0</v>
      </c>
      <c r="N127" s="142">
        <f t="shared" si="37"/>
        <v>0</v>
      </c>
      <c r="O127" s="142">
        <f t="shared" si="37"/>
        <v>0</v>
      </c>
      <c r="P127" s="142">
        <f t="shared" si="37"/>
        <v>0</v>
      </c>
      <c r="Q127" s="142">
        <f t="shared" si="37"/>
        <v>0</v>
      </c>
      <c r="R127" s="142">
        <f t="shared" si="37"/>
        <v>0</v>
      </c>
      <c r="S127" s="142">
        <f t="shared" si="37"/>
        <v>0</v>
      </c>
      <c r="T127" s="142">
        <f t="shared" si="37"/>
        <v>0</v>
      </c>
      <c r="U127" s="142">
        <f t="shared" si="37"/>
        <v>0</v>
      </c>
      <c r="V127" s="142">
        <f t="shared" si="37"/>
        <v>0</v>
      </c>
      <c r="W127" s="142">
        <f t="shared" si="37"/>
        <v>0</v>
      </c>
      <c r="X127" s="142">
        <f t="shared" si="37"/>
        <v>0</v>
      </c>
      <c r="Y127" s="179"/>
      <c r="Z127" s="146" t="e">
        <f t="shared" si="40"/>
        <v>#DIV/0!</v>
      </c>
    </row>
    <row r="128" spans="1:26" x14ac:dyDescent="0.25">
      <c r="A128" s="139">
        <f t="shared" si="32"/>
        <v>0</v>
      </c>
      <c r="B128" s="30"/>
      <c r="C128" s="31">
        <f t="shared" si="38"/>
        <v>0</v>
      </c>
      <c r="D128" s="9" t="str">
        <f t="shared" si="41"/>
        <v>коэфф.</v>
      </c>
      <c r="E128" s="142">
        <f t="shared" si="39"/>
        <v>0</v>
      </c>
      <c r="F128" s="142">
        <f t="shared" si="37"/>
        <v>0</v>
      </c>
      <c r="G128" s="142">
        <f t="shared" si="37"/>
        <v>0</v>
      </c>
      <c r="H128" s="142">
        <f t="shared" si="37"/>
        <v>0</v>
      </c>
      <c r="I128" s="142">
        <f t="shared" si="37"/>
        <v>0</v>
      </c>
      <c r="J128" s="142">
        <f t="shared" si="37"/>
        <v>0</v>
      </c>
      <c r="K128" s="142">
        <f t="shared" si="37"/>
        <v>0</v>
      </c>
      <c r="L128" s="142">
        <f t="shared" si="37"/>
        <v>0</v>
      </c>
      <c r="M128" s="142">
        <f t="shared" si="37"/>
        <v>0</v>
      </c>
      <c r="N128" s="142">
        <f t="shared" si="37"/>
        <v>0</v>
      </c>
      <c r="O128" s="142">
        <f t="shared" si="37"/>
        <v>0</v>
      </c>
      <c r="P128" s="142">
        <f t="shared" si="37"/>
        <v>0</v>
      </c>
      <c r="Q128" s="142">
        <f t="shared" si="37"/>
        <v>0</v>
      </c>
      <c r="R128" s="142">
        <f t="shared" si="37"/>
        <v>0</v>
      </c>
      <c r="S128" s="142">
        <f t="shared" si="37"/>
        <v>0</v>
      </c>
      <c r="T128" s="142">
        <f t="shared" si="37"/>
        <v>0</v>
      </c>
      <c r="U128" s="142">
        <f t="shared" si="37"/>
        <v>0</v>
      </c>
      <c r="V128" s="142">
        <f t="shared" si="37"/>
        <v>0</v>
      </c>
      <c r="W128" s="142">
        <f t="shared" si="37"/>
        <v>0</v>
      </c>
      <c r="X128" s="142">
        <f t="shared" si="37"/>
        <v>0</v>
      </c>
      <c r="Y128" s="179"/>
      <c r="Z128" s="146" t="e">
        <f t="shared" si="40"/>
        <v>#DIV/0!</v>
      </c>
    </row>
    <row r="129" spans="1:26" x14ac:dyDescent="0.25">
      <c r="A129" s="139">
        <f t="shared" si="32"/>
        <v>0</v>
      </c>
      <c r="B129" s="30"/>
      <c r="C129" s="31">
        <f t="shared" si="38"/>
        <v>0</v>
      </c>
      <c r="D129" s="9" t="str">
        <f t="shared" si="41"/>
        <v>коэфф.</v>
      </c>
      <c r="E129" s="142">
        <f t="shared" si="39"/>
        <v>0</v>
      </c>
      <c r="F129" s="142">
        <f t="shared" si="37"/>
        <v>0</v>
      </c>
      <c r="G129" s="142">
        <f t="shared" si="37"/>
        <v>0</v>
      </c>
      <c r="H129" s="142">
        <f t="shared" si="37"/>
        <v>0</v>
      </c>
      <c r="I129" s="142">
        <f t="shared" si="37"/>
        <v>0</v>
      </c>
      <c r="J129" s="142">
        <f t="shared" si="37"/>
        <v>0</v>
      </c>
      <c r="K129" s="142">
        <f t="shared" si="37"/>
        <v>0</v>
      </c>
      <c r="L129" s="142">
        <f t="shared" si="37"/>
        <v>0</v>
      </c>
      <c r="M129" s="142">
        <f t="shared" si="37"/>
        <v>0</v>
      </c>
      <c r="N129" s="142">
        <f t="shared" si="37"/>
        <v>0</v>
      </c>
      <c r="O129" s="142">
        <f t="shared" si="37"/>
        <v>0</v>
      </c>
      <c r="P129" s="142">
        <f t="shared" si="37"/>
        <v>0</v>
      </c>
      <c r="Q129" s="142">
        <f t="shared" si="37"/>
        <v>0</v>
      </c>
      <c r="R129" s="142">
        <f t="shared" si="37"/>
        <v>0</v>
      </c>
      <c r="S129" s="142">
        <f t="shared" si="37"/>
        <v>0</v>
      </c>
      <c r="T129" s="142">
        <f t="shared" si="37"/>
        <v>0</v>
      </c>
      <c r="U129" s="142">
        <f t="shared" si="37"/>
        <v>0</v>
      </c>
      <c r="V129" s="142">
        <f t="shared" si="37"/>
        <v>0</v>
      </c>
      <c r="W129" s="142">
        <f t="shared" si="37"/>
        <v>0</v>
      </c>
      <c r="X129" s="142">
        <f t="shared" si="37"/>
        <v>0</v>
      </c>
      <c r="Y129" s="179"/>
      <c r="Z129" s="146" t="e">
        <f t="shared" si="40"/>
        <v>#DIV/0!</v>
      </c>
    </row>
    <row r="130" spans="1:26" x14ac:dyDescent="0.25">
      <c r="A130" s="139">
        <f t="shared" si="32"/>
        <v>0</v>
      </c>
      <c r="B130" s="30"/>
      <c r="C130" s="31">
        <f t="shared" si="38"/>
        <v>0</v>
      </c>
      <c r="D130" s="9" t="str">
        <f t="shared" si="41"/>
        <v>коэфф.</v>
      </c>
      <c r="E130" s="142">
        <f t="shared" si="39"/>
        <v>0</v>
      </c>
      <c r="F130" s="142">
        <f t="shared" si="37"/>
        <v>0</v>
      </c>
      <c r="G130" s="142">
        <f t="shared" si="37"/>
        <v>0</v>
      </c>
      <c r="H130" s="142">
        <f t="shared" si="37"/>
        <v>0</v>
      </c>
      <c r="I130" s="142">
        <f t="shared" si="37"/>
        <v>0</v>
      </c>
      <c r="J130" s="142">
        <f t="shared" si="37"/>
        <v>0</v>
      </c>
      <c r="K130" s="142">
        <f t="shared" si="37"/>
        <v>0</v>
      </c>
      <c r="L130" s="142">
        <f t="shared" si="37"/>
        <v>0</v>
      </c>
      <c r="M130" s="142">
        <f t="shared" si="37"/>
        <v>0</v>
      </c>
      <c r="N130" s="142">
        <f t="shared" si="37"/>
        <v>0</v>
      </c>
      <c r="O130" s="142">
        <f t="shared" si="37"/>
        <v>0</v>
      </c>
      <c r="P130" s="142">
        <f t="shared" si="37"/>
        <v>0</v>
      </c>
      <c r="Q130" s="142">
        <f t="shared" si="37"/>
        <v>0</v>
      </c>
      <c r="R130" s="142">
        <f t="shared" si="37"/>
        <v>0</v>
      </c>
      <c r="S130" s="142">
        <f t="shared" si="37"/>
        <v>0</v>
      </c>
      <c r="T130" s="142">
        <f t="shared" si="37"/>
        <v>0</v>
      </c>
      <c r="U130" s="142">
        <f t="shared" si="37"/>
        <v>0</v>
      </c>
      <c r="V130" s="142">
        <f t="shared" si="37"/>
        <v>0</v>
      </c>
      <c r="W130" s="142">
        <f t="shared" si="37"/>
        <v>0</v>
      </c>
      <c r="X130" s="142">
        <f t="shared" si="37"/>
        <v>0</v>
      </c>
      <c r="Y130" s="179"/>
      <c r="Z130" s="146" t="e">
        <f t="shared" si="40"/>
        <v>#DIV/0!</v>
      </c>
    </row>
    <row r="131" spans="1:26" x14ac:dyDescent="0.25">
      <c r="A131" s="139">
        <f t="shared" si="32"/>
        <v>0</v>
      </c>
      <c r="B131" s="30"/>
      <c r="C131" s="31">
        <f t="shared" si="38"/>
        <v>0</v>
      </c>
      <c r="D131" s="9" t="str">
        <f t="shared" si="41"/>
        <v>коэфф.</v>
      </c>
      <c r="E131" s="142">
        <f t="shared" si="39"/>
        <v>0</v>
      </c>
      <c r="F131" s="142">
        <f t="shared" si="37"/>
        <v>0</v>
      </c>
      <c r="G131" s="142">
        <f t="shared" si="37"/>
        <v>0</v>
      </c>
      <c r="H131" s="142">
        <f t="shared" si="37"/>
        <v>0</v>
      </c>
      <c r="I131" s="142">
        <f t="shared" si="37"/>
        <v>0</v>
      </c>
      <c r="J131" s="142">
        <f t="shared" si="37"/>
        <v>0</v>
      </c>
      <c r="K131" s="142">
        <f t="shared" si="37"/>
        <v>0</v>
      </c>
      <c r="L131" s="142">
        <f t="shared" si="37"/>
        <v>0</v>
      </c>
      <c r="M131" s="142">
        <f t="shared" si="37"/>
        <v>0</v>
      </c>
      <c r="N131" s="142">
        <f t="shared" si="37"/>
        <v>0</v>
      </c>
      <c r="O131" s="142">
        <f t="shared" si="37"/>
        <v>0</v>
      </c>
      <c r="P131" s="142">
        <f t="shared" si="37"/>
        <v>0</v>
      </c>
      <c r="Q131" s="142">
        <f t="shared" si="37"/>
        <v>0</v>
      </c>
      <c r="R131" s="142">
        <f t="shared" si="37"/>
        <v>0</v>
      </c>
      <c r="S131" s="142">
        <f t="shared" si="37"/>
        <v>0</v>
      </c>
      <c r="T131" s="142">
        <f t="shared" si="37"/>
        <v>0</v>
      </c>
      <c r="U131" s="142">
        <f t="shared" si="37"/>
        <v>0</v>
      </c>
      <c r="V131" s="142">
        <f t="shared" si="37"/>
        <v>0</v>
      </c>
      <c r="W131" s="142">
        <f t="shared" si="37"/>
        <v>0</v>
      </c>
      <c r="X131" s="142">
        <f t="shared" si="37"/>
        <v>0</v>
      </c>
      <c r="Y131" s="179"/>
      <c r="Z131" s="146" t="e">
        <f t="shared" si="40"/>
        <v>#DIV/0!</v>
      </c>
    </row>
    <row r="132" spans="1:26" x14ac:dyDescent="0.25">
      <c r="A132" s="139">
        <f t="shared" si="32"/>
        <v>0</v>
      </c>
      <c r="B132" s="30"/>
      <c r="C132" s="31">
        <f t="shared" si="38"/>
        <v>0</v>
      </c>
      <c r="D132" s="9" t="str">
        <f t="shared" si="41"/>
        <v>коэфф.</v>
      </c>
      <c r="E132" s="142">
        <f t="shared" si="39"/>
        <v>0</v>
      </c>
      <c r="F132" s="142">
        <f t="shared" si="37"/>
        <v>0</v>
      </c>
      <c r="G132" s="142">
        <f t="shared" si="37"/>
        <v>0</v>
      </c>
      <c r="H132" s="142">
        <f t="shared" si="37"/>
        <v>0</v>
      </c>
      <c r="I132" s="142">
        <f t="shared" si="37"/>
        <v>0</v>
      </c>
      <c r="J132" s="142">
        <f t="shared" si="37"/>
        <v>0</v>
      </c>
      <c r="K132" s="142">
        <f t="shared" si="37"/>
        <v>0</v>
      </c>
      <c r="L132" s="142">
        <f t="shared" si="37"/>
        <v>0</v>
      </c>
      <c r="M132" s="142">
        <f t="shared" si="37"/>
        <v>0</v>
      </c>
      <c r="N132" s="142">
        <f t="shared" si="37"/>
        <v>0</v>
      </c>
      <c r="O132" s="142">
        <f t="shared" si="37"/>
        <v>0</v>
      </c>
      <c r="P132" s="142">
        <f t="shared" si="37"/>
        <v>0</v>
      </c>
      <c r="Q132" s="142">
        <f t="shared" si="37"/>
        <v>0</v>
      </c>
      <c r="R132" s="142">
        <f t="shared" si="37"/>
        <v>0</v>
      </c>
      <c r="S132" s="142">
        <f t="shared" si="37"/>
        <v>0</v>
      </c>
      <c r="T132" s="142">
        <f t="shared" si="37"/>
        <v>0</v>
      </c>
      <c r="U132" s="142">
        <f t="shared" si="37"/>
        <v>0</v>
      </c>
      <c r="V132" s="142">
        <f t="shared" si="37"/>
        <v>0</v>
      </c>
      <c r="W132" s="142">
        <f t="shared" si="37"/>
        <v>0</v>
      </c>
      <c r="X132" s="142">
        <f t="shared" si="37"/>
        <v>0</v>
      </c>
      <c r="Y132" s="179"/>
      <c r="Z132" s="146" t="e">
        <f t="shared" si="40"/>
        <v>#DIV/0!</v>
      </c>
    </row>
    <row r="133" spans="1:26" x14ac:dyDescent="0.25">
      <c r="A133" s="139">
        <f t="shared" si="32"/>
        <v>0</v>
      </c>
      <c r="B133" s="30"/>
      <c r="C133" s="31">
        <f t="shared" si="38"/>
        <v>0</v>
      </c>
      <c r="D133" s="9" t="str">
        <f t="shared" si="41"/>
        <v>коэфф.</v>
      </c>
      <c r="E133" s="142">
        <f t="shared" si="39"/>
        <v>0</v>
      </c>
      <c r="F133" s="142">
        <f t="shared" si="37"/>
        <v>0</v>
      </c>
      <c r="G133" s="142">
        <f t="shared" si="37"/>
        <v>0</v>
      </c>
      <c r="H133" s="142">
        <f t="shared" si="37"/>
        <v>0</v>
      </c>
      <c r="I133" s="142">
        <f t="shared" si="37"/>
        <v>0</v>
      </c>
      <c r="J133" s="142">
        <f t="shared" si="37"/>
        <v>0</v>
      </c>
      <c r="K133" s="142">
        <f t="shared" si="37"/>
        <v>0</v>
      </c>
      <c r="L133" s="142">
        <f t="shared" si="37"/>
        <v>0</v>
      </c>
      <c r="M133" s="142">
        <f t="shared" si="37"/>
        <v>0</v>
      </c>
      <c r="N133" s="142">
        <f t="shared" si="37"/>
        <v>0</v>
      </c>
      <c r="O133" s="142">
        <f t="shared" si="37"/>
        <v>0</v>
      </c>
      <c r="P133" s="142">
        <f t="shared" si="37"/>
        <v>0</v>
      </c>
      <c r="Q133" s="142">
        <f t="shared" si="37"/>
        <v>0</v>
      </c>
      <c r="R133" s="142">
        <f t="shared" si="37"/>
        <v>0</v>
      </c>
      <c r="S133" s="142">
        <f t="shared" si="37"/>
        <v>0</v>
      </c>
      <c r="T133" s="142">
        <f t="shared" si="37"/>
        <v>0</v>
      </c>
      <c r="U133" s="142">
        <f t="shared" si="37"/>
        <v>0</v>
      </c>
      <c r="V133" s="142">
        <f t="shared" si="37"/>
        <v>0</v>
      </c>
      <c r="W133" s="142">
        <f t="shared" si="37"/>
        <v>0</v>
      </c>
      <c r="X133" s="142">
        <f t="shared" si="37"/>
        <v>0</v>
      </c>
      <c r="Y133" s="179"/>
      <c r="Z133" s="146" t="e">
        <f t="shared" si="40"/>
        <v>#DIV/0!</v>
      </c>
    </row>
    <row r="134" spans="1:26" x14ac:dyDescent="0.25">
      <c r="A134" s="139">
        <f t="shared" si="32"/>
        <v>0</v>
      </c>
      <c r="B134" s="30"/>
      <c r="C134" s="31">
        <f t="shared" si="38"/>
        <v>0</v>
      </c>
      <c r="D134" s="9" t="str">
        <f t="shared" si="41"/>
        <v>коэфф.</v>
      </c>
      <c r="E134" s="142">
        <f t="shared" si="39"/>
        <v>0</v>
      </c>
      <c r="F134" s="142">
        <f t="shared" si="37"/>
        <v>0</v>
      </c>
      <c r="G134" s="142">
        <f t="shared" si="37"/>
        <v>0</v>
      </c>
      <c r="H134" s="142">
        <f t="shared" si="37"/>
        <v>0</v>
      </c>
      <c r="I134" s="142">
        <f t="shared" si="37"/>
        <v>0</v>
      </c>
      <c r="J134" s="142">
        <f t="shared" ref="J134:X134" si="42">(J86-(J102+J118)/60*(J86/12))/J$6</f>
        <v>0</v>
      </c>
      <c r="K134" s="142">
        <f t="shared" si="42"/>
        <v>0</v>
      </c>
      <c r="L134" s="142">
        <f t="shared" si="42"/>
        <v>0</v>
      </c>
      <c r="M134" s="142">
        <f t="shared" si="42"/>
        <v>0</v>
      </c>
      <c r="N134" s="142">
        <f t="shared" si="42"/>
        <v>0</v>
      </c>
      <c r="O134" s="142">
        <f t="shared" si="42"/>
        <v>0</v>
      </c>
      <c r="P134" s="142">
        <f t="shared" si="42"/>
        <v>0</v>
      </c>
      <c r="Q134" s="142">
        <f t="shared" si="42"/>
        <v>0</v>
      </c>
      <c r="R134" s="142">
        <f t="shared" si="42"/>
        <v>0</v>
      </c>
      <c r="S134" s="142">
        <f t="shared" si="42"/>
        <v>0</v>
      </c>
      <c r="T134" s="142">
        <f t="shared" si="42"/>
        <v>0</v>
      </c>
      <c r="U134" s="142">
        <f t="shared" si="42"/>
        <v>0</v>
      </c>
      <c r="V134" s="142">
        <f t="shared" si="42"/>
        <v>0</v>
      </c>
      <c r="W134" s="142">
        <f t="shared" si="42"/>
        <v>0</v>
      </c>
      <c r="X134" s="142">
        <f t="shared" si="42"/>
        <v>0</v>
      </c>
      <c r="Y134" s="179"/>
      <c r="Z134" s="146" t="e">
        <f t="shared" si="40"/>
        <v>#DIV/0!</v>
      </c>
    </row>
    <row r="135" spans="1:26" outlineLevel="1" x14ac:dyDescent="0.25">
      <c r="A135" s="139">
        <f t="shared" si="32"/>
        <v>1</v>
      </c>
      <c r="B135" s="68" t="s">
        <v>45</v>
      </c>
      <c r="C135" s="98" t="s">
        <v>112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179"/>
    </row>
    <row r="136" spans="1:26" outlineLevel="1" x14ac:dyDescent="0.25">
      <c r="A136" s="139">
        <f t="shared" si="32"/>
        <v>1</v>
      </c>
      <c r="B136" s="30"/>
      <c r="C136" s="31" t="str">
        <f>C120</f>
        <v>NHL NTE 240</v>
      </c>
      <c r="D136" s="9" t="s">
        <v>104</v>
      </c>
      <c r="E136" s="74">
        <f>E$6*E120</f>
        <v>7045.1041660257279</v>
      </c>
      <c r="F136" s="74">
        <f t="shared" ref="F136:X150" si="43">F$6*F120</f>
        <v>6991.2292258504094</v>
      </c>
      <c r="G136" s="74">
        <f t="shared" si="43"/>
        <v>6975.1107471201431</v>
      </c>
      <c r="H136" s="74">
        <f t="shared" si="43"/>
        <v>6880.4571305635236</v>
      </c>
      <c r="I136" s="74">
        <f t="shared" si="43"/>
        <v>7069.2599927181991</v>
      </c>
      <c r="J136" s="74">
        <f t="shared" si="43"/>
        <v>6981.3313222757288</v>
      </c>
      <c r="K136" s="74">
        <f t="shared" si="43"/>
        <v>7053.624493002807</v>
      </c>
      <c r="L136" s="74">
        <f t="shared" si="43"/>
        <v>6901.1363398645262</v>
      </c>
      <c r="M136" s="74">
        <f t="shared" si="43"/>
        <v>6946.0253551764563</v>
      </c>
      <c r="N136" s="74">
        <f t="shared" si="43"/>
        <v>7060.8538100755159</v>
      </c>
      <c r="O136" s="74">
        <f t="shared" si="43"/>
        <v>6927.5317533625521</v>
      </c>
      <c r="P136" s="74">
        <f t="shared" si="43"/>
        <v>6917.444334191332</v>
      </c>
      <c r="Q136" s="74">
        <f t="shared" si="43"/>
        <v>7072.6224657752728</v>
      </c>
      <c r="R136" s="74">
        <f t="shared" si="43"/>
        <v>7064.2162831325895</v>
      </c>
      <c r="S136" s="74">
        <f t="shared" si="43"/>
        <v>6805.3058577379325</v>
      </c>
      <c r="T136" s="74">
        <f t="shared" si="43"/>
        <v>7010.4167142194137</v>
      </c>
      <c r="U136" s="74">
        <f t="shared" si="43"/>
        <v>7075.9849388323464</v>
      </c>
      <c r="V136" s="74">
        <f t="shared" si="43"/>
        <v>6852.3804805369609</v>
      </c>
      <c r="W136" s="74">
        <f t="shared" si="43"/>
        <v>7077.6661753608832</v>
      </c>
      <c r="X136" s="74">
        <f t="shared" si="43"/>
        <v>6983.5169297628254</v>
      </c>
      <c r="Y136" s="179"/>
    </row>
    <row r="137" spans="1:26" outlineLevel="1" x14ac:dyDescent="0.25">
      <c r="A137" s="139">
        <f t="shared" si="32"/>
        <v>1</v>
      </c>
      <c r="B137" s="30"/>
      <c r="C137" s="31" t="str">
        <f t="shared" ref="C137:C150" si="44">C121</f>
        <v>Estar ESDE240 (ГПБ К)</v>
      </c>
      <c r="D137" s="9" t="str">
        <f>D136</f>
        <v>час.</v>
      </c>
      <c r="E137" s="74">
        <f t="shared" ref="E137:T150" si="45">E$6*E121</f>
        <v>6850.2903808060109</v>
      </c>
      <c r="F137" s="74">
        <f t="shared" si="45"/>
        <v>6733.5335445127512</v>
      </c>
      <c r="G137" s="74">
        <f t="shared" si="45"/>
        <v>6428.2078668601998</v>
      </c>
      <c r="H137" s="74">
        <f t="shared" si="45"/>
        <v>6102.0479803240742</v>
      </c>
      <c r="I137" s="74">
        <f t="shared" si="45"/>
        <v>6805.645467516697</v>
      </c>
      <c r="J137" s="74">
        <f t="shared" si="45"/>
        <v>6226.4594834357922</v>
      </c>
      <c r="K137" s="74">
        <f t="shared" si="45"/>
        <v>6736.7147698466906</v>
      </c>
      <c r="L137" s="74">
        <f t="shared" si="45"/>
        <v>6144.0788935374931</v>
      </c>
      <c r="M137" s="74">
        <f t="shared" si="45"/>
        <v>6484.5292905661809</v>
      </c>
      <c r="N137" s="74">
        <f t="shared" si="45"/>
        <v>6316.4056377125071</v>
      </c>
      <c r="O137" s="74">
        <f t="shared" si="45"/>
        <v>0</v>
      </c>
      <c r="P137" s="74">
        <f t="shared" si="45"/>
        <v>0</v>
      </c>
      <c r="Q137" s="74">
        <f t="shared" si="45"/>
        <v>0</v>
      </c>
      <c r="R137" s="74">
        <f t="shared" si="45"/>
        <v>0</v>
      </c>
      <c r="S137" s="74">
        <f t="shared" si="45"/>
        <v>0</v>
      </c>
      <c r="T137" s="74">
        <f t="shared" si="45"/>
        <v>0</v>
      </c>
      <c r="U137" s="74">
        <f t="shared" si="43"/>
        <v>0</v>
      </c>
      <c r="V137" s="74">
        <f t="shared" si="43"/>
        <v>0</v>
      </c>
      <c r="W137" s="74">
        <f t="shared" si="43"/>
        <v>0</v>
      </c>
      <c r="X137" s="74">
        <f t="shared" si="43"/>
        <v>0</v>
      </c>
      <c r="Y137" s="179"/>
    </row>
    <row r="138" spans="1:26" outlineLevel="1" x14ac:dyDescent="0.25">
      <c r="A138" s="139">
        <f t="shared" si="32"/>
        <v>1</v>
      </c>
      <c r="B138" s="30"/>
      <c r="C138" s="31" t="str">
        <f t="shared" si="44"/>
        <v>SANY SET240S</v>
      </c>
      <c r="D138" s="9" t="str">
        <f t="shared" ref="D138:D150" si="46">D137</f>
        <v>час.</v>
      </c>
      <c r="E138" s="74">
        <f t="shared" si="45"/>
        <v>7031.2634770605637</v>
      </c>
      <c r="F138" s="74">
        <f t="shared" si="43"/>
        <v>6782.7382112363393</v>
      </c>
      <c r="G138" s="74">
        <f t="shared" si="43"/>
        <v>6557.6630795575293</v>
      </c>
      <c r="H138" s="74">
        <f t="shared" si="43"/>
        <v>6843.4732894087738</v>
      </c>
      <c r="I138" s="74">
        <f t="shared" si="43"/>
        <v>6439.9765225599576</v>
      </c>
      <c r="J138" s="74">
        <f t="shared" si="43"/>
        <v>6843.4732894087738</v>
      </c>
      <c r="K138" s="74">
        <f t="shared" si="43"/>
        <v>6557.6630795575293</v>
      </c>
      <c r="L138" s="74">
        <f t="shared" si="43"/>
        <v>6843.4732894087738</v>
      </c>
      <c r="M138" s="74">
        <f t="shared" si="43"/>
        <v>6439.9765225599576</v>
      </c>
      <c r="N138" s="74">
        <f t="shared" si="43"/>
        <v>6700.5681844831506</v>
      </c>
      <c r="O138" s="74">
        <f t="shared" si="43"/>
        <v>6540.8507142721628</v>
      </c>
      <c r="P138" s="74">
        <f t="shared" si="43"/>
        <v>6599.6939927709473</v>
      </c>
      <c r="Q138" s="74">
        <f t="shared" si="43"/>
        <v>0</v>
      </c>
      <c r="R138" s="74">
        <f t="shared" si="43"/>
        <v>0</v>
      </c>
      <c r="S138" s="74">
        <f t="shared" si="43"/>
        <v>0</v>
      </c>
      <c r="T138" s="74">
        <f t="shared" si="43"/>
        <v>0</v>
      </c>
      <c r="U138" s="74">
        <f t="shared" si="43"/>
        <v>0</v>
      </c>
      <c r="V138" s="74">
        <f t="shared" si="43"/>
        <v>0</v>
      </c>
      <c r="W138" s="74">
        <f t="shared" si="43"/>
        <v>0</v>
      </c>
      <c r="X138" s="74">
        <f t="shared" si="43"/>
        <v>0</v>
      </c>
      <c r="Y138" s="179"/>
    </row>
    <row r="139" spans="1:26" outlineLevel="1" x14ac:dyDescent="0.25">
      <c r="A139" s="139">
        <f t="shared" si="32"/>
        <v>1</v>
      </c>
      <c r="B139" s="30"/>
      <c r="C139" s="31" t="str">
        <f t="shared" si="44"/>
        <v>TZCO TZE240</v>
      </c>
      <c r="D139" s="9" t="str">
        <f t="shared" si="46"/>
        <v>час.</v>
      </c>
      <c r="E139" s="74">
        <f t="shared" si="45"/>
        <v>6835.2787875683061</v>
      </c>
      <c r="F139" s="74">
        <f t="shared" si="43"/>
        <v>6640.962052880237</v>
      </c>
      <c r="G139" s="74">
        <f t="shared" si="43"/>
        <v>5862.4717750075888</v>
      </c>
      <c r="H139" s="74">
        <f t="shared" si="43"/>
        <v>6693.8432383690042</v>
      </c>
      <c r="I139" s="74">
        <f t="shared" si="43"/>
        <v>6889.7072939435329</v>
      </c>
      <c r="J139" s="74">
        <f t="shared" si="43"/>
        <v>5666.6077194330601</v>
      </c>
      <c r="K139" s="74">
        <f t="shared" si="43"/>
        <v>6889.7072939435329</v>
      </c>
      <c r="L139" s="74">
        <f t="shared" si="43"/>
        <v>6693.8432383690042</v>
      </c>
      <c r="M139" s="74">
        <f t="shared" si="43"/>
        <v>0</v>
      </c>
      <c r="N139" s="74">
        <f t="shared" si="43"/>
        <v>0</v>
      </c>
      <c r="O139" s="74">
        <f t="shared" si="43"/>
        <v>0</v>
      </c>
      <c r="P139" s="74">
        <f t="shared" si="43"/>
        <v>0</v>
      </c>
      <c r="Q139" s="74">
        <f t="shared" si="43"/>
        <v>0</v>
      </c>
      <c r="R139" s="74">
        <f t="shared" si="43"/>
        <v>0</v>
      </c>
      <c r="S139" s="74">
        <f t="shared" si="43"/>
        <v>0</v>
      </c>
      <c r="T139" s="74">
        <f t="shared" si="43"/>
        <v>0</v>
      </c>
      <c r="U139" s="74">
        <f t="shared" si="43"/>
        <v>0</v>
      </c>
      <c r="V139" s="74">
        <f t="shared" si="43"/>
        <v>0</v>
      </c>
      <c r="W139" s="74">
        <f t="shared" si="43"/>
        <v>0</v>
      </c>
      <c r="X139" s="74">
        <f t="shared" si="43"/>
        <v>0</v>
      </c>
      <c r="Y139" s="179"/>
    </row>
    <row r="140" spans="1:26" outlineLevel="1" x14ac:dyDescent="0.25">
      <c r="A140" s="139">
        <f t="shared" si="32"/>
        <v>1</v>
      </c>
      <c r="B140" s="30"/>
      <c r="C140" s="31" t="str">
        <f t="shared" si="44"/>
        <v>БелАЗ 7531 (ГПФК)</v>
      </c>
      <c r="D140" s="9" t="str">
        <f t="shared" si="46"/>
        <v>час.</v>
      </c>
      <c r="E140" s="74">
        <f t="shared" si="45"/>
        <v>6825.3377769353374</v>
      </c>
      <c r="F140" s="74">
        <f t="shared" si="43"/>
        <v>6656.040364310109</v>
      </c>
      <c r="G140" s="74">
        <f t="shared" si="43"/>
        <v>6549.3241463759859</v>
      </c>
      <c r="H140" s="74">
        <f t="shared" si="43"/>
        <v>6624.4193779839607</v>
      </c>
      <c r="I140" s="74">
        <f t="shared" si="43"/>
        <v>6675.1366799281523</v>
      </c>
      <c r="J140" s="74">
        <f t="shared" si="43"/>
        <v>6405.2982170980067</v>
      </c>
      <c r="K140" s="74">
        <f t="shared" si="43"/>
        <v>6795.0648856304397</v>
      </c>
      <c r="L140" s="74">
        <f t="shared" si="43"/>
        <v>6473.1080904156543</v>
      </c>
      <c r="M140" s="74">
        <f t="shared" si="43"/>
        <v>6378.9588448175982</v>
      </c>
      <c r="N140" s="74">
        <f t="shared" si="43"/>
        <v>6524.1055984479353</v>
      </c>
      <c r="O140" s="74">
        <f t="shared" si="43"/>
        <v>0</v>
      </c>
      <c r="P140" s="74">
        <f t="shared" si="43"/>
        <v>0</v>
      </c>
      <c r="Q140" s="74">
        <f t="shared" si="43"/>
        <v>0</v>
      </c>
      <c r="R140" s="74">
        <f t="shared" si="43"/>
        <v>0</v>
      </c>
      <c r="S140" s="74">
        <f t="shared" si="43"/>
        <v>0</v>
      </c>
      <c r="T140" s="74">
        <f t="shared" si="43"/>
        <v>0</v>
      </c>
      <c r="U140" s="74">
        <f t="shared" si="43"/>
        <v>0</v>
      </c>
      <c r="V140" s="74">
        <f t="shared" si="43"/>
        <v>0</v>
      </c>
      <c r="W140" s="74">
        <f t="shared" si="43"/>
        <v>0</v>
      </c>
      <c r="X140" s="74">
        <f t="shared" si="43"/>
        <v>0</v>
      </c>
      <c r="Y140" s="179"/>
    </row>
    <row r="141" spans="1:26" outlineLevel="1" x14ac:dyDescent="0.25">
      <c r="A141" s="139">
        <f t="shared" si="32"/>
        <v>1</v>
      </c>
      <c r="B141" s="30"/>
      <c r="C141" s="31" t="str">
        <f t="shared" si="44"/>
        <v>XCMG 240</v>
      </c>
      <c r="D141" s="9" t="str">
        <f t="shared" si="46"/>
        <v>час.</v>
      </c>
      <c r="E141" s="74">
        <f t="shared" si="45"/>
        <v>0</v>
      </c>
      <c r="F141" s="74">
        <f t="shared" si="43"/>
        <v>0</v>
      </c>
      <c r="G141" s="74">
        <f t="shared" si="43"/>
        <v>0</v>
      </c>
      <c r="H141" s="74">
        <f t="shared" si="43"/>
        <v>0</v>
      </c>
      <c r="I141" s="74">
        <f t="shared" si="43"/>
        <v>0</v>
      </c>
      <c r="J141" s="74">
        <f t="shared" si="43"/>
        <v>0</v>
      </c>
      <c r="K141" s="74">
        <f t="shared" si="43"/>
        <v>0</v>
      </c>
      <c r="L141" s="74">
        <f t="shared" si="43"/>
        <v>0</v>
      </c>
      <c r="M141" s="74">
        <f t="shared" si="43"/>
        <v>0</v>
      </c>
      <c r="N141" s="74">
        <f t="shared" si="43"/>
        <v>0</v>
      </c>
      <c r="O141" s="74">
        <f t="shared" si="43"/>
        <v>0</v>
      </c>
      <c r="P141" s="74">
        <f t="shared" si="43"/>
        <v>0</v>
      </c>
      <c r="Q141" s="74">
        <f t="shared" si="43"/>
        <v>0</v>
      </c>
      <c r="R141" s="74">
        <f t="shared" si="43"/>
        <v>0</v>
      </c>
      <c r="S141" s="74">
        <f t="shared" si="43"/>
        <v>0</v>
      </c>
      <c r="T141" s="74">
        <f t="shared" si="43"/>
        <v>0</v>
      </c>
      <c r="U141" s="74">
        <f t="shared" si="43"/>
        <v>0</v>
      </c>
      <c r="V141" s="74">
        <f t="shared" si="43"/>
        <v>0</v>
      </c>
      <c r="W141" s="74">
        <f t="shared" si="43"/>
        <v>0</v>
      </c>
      <c r="X141" s="74">
        <f t="shared" si="43"/>
        <v>0</v>
      </c>
      <c r="Y141" s="179"/>
    </row>
    <row r="142" spans="1:26" outlineLevel="1" x14ac:dyDescent="0.25">
      <c r="A142" s="139">
        <f t="shared" si="32"/>
        <v>1</v>
      </c>
      <c r="B142" s="30"/>
      <c r="C142" s="31" t="str">
        <f t="shared" si="44"/>
        <v>БелАЗ 7531 (БТЛ)</v>
      </c>
      <c r="D142" s="9" t="str">
        <f t="shared" si="46"/>
        <v>час.</v>
      </c>
      <c r="E142" s="74">
        <f t="shared" si="45"/>
        <v>6985.0648818828267</v>
      </c>
      <c r="F142" s="74">
        <f t="shared" si="43"/>
        <v>6822.4559680223992</v>
      </c>
      <c r="G142" s="74">
        <f t="shared" si="43"/>
        <v>6812.3349675607005</v>
      </c>
      <c r="H142" s="74">
        <f t="shared" si="43"/>
        <v>6669.1496565469879</v>
      </c>
      <c r="I142" s="74">
        <f t="shared" si="43"/>
        <v>6825.5046537009057</v>
      </c>
      <c r="J142" s="74">
        <f t="shared" si="43"/>
        <v>6591.5325701462098</v>
      </c>
      <c r="K142" s="74">
        <f t="shared" si="43"/>
        <v>6442.5429901649304</v>
      </c>
      <c r="L142" s="74">
        <f t="shared" si="43"/>
        <v>6754.0521012380932</v>
      </c>
      <c r="M142" s="74">
        <f t="shared" si="43"/>
        <v>6496.822912371973</v>
      </c>
      <c r="N142" s="74">
        <f t="shared" si="43"/>
        <v>6455.3524113347339</v>
      </c>
      <c r="O142" s="74">
        <f t="shared" si="43"/>
        <v>0</v>
      </c>
      <c r="P142" s="74">
        <f t="shared" si="43"/>
        <v>0</v>
      </c>
      <c r="Q142" s="74">
        <f t="shared" si="43"/>
        <v>0</v>
      </c>
      <c r="R142" s="74">
        <f t="shared" si="43"/>
        <v>0</v>
      </c>
      <c r="S142" s="74">
        <f t="shared" si="43"/>
        <v>0</v>
      </c>
      <c r="T142" s="74">
        <f t="shared" si="43"/>
        <v>0</v>
      </c>
      <c r="U142" s="74">
        <f t="shared" si="43"/>
        <v>0</v>
      </c>
      <c r="V142" s="74">
        <f t="shared" si="43"/>
        <v>0</v>
      </c>
      <c r="W142" s="74">
        <f t="shared" si="43"/>
        <v>0</v>
      </c>
      <c r="X142" s="74">
        <f t="shared" si="43"/>
        <v>0</v>
      </c>
      <c r="Y142" s="179"/>
    </row>
    <row r="143" spans="1:26" outlineLevel="1" x14ac:dyDescent="0.25">
      <c r="A143" s="139">
        <f t="shared" si="32"/>
        <v>0</v>
      </c>
      <c r="B143" s="30"/>
      <c r="C143" s="31">
        <f t="shared" si="44"/>
        <v>0</v>
      </c>
      <c r="D143" s="9" t="str">
        <f t="shared" si="46"/>
        <v>час.</v>
      </c>
      <c r="E143" s="74">
        <f t="shared" si="45"/>
        <v>0</v>
      </c>
      <c r="F143" s="74">
        <f t="shared" si="43"/>
        <v>0</v>
      </c>
      <c r="G143" s="74">
        <f t="shared" si="43"/>
        <v>0</v>
      </c>
      <c r="H143" s="74">
        <f t="shared" si="43"/>
        <v>0</v>
      </c>
      <c r="I143" s="74">
        <f t="shared" si="43"/>
        <v>0</v>
      </c>
      <c r="J143" s="74">
        <f t="shared" si="43"/>
        <v>0</v>
      </c>
      <c r="K143" s="74">
        <f t="shared" si="43"/>
        <v>0</v>
      </c>
      <c r="L143" s="74">
        <f t="shared" si="43"/>
        <v>0</v>
      </c>
      <c r="M143" s="74">
        <f t="shared" si="43"/>
        <v>0</v>
      </c>
      <c r="N143" s="74">
        <f t="shared" si="43"/>
        <v>0</v>
      </c>
      <c r="O143" s="74">
        <f t="shared" si="43"/>
        <v>0</v>
      </c>
      <c r="P143" s="74">
        <f t="shared" si="43"/>
        <v>0</v>
      </c>
      <c r="Q143" s="74">
        <f t="shared" si="43"/>
        <v>0</v>
      </c>
      <c r="R143" s="74">
        <f t="shared" si="43"/>
        <v>0</v>
      </c>
      <c r="S143" s="74">
        <f t="shared" si="43"/>
        <v>0</v>
      </c>
      <c r="T143" s="74">
        <f t="shared" si="43"/>
        <v>0</v>
      </c>
      <c r="U143" s="74">
        <f t="shared" si="43"/>
        <v>0</v>
      </c>
      <c r="V143" s="74">
        <f t="shared" si="43"/>
        <v>0</v>
      </c>
      <c r="W143" s="74">
        <f t="shared" si="43"/>
        <v>0</v>
      </c>
      <c r="X143" s="74">
        <f t="shared" si="43"/>
        <v>0</v>
      </c>
      <c r="Y143" s="179"/>
    </row>
    <row r="144" spans="1:26" outlineLevel="1" x14ac:dyDescent="0.25">
      <c r="A144" s="139">
        <f t="shared" si="32"/>
        <v>0</v>
      </c>
      <c r="B144" s="30"/>
      <c r="C144" s="31">
        <f t="shared" si="44"/>
        <v>0</v>
      </c>
      <c r="D144" s="9" t="str">
        <f t="shared" si="46"/>
        <v>час.</v>
      </c>
      <c r="E144" s="74">
        <f t="shared" si="45"/>
        <v>0</v>
      </c>
      <c r="F144" s="74">
        <f t="shared" si="43"/>
        <v>0</v>
      </c>
      <c r="G144" s="74">
        <f t="shared" si="43"/>
        <v>0</v>
      </c>
      <c r="H144" s="74">
        <f t="shared" si="43"/>
        <v>0</v>
      </c>
      <c r="I144" s="74">
        <f t="shared" si="43"/>
        <v>0</v>
      </c>
      <c r="J144" s="74">
        <f t="shared" si="43"/>
        <v>0</v>
      </c>
      <c r="K144" s="74">
        <f t="shared" si="43"/>
        <v>0</v>
      </c>
      <c r="L144" s="74">
        <f t="shared" si="43"/>
        <v>0</v>
      </c>
      <c r="M144" s="74">
        <f t="shared" si="43"/>
        <v>0</v>
      </c>
      <c r="N144" s="74">
        <f t="shared" si="43"/>
        <v>0</v>
      </c>
      <c r="O144" s="74">
        <f t="shared" si="43"/>
        <v>0</v>
      </c>
      <c r="P144" s="74">
        <f t="shared" si="43"/>
        <v>0</v>
      </c>
      <c r="Q144" s="74">
        <f t="shared" si="43"/>
        <v>0</v>
      </c>
      <c r="R144" s="74">
        <f t="shared" si="43"/>
        <v>0</v>
      </c>
      <c r="S144" s="74">
        <f t="shared" si="43"/>
        <v>0</v>
      </c>
      <c r="T144" s="74">
        <f t="shared" si="43"/>
        <v>0</v>
      </c>
      <c r="U144" s="74">
        <f t="shared" si="43"/>
        <v>0</v>
      </c>
      <c r="V144" s="74">
        <f t="shared" si="43"/>
        <v>0</v>
      </c>
      <c r="W144" s="74">
        <f t="shared" si="43"/>
        <v>0</v>
      </c>
      <c r="X144" s="74">
        <f t="shared" si="43"/>
        <v>0</v>
      </c>
      <c r="Y144" s="179"/>
    </row>
    <row r="145" spans="1:25" outlineLevel="1" x14ac:dyDescent="0.25">
      <c r="A145" s="139">
        <f t="shared" si="32"/>
        <v>0</v>
      </c>
      <c r="B145" s="30"/>
      <c r="C145" s="31">
        <f t="shared" si="44"/>
        <v>0</v>
      </c>
      <c r="D145" s="9" t="str">
        <f t="shared" si="46"/>
        <v>час.</v>
      </c>
      <c r="E145" s="74">
        <f t="shared" si="45"/>
        <v>0</v>
      </c>
      <c r="F145" s="74">
        <f t="shared" si="43"/>
        <v>0</v>
      </c>
      <c r="G145" s="74">
        <f t="shared" si="43"/>
        <v>0</v>
      </c>
      <c r="H145" s="74">
        <f t="shared" si="43"/>
        <v>0</v>
      </c>
      <c r="I145" s="74">
        <f t="shared" si="43"/>
        <v>0</v>
      </c>
      <c r="J145" s="74">
        <f t="shared" si="43"/>
        <v>0</v>
      </c>
      <c r="K145" s="74">
        <f t="shared" si="43"/>
        <v>0</v>
      </c>
      <c r="L145" s="74">
        <f t="shared" si="43"/>
        <v>0</v>
      </c>
      <c r="M145" s="74">
        <f t="shared" si="43"/>
        <v>0</v>
      </c>
      <c r="N145" s="74">
        <f t="shared" si="43"/>
        <v>0</v>
      </c>
      <c r="O145" s="74">
        <f t="shared" si="43"/>
        <v>0</v>
      </c>
      <c r="P145" s="74">
        <f t="shared" si="43"/>
        <v>0</v>
      </c>
      <c r="Q145" s="74">
        <f t="shared" si="43"/>
        <v>0</v>
      </c>
      <c r="R145" s="74">
        <f t="shared" si="43"/>
        <v>0</v>
      </c>
      <c r="S145" s="74">
        <f t="shared" si="43"/>
        <v>0</v>
      </c>
      <c r="T145" s="74">
        <f t="shared" si="43"/>
        <v>0</v>
      </c>
      <c r="U145" s="74">
        <f t="shared" si="43"/>
        <v>0</v>
      </c>
      <c r="V145" s="74">
        <f t="shared" si="43"/>
        <v>0</v>
      </c>
      <c r="W145" s="74">
        <f t="shared" si="43"/>
        <v>0</v>
      </c>
      <c r="X145" s="74">
        <f t="shared" si="43"/>
        <v>0</v>
      </c>
      <c r="Y145" s="179"/>
    </row>
    <row r="146" spans="1:25" outlineLevel="1" x14ac:dyDescent="0.25">
      <c r="A146" s="139">
        <f t="shared" si="32"/>
        <v>0</v>
      </c>
      <c r="B146" s="30"/>
      <c r="C146" s="31">
        <f t="shared" si="44"/>
        <v>0</v>
      </c>
      <c r="D146" s="9" t="str">
        <f t="shared" si="46"/>
        <v>час.</v>
      </c>
      <c r="E146" s="74">
        <f t="shared" si="45"/>
        <v>0</v>
      </c>
      <c r="F146" s="74">
        <f t="shared" si="43"/>
        <v>0</v>
      </c>
      <c r="G146" s="74">
        <f t="shared" si="43"/>
        <v>0</v>
      </c>
      <c r="H146" s="74">
        <f t="shared" si="43"/>
        <v>0</v>
      </c>
      <c r="I146" s="74">
        <f t="shared" si="43"/>
        <v>0</v>
      </c>
      <c r="J146" s="74">
        <f t="shared" si="43"/>
        <v>0</v>
      </c>
      <c r="K146" s="74">
        <f t="shared" si="43"/>
        <v>0</v>
      </c>
      <c r="L146" s="74">
        <f t="shared" si="43"/>
        <v>0</v>
      </c>
      <c r="M146" s="74">
        <f t="shared" si="43"/>
        <v>0</v>
      </c>
      <c r="N146" s="74">
        <f t="shared" si="43"/>
        <v>0</v>
      </c>
      <c r="O146" s="74">
        <f t="shared" si="43"/>
        <v>0</v>
      </c>
      <c r="P146" s="74">
        <f t="shared" si="43"/>
        <v>0</v>
      </c>
      <c r="Q146" s="74">
        <f t="shared" si="43"/>
        <v>0</v>
      </c>
      <c r="R146" s="74">
        <f t="shared" si="43"/>
        <v>0</v>
      </c>
      <c r="S146" s="74">
        <f t="shared" si="43"/>
        <v>0</v>
      </c>
      <c r="T146" s="74">
        <f t="shared" si="43"/>
        <v>0</v>
      </c>
      <c r="U146" s="74">
        <f t="shared" si="43"/>
        <v>0</v>
      </c>
      <c r="V146" s="74">
        <f t="shared" si="43"/>
        <v>0</v>
      </c>
      <c r="W146" s="74">
        <f t="shared" si="43"/>
        <v>0</v>
      </c>
      <c r="X146" s="74">
        <f t="shared" si="43"/>
        <v>0</v>
      </c>
      <c r="Y146" s="179"/>
    </row>
    <row r="147" spans="1:25" outlineLevel="1" x14ac:dyDescent="0.25">
      <c r="A147" s="139">
        <f t="shared" si="32"/>
        <v>0</v>
      </c>
      <c r="B147" s="30"/>
      <c r="C147" s="31">
        <f t="shared" si="44"/>
        <v>0</v>
      </c>
      <c r="D147" s="9" t="str">
        <f t="shared" si="46"/>
        <v>час.</v>
      </c>
      <c r="E147" s="74">
        <f t="shared" si="45"/>
        <v>0</v>
      </c>
      <c r="F147" s="74">
        <f t="shared" si="43"/>
        <v>0</v>
      </c>
      <c r="G147" s="74">
        <f t="shared" si="43"/>
        <v>0</v>
      </c>
      <c r="H147" s="74">
        <f t="shared" si="43"/>
        <v>0</v>
      </c>
      <c r="I147" s="74">
        <f t="shared" si="43"/>
        <v>0</v>
      </c>
      <c r="J147" s="74">
        <f t="shared" si="43"/>
        <v>0</v>
      </c>
      <c r="K147" s="74">
        <f t="shared" si="43"/>
        <v>0</v>
      </c>
      <c r="L147" s="74">
        <f t="shared" si="43"/>
        <v>0</v>
      </c>
      <c r="M147" s="74">
        <f t="shared" si="43"/>
        <v>0</v>
      </c>
      <c r="N147" s="74">
        <f t="shared" si="43"/>
        <v>0</v>
      </c>
      <c r="O147" s="74">
        <f t="shared" si="43"/>
        <v>0</v>
      </c>
      <c r="P147" s="74">
        <f t="shared" si="43"/>
        <v>0</v>
      </c>
      <c r="Q147" s="74">
        <f t="shared" si="43"/>
        <v>0</v>
      </c>
      <c r="R147" s="74">
        <f t="shared" si="43"/>
        <v>0</v>
      </c>
      <c r="S147" s="74">
        <f t="shared" si="43"/>
        <v>0</v>
      </c>
      <c r="T147" s="74">
        <f t="shared" si="43"/>
        <v>0</v>
      </c>
      <c r="U147" s="74">
        <f t="shared" si="43"/>
        <v>0</v>
      </c>
      <c r="V147" s="74">
        <f t="shared" si="43"/>
        <v>0</v>
      </c>
      <c r="W147" s="74">
        <f t="shared" si="43"/>
        <v>0</v>
      </c>
      <c r="X147" s="74">
        <f t="shared" si="43"/>
        <v>0</v>
      </c>
      <c r="Y147" s="179"/>
    </row>
    <row r="148" spans="1:25" outlineLevel="1" x14ac:dyDescent="0.25">
      <c r="A148" s="139">
        <f t="shared" si="32"/>
        <v>0</v>
      </c>
      <c r="B148" s="30"/>
      <c r="C148" s="31">
        <f t="shared" si="44"/>
        <v>0</v>
      </c>
      <c r="D148" s="9" t="str">
        <f t="shared" si="46"/>
        <v>час.</v>
      </c>
      <c r="E148" s="74">
        <f t="shared" si="45"/>
        <v>0</v>
      </c>
      <c r="F148" s="74">
        <f t="shared" si="43"/>
        <v>0</v>
      </c>
      <c r="G148" s="74">
        <f t="shared" si="43"/>
        <v>0</v>
      </c>
      <c r="H148" s="74">
        <f t="shared" si="43"/>
        <v>0</v>
      </c>
      <c r="I148" s="74">
        <f t="shared" si="43"/>
        <v>0</v>
      </c>
      <c r="J148" s="74">
        <f t="shared" si="43"/>
        <v>0</v>
      </c>
      <c r="K148" s="74">
        <f t="shared" si="43"/>
        <v>0</v>
      </c>
      <c r="L148" s="74">
        <f t="shared" si="43"/>
        <v>0</v>
      </c>
      <c r="M148" s="74">
        <f t="shared" si="43"/>
        <v>0</v>
      </c>
      <c r="N148" s="74">
        <f t="shared" si="43"/>
        <v>0</v>
      </c>
      <c r="O148" s="74">
        <f t="shared" si="43"/>
        <v>0</v>
      </c>
      <c r="P148" s="74">
        <f t="shared" si="43"/>
        <v>0</v>
      </c>
      <c r="Q148" s="74">
        <f t="shared" si="43"/>
        <v>0</v>
      </c>
      <c r="R148" s="74">
        <f t="shared" si="43"/>
        <v>0</v>
      </c>
      <c r="S148" s="74">
        <f t="shared" si="43"/>
        <v>0</v>
      </c>
      <c r="T148" s="74">
        <f t="shared" si="43"/>
        <v>0</v>
      </c>
      <c r="U148" s="74">
        <f t="shared" si="43"/>
        <v>0</v>
      </c>
      <c r="V148" s="74">
        <f t="shared" si="43"/>
        <v>0</v>
      </c>
      <c r="W148" s="74">
        <f t="shared" si="43"/>
        <v>0</v>
      </c>
      <c r="X148" s="74">
        <f t="shared" si="43"/>
        <v>0</v>
      </c>
      <c r="Y148" s="179"/>
    </row>
    <row r="149" spans="1:25" outlineLevel="1" x14ac:dyDescent="0.25">
      <c r="A149" s="139">
        <f t="shared" si="32"/>
        <v>0</v>
      </c>
      <c r="B149" s="30"/>
      <c r="C149" s="31">
        <f t="shared" si="44"/>
        <v>0</v>
      </c>
      <c r="D149" s="9" t="str">
        <f t="shared" si="46"/>
        <v>час.</v>
      </c>
      <c r="E149" s="74">
        <f t="shared" si="45"/>
        <v>0</v>
      </c>
      <c r="F149" s="74">
        <f t="shared" si="43"/>
        <v>0</v>
      </c>
      <c r="G149" s="74">
        <f t="shared" si="43"/>
        <v>0</v>
      </c>
      <c r="H149" s="74">
        <f t="shared" si="43"/>
        <v>0</v>
      </c>
      <c r="I149" s="74">
        <f t="shared" si="43"/>
        <v>0</v>
      </c>
      <c r="J149" s="74">
        <f t="shared" si="43"/>
        <v>0</v>
      </c>
      <c r="K149" s="74">
        <f t="shared" si="43"/>
        <v>0</v>
      </c>
      <c r="L149" s="74">
        <f t="shared" si="43"/>
        <v>0</v>
      </c>
      <c r="M149" s="74">
        <f t="shared" si="43"/>
        <v>0</v>
      </c>
      <c r="N149" s="74">
        <f t="shared" si="43"/>
        <v>0</v>
      </c>
      <c r="O149" s="74">
        <f t="shared" si="43"/>
        <v>0</v>
      </c>
      <c r="P149" s="74">
        <f t="shared" si="43"/>
        <v>0</v>
      </c>
      <c r="Q149" s="74">
        <f t="shared" si="43"/>
        <v>0</v>
      </c>
      <c r="R149" s="74">
        <f t="shared" si="43"/>
        <v>0</v>
      </c>
      <c r="S149" s="74">
        <f t="shared" si="43"/>
        <v>0</v>
      </c>
      <c r="T149" s="74">
        <f t="shared" si="43"/>
        <v>0</v>
      </c>
      <c r="U149" s="74">
        <f t="shared" si="43"/>
        <v>0</v>
      </c>
      <c r="V149" s="74">
        <f t="shared" si="43"/>
        <v>0</v>
      </c>
      <c r="W149" s="74">
        <f t="shared" si="43"/>
        <v>0</v>
      </c>
      <c r="X149" s="74">
        <f t="shared" si="43"/>
        <v>0</v>
      </c>
      <c r="Y149" s="179"/>
    </row>
    <row r="150" spans="1:25" outlineLevel="1" x14ac:dyDescent="0.25">
      <c r="A150" s="139">
        <f t="shared" si="32"/>
        <v>0</v>
      </c>
      <c r="B150" s="30"/>
      <c r="C150" s="31">
        <f t="shared" si="44"/>
        <v>0</v>
      </c>
      <c r="D150" s="9" t="str">
        <f t="shared" si="46"/>
        <v>час.</v>
      </c>
      <c r="E150" s="74">
        <f t="shared" si="45"/>
        <v>0</v>
      </c>
      <c r="F150" s="74">
        <f t="shared" si="43"/>
        <v>0</v>
      </c>
      <c r="G150" s="74">
        <f t="shared" si="43"/>
        <v>0</v>
      </c>
      <c r="H150" s="74">
        <f t="shared" si="43"/>
        <v>0</v>
      </c>
      <c r="I150" s="74">
        <f t="shared" si="43"/>
        <v>0</v>
      </c>
      <c r="J150" s="74">
        <f t="shared" ref="J150:X150" si="47">J$6*J134</f>
        <v>0</v>
      </c>
      <c r="K150" s="74">
        <f t="shared" si="47"/>
        <v>0</v>
      </c>
      <c r="L150" s="74">
        <f t="shared" si="47"/>
        <v>0</v>
      </c>
      <c r="M150" s="74">
        <f t="shared" si="47"/>
        <v>0</v>
      </c>
      <c r="N150" s="74">
        <f t="shared" si="47"/>
        <v>0</v>
      </c>
      <c r="O150" s="74">
        <f t="shared" si="47"/>
        <v>0</v>
      </c>
      <c r="P150" s="74">
        <f t="shared" si="47"/>
        <v>0</v>
      </c>
      <c r="Q150" s="74">
        <f t="shared" si="47"/>
        <v>0</v>
      </c>
      <c r="R150" s="74">
        <f t="shared" si="47"/>
        <v>0</v>
      </c>
      <c r="S150" s="74">
        <f t="shared" si="47"/>
        <v>0</v>
      </c>
      <c r="T150" s="74">
        <f t="shared" si="47"/>
        <v>0</v>
      </c>
      <c r="U150" s="74">
        <f t="shared" si="47"/>
        <v>0</v>
      </c>
      <c r="V150" s="74">
        <f t="shared" si="47"/>
        <v>0</v>
      </c>
      <c r="W150" s="74">
        <f t="shared" si="47"/>
        <v>0</v>
      </c>
      <c r="X150" s="74">
        <f t="shared" si="47"/>
        <v>0</v>
      </c>
      <c r="Y150" s="179"/>
    </row>
    <row r="151" spans="1:25" x14ac:dyDescent="0.25">
      <c r="A151" s="139">
        <f t="shared" si="32"/>
        <v>1</v>
      </c>
      <c r="B151" s="68">
        <f>B119+1</f>
        <v>8</v>
      </c>
      <c r="C151" s="98" t="s">
        <v>113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179"/>
    </row>
    <row r="152" spans="1:25" x14ac:dyDescent="0.25">
      <c r="A152" s="139">
        <f t="shared" si="32"/>
        <v>1</v>
      </c>
      <c r="B152" s="30"/>
      <c r="C152" s="31" t="str">
        <f>C136</f>
        <v>NHL NTE 240</v>
      </c>
      <c r="D152" s="9" t="s">
        <v>21</v>
      </c>
      <c r="E152" s="645">
        <v>22.46</v>
      </c>
      <c r="F152" s="91">
        <f>E152</f>
        <v>22.46</v>
      </c>
      <c r="G152" s="91">
        <f t="shared" ref="G152:X166" si="48">F152</f>
        <v>22.46</v>
      </c>
      <c r="H152" s="91">
        <f t="shared" si="48"/>
        <v>22.46</v>
      </c>
      <c r="I152" s="91">
        <f t="shared" si="48"/>
        <v>22.46</v>
      </c>
      <c r="J152" s="91">
        <f t="shared" si="48"/>
        <v>22.46</v>
      </c>
      <c r="K152" s="91">
        <f t="shared" si="48"/>
        <v>22.46</v>
      </c>
      <c r="L152" s="91">
        <f t="shared" si="48"/>
        <v>22.46</v>
      </c>
      <c r="M152" s="91">
        <f t="shared" si="48"/>
        <v>22.46</v>
      </c>
      <c r="N152" s="91">
        <f t="shared" si="48"/>
        <v>22.46</v>
      </c>
      <c r="O152" s="91">
        <f t="shared" si="48"/>
        <v>22.46</v>
      </c>
      <c r="P152" s="91">
        <f t="shared" si="48"/>
        <v>22.46</v>
      </c>
      <c r="Q152" s="91">
        <f t="shared" si="48"/>
        <v>22.46</v>
      </c>
      <c r="R152" s="91">
        <f t="shared" si="48"/>
        <v>22.46</v>
      </c>
      <c r="S152" s="91">
        <f t="shared" si="48"/>
        <v>22.46</v>
      </c>
      <c r="T152" s="91">
        <f t="shared" si="48"/>
        <v>22.46</v>
      </c>
      <c r="U152" s="91">
        <f t="shared" si="48"/>
        <v>22.46</v>
      </c>
      <c r="V152" s="91">
        <f t="shared" si="48"/>
        <v>22.46</v>
      </c>
      <c r="W152" s="91">
        <f t="shared" si="48"/>
        <v>22.46</v>
      </c>
      <c r="X152" s="91">
        <f t="shared" si="48"/>
        <v>22.46</v>
      </c>
      <c r="Y152" s="179" t="s">
        <v>667</v>
      </c>
    </row>
    <row r="153" spans="1:25" x14ac:dyDescent="0.25">
      <c r="A153" s="139">
        <f t="shared" si="32"/>
        <v>1</v>
      </c>
      <c r="B153" s="30"/>
      <c r="C153" s="31" t="str">
        <f t="shared" ref="C153:C166" si="49">C137</f>
        <v>Estar ESDE240 (ГПБ К)</v>
      </c>
      <c r="D153" s="9" t="str">
        <f>D152</f>
        <v>км/час</v>
      </c>
      <c r="E153" s="90">
        <f>E152</f>
        <v>22.46</v>
      </c>
      <c r="F153" s="91">
        <f t="shared" ref="F153:U166" si="50">E153</f>
        <v>22.46</v>
      </c>
      <c r="G153" s="91">
        <f t="shared" si="50"/>
        <v>22.46</v>
      </c>
      <c r="H153" s="91">
        <f t="shared" si="50"/>
        <v>22.46</v>
      </c>
      <c r="I153" s="91">
        <f t="shared" si="50"/>
        <v>22.46</v>
      </c>
      <c r="J153" s="91">
        <f t="shared" si="50"/>
        <v>22.46</v>
      </c>
      <c r="K153" s="91">
        <f t="shared" si="50"/>
        <v>22.46</v>
      </c>
      <c r="L153" s="91">
        <f t="shared" si="50"/>
        <v>22.46</v>
      </c>
      <c r="M153" s="91">
        <f t="shared" si="50"/>
        <v>22.46</v>
      </c>
      <c r="N153" s="91">
        <f t="shared" si="50"/>
        <v>22.46</v>
      </c>
      <c r="O153" s="91">
        <f t="shared" si="50"/>
        <v>22.46</v>
      </c>
      <c r="P153" s="91">
        <f t="shared" si="50"/>
        <v>22.46</v>
      </c>
      <c r="Q153" s="91">
        <f t="shared" si="50"/>
        <v>22.46</v>
      </c>
      <c r="R153" s="91">
        <f t="shared" si="50"/>
        <v>22.46</v>
      </c>
      <c r="S153" s="91">
        <f t="shared" si="50"/>
        <v>22.46</v>
      </c>
      <c r="T153" s="91">
        <f t="shared" si="50"/>
        <v>22.46</v>
      </c>
      <c r="U153" s="91">
        <f t="shared" si="50"/>
        <v>22.46</v>
      </c>
      <c r="V153" s="91">
        <f t="shared" si="48"/>
        <v>22.46</v>
      </c>
      <c r="W153" s="91">
        <f t="shared" si="48"/>
        <v>22.46</v>
      </c>
      <c r="X153" s="91">
        <f t="shared" si="48"/>
        <v>22.46</v>
      </c>
      <c r="Y153" s="179" t="s">
        <v>170</v>
      </c>
    </row>
    <row r="154" spans="1:25" x14ac:dyDescent="0.25">
      <c r="A154" s="139">
        <f t="shared" si="32"/>
        <v>1</v>
      </c>
      <c r="B154" s="30"/>
      <c r="C154" s="31" t="str">
        <f t="shared" si="49"/>
        <v>SANY SET240S</v>
      </c>
      <c r="D154" s="9" t="str">
        <f t="shared" ref="D154:E166" si="51">D153</f>
        <v>км/час</v>
      </c>
      <c r="E154" s="90">
        <f t="shared" si="51"/>
        <v>22.46</v>
      </c>
      <c r="F154" s="91">
        <f t="shared" si="50"/>
        <v>22.46</v>
      </c>
      <c r="G154" s="91">
        <f t="shared" si="48"/>
        <v>22.46</v>
      </c>
      <c r="H154" s="91">
        <f t="shared" si="48"/>
        <v>22.46</v>
      </c>
      <c r="I154" s="91">
        <f t="shared" si="48"/>
        <v>22.46</v>
      </c>
      <c r="J154" s="91">
        <f t="shared" si="48"/>
        <v>22.46</v>
      </c>
      <c r="K154" s="91">
        <f t="shared" si="48"/>
        <v>22.46</v>
      </c>
      <c r="L154" s="91">
        <f t="shared" si="48"/>
        <v>22.46</v>
      </c>
      <c r="M154" s="91">
        <f t="shared" si="48"/>
        <v>22.46</v>
      </c>
      <c r="N154" s="91">
        <f t="shared" si="48"/>
        <v>22.46</v>
      </c>
      <c r="O154" s="91">
        <f t="shared" si="48"/>
        <v>22.46</v>
      </c>
      <c r="P154" s="91">
        <f t="shared" si="48"/>
        <v>22.46</v>
      </c>
      <c r="Q154" s="91">
        <f t="shared" si="48"/>
        <v>22.46</v>
      </c>
      <c r="R154" s="91">
        <f t="shared" si="48"/>
        <v>22.46</v>
      </c>
      <c r="S154" s="91">
        <f t="shared" si="48"/>
        <v>22.46</v>
      </c>
      <c r="T154" s="91">
        <f t="shared" si="48"/>
        <v>22.46</v>
      </c>
      <c r="U154" s="91">
        <f t="shared" si="48"/>
        <v>22.46</v>
      </c>
      <c r="V154" s="91">
        <f t="shared" si="48"/>
        <v>22.46</v>
      </c>
      <c r="W154" s="91">
        <f t="shared" si="48"/>
        <v>22.46</v>
      </c>
      <c r="X154" s="91">
        <f t="shared" si="48"/>
        <v>22.46</v>
      </c>
      <c r="Y154" s="179" t="s">
        <v>170</v>
      </c>
    </row>
    <row r="155" spans="1:25" x14ac:dyDescent="0.25">
      <c r="A155" s="139">
        <f t="shared" si="32"/>
        <v>1</v>
      </c>
      <c r="B155" s="30"/>
      <c r="C155" s="31" t="str">
        <f t="shared" si="49"/>
        <v>TZCO TZE240</v>
      </c>
      <c r="D155" s="9" t="str">
        <f t="shared" si="51"/>
        <v>км/час</v>
      </c>
      <c r="E155" s="90">
        <f t="shared" si="51"/>
        <v>22.46</v>
      </c>
      <c r="F155" s="91">
        <f t="shared" si="50"/>
        <v>22.46</v>
      </c>
      <c r="G155" s="91">
        <f t="shared" si="48"/>
        <v>22.46</v>
      </c>
      <c r="H155" s="91">
        <f t="shared" si="48"/>
        <v>22.46</v>
      </c>
      <c r="I155" s="91">
        <f t="shared" si="48"/>
        <v>22.46</v>
      </c>
      <c r="J155" s="91">
        <f t="shared" si="48"/>
        <v>22.46</v>
      </c>
      <c r="K155" s="91">
        <f t="shared" si="48"/>
        <v>22.46</v>
      </c>
      <c r="L155" s="91">
        <f t="shared" si="48"/>
        <v>22.46</v>
      </c>
      <c r="M155" s="91">
        <f t="shared" si="48"/>
        <v>22.46</v>
      </c>
      <c r="N155" s="91">
        <f t="shared" si="48"/>
        <v>22.46</v>
      </c>
      <c r="O155" s="91">
        <f t="shared" si="48"/>
        <v>22.46</v>
      </c>
      <c r="P155" s="91">
        <f t="shared" si="48"/>
        <v>22.46</v>
      </c>
      <c r="Q155" s="91">
        <f t="shared" si="48"/>
        <v>22.46</v>
      </c>
      <c r="R155" s="91">
        <f t="shared" si="48"/>
        <v>22.46</v>
      </c>
      <c r="S155" s="91">
        <f t="shared" si="48"/>
        <v>22.46</v>
      </c>
      <c r="T155" s="91">
        <f t="shared" si="48"/>
        <v>22.46</v>
      </c>
      <c r="U155" s="91">
        <f t="shared" si="48"/>
        <v>22.46</v>
      </c>
      <c r="V155" s="91">
        <f t="shared" si="48"/>
        <v>22.46</v>
      </c>
      <c r="W155" s="91">
        <f t="shared" si="48"/>
        <v>22.46</v>
      </c>
      <c r="X155" s="91">
        <f t="shared" si="48"/>
        <v>22.46</v>
      </c>
      <c r="Y155" s="179" t="s">
        <v>170</v>
      </c>
    </row>
    <row r="156" spans="1:25" x14ac:dyDescent="0.25">
      <c r="A156" s="139">
        <f t="shared" si="32"/>
        <v>1</v>
      </c>
      <c r="B156" s="30"/>
      <c r="C156" s="31" t="str">
        <f t="shared" si="49"/>
        <v>БелАЗ 7531 (ГПФК)</v>
      </c>
      <c r="D156" s="9" t="str">
        <f t="shared" si="51"/>
        <v>км/час</v>
      </c>
      <c r="E156" s="90">
        <f t="shared" si="51"/>
        <v>22.46</v>
      </c>
      <c r="F156" s="91">
        <f t="shared" si="50"/>
        <v>22.46</v>
      </c>
      <c r="G156" s="91">
        <f t="shared" si="48"/>
        <v>22.46</v>
      </c>
      <c r="H156" s="91">
        <f t="shared" si="48"/>
        <v>22.46</v>
      </c>
      <c r="I156" s="91">
        <f t="shared" si="48"/>
        <v>22.46</v>
      </c>
      <c r="J156" s="91">
        <f t="shared" si="48"/>
        <v>22.46</v>
      </c>
      <c r="K156" s="91">
        <f t="shared" si="48"/>
        <v>22.46</v>
      </c>
      <c r="L156" s="91">
        <f t="shared" si="48"/>
        <v>22.46</v>
      </c>
      <c r="M156" s="91">
        <f t="shared" si="48"/>
        <v>22.46</v>
      </c>
      <c r="N156" s="91">
        <f t="shared" si="48"/>
        <v>22.46</v>
      </c>
      <c r="O156" s="91">
        <f t="shared" si="48"/>
        <v>22.46</v>
      </c>
      <c r="P156" s="91">
        <f t="shared" si="48"/>
        <v>22.46</v>
      </c>
      <c r="Q156" s="91">
        <f t="shared" si="48"/>
        <v>22.46</v>
      </c>
      <c r="R156" s="91">
        <f t="shared" si="48"/>
        <v>22.46</v>
      </c>
      <c r="S156" s="91">
        <f t="shared" si="48"/>
        <v>22.46</v>
      </c>
      <c r="T156" s="91">
        <f t="shared" si="48"/>
        <v>22.46</v>
      </c>
      <c r="U156" s="91">
        <f t="shared" si="48"/>
        <v>22.46</v>
      </c>
      <c r="V156" s="91">
        <f t="shared" si="48"/>
        <v>22.46</v>
      </c>
      <c r="W156" s="91">
        <f t="shared" si="48"/>
        <v>22.46</v>
      </c>
      <c r="X156" s="91">
        <f t="shared" si="48"/>
        <v>22.46</v>
      </c>
      <c r="Y156" s="179" t="s">
        <v>170</v>
      </c>
    </row>
    <row r="157" spans="1:25" x14ac:dyDescent="0.25">
      <c r="A157" s="139">
        <f t="shared" si="32"/>
        <v>1</v>
      </c>
      <c r="B157" s="30"/>
      <c r="C157" s="31" t="str">
        <f t="shared" si="49"/>
        <v>XCMG 240</v>
      </c>
      <c r="D157" s="9" t="str">
        <f t="shared" si="51"/>
        <v>км/час</v>
      </c>
      <c r="E157" s="90">
        <f t="shared" si="51"/>
        <v>22.46</v>
      </c>
      <c r="F157" s="91">
        <f t="shared" si="50"/>
        <v>22.46</v>
      </c>
      <c r="G157" s="91">
        <f t="shared" si="48"/>
        <v>22.46</v>
      </c>
      <c r="H157" s="91">
        <f t="shared" si="48"/>
        <v>22.46</v>
      </c>
      <c r="I157" s="91">
        <f t="shared" si="48"/>
        <v>22.46</v>
      </c>
      <c r="J157" s="91">
        <f t="shared" si="48"/>
        <v>22.46</v>
      </c>
      <c r="K157" s="91">
        <f t="shared" si="48"/>
        <v>22.46</v>
      </c>
      <c r="L157" s="91">
        <f t="shared" si="48"/>
        <v>22.46</v>
      </c>
      <c r="M157" s="91">
        <f t="shared" si="48"/>
        <v>22.46</v>
      </c>
      <c r="N157" s="91">
        <f t="shared" si="48"/>
        <v>22.46</v>
      </c>
      <c r="O157" s="91">
        <f t="shared" si="48"/>
        <v>22.46</v>
      </c>
      <c r="P157" s="91">
        <f t="shared" si="48"/>
        <v>22.46</v>
      </c>
      <c r="Q157" s="91">
        <f t="shared" si="48"/>
        <v>22.46</v>
      </c>
      <c r="R157" s="91">
        <f t="shared" si="48"/>
        <v>22.46</v>
      </c>
      <c r="S157" s="91">
        <f t="shared" si="48"/>
        <v>22.46</v>
      </c>
      <c r="T157" s="91">
        <f t="shared" si="48"/>
        <v>22.46</v>
      </c>
      <c r="U157" s="91">
        <f t="shared" si="48"/>
        <v>22.46</v>
      </c>
      <c r="V157" s="91">
        <f t="shared" si="48"/>
        <v>22.46</v>
      </c>
      <c r="W157" s="91">
        <f t="shared" si="48"/>
        <v>22.46</v>
      </c>
      <c r="X157" s="91">
        <f t="shared" si="48"/>
        <v>22.46</v>
      </c>
      <c r="Y157" s="179" t="s">
        <v>170</v>
      </c>
    </row>
    <row r="158" spans="1:25" x14ac:dyDescent="0.25">
      <c r="A158" s="139">
        <f t="shared" si="32"/>
        <v>1</v>
      </c>
      <c r="B158" s="30"/>
      <c r="C158" s="31" t="str">
        <f t="shared" si="49"/>
        <v>БелАЗ 7531 (БТЛ)</v>
      </c>
      <c r="D158" s="9" t="str">
        <f t="shared" si="51"/>
        <v>км/час</v>
      </c>
      <c r="E158" s="90">
        <f t="shared" si="51"/>
        <v>22.46</v>
      </c>
      <c r="F158" s="91">
        <f t="shared" si="50"/>
        <v>22.46</v>
      </c>
      <c r="G158" s="91">
        <f t="shared" si="48"/>
        <v>22.46</v>
      </c>
      <c r="H158" s="91">
        <f t="shared" si="48"/>
        <v>22.46</v>
      </c>
      <c r="I158" s="91">
        <f t="shared" si="48"/>
        <v>22.46</v>
      </c>
      <c r="J158" s="91">
        <f t="shared" si="48"/>
        <v>22.46</v>
      </c>
      <c r="K158" s="91">
        <f t="shared" si="48"/>
        <v>22.46</v>
      </c>
      <c r="L158" s="91">
        <f t="shared" si="48"/>
        <v>22.46</v>
      </c>
      <c r="M158" s="91">
        <f t="shared" si="48"/>
        <v>22.46</v>
      </c>
      <c r="N158" s="91">
        <f t="shared" si="48"/>
        <v>22.46</v>
      </c>
      <c r="O158" s="91">
        <f t="shared" si="48"/>
        <v>22.46</v>
      </c>
      <c r="P158" s="91">
        <f t="shared" si="48"/>
        <v>22.46</v>
      </c>
      <c r="Q158" s="91">
        <f t="shared" si="48"/>
        <v>22.46</v>
      </c>
      <c r="R158" s="91">
        <f t="shared" si="48"/>
        <v>22.46</v>
      </c>
      <c r="S158" s="91">
        <f t="shared" si="48"/>
        <v>22.46</v>
      </c>
      <c r="T158" s="91">
        <f t="shared" si="48"/>
        <v>22.46</v>
      </c>
      <c r="U158" s="91">
        <f t="shared" si="48"/>
        <v>22.46</v>
      </c>
      <c r="V158" s="91">
        <f t="shared" si="48"/>
        <v>22.46</v>
      </c>
      <c r="W158" s="91">
        <f t="shared" si="48"/>
        <v>22.46</v>
      </c>
      <c r="X158" s="91">
        <f t="shared" si="48"/>
        <v>22.46</v>
      </c>
      <c r="Y158" s="179"/>
    </row>
    <row r="159" spans="1:25" x14ac:dyDescent="0.25">
      <c r="A159" s="139">
        <f t="shared" si="32"/>
        <v>0</v>
      </c>
      <c r="B159" s="30"/>
      <c r="C159" s="31">
        <f t="shared" si="49"/>
        <v>0</v>
      </c>
      <c r="D159" s="9" t="str">
        <f t="shared" si="51"/>
        <v>км/час</v>
      </c>
      <c r="E159" s="90"/>
      <c r="F159" s="91">
        <f t="shared" si="50"/>
        <v>0</v>
      </c>
      <c r="G159" s="91">
        <f t="shared" si="48"/>
        <v>0</v>
      </c>
      <c r="H159" s="91">
        <f t="shared" si="48"/>
        <v>0</v>
      </c>
      <c r="I159" s="91">
        <f t="shared" si="48"/>
        <v>0</v>
      </c>
      <c r="J159" s="91">
        <f t="shared" si="48"/>
        <v>0</v>
      </c>
      <c r="K159" s="91">
        <f t="shared" si="48"/>
        <v>0</v>
      </c>
      <c r="L159" s="91">
        <f t="shared" si="48"/>
        <v>0</v>
      </c>
      <c r="M159" s="91">
        <f t="shared" si="48"/>
        <v>0</v>
      </c>
      <c r="N159" s="91">
        <f t="shared" si="48"/>
        <v>0</v>
      </c>
      <c r="O159" s="91">
        <f t="shared" si="48"/>
        <v>0</v>
      </c>
      <c r="P159" s="91">
        <f t="shared" si="48"/>
        <v>0</v>
      </c>
      <c r="Q159" s="91">
        <f t="shared" si="48"/>
        <v>0</v>
      </c>
      <c r="R159" s="91">
        <f t="shared" si="48"/>
        <v>0</v>
      </c>
      <c r="S159" s="91">
        <f t="shared" si="48"/>
        <v>0</v>
      </c>
      <c r="T159" s="91">
        <f t="shared" si="48"/>
        <v>0</v>
      </c>
      <c r="U159" s="91">
        <f t="shared" si="48"/>
        <v>0</v>
      </c>
      <c r="V159" s="91">
        <f t="shared" si="48"/>
        <v>0</v>
      </c>
      <c r="W159" s="91">
        <f t="shared" si="48"/>
        <v>0</v>
      </c>
      <c r="X159" s="91">
        <f t="shared" si="48"/>
        <v>0</v>
      </c>
      <c r="Y159" s="179"/>
    </row>
    <row r="160" spans="1:25" x14ac:dyDescent="0.25">
      <c r="A160" s="139">
        <f t="shared" si="32"/>
        <v>0</v>
      </c>
      <c r="B160" s="30"/>
      <c r="C160" s="31">
        <f t="shared" si="49"/>
        <v>0</v>
      </c>
      <c r="D160" s="9" t="str">
        <f t="shared" si="51"/>
        <v>км/час</v>
      </c>
      <c r="E160" s="90"/>
      <c r="F160" s="91">
        <f t="shared" si="50"/>
        <v>0</v>
      </c>
      <c r="G160" s="91">
        <f t="shared" si="48"/>
        <v>0</v>
      </c>
      <c r="H160" s="91">
        <f t="shared" si="48"/>
        <v>0</v>
      </c>
      <c r="I160" s="91">
        <f t="shared" si="48"/>
        <v>0</v>
      </c>
      <c r="J160" s="91">
        <f t="shared" si="48"/>
        <v>0</v>
      </c>
      <c r="K160" s="91">
        <f t="shared" si="48"/>
        <v>0</v>
      </c>
      <c r="L160" s="91">
        <f t="shared" si="48"/>
        <v>0</v>
      </c>
      <c r="M160" s="91">
        <f t="shared" si="48"/>
        <v>0</v>
      </c>
      <c r="N160" s="91">
        <f t="shared" si="48"/>
        <v>0</v>
      </c>
      <c r="O160" s="91">
        <f t="shared" si="48"/>
        <v>0</v>
      </c>
      <c r="P160" s="91">
        <f t="shared" si="48"/>
        <v>0</v>
      </c>
      <c r="Q160" s="91">
        <f t="shared" si="48"/>
        <v>0</v>
      </c>
      <c r="R160" s="91">
        <f t="shared" si="48"/>
        <v>0</v>
      </c>
      <c r="S160" s="91">
        <f t="shared" si="48"/>
        <v>0</v>
      </c>
      <c r="T160" s="91">
        <f t="shared" si="48"/>
        <v>0</v>
      </c>
      <c r="U160" s="91">
        <f t="shared" si="48"/>
        <v>0</v>
      </c>
      <c r="V160" s="91">
        <f t="shared" si="48"/>
        <v>0</v>
      </c>
      <c r="W160" s="91">
        <f t="shared" si="48"/>
        <v>0</v>
      </c>
      <c r="X160" s="91">
        <f t="shared" si="48"/>
        <v>0</v>
      </c>
      <c r="Y160" s="179"/>
    </row>
    <row r="161" spans="1:25" x14ac:dyDescent="0.25">
      <c r="A161" s="139">
        <f t="shared" si="32"/>
        <v>0</v>
      </c>
      <c r="B161" s="30"/>
      <c r="C161" s="31">
        <f t="shared" si="49"/>
        <v>0</v>
      </c>
      <c r="D161" s="9" t="str">
        <f t="shared" si="51"/>
        <v>км/час</v>
      </c>
      <c r="E161" s="90"/>
      <c r="F161" s="91">
        <f t="shared" si="50"/>
        <v>0</v>
      </c>
      <c r="G161" s="91">
        <f t="shared" si="48"/>
        <v>0</v>
      </c>
      <c r="H161" s="91">
        <f t="shared" si="48"/>
        <v>0</v>
      </c>
      <c r="I161" s="91">
        <f t="shared" si="48"/>
        <v>0</v>
      </c>
      <c r="J161" s="91">
        <f t="shared" si="48"/>
        <v>0</v>
      </c>
      <c r="K161" s="91">
        <f t="shared" si="48"/>
        <v>0</v>
      </c>
      <c r="L161" s="91">
        <f t="shared" si="48"/>
        <v>0</v>
      </c>
      <c r="M161" s="91">
        <f t="shared" si="48"/>
        <v>0</v>
      </c>
      <c r="N161" s="91">
        <f t="shared" si="48"/>
        <v>0</v>
      </c>
      <c r="O161" s="91">
        <f t="shared" si="48"/>
        <v>0</v>
      </c>
      <c r="P161" s="91">
        <f t="shared" si="48"/>
        <v>0</v>
      </c>
      <c r="Q161" s="91">
        <f t="shared" si="48"/>
        <v>0</v>
      </c>
      <c r="R161" s="91">
        <f t="shared" si="48"/>
        <v>0</v>
      </c>
      <c r="S161" s="91">
        <f t="shared" si="48"/>
        <v>0</v>
      </c>
      <c r="T161" s="91">
        <f t="shared" si="48"/>
        <v>0</v>
      </c>
      <c r="U161" s="91">
        <f t="shared" si="48"/>
        <v>0</v>
      </c>
      <c r="V161" s="91">
        <f t="shared" si="48"/>
        <v>0</v>
      </c>
      <c r="W161" s="91">
        <f t="shared" si="48"/>
        <v>0</v>
      </c>
      <c r="X161" s="91">
        <f t="shared" si="48"/>
        <v>0</v>
      </c>
      <c r="Y161" s="179"/>
    </row>
    <row r="162" spans="1:25" x14ac:dyDescent="0.25">
      <c r="A162" s="139">
        <f t="shared" si="32"/>
        <v>0</v>
      </c>
      <c r="B162" s="30"/>
      <c r="C162" s="31">
        <f t="shared" si="49"/>
        <v>0</v>
      </c>
      <c r="D162" s="9" t="str">
        <f t="shared" si="51"/>
        <v>км/час</v>
      </c>
      <c r="E162" s="90"/>
      <c r="F162" s="91">
        <f t="shared" si="50"/>
        <v>0</v>
      </c>
      <c r="G162" s="91">
        <f t="shared" si="48"/>
        <v>0</v>
      </c>
      <c r="H162" s="91">
        <f t="shared" si="48"/>
        <v>0</v>
      </c>
      <c r="I162" s="91">
        <f t="shared" si="48"/>
        <v>0</v>
      </c>
      <c r="J162" s="91">
        <f t="shared" si="48"/>
        <v>0</v>
      </c>
      <c r="K162" s="91">
        <f t="shared" si="48"/>
        <v>0</v>
      </c>
      <c r="L162" s="91">
        <f t="shared" si="48"/>
        <v>0</v>
      </c>
      <c r="M162" s="91">
        <f t="shared" si="48"/>
        <v>0</v>
      </c>
      <c r="N162" s="91">
        <f t="shared" si="48"/>
        <v>0</v>
      </c>
      <c r="O162" s="91">
        <f t="shared" si="48"/>
        <v>0</v>
      </c>
      <c r="P162" s="91">
        <f t="shared" si="48"/>
        <v>0</v>
      </c>
      <c r="Q162" s="91">
        <f t="shared" si="48"/>
        <v>0</v>
      </c>
      <c r="R162" s="91">
        <f t="shared" si="48"/>
        <v>0</v>
      </c>
      <c r="S162" s="91">
        <f t="shared" si="48"/>
        <v>0</v>
      </c>
      <c r="T162" s="91">
        <f t="shared" si="48"/>
        <v>0</v>
      </c>
      <c r="U162" s="91">
        <f t="shared" si="48"/>
        <v>0</v>
      </c>
      <c r="V162" s="91">
        <f t="shared" si="48"/>
        <v>0</v>
      </c>
      <c r="W162" s="91">
        <f t="shared" si="48"/>
        <v>0</v>
      </c>
      <c r="X162" s="91">
        <f t="shared" si="48"/>
        <v>0</v>
      </c>
      <c r="Y162" s="179"/>
    </row>
    <row r="163" spans="1:25" x14ac:dyDescent="0.25">
      <c r="A163" s="139">
        <f t="shared" si="32"/>
        <v>0</v>
      </c>
      <c r="B163" s="30"/>
      <c r="C163" s="31">
        <f t="shared" si="49"/>
        <v>0</v>
      </c>
      <c r="D163" s="9" t="str">
        <f t="shared" si="51"/>
        <v>км/час</v>
      </c>
      <c r="E163" s="90"/>
      <c r="F163" s="91">
        <f t="shared" si="50"/>
        <v>0</v>
      </c>
      <c r="G163" s="91">
        <f t="shared" si="48"/>
        <v>0</v>
      </c>
      <c r="H163" s="91">
        <f t="shared" si="48"/>
        <v>0</v>
      </c>
      <c r="I163" s="91">
        <f t="shared" si="48"/>
        <v>0</v>
      </c>
      <c r="J163" s="91">
        <f t="shared" si="48"/>
        <v>0</v>
      </c>
      <c r="K163" s="91">
        <f t="shared" si="48"/>
        <v>0</v>
      </c>
      <c r="L163" s="91">
        <f t="shared" si="48"/>
        <v>0</v>
      </c>
      <c r="M163" s="91">
        <f t="shared" si="48"/>
        <v>0</v>
      </c>
      <c r="N163" s="91">
        <f t="shared" si="48"/>
        <v>0</v>
      </c>
      <c r="O163" s="91">
        <f t="shared" si="48"/>
        <v>0</v>
      </c>
      <c r="P163" s="91">
        <f t="shared" si="48"/>
        <v>0</v>
      </c>
      <c r="Q163" s="91">
        <f t="shared" si="48"/>
        <v>0</v>
      </c>
      <c r="R163" s="91">
        <f t="shared" si="48"/>
        <v>0</v>
      </c>
      <c r="S163" s="91">
        <f t="shared" si="48"/>
        <v>0</v>
      </c>
      <c r="T163" s="91">
        <f t="shared" si="48"/>
        <v>0</v>
      </c>
      <c r="U163" s="91">
        <f t="shared" si="48"/>
        <v>0</v>
      </c>
      <c r="V163" s="91">
        <f t="shared" si="48"/>
        <v>0</v>
      </c>
      <c r="W163" s="91">
        <f t="shared" si="48"/>
        <v>0</v>
      </c>
      <c r="X163" s="91">
        <f t="shared" si="48"/>
        <v>0</v>
      </c>
      <c r="Y163" s="179"/>
    </row>
    <row r="164" spans="1:25" x14ac:dyDescent="0.25">
      <c r="A164" s="139">
        <f t="shared" si="32"/>
        <v>0</v>
      </c>
      <c r="B164" s="30"/>
      <c r="C164" s="31">
        <f t="shared" si="49"/>
        <v>0</v>
      </c>
      <c r="D164" s="9" t="str">
        <f t="shared" si="51"/>
        <v>км/час</v>
      </c>
      <c r="E164" s="90"/>
      <c r="F164" s="91">
        <f t="shared" si="50"/>
        <v>0</v>
      </c>
      <c r="G164" s="91">
        <f t="shared" si="48"/>
        <v>0</v>
      </c>
      <c r="H164" s="91">
        <f t="shared" si="48"/>
        <v>0</v>
      </c>
      <c r="I164" s="91">
        <f t="shared" si="48"/>
        <v>0</v>
      </c>
      <c r="J164" s="91">
        <f t="shared" si="48"/>
        <v>0</v>
      </c>
      <c r="K164" s="91">
        <f t="shared" si="48"/>
        <v>0</v>
      </c>
      <c r="L164" s="91">
        <f t="shared" si="48"/>
        <v>0</v>
      </c>
      <c r="M164" s="91">
        <f t="shared" si="48"/>
        <v>0</v>
      </c>
      <c r="N164" s="91">
        <f t="shared" si="48"/>
        <v>0</v>
      </c>
      <c r="O164" s="91">
        <f t="shared" si="48"/>
        <v>0</v>
      </c>
      <c r="P164" s="91">
        <f t="shared" si="48"/>
        <v>0</v>
      </c>
      <c r="Q164" s="91">
        <f t="shared" si="48"/>
        <v>0</v>
      </c>
      <c r="R164" s="91">
        <f t="shared" si="48"/>
        <v>0</v>
      </c>
      <c r="S164" s="91">
        <f t="shared" si="48"/>
        <v>0</v>
      </c>
      <c r="T164" s="91">
        <f t="shared" si="48"/>
        <v>0</v>
      </c>
      <c r="U164" s="91">
        <f t="shared" si="48"/>
        <v>0</v>
      </c>
      <c r="V164" s="91">
        <f t="shared" si="48"/>
        <v>0</v>
      </c>
      <c r="W164" s="91">
        <f t="shared" si="48"/>
        <v>0</v>
      </c>
      <c r="X164" s="91">
        <f t="shared" si="48"/>
        <v>0</v>
      </c>
      <c r="Y164" s="179"/>
    </row>
    <row r="165" spans="1:25" x14ac:dyDescent="0.25">
      <c r="A165" s="139">
        <f t="shared" si="32"/>
        <v>0</v>
      </c>
      <c r="B165" s="30"/>
      <c r="C165" s="31">
        <f t="shared" si="49"/>
        <v>0</v>
      </c>
      <c r="D165" s="9" t="str">
        <f t="shared" si="51"/>
        <v>км/час</v>
      </c>
      <c r="E165" s="90"/>
      <c r="F165" s="91">
        <f t="shared" si="50"/>
        <v>0</v>
      </c>
      <c r="G165" s="91">
        <f t="shared" si="48"/>
        <v>0</v>
      </c>
      <c r="H165" s="91">
        <f t="shared" si="48"/>
        <v>0</v>
      </c>
      <c r="I165" s="91">
        <f t="shared" si="48"/>
        <v>0</v>
      </c>
      <c r="J165" s="91">
        <f t="shared" si="48"/>
        <v>0</v>
      </c>
      <c r="K165" s="91">
        <f t="shared" si="48"/>
        <v>0</v>
      </c>
      <c r="L165" s="91">
        <f t="shared" si="48"/>
        <v>0</v>
      </c>
      <c r="M165" s="91">
        <f t="shared" si="48"/>
        <v>0</v>
      </c>
      <c r="N165" s="91">
        <f t="shared" si="48"/>
        <v>0</v>
      </c>
      <c r="O165" s="91">
        <f t="shared" si="48"/>
        <v>0</v>
      </c>
      <c r="P165" s="91">
        <f t="shared" si="48"/>
        <v>0</v>
      </c>
      <c r="Q165" s="91">
        <f t="shared" si="48"/>
        <v>0</v>
      </c>
      <c r="R165" s="91">
        <f t="shared" si="48"/>
        <v>0</v>
      </c>
      <c r="S165" s="91">
        <f t="shared" si="48"/>
        <v>0</v>
      </c>
      <c r="T165" s="91">
        <f t="shared" si="48"/>
        <v>0</v>
      </c>
      <c r="U165" s="91">
        <f t="shared" si="48"/>
        <v>0</v>
      </c>
      <c r="V165" s="91">
        <f t="shared" si="48"/>
        <v>0</v>
      </c>
      <c r="W165" s="91">
        <f t="shared" si="48"/>
        <v>0</v>
      </c>
      <c r="X165" s="91">
        <f t="shared" si="48"/>
        <v>0</v>
      </c>
      <c r="Y165" s="179"/>
    </row>
    <row r="166" spans="1:25" x14ac:dyDescent="0.25">
      <c r="A166" s="139">
        <f t="shared" si="32"/>
        <v>0</v>
      </c>
      <c r="B166" s="30"/>
      <c r="C166" s="31">
        <f t="shared" si="49"/>
        <v>0</v>
      </c>
      <c r="D166" s="9" t="str">
        <f t="shared" si="51"/>
        <v>км/час</v>
      </c>
      <c r="E166" s="90"/>
      <c r="F166" s="91">
        <f t="shared" si="50"/>
        <v>0</v>
      </c>
      <c r="G166" s="91">
        <f t="shared" si="48"/>
        <v>0</v>
      </c>
      <c r="H166" s="91">
        <f t="shared" si="48"/>
        <v>0</v>
      </c>
      <c r="I166" s="91">
        <f t="shared" si="48"/>
        <v>0</v>
      </c>
      <c r="J166" s="91">
        <f t="shared" si="48"/>
        <v>0</v>
      </c>
      <c r="K166" s="91">
        <f t="shared" si="48"/>
        <v>0</v>
      </c>
      <c r="L166" s="91">
        <f t="shared" si="48"/>
        <v>0</v>
      </c>
      <c r="M166" s="91">
        <f t="shared" si="48"/>
        <v>0</v>
      </c>
      <c r="N166" s="91">
        <f t="shared" si="48"/>
        <v>0</v>
      </c>
      <c r="O166" s="91">
        <f t="shared" si="48"/>
        <v>0</v>
      </c>
      <c r="P166" s="91">
        <f t="shared" si="48"/>
        <v>0</v>
      </c>
      <c r="Q166" s="91">
        <f t="shared" si="48"/>
        <v>0</v>
      </c>
      <c r="R166" s="91">
        <f t="shared" si="48"/>
        <v>0</v>
      </c>
      <c r="S166" s="91">
        <f t="shared" si="48"/>
        <v>0</v>
      </c>
      <c r="T166" s="91">
        <f t="shared" si="48"/>
        <v>0</v>
      </c>
      <c r="U166" s="91">
        <f t="shared" si="48"/>
        <v>0</v>
      </c>
      <c r="V166" s="91">
        <f t="shared" si="48"/>
        <v>0</v>
      </c>
      <c r="W166" s="91">
        <f t="shared" si="48"/>
        <v>0</v>
      </c>
      <c r="X166" s="91">
        <f t="shared" si="48"/>
        <v>0</v>
      </c>
      <c r="Y166" s="179"/>
    </row>
    <row r="167" spans="1:25" x14ac:dyDescent="0.25">
      <c r="A167" s="139">
        <f t="shared" si="32"/>
        <v>1</v>
      </c>
      <c r="B167" s="68">
        <f>B151+1</f>
        <v>9</v>
      </c>
      <c r="C167" s="98" t="s">
        <v>114</v>
      </c>
      <c r="D167" s="9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179"/>
    </row>
    <row r="168" spans="1:25" x14ac:dyDescent="0.25">
      <c r="A168" s="139">
        <f t="shared" ref="A168:A231" si="52">A152</f>
        <v>1</v>
      </c>
      <c r="B168" s="30"/>
      <c r="C168" s="31" t="str">
        <f>C152</f>
        <v>NHL NTE 240</v>
      </c>
      <c r="D168" s="9" t="s">
        <v>115</v>
      </c>
      <c r="E168" s="74">
        <f>E184+E200+E216</f>
        <v>24.639986337701309</v>
      </c>
      <c r="F168" s="74">
        <f t="shared" ref="F168:X182" si="53">F184+F200+F216</f>
        <v>26.404397357964598</v>
      </c>
      <c r="G168" s="74">
        <f t="shared" si="53"/>
        <v>30.020865828591035</v>
      </c>
      <c r="H168" s="74">
        <f t="shared" si="53"/>
        <v>29.268600127385554</v>
      </c>
      <c r="I168" s="74">
        <f t="shared" si="53"/>
        <v>34.019977484896572</v>
      </c>
      <c r="J168" s="74">
        <f t="shared" si="53"/>
        <v>37.016779792827812</v>
      </c>
      <c r="K168" s="74">
        <f t="shared" si="53"/>
        <v>32.010933776724514</v>
      </c>
      <c r="L168" s="74">
        <f t="shared" si="53"/>
        <v>32.582928055469118</v>
      </c>
      <c r="M168" s="74">
        <f t="shared" si="53"/>
        <v>37.16611153249638</v>
      </c>
      <c r="N168" s="74">
        <f t="shared" si="53"/>
        <v>34.151142493110086</v>
      </c>
      <c r="O168" s="74">
        <f t="shared" si="53"/>
        <v>33.723784520551668</v>
      </c>
      <c r="P168" s="74">
        <f t="shared" si="53"/>
        <v>39.050862486337785</v>
      </c>
      <c r="Q168" s="74">
        <f>Q184+Q200+Q216</f>
        <v>39.557298696470752</v>
      </c>
      <c r="R168" s="74">
        <f t="shared" si="53"/>
        <v>40.708014041870058</v>
      </c>
      <c r="S168" s="74">
        <f t="shared" si="53"/>
        <v>40.456704514975677</v>
      </c>
      <c r="T168" s="74">
        <f t="shared" si="53"/>
        <v>38.375159002248758</v>
      </c>
      <c r="U168" s="74">
        <f t="shared" si="53"/>
        <v>30.074668977320936</v>
      </c>
      <c r="V168" s="74">
        <f t="shared" si="53"/>
        <v>33.146622746606255</v>
      </c>
      <c r="W168" s="74">
        <f t="shared" si="53"/>
        <v>40.312127947500812</v>
      </c>
      <c r="X168" s="74">
        <f t="shared" si="53"/>
        <v>44.647919543218066</v>
      </c>
      <c r="Y168" s="179"/>
    </row>
    <row r="169" spans="1:25" x14ac:dyDescent="0.25">
      <c r="A169" s="139">
        <f t="shared" si="52"/>
        <v>1</v>
      </c>
      <c r="B169" s="30"/>
      <c r="C169" s="31" t="str">
        <f t="shared" ref="C169:C182" si="54">C153</f>
        <v>Estar ESDE240 (ГПБ К)</v>
      </c>
      <c r="D169" s="9" t="str">
        <f>D168</f>
        <v>мин</v>
      </c>
      <c r="E169" s="74">
        <f t="shared" ref="E169:T182" si="55">E185+E201+E217</f>
        <v>24.639986337701309</v>
      </c>
      <c r="F169" s="74">
        <f t="shared" si="55"/>
        <v>26.404397357964598</v>
      </c>
      <c r="G169" s="74">
        <f t="shared" si="55"/>
        <v>30.020865828591035</v>
      </c>
      <c r="H169" s="74">
        <f t="shared" si="55"/>
        <v>29.268600127385554</v>
      </c>
      <c r="I169" s="74">
        <f t="shared" si="55"/>
        <v>34.019977484896572</v>
      </c>
      <c r="J169" s="74">
        <f t="shared" si="55"/>
        <v>37.016779792827812</v>
      </c>
      <c r="K169" s="74">
        <f t="shared" si="55"/>
        <v>32.010933776724514</v>
      </c>
      <c r="L169" s="74">
        <f t="shared" si="55"/>
        <v>32.582928055469118</v>
      </c>
      <c r="M169" s="74">
        <f t="shared" si="55"/>
        <v>37.16611153249638</v>
      </c>
      <c r="N169" s="74">
        <f t="shared" si="55"/>
        <v>34.151142493110086</v>
      </c>
      <c r="O169" s="74">
        <f t="shared" si="55"/>
        <v>33.723784520551668</v>
      </c>
      <c r="P169" s="74">
        <f t="shared" si="55"/>
        <v>39.050862486337785</v>
      </c>
      <c r="Q169" s="74">
        <f t="shared" si="55"/>
        <v>39.557298696470752</v>
      </c>
      <c r="R169" s="74">
        <f t="shared" si="55"/>
        <v>40.708014041870058</v>
      </c>
      <c r="S169" s="74">
        <f t="shared" si="55"/>
        <v>40.456704514975677</v>
      </c>
      <c r="T169" s="74">
        <f t="shared" si="55"/>
        <v>38.375159002248758</v>
      </c>
      <c r="U169" s="74">
        <f t="shared" si="53"/>
        <v>30.074668977320936</v>
      </c>
      <c r="V169" s="74">
        <f t="shared" si="53"/>
        <v>33.146622746606255</v>
      </c>
      <c r="W169" s="74">
        <f t="shared" si="53"/>
        <v>40.312127947500812</v>
      </c>
      <c r="X169" s="74">
        <f t="shared" si="53"/>
        <v>44.647919543218066</v>
      </c>
      <c r="Y169" s="179"/>
    </row>
    <row r="170" spans="1:25" x14ac:dyDescent="0.25">
      <c r="A170" s="139">
        <f t="shared" si="52"/>
        <v>1</v>
      </c>
      <c r="B170" s="30"/>
      <c r="C170" s="31" t="str">
        <f t="shared" si="54"/>
        <v>SANY SET240S</v>
      </c>
      <c r="D170" s="9" t="str">
        <f t="shared" ref="D170:D182" si="56">D169</f>
        <v>мин</v>
      </c>
      <c r="E170" s="74">
        <f t="shared" si="55"/>
        <v>24.639986337701309</v>
      </c>
      <c r="F170" s="74">
        <f t="shared" si="53"/>
        <v>26.404397357964598</v>
      </c>
      <c r="G170" s="74">
        <f t="shared" si="53"/>
        <v>30.020865828591035</v>
      </c>
      <c r="H170" s="74">
        <f t="shared" si="53"/>
        <v>29.268600127385554</v>
      </c>
      <c r="I170" s="74">
        <f t="shared" si="53"/>
        <v>34.019977484896572</v>
      </c>
      <c r="J170" s="74">
        <f t="shared" si="53"/>
        <v>37.016779792827812</v>
      </c>
      <c r="K170" s="74">
        <f t="shared" si="53"/>
        <v>32.010933776724514</v>
      </c>
      <c r="L170" s="74">
        <f t="shared" si="53"/>
        <v>32.582928055469118</v>
      </c>
      <c r="M170" s="74">
        <f t="shared" si="53"/>
        <v>37.16611153249638</v>
      </c>
      <c r="N170" s="74">
        <f t="shared" si="53"/>
        <v>34.151142493110086</v>
      </c>
      <c r="O170" s="74">
        <f t="shared" si="53"/>
        <v>33.723784520551668</v>
      </c>
      <c r="P170" s="74">
        <f t="shared" si="53"/>
        <v>39.050862486337785</v>
      </c>
      <c r="Q170" s="74">
        <f t="shared" si="53"/>
        <v>39.557298696470752</v>
      </c>
      <c r="R170" s="74">
        <f t="shared" si="53"/>
        <v>40.708014041870058</v>
      </c>
      <c r="S170" s="74">
        <f t="shared" si="53"/>
        <v>40.456704514975677</v>
      </c>
      <c r="T170" s="74">
        <f t="shared" si="53"/>
        <v>38.375159002248758</v>
      </c>
      <c r="U170" s="74">
        <f t="shared" si="53"/>
        <v>30.074668977320936</v>
      </c>
      <c r="V170" s="74">
        <f t="shared" si="53"/>
        <v>33.146622746606255</v>
      </c>
      <c r="W170" s="74">
        <f t="shared" si="53"/>
        <v>40.312127947500812</v>
      </c>
      <c r="X170" s="74">
        <f t="shared" si="53"/>
        <v>44.647919543218066</v>
      </c>
      <c r="Y170" s="179"/>
    </row>
    <row r="171" spans="1:25" x14ac:dyDescent="0.25">
      <c r="A171" s="139">
        <f t="shared" si="52"/>
        <v>1</v>
      </c>
      <c r="B171" s="30"/>
      <c r="C171" s="31" t="str">
        <f t="shared" si="54"/>
        <v>TZCO TZE240</v>
      </c>
      <c r="D171" s="9" t="str">
        <f t="shared" si="56"/>
        <v>мин</v>
      </c>
      <c r="E171" s="74">
        <f t="shared" si="55"/>
        <v>24.639986337701309</v>
      </c>
      <c r="F171" s="74">
        <f t="shared" si="53"/>
        <v>26.404397357964598</v>
      </c>
      <c r="G171" s="74">
        <f t="shared" si="53"/>
        <v>30.020865828591035</v>
      </c>
      <c r="H171" s="74">
        <f t="shared" si="53"/>
        <v>29.268600127385554</v>
      </c>
      <c r="I171" s="74">
        <f t="shared" si="53"/>
        <v>34.019977484896572</v>
      </c>
      <c r="J171" s="74">
        <f t="shared" si="53"/>
        <v>37.016779792827812</v>
      </c>
      <c r="K171" s="74">
        <f t="shared" si="53"/>
        <v>32.010933776724514</v>
      </c>
      <c r="L171" s="74">
        <f t="shared" si="53"/>
        <v>32.582928055469118</v>
      </c>
      <c r="M171" s="74">
        <f t="shared" si="53"/>
        <v>37.16611153249638</v>
      </c>
      <c r="N171" s="74">
        <f t="shared" si="53"/>
        <v>34.151142493110086</v>
      </c>
      <c r="O171" s="74">
        <f t="shared" si="53"/>
        <v>33.723784520551668</v>
      </c>
      <c r="P171" s="74">
        <f t="shared" si="53"/>
        <v>39.050862486337785</v>
      </c>
      <c r="Q171" s="74">
        <f t="shared" si="53"/>
        <v>39.557298696470752</v>
      </c>
      <c r="R171" s="74">
        <f t="shared" si="53"/>
        <v>40.708014041870058</v>
      </c>
      <c r="S171" s="74">
        <f t="shared" si="53"/>
        <v>40.456704514975677</v>
      </c>
      <c r="T171" s="74">
        <f t="shared" si="53"/>
        <v>38.375159002248758</v>
      </c>
      <c r="U171" s="74">
        <f t="shared" si="53"/>
        <v>30.074668977320936</v>
      </c>
      <c r="V171" s="74">
        <f t="shared" si="53"/>
        <v>33.146622746606255</v>
      </c>
      <c r="W171" s="74">
        <f t="shared" si="53"/>
        <v>40.312127947500812</v>
      </c>
      <c r="X171" s="74">
        <f t="shared" si="53"/>
        <v>44.647919543218066</v>
      </c>
      <c r="Y171" s="179"/>
    </row>
    <row r="172" spans="1:25" x14ac:dyDescent="0.25">
      <c r="A172" s="139">
        <f t="shared" si="52"/>
        <v>1</v>
      </c>
      <c r="B172" s="30"/>
      <c r="C172" s="31" t="str">
        <f t="shared" si="54"/>
        <v>БелАЗ 7531 (ГПФК)</v>
      </c>
      <c r="D172" s="9" t="str">
        <f t="shared" si="56"/>
        <v>мин</v>
      </c>
      <c r="E172" s="74">
        <f t="shared" si="55"/>
        <v>24.639986337701309</v>
      </c>
      <c r="F172" s="74">
        <f t="shared" si="53"/>
        <v>26.404397357964598</v>
      </c>
      <c r="G172" s="74">
        <f t="shared" si="53"/>
        <v>30.020865828591035</v>
      </c>
      <c r="H172" s="74">
        <f t="shared" si="53"/>
        <v>29.268600127385554</v>
      </c>
      <c r="I172" s="74">
        <f t="shared" si="53"/>
        <v>34.019977484896572</v>
      </c>
      <c r="J172" s="74">
        <f t="shared" si="53"/>
        <v>37.016779792827812</v>
      </c>
      <c r="K172" s="74">
        <f t="shared" si="53"/>
        <v>32.010933776724514</v>
      </c>
      <c r="L172" s="74">
        <f t="shared" si="53"/>
        <v>32.582928055469118</v>
      </c>
      <c r="M172" s="74">
        <f t="shared" si="53"/>
        <v>37.16611153249638</v>
      </c>
      <c r="N172" s="74">
        <f t="shared" si="53"/>
        <v>34.151142493110086</v>
      </c>
      <c r="O172" s="74">
        <f t="shared" si="53"/>
        <v>33.723784520551668</v>
      </c>
      <c r="P172" s="74">
        <f t="shared" si="53"/>
        <v>39.050862486337785</v>
      </c>
      <c r="Q172" s="74">
        <f t="shared" si="53"/>
        <v>39.557298696470752</v>
      </c>
      <c r="R172" s="74">
        <f t="shared" si="53"/>
        <v>40.708014041870058</v>
      </c>
      <c r="S172" s="74">
        <f t="shared" si="53"/>
        <v>40.456704514975677</v>
      </c>
      <c r="T172" s="74">
        <f t="shared" si="53"/>
        <v>38.375159002248758</v>
      </c>
      <c r="U172" s="74">
        <f t="shared" si="53"/>
        <v>30.074668977320936</v>
      </c>
      <c r="V172" s="74">
        <f t="shared" si="53"/>
        <v>33.146622746606255</v>
      </c>
      <c r="W172" s="74">
        <f t="shared" si="53"/>
        <v>40.312127947500812</v>
      </c>
      <c r="X172" s="74">
        <f t="shared" si="53"/>
        <v>44.647919543218066</v>
      </c>
      <c r="Y172" s="179"/>
    </row>
    <row r="173" spans="1:25" x14ac:dyDescent="0.25">
      <c r="A173" s="139">
        <f t="shared" si="52"/>
        <v>1</v>
      </c>
      <c r="B173" s="30"/>
      <c r="C173" s="31" t="str">
        <f t="shared" si="54"/>
        <v>XCMG 240</v>
      </c>
      <c r="D173" s="9" t="str">
        <f t="shared" si="56"/>
        <v>мин</v>
      </c>
      <c r="E173" s="74">
        <f t="shared" si="55"/>
        <v>24.639986337701309</v>
      </c>
      <c r="F173" s="74">
        <f t="shared" si="53"/>
        <v>26.404397357964598</v>
      </c>
      <c r="G173" s="74">
        <f t="shared" si="53"/>
        <v>30.020865828591035</v>
      </c>
      <c r="H173" s="74">
        <f t="shared" si="53"/>
        <v>29.268600127385554</v>
      </c>
      <c r="I173" s="74">
        <f t="shared" si="53"/>
        <v>34.019977484896572</v>
      </c>
      <c r="J173" s="74">
        <f t="shared" si="53"/>
        <v>37.016779792827812</v>
      </c>
      <c r="K173" s="74">
        <f t="shared" si="53"/>
        <v>32.010933776724514</v>
      </c>
      <c r="L173" s="74">
        <f t="shared" si="53"/>
        <v>32.582928055469118</v>
      </c>
      <c r="M173" s="74">
        <f t="shared" si="53"/>
        <v>37.16611153249638</v>
      </c>
      <c r="N173" s="74">
        <f t="shared" si="53"/>
        <v>34.151142493110086</v>
      </c>
      <c r="O173" s="74">
        <f t="shared" si="53"/>
        <v>33.723784520551668</v>
      </c>
      <c r="P173" s="74">
        <f t="shared" si="53"/>
        <v>39.050862486337785</v>
      </c>
      <c r="Q173" s="74">
        <f t="shared" si="53"/>
        <v>39.557298696470752</v>
      </c>
      <c r="R173" s="74">
        <f t="shared" si="53"/>
        <v>40.708014041870058</v>
      </c>
      <c r="S173" s="74">
        <f t="shared" si="53"/>
        <v>40.456704514975677</v>
      </c>
      <c r="T173" s="74">
        <f t="shared" si="53"/>
        <v>38.375159002248758</v>
      </c>
      <c r="U173" s="74">
        <f t="shared" si="53"/>
        <v>30.074668977320936</v>
      </c>
      <c r="V173" s="74">
        <f t="shared" si="53"/>
        <v>33.146622746606255</v>
      </c>
      <c r="W173" s="74">
        <f t="shared" si="53"/>
        <v>40.312127947500812</v>
      </c>
      <c r="X173" s="74">
        <f t="shared" si="53"/>
        <v>44.647919543218066</v>
      </c>
      <c r="Y173" s="179"/>
    </row>
    <row r="174" spans="1:25" x14ac:dyDescent="0.25">
      <c r="A174" s="139">
        <f t="shared" si="52"/>
        <v>1</v>
      </c>
      <c r="B174" s="30"/>
      <c r="C174" s="31" t="str">
        <f t="shared" si="54"/>
        <v>БелАЗ 7531 (БТЛ)</v>
      </c>
      <c r="D174" s="9" t="str">
        <f t="shared" si="56"/>
        <v>мин</v>
      </c>
      <c r="E174" s="74">
        <f t="shared" si="55"/>
        <v>24.639986337701309</v>
      </c>
      <c r="F174" s="74">
        <f t="shared" si="53"/>
        <v>26.404397357964598</v>
      </c>
      <c r="G174" s="74">
        <f t="shared" si="53"/>
        <v>30.020865828591035</v>
      </c>
      <c r="H174" s="74">
        <f t="shared" si="53"/>
        <v>29.268600127385554</v>
      </c>
      <c r="I174" s="74">
        <f t="shared" si="53"/>
        <v>34.019977484896572</v>
      </c>
      <c r="J174" s="74">
        <f t="shared" si="53"/>
        <v>37.016779792827812</v>
      </c>
      <c r="K174" s="74">
        <f t="shared" si="53"/>
        <v>32.010933776724514</v>
      </c>
      <c r="L174" s="74">
        <f t="shared" si="53"/>
        <v>32.582928055469118</v>
      </c>
      <c r="M174" s="74">
        <f t="shared" si="53"/>
        <v>37.16611153249638</v>
      </c>
      <c r="N174" s="74">
        <f t="shared" si="53"/>
        <v>34.151142493110086</v>
      </c>
      <c r="O174" s="74">
        <f t="shared" si="53"/>
        <v>33.723784520551668</v>
      </c>
      <c r="P174" s="74">
        <f t="shared" si="53"/>
        <v>39.050862486337785</v>
      </c>
      <c r="Q174" s="74">
        <f t="shared" si="53"/>
        <v>39.557298696470752</v>
      </c>
      <c r="R174" s="74">
        <f t="shared" si="53"/>
        <v>40.708014041870058</v>
      </c>
      <c r="S174" s="74">
        <f t="shared" si="53"/>
        <v>40.456704514975677</v>
      </c>
      <c r="T174" s="74">
        <f t="shared" si="53"/>
        <v>38.375159002248758</v>
      </c>
      <c r="U174" s="74">
        <f t="shared" si="53"/>
        <v>30.074668977320936</v>
      </c>
      <c r="V174" s="74">
        <f t="shared" si="53"/>
        <v>33.146622746606255</v>
      </c>
      <c r="W174" s="74">
        <f t="shared" si="53"/>
        <v>40.312127947500812</v>
      </c>
      <c r="X174" s="74">
        <f t="shared" si="53"/>
        <v>44.647919543218066</v>
      </c>
      <c r="Y174" s="179"/>
    </row>
    <row r="175" spans="1:25" x14ac:dyDescent="0.25">
      <c r="A175" s="139">
        <f t="shared" si="52"/>
        <v>0</v>
      </c>
      <c r="B175" s="30"/>
      <c r="C175" s="31">
        <f t="shared" si="54"/>
        <v>0</v>
      </c>
      <c r="D175" s="9" t="str">
        <f t="shared" si="56"/>
        <v>мин</v>
      </c>
      <c r="E175" s="74">
        <f t="shared" si="55"/>
        <v>0</v>
      </c>
      <c r="F175" s="74">
        <f t="shared" si="53"/>
        <v>0</v>
      </c>
      <c r="G175" s="74">
        <f t="shared" si="53"/>
        <v>0</v>
      </c>
      <c r="H175" s="74">
        <f t="shared" si="53"/>
        <v>0</v>
      </c>
      <c r="I175" s="74">
        <f t="shared" si="53"/>
        <v>0</v>
      </c>
      <c r="J175" s="74">
        <f t="shared" si="53"/>
        <v>0</v>
      </c>
      <c r="K175" s="74">
        <f t="shared" si="53"/>
        <v>0</v>
      </c>
      <c r="L175" s="74">
        <f t="shared" si="53"/>
        <v>0</v>
      </c>
      <c r="M175" s="74">
        <f t="shared" si="53"/>
        <v>0</v>
      </c>
      <c r="N175" s="74">
        <f t="shared" si="53"/>
        <v>0</v>
      </c>
      <c r="O175" s="74">
        <f t="shared" si="53"/>
        <v>0</v>
      </c>
      <c r="P175" s="74">
        <f t="shared" si="53"/>
        <v>0</v>
      </c>
      <c r="Q175" s="74">
        <f t="shared" si="53"/>
        <v>0</v>
      </c>
      <c r="R175" s="74">
        <f t="shared" si="53"/>
        <v>0</v>
      </c>
      <c r="S175" s="74">
        <f t="shared" si="53"/>
        <v>0</v>
      </c>
      <c r="T175" s="74">
        <f t="shared" si="53"/>
        <v>0</v>
      </c>
      <c r="U175" s="74">
        <f t="shared" si="53"/>
        <v>0</v>
      </c>
      <c r="V175" s="74">
        <f t="shared" si="53"/>
        <v>0</v>
      </c>
      <c r="W175" s="74">
        <f t="shared" si="53"/>
        <v>0</v>
      </c>
      <c r="X175" s="74">
        <f t="shared" si="53"/>
        <v>0</v>
      </c>
      <c r="Y175" s="179"/>
    </row>
    <row r="176" spans="1:25" x14ac:dyDescent="0.25">
      <c r="A176" s="139">
        <f t="shared" si="52"/>
        <v>0</v>
      </c>
      <c r="B176" s="30"/>
      <c r="C176" s="31">
        <f t="shared" si="54"/>
        <v>0</v>
      </c>
      <c r="D176" s="9" t="str">
        <f t="shared" si="56"/>
        <v>мин</v>
      </c>
      <c r="E176" s="74">
        <f t="shared" si="55"/>
        <v>0</v>
      </c>
      <c r="F176" s="74">
        <f t="shared" si="53"/>
        <v>0</v>
      </c>
      <c r="G176" s="74">
        <f t="shared" si="53"/>
        <v>0</v>
      </c>
      <c r="H176" s="74">
        <f t="shared" si="53"/>
        <v>0</v>
      </c>
      <c r="I176" s="74">
        <f t="shared" si="53"/>
        <v>0</v>
      </c>
      <c r="J176" s="74">
        <f t="shared" si="53"/>
        <v>0</v>
      </c>
      <c r="K176" s="74">
        <f t="shared" si="53"/>
        <v>0</v>
      </c>
      <c r="L176" s="74">
        <f t="shared" si="53"/>
        <v>0</v>
      </c>
      <c r="M176" s="74">
        <f t="shared" si="53"/>
        <v>0</v>
      </c>
      <c r="N176" s="74">
        <f t="shared" si="53"/>
        <v>0</v>
      </c>
      <c r="O176" s="74">
        <f t="shared" si="53"/>
        <v>0</v>
      </c>
      <c r="P176" s="74">
        <f t="shared" si="53"/>
        <v>0</v>
      </c>
      <c r="Q176" s="74">
        <f t="shared" si="53"/>
        <v>0</v>
      </c>
      <c r="R176" s="74">
        <f t="shared" si="53"/>
        <v>0</v>
      </c>
      <c r="S176" s="74">
        <f t="shared" si="53"/>
        <v>0</v>
      </c>
      <c r="T176" s="74">
        <f t="shared" si="53"/>
        <v>0</v>
      </c>
      <c r="U176" s="74">
        <f t="shared" si="53"/>
        <v>0</v>
      </c>
      <c r="V176" s="74">
        <f t="shared" si="53"/>
        <v>0</v>
      </c>
      <c r="W176" s="74">
        <f t="shared" si="53"/>
        <v>0</v>
      </c>
      <c r="X176" s="74">
        <f t="shared" si="53"/>
        <v>0</v>
      </c>
      <c r="Y176" s="179"/>
    </row>
    <row r="177" spans="1:25" x14ac:dyDescent="0.25">
      <c r="A177" s="139">
        <f t="shared" si="52"/>
        <v>0</v>
      </c>
      <c r="B177" s="30"/>
      <c r="C177" s="31">
        <f t="shared" si="54"/>
        <v>0</v>
      </c>
      <c r="D177" s="9" t="str">
        <f t="shared" si="56"/>
        <v>мин</v>
      </c>
      <c r="E177" s="74">
        <f t="shared" si="55"/>
        <v>0</v>
      </c>
      <c r="F177" s="74">
        <f t="shared" si="53"/>
        <v>0</v>
      </c>
      <c r="G177" s="74">
        <f t="shared" si="53"/>
        <v>0</v>
      </c>
      <c r="H177" s="74">
        <f t="shared" si="53"/>
        <v>0</v>
      </c>
      <c r="I177" s="74">
        <f t="shared" si="53"/>
        <v>0</v>
      </c>
      <c r="J177" s="74">
        <f t="shared" si="53"/>
        <v>0</v>
      </c>
      <c r="K177" s="74">
        <f t="shared" si="53"/>
        <v>0</v>
      </c>
      <c r="L177" s="74">
        <f t="shared" si="53"/>
        <v>0</v>
      </c>
      <c r="M177" s="74">
        <f t="shared" si="53"/>
        <v>0</v>
      </c>
      <c r="N177" s="74">
        <f t="shared" si="53"/>
        <v>0</v>
      </c>
      <c r="O177" s="74">
        <f t="shared" si="53"/>
        <v>0</v>
      </c>
      <c r="P177" s="74">
        <f t="shared" si="53"/>
        <v>0</v>
      </c>
      <c r="Q177" s="74">
        <f t="shared" si="53"/>
        <v>0</v>
      </c>
      <c r="R177" s="74">
        <f t="shared" si="53"/>
        <v>0</v>
      </c>
      <c r="S177" s="74">
        <f t="shared" si="53"/>
        <v>0</v>
      </c>
      <c r="T177" s="74">
        <f t="shared" si="53"/>
        <v>0</v>
      </c>
      <c r="U177" s="74">
        <f t="shared" si="53"/>
        <v>0</v>
      </c>
      <c r="V177" s="74">
        <f t="shared" si="53"/>
        <v>0</v>
      </c>
      <c r="W177" s="74">
        <f t="shared" si="53"/>
        <v>0</v>
      </c>
      <c r="X177" s="74">
        <f t="shared" si="53"/>
        <v>0</v>
      </c>
      <c r="Y177" s="179"/>
    </row>
    <row r="178" spans="1:25" x14ac:dyDescent="0.25">
      <c r="A178" s="139">
        <f t="shared" si="52"/>
        <v>0</v>
      </c>
      <c r="B178" s="30"/>
      <c r="C178" s="31">
        <f t="shared" si="54"/>
        <v>0</v>
      </c>
      <c r="D178" s="9" t="str">
        <f t="shared" si="56"/>
        <v>мин</v>
      </c>
      <c r="E178" s="74">
        <f t="shared" si="55"/>
        <v>0</v>
      </c>
      <c r="F178" s="74">
        <f t="shared" si="53"/>
        <v>0</v>
      </c>
      <c r="G178" s="74">
        <f t="shared" si="53"/>
        <v>0</v>
      </c>
      <c r="H178" s="74">
        <f t="shared" si="53"/>
        <v>0</v>
      </c>
      <c r="I178" s="74">
        <f t="shared" si="53"/>
        <v>0</v>
      </c>
      <c r="J178" s="74">
        <f t="shared" si="53"/>
        <v>0</v>
      </c>
      <c r="K178" s="74">
        <f t="shared" si="53"/>
        <v>0</v>
      </c>
      <c r="L178" s="74">
        <f t="shared" si="53"/>
        <v>0</v>
      </c>
      <c r="M178" s="74">
        <f t="shared" si="53"/>
        <v>0</v>
      </c>
      <c r="N178" s="74">
        <f t="shared" si="53"/>
        <v>0</v>
      </c>
      <c r="O178" s="74">
        <f t="shared" si="53"/>
        <v>0</v>
      </c>
      <c r="P178" s="74">
        <f t="shared" si="53"/>
        <v>0</v>
      </c>
      <c r="Q178" s="74">
        <f t="shared" si="53"/>
        <v>0</v>
      </c>
      <c r="R178" s="74">
        <f t="shared" si="53"/>
        <v>0</v>
      </c>
      <c r="S178" s="74">
        <f t="shared" si="53"/>
        <v>0</v>
      </c>
      <c r="T178" s="74">
        <f t="shared" si="53"/>
        <v>0</v>
      </c>
      <c r="U178" s="74">
        <f t="shared" si="53"/>
        <v>0</v>
      </c>
      <c r="V178" s="74">
        <f t="shared" si="53"/>
        <v>0</v>
      </c>
      <c r="W178" s="74">
        <f t="shared" si="53"/>
        <v>0</v>
      </c>
      <c r="X178" s="74">
        <f t="shared" si="53"/>
        <v>0</v>
      </c>
      <c r="Y178" s="179"/>
    </row>
    <row r="179" spans="1:25" x14ac:dyDescent="0.25">
      <c r="A179" s="139">
        <f t="shared" si="52"/>
        <v>0</v>
      </c>
      <c r="B179" s="30"/>
      <c r="C179" s="31">
        <f t="shared" si="54"/>
        <v>0</v>
      </c>
      <c r="D179" s="9" t="str">
        <f t="shared" si="56"/>
        <v>мин</v>
      </c>
      <c r="E179" s="74">
        <f t="shared" si="55"/>
        <v>0</v>
      </c>
      <c r="F179" s="74">
        <f t="shared" si="53"/>
        <v>0</v>
      </c>
      <c r="G179" s="74">
        <f t="shared" si="53"/>
        <v>0</v>
      </c>
      <c r="H179" s="74">
        <f t="shared" si="53"/>
        <v>0</v>
      </c>
      <c r="I179" s="74">
        <f t="shared" si="53"/>
        <v>0</v>
      </c>
      <c r="J179" s="74">
        <f t="shared" si="53"/>
        <v>0</v>
      </c>
      <c r="K179" s="74">
        <f t="shared" si="53"/>
        <v>0</v>
      </c>
      <c r="L179" s="74">
        <f t="shared" si="53"/>
        <v>0</v>
      </c>
      <c r="M179" s="74">
        <f t="shared" si="53"/>
        <v>0</v>
      </c>
      <c r="N179" s="74">
        <f t="shared" si="53"/>
        <v>0</v>
      </c>
      <c r="O179" s="74">
        <f t="shared" si="53"/>
        <v>0</v>
      </c>
      <c r="P179" s="74">
        <f t="shared" si="53"/>
        <v>0</v>
      </c>
      <c r="Q179" s="74">
        <f t="shared" si="53"/>
        <v>0</v>
      </c>
      <c r="R179" s="74">
        <f t="shared" si="53"/>
        <v>0</v>
      </c>
      <c r="S179" s="74">
        <f t="shared" si="53"/>
        <v>0</v>
      </c>
      <c r="T179" s="74">
        <f t="shared" si="53"/>
        <v>0</v>
      </c>
      <c r="U179" s="74">
        <f t="shared" si="53"/>
        <v>0</v>
      </c>
      <c r="V179" s="74">
        <f t="shared" si="53"/>
        <v>0</v>
      </c>
      <c r="W179" s="74">
        <f t="shared" si="53"/>
        <v>0</v>
      </c>
      <c r="X179" s="74">
        <f t="shared" si="53"/>
        <v>0</v>
      </c>
      <c r="Y179" s="179"/>
    </row>
    <row r="180" spans="1:25" x14ac:dyDescent="0.25">
      <c r="A180" s="139">
        <f t="shared" si="52"/>
        <v>0</v>
      </c>
      <c r="B180" s="30"/>
      <c r="C180" s="31">
        <f t="shared" si="54"/>
        <v>0</v>
      </c>
      <c r="D180" s="9" t="str">
        <f t="shared" si="56"/>
        <v>мин</v>
      </c>
      <c r="E180" s="74">
        <f t="shared" si="55"/>
        <v>0</v>
      </c>
      <c r="F180" s="74">
        <f t="shared" si="53"/>
        <v>0</v>
      </c>
      <c r="G180" s="74">
        <f t="shared" si="53"/>
        <v>0</v>
      </c>
      <c r="H180" s="74">
        <f t="shared" si="53"/>
        <v>0</v>
      </c>
      <c r="I180" s="74">
        <f t="shared" si="53"/>
        <v>0</v>
      </c>
      <c r="J180" s="74">
        <f t="shared" si="53"/>
        <v>0</v>
      </c>
      <c r="K180" s="74">
        <f t="shared" si="53"/>
        <v>0</v>
      </c>
      <c r="L180" s="74">
        <f t="shared" si="53"/>
        <v>0</v>
      </c>
      <c r="M180" s="74">
        <f t="shared" si="53"/>
        <v>0</v>
      </c>
      <c r="N180" s="74">
        <f t="shared" si="53"/>
        <v>0</v>
      </c>
      <c r="O180" s="74">
        <f t="shared" si="53"/>
        <v>0</v>
      </c>
      <c r="P180" s="74">
        <f t="shared" si="53"/>
        <v>0</v>
      </c>
      <c r="Q180" s="74">
        <f t="shared" si="53"/>
        <v>0</v>
      </c>
      <c r="R180" s="74">
        <f t="shared" si="53"/>
        <v>0</v>
      </c>
      <c r="S180" s="74">
        <f t="shared" si="53"/>
        <v>0</v>
      </c>
      <c r="T180" s="74">
        <f t="shared" si="53"/>
        <v>0</v>
      </c>
      <c r="U180" s="74">
        <f t="shared" si="53"/>
        <v>0</v>
      </c>
      <c r="V180" s="74">
        <f t="shared" si="53"/>
        <v>0</v>
      </c>
      <c r="W180" s="74">
        <f t="shared" si="53"/>
        <v>0</v>
      </c>
      <c r="X180" s="74">
        <f t="shared" si="53"/>
        <v>0</v>
      </c>
      <c r="Y180" s="179"/>
    </row>
    <row r="181" spans="1:25" x14ac:dyDescent="0.25">
      <c r="A181" s="139">
        <f t="shared" si="52"/>
        <v>0</v>
      </c>
      <c r="B181" s="30"/>
      <c r="C181" s="31">
        <f t="shared" si="54"/>
        <v>0</v>
      </c>
      <c r="D181" s="9" t="str">
        <f t="shared" si="56"/>
        <v>мин</v>
      </c>
      <c r="E181" s="74">
        <f t="shared" si="55"/>
        <v>0</v>
      </c>
      <c r="F181" s="74">
        <f t="shared" si="53"/>
        <v>0</v>
      </c>
      <c r="G181" s="74">
        <f t="shared" si="53"/>
        <v>0</v>
      </c>
      <c r="H181" s="74">
        <f t="shared" si="53"/>
        <v>0</v>
      </c>
      <c r="I181" s="74">
        <f t="shared" si="53"/>
        <v>0</v>
      </c>
      <c r="J181" s="74">
        <f t="shared" si="53"/>
        <v>0</v>
      </c>
      <c r="K181" s="74">
        <f t="shared" si="53"/>
        <v>0</v>
      </c>
      <c r="L181" s="74">
        <f t="shared" si="53"/>
        <v>0</v>
      </c>
      <c r="M181" s="74">
        <f t="shared" si="53"/>
        <v>0</v>
      </c>
      <c r="N181" s="74">
        <f t="shared" si="53"/>
        <v>0</v>
      </c>
      <c r="O181" s="74">
        <f t="shared" si="53"/>
        <v>0</v>
      </c>
      <c r="P181" s="74">
        <f t="shared" si="53"/>
        <v>0</v>
      </c>
      <c r="Q181" s="74">
        <f t="shared" si="53"/>
        <v>0</v>
      </c>
      <c r="R181" s="74">
        <f t="shared" si="53"/>
        <v>0</v>
      </c>
      <c r="S181" s="74">
        <f t="shared" si="53"/>
        <v>0</v>
      </c>
      <c r="T181" s="74">
        <f t="shared" si="53"/>
        <v>0</v>
      </c>
      <c r="U181" s="74">
        <f t="shared" si="53"/>
        <v>0</v>
      </c>
      <c r="V181" s="74">
        <f t="shared" si="53"/>
        <v>0</v>
      </c>
      <c r="W181" s="74">
        <f t="shared" si="53"/>
        <v>0</v>
      </c>
      <c r="X181" s="74">
        <f t="shared" si="53"/>
        <v>0</v>
      </c>
      <c r="Y181" s="179"/>
    </row>
    <row r="182" spans="1:25" x14ac:dyDescent="0.25">
      <c r="A182" s="139">
        <f t="shared" si="52"/>
        <v>0</v>
      </c>
      <c r="B182" s="30"/>
      <c r="C182" s="31">
        <f t="shared" si="54"/>
        <v>0</v>
      </c>
      <c r="D182" s="9" t="str">
        <f t="shared" si="56"/>
        <v>мин</v>
      </c>
      <c r="E182" s="74">
        <f t="shared" si="55"/>
        <v>0</v>
      </c>
      <c r="F182" s="74">
        <f t="shared" si="53"/>
        <v>0</v>
      </c>
      <c r="G182" s="74">
        <f t="shared" si="53"/>
        <v>0</v>
      </c>
      <c r="H182" s="74">
        <f t="shared" si="53"/>
        <v>0</v>
      </c>
      <c r="I182" s="74">
        <f t="shared" si="53"/>
        <v>0</v>
      </c>
      <c r="J182" s="74">
        <f t="shared" ref="J182:X182" si="57">J198+J214+J230</f>
        <v>0</v>
      </c>
      <c r="K182" s="74">
        <f t="shared" si="57"/>
        <v>0</v>
      </c>
      <c r="L182" s="74">
        <f t="shared" si="57"/>
        <v>0</v>
      </c>
      <c r="M182" s="74">
        <f t="shared" si="57"/>
        <v>0</v>
      </c>
      <c r="N182" s="74">
        <f t="shared" si="57"/>
        <v>0</v>
      </c>
      <c r="O182" s="74">
        <f t="shared" si="57"/>
        <v>0</v>
      </c>
      <c r="P182" s="74">
        <f t="shared" si="57"/>
        <v>0</v>
      </c>
      <c r="Q182" s="74">
        <f t="shared" si="57"/>
        <v>0</v>
      </c>
      <c r="R182" s="74">
        <f t="shared" si="57"/>
        <v>0</v>
      </c>
      <c r="S182" s="74">
        <f t="shared" si="57"/>
        <v>0</v>
      </c>
      <c r="T182" s="74">
        <f t="shared" si="57"/>
        <v>0</v>
      </c>
      <c r="U182" s="74">
        <f t="shared" si="57"/>
        <v>0</v>
      </c>
      <c r="V182" s="74">
        <f t="shared" si="57"/>
        <v>0</v>
      </c>
      <c r="W182" s="74">
        <f t="shared" si="57"/>
        <v>0</v>
      </c>
      <c r="X182" s="74">
        <f t="shared" si="57"/>
        <v>0</v>
      </c>
      <c r="Y182" s="179"/>
    </row>
    <row r="183" spans="1:25" x14ac:dyDescent="0.25">
      <c r="A183" s="139">
        <f t="shared" si="52"/>
        <v>1</v>
      </c>
      <c r="B183" s="9">
        <f>B167+0.1</f>
        <v>9.1</v>
      </c>
      <c r="C183" s="147" t="s">
        <v>116</v>
      </c>
      <c r="D183" s="9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179"/>
    </row>
    <row r="184" spans="1:25" x14ac:dyDescent="0.25">
      <c r="A184" s="139">
        <f t="shared" si="52"/>
        <v>1</v>
      </c>
      <c r="B184" s="30"/>
      <c r="C184" s="31" t="str">
        <f>C168</f>
        <v>NHL NTE 240</v>
      </c>
      <c r="D184" s="9" t="s">
        <v>115</v>
      </c>
      <c r="E184" s="148">
        <f>SUM(Простои!Y9:AC9)</f>
        <v>7.8999999999999995</v>
      </c>
      <c r="F184" s="149">
        <f>E184</f>
        <v>7.8999999999999995</v>
      </c>
      <c r="G184" s="149">
        <f t="shared" ref="G184:X198" si="58">F184</f>
        <v>7.8999999999999995</v>
      </c>
      <c r="H184" s="149">
        <f t="shared" si="58"/>
        <v>7.8999999999999995</v>
      </c>
      <c r="I184" s="149">
        <f t="shared" si="58"/>
        <v>7.8999999999999995</v>
      </c>
      <c r="J184" s="149">
        <f t="shared" si="58"/>
        <v>7.8999999999999995</v>
      </c>
      <c r="K184" s="149">
        <f t="shared" si="58"/>
        <v>7.8999999999999995</v>
      </c>
      <c r="L184" s="149">
        <f t="shared" si="58"/>
        <v>7.8999999999999995</v>
      </c>
      <c r="M184" s="149">
        <f t="shared" si="58"/>
        <v>7.8999999999999995</v>
      </c>
      <c r="N184" s="149">
        <f t="shared" si="58"/>
        <v>7.8999999999999995</v>
      </c>
      <c r="O184" s="149">
        <f t="shared" si="58"/>
        <v>7.8999999999999995</v>
      </c>
      <c r="P184" s="149">
        <f t="shared" si="58"/>
        <v>7.8999999999999995</v>
      </c>
      <c r="Q184" s="149">
        <f t="shared" si="58"/>
        <v>7.8999999999999995</v>
      </c>
      <c r="R184" s="149">
        <f t="shared" si="58"/>
        <v>7.8999999999999995</v>
      </c>
      <c r="S184" s="149">
        <f t="shared" si="58"/>
        <v>7.8999999999999995</v>
      </c>
      <c r="T184" s="149">
        <f t="shared" si="58"/>
        <v>7.8999999999999995</v>
      </c>
      <c r="U184" s="149">
        <f t="shared" si="58"/>
        <v>7.8999999999999995</v>
      </c>
      <c r="V184" s="149">
        <f t="shared" si="58"/>
        <v>7.8999999999999995</v>
      </c>
      <c r="W184" s="149">
        <f t="shared" si="58"/>
        <v>7.8999999999999995</v>
      </c>
      <c r="X184" s="149">
        <f t="shared" si="58"/>
        <v>7.8999999999999995</v>
      </c>
      <c r="Y184" s="179"/>
    </row>
    <row r="185" spans="1:25" x14ac:dyDescent="0.25">
      <c r="A185" s="139">
        <f t="shared" si="52"/>
        <v>1</v>
      </c>
      <c r="B185" s="30"/>
      <c r="C185" s="31" t="str">
        <f t="shared" ref="C185:C198" si="59">C169</f>
        <v>Estar ESDE240 (ГПБ К)</v>
      </c>
      <c r="D185" s="9" t="str">
        <f>D184</f>
        <v>мин</v>
      </c>
      <c r="E185" s="148">
        <f>SUM(Простои!Y10:AC10)</f>
        <v>7.8999999999999995</v>
      </c>
      <c r="F185" s="149">
        <f t="shared" ref="F185:U198" si="60">E185</f>
        <v>7.8999999999999995</v>
      </c>
      <c r="G185" s="149">
        <f t="shared" si="60"/>
        <v>7.8999999999999995</v>
      </c>
      <c r="H185" s="149">
        <f t="shared" si="60"/>
        <v>7.8999999999999995</v>
      </c>
      <c r="I185" s="149">
        <f t="shared" si="60"/>
        <v>7.8999999999999995</v>
      </c>
      <c r="J185" s="149">
        <f t="shared" si="60"/>
        <v>7.8999999999999995</v>
      </c>
      <c r="K185" s="149">
        <f t="shared" si="60"/>
        <v>7.8999999999999995</v>
      </c>
      <c r="L185" s="149">
        <f t="shared" si="60"/>
        <v>7.8999999999999995</v>
      </c>
      <c r="M185" s="149">
        <f t="shared" si="60"/>
        <v>7.8999999999999995</v>
      </c>
      <c r="N185" s="149">
        <f t="shared" si="60"/>
        <v>7.8999999999999995</v>
      </c>
      <c r="O185" s="149">
        <f t="shared" si="60"/>
        <v>7.8999999999999995</v>
      </c>
      <c r="P185" s="149">
        <f t="shared" si="60"/>
        <v>7.8999999999999995</v>
      </c>
      <c r="Q185" s="149">
        <f t="shared" si="60"/>
        <v>7.8999999999999995</v>
      </c>
      <c r="R185" s="149">
        <f t="shared" si="60"/>
        <v>7.8999999999999995</v>
      </c>
      <c r="S185" s="149">
        <f t="shared" si="60"/>
        <v>7.8999999999999995</v>
      </c>
      <c r="T185" s="149">
        <f t="shared" si="60"/>
        <v>7.8999999999999995</v>
      </c>
      <c r="U185" s="149">
        <f t="shared" si="60"/>
        <v>7.8999999999999995</v>
      </c>
      <c r="V185" s="149">
        <f t="shared" si="58"/>
        <v>7.8999999999999995</v>
      </c>
      <c r="W185" s="149">
        <f t="shared" si="58"/>
        <v>7.8999999999999995</v>
      </c>
      <c r="X185" s="149">
        <f t="shared" si="58"/>
        <v>7.8999999999999995</v>
      </c>
      <c r="Y185" s="179"/>
    </row>
    <row r="186" spans="1:25" x14ac:dyDescent="0.25">
      <c r="A186" s="139">
        <f t="shared" si="52"/>
        <v>1</v>
      </c>
      <c r="B186" s="30"/>
      <c r="C186" s="31" t="str">
        <f t="shared" si="59"/>
        <v>SANY SET240S</v>
      </c>
      <c r="D186" s="9" t="str">
        <f t="shared" ref="D186:D198" si="61">D185</f>
        <v>мин</v>
      </c>
      <c r="E186" s="148">
        <f>SUM(Простои!Y11:AC11)</f>
        <v>7.8999999999999995</v>
      </c>
      <c r="F186" s="149">
        <f t="shared" si="60"/>
        <v>7.8999999999999995</v>
      </c>
      <c r="G186" s="149">
        <f t="shared" si="58"/>
        <v>7.8999999999999995</v>
      </c>
      <c r="H186" s="149">
        <f t="shared" si="58"/>
        <v>7.8999999999999995</v>
      </c>
      <c r="I186" s="149">
        <f t="shared" si="58"/>
        <v>7.8999999999999995</v>
      </c>
      <c r="J186" s="149">
        <f t="shared" si="58"/>
        <v>7.8999999999999995</v>
      </c>
      <c r="K186" s="149">
        <f t="shared" si="58"/>
        <v>7.8999999999999995</v>
      </c>
      <c r="L186" s="149">
        <f t="shared" si="58"/>
        <v>7.8999999999999995</v>
      </c>
      <c r="M186" s="149">
        <f t="shared" si="58"/>
        <v>7.8999999999999995</v>
      </c>
      <c r="N186" s="149">
        <f t="shared" si="58"/>
        <v>7.8999999999999995</v>
      </c>
      <c r="O186" s="149">
        <f t="shared" si="58"/>
        <v>7.8999999999999995</v>
      </c>
      <c r="P186" s="149">
        <f t="shared" si="58"/>
        <v>7.8999999999999995</v>
      </c>
      <c r="Q186" s="149">
        <f t="shared" si="58"/>
        <v>7.8999999999999995</v>
      </c>
      <c r="R186" s="149">
        <f t="shared" si="58"/>
        <v>7.8999999999999995</v>
      </c>
      <c r="S186" s="149">
        <f t="shared" si="58"/>
        <v>7.8999999999999995</v>
      </c>
      <c r="T186" s="149">
        <f t="shared" si="58"/>
        <v>7.8999999999999995</v>
      </c>
      <c r="U186" s="149">
        <f t="shared" si="58"/>
        <v>7.8999999999999995</v>
      </c>
      <c r="V186" s="149">
        <f t="shared" si="58"/>
        <v>7.8999999999999995</v>
      </c>
      <c r="W186" s="149">
        <f t="shared" si="58"/>
        <v>7.8999999999999995</v>
      </c>
      <c r="X186" s="149">
        <f t="shared" si="58"/>
        <v>7.8999999999999995</v>
      </c>
      <c r="Y186" s="179"/>
    </row>
    <row r="187" spans="1:25" x14ac:dyDescent="0.25">
      <c r="A187" s="139">
        <f t="shared" si="52"/>
        <v>1</v>
      </c>
      <c r="B187" s="30"/>
      <c r="C187" s="31" t="str">
        <f t="shared" si="59"/>
        <v>TZCO TZE240</v>
      </c>
      <c r="D187" s="9" t="str">
        <f t="shared" si="61"/>
        <v>мин</v>
      </c>
      <c r="E187" s="148">
        <f>SUM(Простои!Y12:AC12)</f>
        <v>7.8999999999999995</v>
      </c>
      <c r="F187" s="149">
        <f t="shared" si="60"/>
        <v>7.8999999999999995</v>
      </c>
      <c r="G187" s="149">
        <f t="shared" si="58"/>
        <v>7.8999999999999995</v>
      </c>
      <c r="H187" s="149">
        <f t="shared" si="58"/>
        <v>7.8999999999999995</v>
      </c>
      <c r="I187" s="149">
        <f t="shared" si="58"/>
        <v>7.8999999999999995</v>
      </c>
      <c r="J187" s="149">
        <f t="shared" si="58"/>
        <v>7.8999999999999995</v>
      </c>
      <c r="K187" s="149">
        <f t="shared" si="58"/>
        <v>7.8999999999999995</v>
      </c>
      <c r="L187" s="149">
        <f t="shared" si="58"/>
        <v>7.8999999999999995</v>
      </c>
      <c r="M187" s="149">
        <f t="shared" si="58"/>
        <v>7.8999999999999995</v>
      </c>
      <c r="N187" s="149">
        <f t="shared" si="58"/>
        <v>7.8999999999999995</v>
      </c>
      <c r="O187" s="149">
        <f t="shared" si="58"/>
        <v>7.8999999999999995</v>
      </c>
      <c r="P187" s="149">
        <f t="shared" si="58"/>
        <v>7.8999999999999995</v>
      </c>
      <c r="Q187" s="149">
        <f t="shared" si="58"/>
        <v>7.8999999999999995</v>
      </c>
      <c r="R187" s="149">
        <f t="shared" si="58"/>
        <v>7.8999999999999995</v>
      </c>
      <c r="S187" s="149">
        <f t="shared" si="58"/>
        <v>7.8999999999999995</v>
      </c>
      <c r="T187" s="149">
        <f t="shared" si="58"/>
        <v>7.8999999999999995</v>
      </c>
      <c r="U187" s="149">
        <f t="shared" si="58"/>
        <v>7.8999999999999995</v>
      </c>
      <c r="V187" s="149">
        <f t="shared" si="58"/>
        <v>7.8999999999999995</v>
      </c>
      <c r="W187" s="149">
        <f t="shared" si="58"/>
        <v>7.8999999999999995</v>
      </c>
      <c r="X187" s="149">
        <f t="shared" si="58"/>
        <v>7.8999999999999995</v>
      </c>
      <c r="Y187" s="179"/>
    </row>
    <row r="188" spans="1:25" x14ac:dyDescent="0.25">
      <c r="A188" s="139">
        <f t="shared" si="52"/>
        <v>1</v>
      </c>
      <c r="B188" s="30"/>
      <c r="C188" s="31" t="str">
        <f t="shared" si="59"/>
        <v>БелАЗ 7531 (ГПФК)</v>
      </c>
      <c r="D188" s="9" t="str">
        <f t="shared" si="61"/>
        <v>мин</v>
      </c>
      <c r="E188" s="148">
        <f>SUM(Простои!Y13:AC13)</f>
        <v>7.8999999999999995</v>
      </c>
      <c r="F188" s="149">
        <f t="shared" si="60"/>
        <v>7.8999999999999995</v>
      </c>
      <c r="G188" s="149">
        <f t="shared" si="58"/>
        <v>7.8999999999999995</v>
      </c>
      <c r="H188" s="149">
        <f t="shared" si="58"/>
        <v>7.8999999999999995</v>
      </c>
      <c r="I188" s="149">
        <f t="shared" si="58"/>
        <v>7.8999999999999995</v>
      </c>
      <c r="J188" s="149">
        <f t="shared" si="58"/>
        <v>7.8999999999999995</v>
      </c>
      <c r="K188" s="149">
        <f t="shared" si="58"/>
        <v>7.8999999999999995</v>
      </c>
      <c r="L188" s="149">
        <f t="shared" si="58"/>
        <v>7.8999999999999995</v>
      </c>
      <c r="M188" s="149">
        <f t="shared" si="58"/>
        <v>7.8999999999999995</v>
      </c>
      <c r="N188" s="149">
        <f t="shared" si="58"/>
        <v>7.8999999999999995</v>
      </c>
      <c r="O188" s="149">
        <f t="shared" si="58"/>
        <v>7.8999999999999995</v>
      </c>
      <c r="P188" s="149">
        <f t="shared" si="58"/>
        <v>7.8999999999999995</v>
      </c>
      <c r="Q188" s="149">
        <f t="shared" si="58"/>
        <v>7.8999999999999995</v>
      </c>
      <c r="R188" s="149">
        <f t="shared" si="58"/>
        <v>7.8999999999999995</v>
      </c>
      <c r="S188" s="149">
        <f t="shared" si="58"/>
        <v>7.8999999999999995</v>
      </c>
      <c r="T188" s="149">
        <f t="shared" si="58"/>
        <v>7.8999999999999995</v>
      </c>
      <c r="U188" s="149">
        <f t="shared" si="58"/>
        <v>7.8999999999999995</v>
      </c>
      <c r="V188" s="149">
        <f t="shared" si="58"/>
        <v>7.8999999999999995</v>
      </c>
      <c r="W188" s="149">
        <f t="shared" si="58"/>
        <v>7.8999999999999995</v>
      </c>
      <c r="X188" s="149">
        <f t="shared" si="58"/>
        <v>7.8999999999999995</v>
      </c>
      <c r="Y188" s="179"/>
    </row>
    <row r="189" spans="1:25" x14ac:dyDescent="0.25">
      <c r="A189" s="139">
        <f t="shared" si="52"/>
        <v>1</v>
      </c>
      <c r="B189" s="30"/>
      <c r="C189" s="31" t="str">
        <f t="shared" si="59"/>
        <v>XCMG 240</v>
      </c>
      <c r="D189" s="9" t="str">
        <f t="shared" si="61"/>
        <v>мин</v>
      </c>
      <c r="E189" s="148">
        <f>SUM(Простои!Y14:AC14)</f>
        <v>7.8999999999999995</v>
      </c>
      <c r="F189" s="149">
        <f t="shared" si="60"/>
        <v>7.8999999999999995</v>
      </c>
      <c r="G189" s="149">
        <f t="shared" si="58"/>
        <v>7.8999999999999995</v>
      </c>
      <c r="H189" s="149">
        <f t="shared" si="58"/>
        <v>7.8999999999999995</v>
      </c>
      <c r="I189" s="149">
        <f t="shared" si="58"/>
        <v>7.8999999999999995</v>
      </c>
      <c r="J189" s="149">
        <f t="shared" si="58"/>
        <v>7.8999999999999995</v>
      </c>
      <c r="K189" s="149">
        <f t="shared" si="58"/>
        <v>7.8999999999999995</v>
      </c>
      <c r="L189" s="149">
        <f t="shared" si="58"/>
        <v>7.8999999999999995</v>
      </c>
      <c r="M189" s="149">
        <f t="shared" si="58"/>
        <v>7.8999999999999995</v>
      </c>
      <c r="N189" s="149">
        <f t="shared" si="58"/>
        <v>7.8999999999999995</v>
      </c>
      <c r="O189" s="149">
        <f t="shared" si="58"/>
        <v>7.8999999999999995</v>
      </c>
      <c r="P189" s="149">
        <f t="shared" si="58"/>
        <v>7.8999999999999995</v>
      </c>
      <c r="Q189" s="149">
        <f t="shared" si="58"/>
        <v>7.8999999999999995</v>
      </c>
      <c r="R189" s="149">
        <f t="shared" si="58"/>
        <v>7.8999999999999995</v>
      </c>
      <c r="S189" s="149">
        <f t="shared" si="58"/>
        <v>7.8999999999999995</v>
      </c>
      <c r="T189" s="149">
        <f t="shared" si="58"/>
        <v>7.8999999999999995</v>
      </c>
      <c r="U189" s="149">
        <f t="shared" si="58"/>
        <v>7.8999999999999995</v>
      </c>
      <c r="V189" s="149">
        <f t="shared" si="58"/>
        <v>7.8999999999999995</v>
      </c>
      <c r="W189" s="149">
        <f t="shared" si="58"/>
        <v>7.8999999999999995</v>
      </c>
      <c r="X189" s="149">
        <f t="shared" si="58"/>
        <v>7.8999999999999995</v>
      </c>
      <c r="Y189" s="179"/>
    </row>
    <row r="190" spans="1:25" x14ac:dyDescent="0.25">
      <c r="A190" s="139">
        <f t="shared" si="52"/>
        <v>1</v>
      </c>
      <c r="B190" s="30"/>
      <c r="C190" s="31" t="str">
        <f t="shared" si="59"/>
        <v>БелАЗ 7531 (БТЛ)</v>
      </c>
      <c r="D190" s="9" t="str">
        <f t="shared" si="61"/>
        <v>мин</v>
      </c>
      <c r="E190" s="148">
        <f>SUM(Простои!Y15:AC15)</f>
        <v>7.8999999999999995</v>
      </c>
      <c r="F190" s="149">
        <f t="shared" si="60"/>
        <v>7.8999999999999995</v>
      </c>
      <c r="G190" s="149">
        <f t="shared" si="58"/>
        <v>7.8999999999999995</v>
      </c>
      <c r="H190" s="149">
        <f t="shared" si="58"/>
        <v>7.8999999999999995</v>
      </c>
      <c r="I190" s="149">
        <f t="shared" si="58"/>
        <v>7.8999999999999995</v>
      </c>
      <c r="J190" s="149">
        <f t="shared" si="58"/>
        <v>7.8999999999999995</v>
      </c>
      <c r="K190" s="149">
        <f t="shared" si="58"/>
        <v>7.8999999999999995</v>
      </c>
      <c r="L190" s="149">
        <f t="shared" si="58"/>
        <v>7.8999999999999995</v>
      </c>
      <c r="M190" s="149">
        <f t="shared" si="58"/>
        <v>7.8999999999999995</v>
      </c>
      <c r="N190" s="149">
        <f t="shared" si="58"/>
        <v>7.8999999999999995</v>
      </c>
      <c r="O190" s="149">
        <f t="shared" si="58"/>
        <v>7.8999999999999995</v>
      </c>
      <c r="P190" s="149">
        <f t="shared" si="58"/>
        <v>7.8999999999999995</v>
      </c>
      <c r="Q190" s="149">
        <f t="shared" si="58"/>
        <v>7.8999999999999995</v>
      </c>
      <c r="R190" s="149">
        <f t="shared" si="58"/>
        <v>7.8999999999999995</v>
      </c>
      <c r="S190" s="149">
        <f t="shared" si="58"/>
        <v>7.8999999999999995</v>
      </c>
      <c r="T190" s="149">
        <f t="shared" si="58"/>
        <v>7.8999999999999995</v>
      </c>
      <c r="U190" s="149">
        <f t="shared" si="58"/>
        <v>7.8999999999999995</v>
      </c>
      <c r="V190" s="149">
        <f t="shared" si="58"/>
        <v>7.8999999999999995</v>
      </c>
      <c r="W190" s="149">
        <f t="shared" si="58"/>
        <v>7.8999999999999995</v>
      </c>
      <c r="X190" s="149">
        <f t="shared" si="58"/>
        <v>7.8999999999999995</v>
      </c>
      <c r="Y190" s="179"/>
    </row>
    <row r="191" spans="1:25" x14ac:dyDescent="0.25">
      <c r="A191" s="139">
        <f t="shared" si="52"/>
        <v>0</v>
      </c>
      <c r="B191" s="30"/>
      <c r="C191" s="31">
        <f t="shared" si="59"/>
        <v>0</v>
      </c>
      <c r="D191" s="9" t="str">
        <f t="shared" si="61"/>
        <v>мин</v>
      </c>
      <c r="E191" s="148">
        <f>SUM(Простои!Y16:AC16)</f>
        <v>0</v>
      </c>
      <c r="F191" s="149">
        <f t="shared" si="60"/>
        <v>0</v>
      </c>
      <c r="G191" s="149">
        <f t="shared" si="58"/>
        <v>0</v>
      </c>
      <c r="H191" s="149">
        <f t="shared" si="58"/>
        <v>0</v>
      </c>
      <c r="I191" s="149">
        <f t="shared" si="58"/>
        <v>0</v>
      </c>
      <c r="J191" s="149">
        <f t="shared" si="58"/>
        <v>0</v>
      </c>
      <c r="K191" s="149">
        <f t="shared" si="58"/>
        <v>0</v>
      </c>
      <c r="L191" s="149">
        <f t="shared" si="58"/>
        <v>0</v>
      </c>
      <c r="M191" s="149">
        <f t="shared" si="58"/>
        <v>0</v>
      </c>
      <c r="N191" s="149">
        <f t="shared" si="58"/>
        <v>0</v>
      </c>
      <c r="O191" s="149">
        <f t="shared" si="58"/>
        <v>0</v>
      </c>
      <c r="P191" s="149">
        <f t="shared" si="58"/>
        <v>0</v>
      </c>
      <c r="Q191" s="149">
        <f t="shared" si="58"/>
        <v>0</v>
      </c>
      <c r="R191" s="149">
        <f t="shared" si="58"/>
        <v>0</v>
      </c>
      <c r="S191" s="149">
        <f t="shared" si="58"/>
        <v>0</v>
      </c>
      <c r="T191" s="149">
        <f t="shared" si="58"/>
        <v>0</v>
      </c>
      <c r="U191" s="149">
        <f t="shared" si="58"/>
        <v>0</v>
      </c>
      <c r="V191" s="149">
        <f t="shared" si="58"/>
        <v>0</v>
      </c>
      <c r="W191" s="149">
        <f t="shared" si="58"/>
        <v>0</v>
      </c>
      <c r="X191" s="149">
        <f t="shared" si="58"/>
        <v>0</v>
      </c>
      <c r="Y191" s="179"/>
    </row>
    <row r="192" spans="1:25" x14ac:dyDescent="0.25">
      <c r="A192" s="139">
        <f t="shared" si="52"/>
        <v>0</v>
      </c>
      <c r="B192" s="30"/>
      <c r="C192" s="31">
        <f t="shared" si="59"/>
        <v>0</v>
      </c>
      <c r="D192" s="9" t="str">
        <f t="shared" si="61"/>
        <v>мин</v>
      </c>
      <c r="E192" s="148">
        <f>SUM(Простои!Y17:AC17)</f>
        <v>0</v>
      </c>
      <c r="F192" s="149">
        <f t="shared" si="60"/>
        <v>0</v>
      </c>
      <c r="G192" s="149">
        <f t="shared" si="58"/>
        <v>0</v>
      </c>
      <c r="H192" s="149">
        <f t="shared" si="58"/>
        <v>0</v>
      </c>
      <c r="I192" s="149">
        <f t="shared" si="58"/>
        <v>0</v>
      </c>
      <c r="J192" s="149">
        <f t="shared" si="58"/>
        <v>0</v>
      </c>
      <c r="K192" s="149">
        <f t="shared" si="58"/>
        <v>0</v>
      </c>
      <c r="L192" s="149">
        <f t="shared" si="58"/>
        <v>0</v>
      </c>
      <c r="M192" s="149">
        <f t="shared" si="58"/>
        <v>0</v>
      </c>
      <c r="N192" s="149">
        <f t="shared" si="58"/>
        <v>0</v>
      </c>
      <c r="O192" s="149">
        <f t="shared" si="58"/>
        <v>0</v>
      </c>
      <c r="P192" s="149">
        <f t="shared" si="58"/>
        <v>0</v>
      </c>
      <c r="Q192" s="149">
        <f t="shared" si="58"/>
        <v>0</v>
      </c>
      <c r="R192" s="149">
        <f t="shared" si="58"/>
        <v>0</v>
      </c>
      <c r="S192" s="149">
        <f t="shared" si="58"/>
        <v>0</v>
      </c>
      <c r="T192" s="149">
        <f t="shared" si="58"/>
        <v>0</v>
      </c>
      <c r="U192" s="149">
        <f t="shared" si="58"/>
        <v>0</v>
      </c>
      <c r="V192" s="149">
        <f t="shared" si="58"/>
        <v>0</v>
      </c>
      <c r="W192" s="149">
        <f t="shared" si="58"/>
        <v>0</v>
      </c>
      <c r="X192" s="149">
        <f t="shared" si="58"/>
        <v>0</v>
      </c>
      <c r="Y192" s="179"/>
    </row>
    <row r="193" spans="1:25" x14ac:dyDescent="0.25">
      <c r="A193" s="139">
        <f t="shared" si="52"/>
        <v>0</v>
      </c>
      <c r="B193" s="30"/>
      <c r="C193" s="31">
        <f t="shared" si="59"/>
        <v>0</v>
      </c>
      <c r="D193" s="9" t="str">
        <f t="shared" si="61"/>
        <v>мин</v>
      </c>
      <c r="E193" s="148">
        <f>SUM(Простои!Y18:AC18)</f>
        <v>0</v>
      </c>
      <c r="F193" s="149">
        <f t="shared" si="60"/>
        <v>0</v>
      </c>
      <c r="G193" s="149">
        <f t="shared" si="58"/>
        <v>0</v>
      </c>
      <c r="H193" s="149">
        <f t="shared" si="58"/>
        <v>0</v>
      </c>
      <c r="I193" s="149">
        <f t="shared" si="58"/>
        <v>0</v>
      </c>
      <c r="J193" s="149">
        <f t="shared" si="58"/>
        <v>0</v>
      </c>
      <c r="K193" s="149">
        <f t="shared" si="58"/>
        <v>0</v>
      </c>
      <c r="L193" s="149">
        <f t="shared" si="58"/>
        <v>0</v>
      </c>
      <c r="M193" s="149">
        <f t="shared" si="58"/>
        <v>0</v>
      </c>
      <c r="N193" s="149">
        <f t="shared" si="58"/>
        <v>0</v>
      </c>
      <c r="O193" s="149">
        <f t="shared" si="58"/>
        <v>0</v>
      </c>
      <c r="P193" s="149">
        <f t="shared" si="58"/>
        <v>0</v>
      </c>
      <c r="Q193" s="149">
        <f t="shared" si="58"/>
        <v>0</v>
      </c>
      <c r="R193" s="149">
        <f t="shared" si="58"/>
        <v>0</v>
      </c>
      <c r="S193" s="149">
        <f t="shared" si="58"/>
        <v>0</v>
      </c>
      <c r="T193" s="149">
        <f t="shared" si="58"/>
        <v>0</v>
      </c>
      <c r="U193" s="149">
        <f t="shared" si="58"/>
        <v>0</v>
      </c>
      <c r="V193" s="149">
        <f t="shared" si="58"/>
        <v>0</v>
      </c>
      <c r="W193" s="149">
        <f t="shared" si="58"/>
        <v>0</v>
      </c>
      <c r="X193" s="149">
        <f t="shared" si="58"/>
        <v>0</v>
      </c>
      <c r="Y193" s="179"/>
    </row>
    <row r="194" spans="1:25" x14ac:dyDescent="0.25">
      <c r="A194" s="139">
        <f t="shared" si="52"/>
        <v>0</v>
      </c>
      <c r="B194" s="30"/>
      <c r="C194" s="31">
        <f t="shared" si="59"/>
        <v>0</v>
      </c>
      <c r="D194" s="9" t="str">
        <f t="shared" si="61"/>
        <v>мин</v>
      </c>
      <c r="E194" s="148">
        <f>SUM(Простои!Y19:AC19)</f>
        <v>0</v>
      </c>
      <c r="F194" s="149">
        <f t="shared" si="60"/>
        <v>0</v>
      </c>
      <c r="G194" s="149">
        <f t="shared" si="58"/>
        <v>0</v>
      </c>
      <c r="H194" s="149">
        <f t="shared" si="58"/>
        <v>0</v>
      </c>
      <c r="I194" s="149">
        <f t="shared" si="58"/>
        <v>0</v>
      </c>
      <c r="J194" s="149">
        <f t="shared" si="58"/>
        <v>0</v>
      </c>
      <c r="K194" s="149">
        <f t="shared" si="58"/>
        <v>0</v>
      </c>
      <c r="L194" s="149">
        <f t="shared" si="58"/>
        <v>0</v>
      </c>
      <c r="M194" s="149">
        <f t="shared" si="58"/>
        <v>0</v>
      </c>
      <c r="N194" s="149">
        <f t="shared" si="58"/>
        <v>0</v>
      </c>
      <c r="O194" s="149">
        <f t="shared" si="58"/>
        <v>0</v>
      </c>
      <c r="P194" s="149">
        <f t="shared" si="58"/>
        <v>0</v>
      </c>
      <c r="Q194" s="149">
        <f t="shared" si="58"/>
        <v>0</v>
      </c>
      <c r="R194" s="149">
        <f t="shared" si="58"/>
        <v>0</v>
      </c>
      <c r="S194" s="149">
        <f t="shared" si="58"/>
        <v>0</v>
      </c>
      <c r="T194" s="149">
        <f t="shared" si="58"/>
        <v>0</v>
      </c>
      <c r="U194" s="149">
        <f t="shared" si="58"/>
        <v>0</v>
      </c>
      <c r="V194" s="149">
        <f t="shared" si="58"/>
        <v>0</v>
      </c>
      <c r="W194" s="149">
        <f t="shared" si="58"/>
        <v>0</v>
      </c>
      <c r="X194" s="149">
        <f t="shared" si="58"/>
        <v>0</v>
      </c>
      <c r="Y194" s="179"/>
    </row>
    <row r="195" spans="1:25" x14ac:dyDescent="0.25">
      <c r="A195" s="139">
        <f t="shared" si="52"/>
        <v>0</v>
      </c>
      <c r="B195" s="30"/>
      <c r="C195" s="31">
        <f t="shared" si="59"/>
        <v>0</v>
      </c>
      <c r="D195" s="9" t="str">
        <f t="shared" si="61"/>
        <v>мин</v>
      </c>
      <c r="E195" s="148">
        <f>SUM(Простои!Y20:AC20)</f>
        <v>0</v>
      </c>
      <c r="F195" s="149">
        <f t="shared" si="60"/>
        <v>0</v>
      </c>
      <c r="G195" s="149">
        <f t="shared" si="58"/>
        <v>0</v>
      </c>
      <c r="H195" s="149">
        <f t="shared" si="58"/>
        <v>0</v>
      </c>
      <c r="I195" s="149">
        <f t="shared" si="58"/>
        <v>0</v>
      </c>
      <c r="J195" s="149">
        <f t="shared" si="58"/>
        <v>0</v>
      </c>
      <c r="K195" s="149">
        <f t="shared" si="58"/>
        <v>0</v>
      </c>
      <c r="L195" s="149">
        <f t="shared" si="58"/>
        <v>0</v>
      </c>
      <c r="M195" s="149">
        <f t="shared" si="58"/>
        <v>0</v>
      </c>
      <c r="N195" s="149">
        <f t="shared" si="58"/>
        <v>0</v>
      </c>
      <c r="O195" s="149">
        <f t="shared" si="58"/>
        <v>0</v>
      </c>
      <c r="P195" s="149">
        <f t="shared" si="58"/>
        <v>0</v>
      </c>
      <c r="Q195" s="149">
        <f t="shared" si="58"/>
        <v>0</v>
      </c>
      <c r="R195" s="149">
        <f t="shared" si="58"/>
        <v>0</v>
      </c>
      <c r="S195" s="149">
        <f t="shared" si="58"/>
        <v>0</v>
      </c>
      <c r="T195" s="149">
        <f t="shared" si="58"/>
        <v>0</v>
      </c>
      <c r="U195" s="149">
        <f t="shared" si="58"/>
        <v>0</v>
      </c>
      <c r="V195" s="149">
        <f t="shared" si="58"/>
        <v>0</v>
      </c>
      <c r="W195" s="149">
        <f t="shared" si="58"/>
        <v>0</v>
      </c>
      <c r="X195" s="149">
        <f t="shared" si="58"/>
        <v>0</v>
      </c>
      <c r="Y195" s="179"/>
    </row>
    <row r="196" spans="1:25" x14ac:dyDescent="0.25">
      <c r="A196" s="139">
        <f t="shared" si="52"/>
        <v>0</v>
      </c>
      <c r="B196" s="30"/>
      <c r="C196" s="31">
        <f t="shared" si="59"/>
        <v>0</v>
      </c>
      <c r="D196" s="9" t="str">
        <f t="shared" si="61"/>
        <v>мин</v>
      </c>
      <c r="E196" s="148">
        <f>SUM(Простои!Y21:AC21)</f>
        <v>0</v>
      </c>
      <c r="F196" s="149">
        <f t="shared" si="60"/>
        <v>0</v>
      </c>
      <c r="G196" s="149">
        <f t="shared" si="58"/>
        <v>0</v>
      </c>
      <c r="H196" s="149">
        <f t="shared" si="58"/>
        <v>0</v>
      </c>
      <c r="I196" s="149">
        <f t="shared" si="58"/>
        <v>0</v>
      </c>
      <c r="J196" s="149">
        <f t="shared" si="58"/>
        <v>0</v>
      </c>
      <c r="K196" s="149">
        <f t="shared" si="58"/>
        <v>0</v>
      </c>
      <c r="L196" s="149">
        <f t="shared" si="58"/>
        <v>0</v>
      </c>
      <c r="M196" s="149">
        <f t="shared" si="58"/>
        <v>0</v>
      </c>
      <c r="N196" s="149">
        <f t="shared" si="58"/>
        <v>0</v>
      </c>
      <c r="O196" s="149">
        <f t="shared" si="58"/>
        <v>0</v>
      </c>
      <c r="P196" s="149">
        <f t="shared" si="58"/>
        <v>0</v>
      </c>
      <c r="Q196" s="149">
        <f t="shared" si="58"/>
        <v>0</v>
      </c>
      <c r="R196" s="149">
        <f t="shared" si="58"/>
        <v>0</v>
      </c>
      <c r="S196" s="149">
        <f t="shared" si="58"/>
        <v>0</v>
      </c>
      <c r="T196" s="149">
        <f t="shared" si="58"/>
        <v>0</v>
      </c>
      <c r="U196" s="149">
        <f t="shared" si="58"/>
        <v>0</v>
      </c>
      <c r="V196" s="149">
        <f t="shared" si="58"/>
        <v>0</v>
      </c>
      <c r="W196" s="149">
        <f t="shared" si="58"/>
        <v>0</v>
      </c>
      <c r="X196" s="149">
        <f t="shared" si="58"/>
        <v>0</v>
      </c>
      <c r="Y196" s="179"/>
    </row>
    <row r="197" spans="1:25" x14ac:dyDescent="0.25">
      <c r="A197" s="139">
        <f t="shared" si="52"/>
        <v>0</v>
      </c>
      <c r="B197" s="30"/>
      <c r="C197" s="31">
        <f t="shared" si="59"/>
        <v>0</v>
      </c>
      <c r="D197" s="9" t="str">
        <f t="shared" si="61"/>
        <v>мин</v>
      </c>
      <c r="E197" s="148">
        <f>SUM(Простои!Y22:AC22)</f>
        <v>0</v>
      </c>
      <c r="F197" s="149">
        <f t="shared" si="60"/>
        <v>0</v>
      </c>
      <c r="G197" s="149">
        <f t="shared" si="58"/>
        <v>0</v>
      </c>
      <c r="H197" s="149">
        <f t="shared" si="58"/>
        <v>0</v>
      </c>
      <c r="I197" s="149">
        <f t="shared" si="58"/>
        <v>0</v>
      </c>
      <c r="J197" s="149">
        <f t="shared" si="58"/>
        <v>0</v>
      </c>
      <c r="K197" s="149">
        <f t="shared" si="58"/>
        <v>0</v>
      </c>
      <c r="L197" s="149">
        <f t="shared" si="58"/>
        <v>0</v>
      </c>
      <c r="M197" s="149">
        <f t="shared" si="58"/>
        <v>0</v>
      </c>
      <c r="N197" s="149">
        <f t="shared" si="58"/>
        <v>0</v>
      </c>
      <c r="O197" s="149">
        <f t="shared" si="58"/>
        <v>0</v>
      </c>
      <c r="P197" s="149">
        <f t="shared" si="58"/>
        <v>0</v>
      </c>
      <c r="Q197" s="149">
        <f t="shared" si="58"/>
        <v>0</v>
      </c>
      <c r="R197" s="149">
        <f t="shared" si="58"/>
        <v>0</v>
      </c>
      <c r="S197" s="149">
        <f t="shared" si="58"/>
        <v>0</v>
      </c>
      <c r="T197" s="149">
        <f t="shared" si="58"/>
        <v>0</v>
      </c>
      <c r="U197" s="149">
        <f t="shared" si="58"/>
        <v>0</v>
      </c>
      <c r="V197" s="149">
        <f t="shared" si="58"/>
        <v>0</v>
      </c>
      <c r="W197" s="149">
        <f t="shared" si="58"/>
        <v>0</v>
      </c>
      <c r="X197" s="149">
        <f t="shared" si="58"/>
        <v>0</v>
      </c>
      <c r="Y197" s="179"/>
    </row>
    <row r="198" spans="1:25" x14ac:dyDescent="0.25">
      <c r="A198" s="139">
        <f t="shared" si="52"/>
        <v>0</v>
      </c>
      <c r="B198" s="30"/>
      <c r="C198" s="31">
        <f t="shared" si="59"/>
        <v>0</v>
      </c>
      <c r="D198" s="9" t="str">
        <f t="shared" si="61"/>
        <v>мин</v>
      </c>
      <c r="E198" s="148">
        <f>SUM(Простои!Y23:AC23)</f>
        <v>0</v>
      </c>
      <c r="F198" s="149">
        <f t="shared" si="60"/>
        <v>0</v>
      </c>
      <c r="G198" s="149">
        <f t="shared" si="58"/>
        <v>0</v>
      </c>
      <c r="H198" s="149">
        <f t="shared" si="58"/>
        <v>0</v>
      </c>
      <c r="I198" s="149">
        <f t="shared" si="58"/>
        <v>0</v>
      </c>
      <c r="J198" s="149">
        <f t="shared" si="58"/>
        <v>0</v>
      </c>
      <c r="K198" s="149">
        <f t="shared" si="58"/>
        <v>0</v>
      </c>
      <c r="L198" s="149">
        <f t="shared" si="58"/>
        <v>0</v>
      </c>
      <c r="M198" s="149">
        <f t="shared" si="58"/>
        <v>0</v>
      </c>
      <c r="N198" s="149">
        <f t="shared" si="58"/>
        <v>0</v>
      </c>
      <c r="O198" s="149">
        <f t="shared" si="58"/>
        <v>0</v>
      </c>
      <c r="P198" s="149">
        <f t="shared" si="58"/>
        <v>0</v>
      </c>
      <c r="Q198" s="149">
        <f t="shared" si="58"/>
        <v>0</v>
      </c>
      <c r="R198" s="149">
        <f t="shared" si="58"/>
        <v>0</v>
      </c>
      <c r="S198" s="149">
        <f t="shared" si="58"/>
        <v>0</v>
      </c>
      <c r="T198" s="149">
        <f t="shared" si="58"/>
        <v>0</v>
      </c>
      <c r="U198" s="149">
        <f t="shared" si="58"/>
        <v>0</v>
      </c>
      <c r="V198" s="149">
        <f t="shared" si="58"/>
        <v>0</v>
      </c>
      <c r="W198" s="149">
        <f t="shared" si="58"/>
        <v>0</v>
      </c>
      <c r="X198" s="149">
        <f t="shared" si="58"/>
        <v>0</v>
      </c>
      <c r="Y198" s="179"/>
    </row>
    <row r="199" spans="1:25" x14ac:dyDescent="0.25">
      <c r="A199" s="139">
        <f t="shared" si="52"/>
        <v>1</v>
      </c>
      <c r="B199" s="9">
        <f>B183+0.1</f>
        <v>9.1999999999999993</v>
      </c>
      <c r="C199" s="147" t="s">
        <v>117</v>
      </c>
      <c r="D199" s="9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179"/>
    </row>
    <row r="200" spans="1:25" x14ac:dyDescent="0.25">
      <c r="A200" s="139">
        <f t="shared" si="52"/>
        <v>1</v>
      </c>
      <c r="B200" s="30"/>
      <c r="C200" s="31" t="str">
        <f>C184</f>
        <v>NHL NTE 240</v>
      </c>
      <c r="D200" s="9" t="s">
        <v>115</v>
      </c>
      <c r="E200" s="90">
        <f>Простои!AD9</f>
        <v>0.5</v>
      </c>
      <c r="F200" s="120">
        <f>E200</f>
        <v>0.5</v>
      </c>
      <c r="G200" s="120">
        <f t="shared" ref="G200:X214" si="62">F200</f>
        <v>0.5</v>
      </c>
      <c r="H200" s="120">
        <f t="shared" si="62"/>
        <v>0.5</v>
      </c>
      <c r="I200" s="120">
        <f t="shared" si="62"/>
        <v>0.5</v>
      </c>
      <c r="J200" s="120">
        <f t="shared" si="62"/>
        <v>0.5</v>
      </c>
      <c r="K200" s="120">
        <f t="shared" si="62"/>
        <v>0.5</v>
      </c>
      <c r="L200" s="120">
        <f t="shared" si="62"/>
        <v>0.5</v>
      </c>
      <c r="M200" s="120">
        <f t="shared" si="62"/>
        <v>0.5</v>
      </c>
      <c r="N200" s="120">
        <f t="shared" si="62"/>
        <v>0.5</v>
      </c>
      <c r="O200" s="120">
        <f t="shared" si="62"/>
        <v>0.5</v>
      </c>
      <c r="P200" s="120">
        <f t="shared" si="62"/>
        <v>0.5</v>
      </c>
      <c r="Q200" s="120">
        <f t="shared" si="62"/>
        <v>0.5</v>
      </c>
      <c r="R200" s="120">
        <f t="shared" si="62"/>
        <v>0.5</v>
      </c>
      <c r="S200" s="120">
        <f t="shared" si="62"/>
        <v>0.5</v>
      </c>
      <c r="T200" s="120">
        <f t="shared" si="62"/>
        <v>0.5</v>
      </c>
      <c r="U200" s="120">
        <f t="shared" si="62"/>
        <v>0.5</v>
      </c>
      <c r="V200" s="120">
        <f t="shared" si="62"/>
        <v>0.5</v>
      </c>
      <c r="W200" s="120">
        <f t="shared" si="62"/>
        <v>0.5</v>
      </c>
      <c r="X200" s="120">
        <f t="shared" si="62"/>
        <v>0.5</v>
      </c>
      <c r="Y200" s="179"/>
    </row>
    <row r="201" spans="1:25" x14ac:dyDescent="0.25">
      <c r="A201" s="139">
        <f t="shared" si="52"/>
        <v>1</v>
      </c>
      <c r="B201" s="30"/>
      <c r="C201" s="31" t="str">
        <f t="shared" ref="C201:C214" si="63">C185</f>
        <v>Estar ESDE240 (ГПБ К)</v>
      </c>
      <c r="D201" s="9" t="str">
        <f>D200</f>
        <v>мин</v>
      </c>
      <c r="E201" s="90">
        <f>Простои!AD10</f>
        <v>0.5</v>
      </c>
      <c r="F201" s="120">
        <f t="shared" ref="F201:U214" si="64">E201</f>
        <v>0.5</v>
      </c>
      <c r="G201" s="120">
        <f t="shared" si="64"/>
        <v>0.5</v>
      </c>
      <c r="H201" s="120">
        <f t="shared" si="64"/>
        <v>0.5</v>
      </c>
      <c r="I201" s="120">
        <f t="shared" si="64"/>
        <v>0.5</v>
      </c>
      <c r="J201" s="120">
        <f t="shared" si="64"/>
        <v>0.5</v>
      </c>
      <c r="K201" s="120">
        <f t="shared" si="64"/>
        <v>0.5</v>
      </c>
      <c r="L201" s="120">
        <f t="shared" si="64"/>
        <v>0.5</v>
      </c>
      <c r="M201" s="120">
        <f t="shared" si="64"/>
        <v>0.5</v>
      </c>
      <c r="N201" s="120">
        <f t="shared" si="64"/>
        <v>0.5</v>
      </c>
      <c r="O201" s="120">
        <f t="shared" si="64"/>
        <v>0.5</v>
      </c>
      <c r="P201" s="120">
        <f t="shared" si="64"/>
        <v>0.5</v>
      </c>
      <c r="Q201" s="120">
        <f t="shared" si="64"/>
        <v>0.5</v>
      </c>
      <c r="R201" s="120">
        <f t="shared" si="64"/>
        <v>0.5</v>
      </c>
      <c r="S201" s="120">
        <f t="shared" si="64"/>
        <v>0.5</v>
      </c>
      <c r="T201" s="120">
        <f t="shared" si="64"/>
        <v>0.5</v>
      </c>
      <c r="U201" s="120">
        <f t="shared" si="64"/>
        <v>0.5</v>
      </c>
      <c r="V201" s="120">
        <f t="shared" si="62"/>
        <v>0.5</v>
      </c>
      <c r="W201" s="120">
        <f t="shared" si="62"/>
        <v>0.5</v>
      </c>
      <c r="X201" s="120">
        <f t="shared" si="62"/>
        <v>0.5</v>
      </c>
      <c r="Y201" s="179"/>
    </row>
    <row r="202" spans="1:25" x14ac:dyDescent="0.25">
      <c r="A202" s="139">
        <f t="shared" si="52"/>
        <v>1</v>
      </c>
      <c r="B202" s="30"/>
      <c r="C202" s="31" t="str">
        <f t="shared" si="63"/>
        <v>SANY SET240S</v>
      </c>
      <c r="D202" s="9" t="str">
        <f t="shared" ref="D202:D214" si="65">D201</f>
        <v>мин</v>
      </c>
      <c r="E202" s="90">
        <f>Простои!AD11</f>
        <v>0.5</v>
      </c>
      <c r="F202" s="120">
        <f t="shared" si="64"/>
        <v>0.5</v>
      </c>
      <c r="G202" s="120">
        <f t="shared" si="62"/>
        <v>0.5</v>
      </c>
      <c r="H202" s="120">
        <f t="shared" si="62"/>
        <v>0.5</v>
      </c>
      <c r="I202" s="120">
        <f t="shared" si="62"/>
        <v>0.5</v>
      </c>
      <c r="J202" s="120">
        <f t="shared" si="62"/>
        <v>0.5</v>
      </c>
      <c r="K202" s="120">
        <f t="shared" si="62"/>
        <v>0.5</v>
      </c>
      <c r="L202" s="120">
        <f t="shared" si="62"/>
        <v>0.5</v>
      </c>
      <c r="M202" s="120">
        <f t="shared" si="62"/>
        <v>0.5</v>
      </c>
      <c r="N202" s="120">
        <f t="shared" si="62"/>
        <v>0.5</v>
      </c>
      <c r="O202" s="120">
        <f t="shared" si="62"/>
        <v>0.5</v>
      </c>
      <c r="P202" s="120">
        <f t="shared" si="62"/>
        <v>0.5</v>
      </c>
      <c r="Q202" s="120">
        <f t="shared" si="62"/>
        <v>0.5</v>
      </c>
      <c r="R202" s="120">
        <f t="shared" si="62"/>
        <v>0.5</v>
      </c>
      <c r="S202" s="120">
        <f t="shared" si="62"/>
        <v>0.5</v>
      </c>
      <c r="T202" s="120">
        <f t="shared" si="62"/>
        <v>0.5</v>
      </c>
      <c r="U202" s="120">
        <f t="shared" si="62"/>
        <v>0.5</v>
      </c>
      <c r="V202" s="120">
        <f t="shared" si="62"/>
        <v>0.5</v>
      </c>
      <c r="W202" s="120">
        <f t="shared" si="62"/>
        <v>0.5</v>
      </c>
      <c r="X202" s="120">
        <f t="shared" si="62"/>
        <v>0.5</v>
      </c>
      <c r="Y202" s="179"/>
    </row>
    <row r="203" spans="1:25" x14ac:dyDescent="0.25">
      <c r="A203" s="139">
        <f t="shared" si="52"/>
        <v>1</v>
      </c>
      <c r="B203" s="30"/>
      <c r="C203" s="31" t="str">
        <f t="shared" si="63"/>
        <v>TZCO TZE240</v>
      </c>
      <c r="D203" s="9" t="str">
        <f t="shared" si="65"/>
        <v>мин</v>
      </c>
      <c r="E203" s="90">
        <f>Простои!AD12</f>
        <v>0.5</v>
      </c>
      <c r="F203" s="120">
        <f t="shared" si="64"/>
        <v>0.5</v>
      </c>
      <c r="G203" s="120">
        <f t="shared" si="62"/>
        <v>0.5</v>
      </c>
      <c r="H203" s="120">
        <f t="shared" si="62"/>
        <v>0.5</v>
      </c>
      <c r="I203" s="120">
        <f t="shared" si="62"/>
        <v>0.5</v>
      </c>
      <c r="J203" s="120">
        <f t="shared" si="62"/>
        <v>0.5</v>
      </c>
      <c r="K203" s="120">
        <f t="shared" si="62"/>
        <v>0.5</v>
      </c>
      <c r="L203" s="120">
        <f t="shared" si="62"/>
        <v>0.5</v>
      </c>
      <c r="M203" s="120">
        <f t="shared" si="62"/>
        <v>0.5</v>
      </c>
      <c r="N203" s="120">
        <f t="shared" si="62"/>
        <v>0.5</v>
      </c>
      <c r="O203" s="120">
        <f t="shared" si="62"/>
        <v>0.5</v>
      </c>
      <c r="P203" s="120">
        <f t="shared" si="62"/>
        <v>0.5</v>
      </c>
      <c r="Q203" s="120">
        <f t="shared" si="62"/>
        <v>0.5</v>
      </c>
      <c r="R203" s="120">
        <f t="shared" si="62"/>
        <v>0.5</v>
      </c>
      <c r="S203" s="120">
        <f t="shared" si="62"/>
        <v>0.5</v>
      </c>
      <c r="T203" s="120">
        <f t="shared" si="62"/>
        <v>0.5</v>
      </c>
      <c r="U203" s="120">
        <f t="shared" si="62"/>
        <v>0.5</v>
      </c>
      <c r="V203" s="120">
        <f t="shared" si="62"/>
        <v>0.5</v>
      </c>
      <c r="W203" s="120">
        <f t="shared" si="62"/>
        <v>0.5</v>
      </c>
      <c r="X203" s="120">
        <f t="shared" si="62"/>
        <v>0.5</v>
      </c>
      <c r="Y203" s="179"/>
    </row>
    <row r="204" spans="1:25" x14ac:dyDescent="0.25">
      <c r="A204" s="139">
        <f t="shared" si="52"/>
        <v>1</v>
      </c>
      <c r="B204" s="30"/>
      <c r="C204" s="31" t="str">
        <f t="shared" si="63"/>
        <v>БелАЗ 7531 (ГПФК)</v>
      </c>
      <c r="D204" s="9" t="str">
        <f t="shared" si="65"/>
        <v>мин</v>
      </c>
      <c r="E204" s="90">
        <f>Простои!AD13</f>
        <v>0.5</v>
      </c>
      <c r="F204" s="120">
        <f t="shared" si="64"/>
        <v>0.5</v>
      </c>
      <c r="G204" s="120">
        <f t="shared" si="62"/>
        <v>0.5</v>
      </c>
      <c r="H204" s="120">
        <f t="shared" si="62"/>
        <v>0.5</v>
      </c>
      <c r="I204" s="120">
        <f t="shared" si="62"/>
        <v>0.5</v>
      </c>
      <c r="J204" s="120">
        <f t="shared" si="62"/>
        <v>0.5</v>
      </c>
      <c r="K204" s="120">
        <f t="shared" si="62"/>
        <v>0.5</v>
      </c>
      <c r="L204" s="120">
        <f t="shared" si="62"/>
        <v>0.5</v>
      </c>
      <c r="M204" s="120">
        <f t="shared" si="62"/>
        <v>0.5</v>
      </c>
      <c r="N204" s="120">
        <f t="shared" si="62"/>
        <v>0.5</v>
      </c>
      <c r="O204" s="120">
        <f t="shared" si="62"/>
        <v>0.5</v>
      </c>
      <c r="P204" s="120">
        <f t="shared" si="62"/>
        <v>0.5</v>
      </c>
      <c r="Q204" s="120">
        <f t="shared" si="62"/>
        <v>0.5</v>
      </c>
      <c r="R204" s="120">
        <f t="shared" si="62"/>
        <v>0.5</v>
      </c>
      <c r="S204" s="120">
        <f t="shared" si="62"/>
        <v>0.5</v>
      </c>
      <c r="T204" s="120">
        <f t="shared" si="62"/>
        <v>0.5</v>
      </c>
      <c r="U204" s="120">
        <f t="shared" si="62"/>
        <v>0.5</v>
      </c>
      <c r="V204" s="120">
        <f t="shared" si="62"/>
        <v>0.5</v>
      </c>
      <c r="W204" s="120">
        <f t="shared" si="62"/>
        <v>0.5</v>
      </c>
      <c r="X204" s="120">
        <f t="shared" si="62"/>
        <v>0.5</v>
      </c>
      <c r="Y204" s="179"/>
    </row>
    <row r="205" spans="1:25" x14ac:dyDescent="0.25">
      <c r="A205" s="139">
        <f t="shared" si="52"/>
        <v>1</v>
      </c>
      <c r="B205" s="30"/>
      <c r="C205" s="31" t="str">
        <f t="shared" si="63"/>
        <v>XCMG 240</v>
      </c>
      <c r="D205" s="9" t="str">
        <f t="shared" si="65"/>
        <v>мин</v>
      </c>
      <c r="E205" s="90">
        <f>Простои!AD14</f>
        <v>0.5</v>
      </c>
      <c r="F205" s="120">
        <f t="shared" si="64"/>
        <v>0.5</v>
      </c>
      <c r="G205" s="120">
        <f t="shared" si="62"/>
        <v>0.5</v>
      </c>
      <c r="H205" s="120">
        <f t="shared" si="62"/>
        <v>0.5</v>
      </c>
      <c r="I205" s="120">
        <f t="shared" si="62"/>
        <v>0.5</v>
      </c>
      <c r="J205" s="120">
        <f t="shared" si="62"/>
        <v>0.5</v>
      </c>
      <c r="K205" s="120">
        <f t="shared" si="62"/>
        <v>0.5</v>
      </c>
      <c r="L205" s="120">
        <f t="shared" si="62"/>
        <v>0.5</v>
      </c>
      <c r="M205" s="120">
        <f t="shared" si="62"/>
        <v>0.5</v>
      </c>
      <c r="N205" s="120">
        <f t="shared" si="62"/>
        <v>0.5</v>
      </c>
      <c r="O205" s="120">
        <f t="shared" si="62"/>
        <v>0.5</v>
      </c>
      <c r="P205" s="120">
        <f t="shared" si="62"/>
        <v>0.5</v>
      </c>
      <c r="Q205" s="120">
        <f t="shared" si="62"/>
        <v>0.5</v>
      </c>
      <c r="R205" s="120">
        <f t="shared" si="62"/>
        <v>0.5</v>
      </c>
      <c r="S205" s="120">
        <f t="shared" si="62"/>
        <v>0.5</v>
      </c>
      <c r="T205" s="120">
        <f t="shared" si="62"/>
        <v>0.5</v>
      </c>
      <c r="U205" s="120">
        <f t="shared" si="62"/>
        <v>0.5</v>
      </c>
      <c r="V205" s="120">
        <f t="shared" si="62"/>
        <v>0.5</v>
      </c>
      <c r="W205" s="120">
        <f t="shared" si="62"/>
        <v>0.5</v>
      </c>
      <c r="X205" s="120">
        <f t="shared" si="62"/>
        <v>0.5</v>
      </c>
      <c r="Y205" s="179"/>
    </row>
    <row r="206" spans="1:25" x14ac:dyDescent="0.25">
      <c r="A206" s="139">
        <f t="shared" si="52"/>
        <v>1</v>
      </c>
      <c r="B206" s="30"/>
      <c r="C206" s="31" t="str">
        <f t="shared" si="63"/>
        <v>БелАЗ 7531 (БТЛ)</v>
      </c>
      <c r="D206" s="9" t="str">
        <f t="shared" si="65"/>
        <v>мин</v>
      </c>
      <c r="E206" s="90">
        <f>Простои!AD15</f>
        <v>0.5</v>
      </c>
      <c r="F206" s="120">
        <f t="shared" si="64"/>
        <v>0.5</v>
      </c>
      <c r="G206" s="120">
        <f t="shared" si="62"/>
        <v>0.5</v>
      </c>
      <c r="H206" s="120">
        <f t="shared" si="62"/>
        <v>0.5</v>
      </c>
      <c r="I206" s="120">
        <f t="shared" si="62"/>
        <v>0.5</v>
      </c>
      <c r="J206" s="120">
        <f t="shared" si="62"/>
        <v>0.5</v>
      </c>
      <c r="K206" s="120">
        <f t="shared" si="62"/>
        <v>0.5</v>
      </c>
      <c r="L206" s="120">
        <f t="shared" si="62"/>
        <v>0.5</v>
      </c>
      <c r="M206" s="120">
        <f t="shared" si="62"/>
        <v>0.5</v>
      </c>
      <c r="N206" s="120">
        <f t="shared" si="62"/>
        <v>0.5</v>
      </c>
      <c r="O206" s="120">
        <f t="shared" si="62"/>
        <v>0.5</v>
      </c>
      <c r="P206" s="120">
        <f t="shared" si="62"/>
        <v>0.5</v>
      </c>
      <c r="Q206" s="120">
        <f t="shared" si="62"/>
        <v>0.5</v>
      </c>
      <c r="R206" s="120">
        <f t="shared" si="62"/>
        <v>0.5</v>
      </c>
      <c r="S206" s="120">
        <f t="shared" si="62"/>
        <v>0.5</v>
      </c>
      <c r="T206" s="120">
        <f t="shared" si="62"/>
        <v>0.5</v>
      </c>
      <c r="U206" s="120">
        <f t="shared" si="62"/>
        <v>0.5</v>
      </c>
      <c r="V206" s="120">
        <f t="shared" si="62"/>
        <v>0.5</v>
      </c>
      <c r="W206" s="120">
        <f t="shared" si="62"/>
        <v>0.5</v>
      </c>
      <c r="X206" s="120">
        <f t="shared" si="62"/>
        <v>0.5</v>
      </c>
      <c r="Y206" s="179"/>
    </row>
    <row r="207" spans="1:25" x14ac:dyDescent="0.25">
      <c r="A207" s="139">
        <f t="shared" si="52"/>
        <v>0</v>
      </c>
      <c r="B207" s="30"/>
      <c r="C207" s="31">
        <f t="shared" si="63"/>
        <v>0</v>
      </c>
      <c r="D207" s="9" t="str">
        <f t="shared" si="65"/>
        <v>мин</v>
      </c>
      <c r="E207" s="90">
        <f>Простои!AD16</f>
        <v>0</v>
      </c>
      <c r="F207" s="120">
        <f t="shared" si="64"/>
        <v>0</v>
      </c>
      <c r="G207" s="120">
        <f t="shared" si="62"/>
        <v>0</v>
      </c>
      <c r="H207" s="120">
        <f t="shared" si="62"/>
        <v>0</v>
      </c>
      <c r="I207" s="120">
        <f t="shared" si="62"/>
        <v>0</v>
      </c>
      <c r="J207" s="120">
        <f t="shared" si="62"/>
        <v>0</v>
      </c>
      <c r="K207" s="120">
        <f t="shared" si="62"/>
        <v>0</v>
      </c>
      <c r="L207" s="120">
        <f t="shared" si="62"/>
        <v>0</v>
      </c>
      <c r="M207" s="120">
        <f t="shared" si="62"/>
        <v>0</v>
      </c>
      <c r="N207" s="120">
        <f t="shared" si="62"/>
        <v>0</v>
      </c>
      <c r="O207" s="120">
        <f t="shared" si="62"/>
        <v>0</v>
      </c>
      <c r="P207" s="120">
        <f t="shared" si="62"/>
        <v>0</v>
      </c>
      <c r="Q207" s="120">
        <f t="shared" si="62"/>
        <v>0</v>
      </c>
      <c r="R207" s="120">
        <f t="shared" si="62"/>
        <v>0</v>
      </c>
      <c r="S207" s="120">
        <f t="shared" si="62"/>
        <v>0</v>
      </c>
      <c r="T207" s="120">
        <f t="shared" si="62"/>
        <v>0</v>
      </c>
      <c r="U207" s="120">
        <f t="shared" si="62"/>
        <v>0</v>
      </c>
      <c r="V207" s="120">
        <f t="shared" si="62"/>
        <v>0</v>
      </c>
      <c r="W207" s="120">
        <f t="shared" si="62"/>
        <v>0</v>
      </c>
      <c r="X207" s="120">
        <f t="shared" si="62"/>
        <v>0</v>
      </c>
      <c r="Y207" s="179"/>
    </row>
    <row r="208" spans="1:25" x14ac:dyDescent="0.25">
      <c r="A208" s="139">
        <f t="shared" si="52"/>
        <v>0</v>
      </c>
      <c r="B208" s="30"/>
      <c r="C208" s="31">
        <f t="shared" si="63"/>
        <v>0</v>
      </c>
      <c r="D208" s="9" t="str">
        <f t="shared" si="65"/>
        <v>мин</v>
      </c>
      <c r="E208" s="90">
        <f>Простои!AD17</f>
        <v>0</v>
      </c>
      <c r="F208" s="120">
        <f t="shared" si="64"/>
        <v>0</v>
      </c>
      <c r="G208" s="120">
        <f t="shared" si="62"/>
        <v>0</v>
      </c>
      <c r="H208" s="120">
        <f t="shared" si="62"/>
        <v>0</v>
      </c>
      <c r="I208" s="120">
        <f t="shared" si="62"/>
        <v>0</v>
      </c>
      <c r="J208" s="120">
        <f t="shared" si="62"/>
        <v>0</v>
      </c>
      <c r="K208" s="120">
        <f t="shared" si="62"/>
        <v>0</v>
      </c>
      <c r="L208" s="120">
        <f t="shared" si="62"/>
        <v>0</v>
      </c>
      <c r="M208" s="120">
        <f t="shared" si="62"/>
        <v>0</v>
      </c>
      <c r="N208" s="120">
        <f t="shared" si="62"/>
        <v>0</v>
      </c>
      <c r="O208" s="120">
        <f t="shared" si="62"/>
        <v>0</v>
      </c>
      <c r="P208" s="120">
        <f t="shared" si="62"/>
        <v>0</v>
      </c>
      <c r="Q208" s="120">
        <f t="shared" si="62"/>
        <v>0</v>
      </c>
      <c r="R208" s="120">
        <f t="shared" si="62"/>
        <v>0</v>
      </c>
      <c r="S208" s="120">
        <f t="shared" si="62"/>
        <v>0</v>
      </c>
      <c r="T208" s="120">
        <f t="shared" si="62"/>
        <v>0</v>
      </c>
      <c r="U208" s="120">
        <f t="shared" si="62"/>
        <v>0</v>
      </c>
      <c r="V208" s="120">
        <f t="shared" si="62"/>
        <v>0</v>
      </c>
      <c r="W208" s="120">
        <f t="shared" si="62"/>
        <v>0</v>
      </c>
      <c r="X208" s="120">
        <f t="shared" si="62"/>
        <v>0</v>
      </c>
      <c r="Y208" s="179"/>
    </row>
    <row r="209" spans="1:25" x14ac:dyDescent="0.25">
      <c r="A209" s="139">
        <f t="shared" si="52"/>
        <v>0</v>
      </c>
      <c r="B209" s="30"/>
      <c r="C209" s="31">
        <f t="shared" si="63"/>
        <v>0</v>
      </c>
      <c r="D209" s="9" t="str">
        <f t="shared" si="65"/>
        <v>мин</v>
      </c>
      <c r="E209" s="90">
        <f>Простои!AD18</f>
        <v>0</v>
      </c>
      <c r="F209" s="120">
        <f t="shared" si="64"/>
        <v>0</v>
      </c>
      <c r="G209" s="120">
        <f t="shared" si="62"/>
        <v>0</v>
      </c>
      <c r="H209" s="120">
        <f t="shared" si="62"/>
        <v>0</v>
      </c>
      <c r="I209" s="120">
        <f t="shared" si="62"/>
        <v>0</v>
      </c>
      <c r="J209" s="120">
        <f t="shared" si="62"/>
        <v>0</v>
      </c>
      <c r="K209" s="120">
        <f t="shared" si="62"/>
        <v>0</v>
      </c>
      <c r="L209" s="120">
        <f t="shared" si="62"/>
        <v>0</v>
      </c>
      <c r="M209" s="120">
        <f t="shared" si="62"/>
        <v>0</v>
      </c>
      <c r="N209" s="120">
        <f t="shared" si="62"/>
        <v>0</v>
      </c>
      <c r="O209" s="120">
        <f t="shared" si="62"/>
        <v>0</v>
      </c>
      <c r="P209" s="120">
        <f t="shared" si="62"/>
        <v>0</v>
      </c>
      <c r="Q209" s="120">
        <f t="shared" si="62"/>
        <v>0</v>
      </c>
      <c r="R209" s="120">
        <f t="shared" si="62"/>
        <v>0</v>
      </c>
      <c r="S209" s="120">
        <f t="shared" si="62"/>
        <v>0</v>
      </c>
      <c r="T209" s="120">
        <f t="shared" si="62"/>
        <v>0</v>
      </c>
      <c r="U209" s="120">
        <f t="shared" si="62"/>
        <v>0</v>
      </c>
      <c r="V209" s="120">
        <f t="shared" si="62"/>
        <v>0</v>
      </c>
      <c r="W209" s="120">
        <f t="shared" si="62"/>
        <v>0</v>
      </c>
      <c r="X209" s="120">
        <f t="shared" si="62"/>
        <v>0</v>
      </c>
      <c r="Y209" s="179"/>
    </row>
    <row r="210" spans="1:25" x14ac:dyDescent="0.25">
      <c r="A210" s="139">
        <f t="shared" si="52"/>
        <v>0</v>
      </c>
      <c r="B210" s="30"/>
      <c r="C210" s="31">
        <f t="shared" si="63"/>
        <v>0</v>
      </c>
      <c r="D210" s="9" t="str">
        <f t="shared" si="65"/>
        <v>мин</v>
      </c>
      <c r="E210" s="90">
        <f>Простои!AD19</f>
        <v>0</v>
      </c>
      <c r="F210" s="120">
        <f t="shared" si="64"/>
        <v>0</v>
      </c>
      <c r="G210" s="120">
        <f t="shared" si="62"/>
        <v>0</v>
      </c>
      <c r="H210" s="120">
        <f t="shared" si="62"/>
        <v>0</v>
      </c>
      <c r="I210" s="120">
        <f t="shared" si="62"/>
        <v>0</v>
      </c>
      <c r="J210" s="120">
        <f t="shared" si="62"/>
        <v>0</v>
      </c>
      <c r="K210" s="120">
        <f t="shared" si="62"/>
        <v>0</v>
      </c>
      <c r="L210" s="120">
        <f t="shared" si="62"/>
        <v>0</v>
      </c>
      <c r="M210" s="120">
        <f t="shared" si="62"/>
        <v>0</v>
      </c>
      <c r="N210" s="120">
        <f t="shared" si="62"/>
        <v>0</v>
      </c>
      <c r="O210" s="120">
        <f t="shared" si="62"/>
        <v>0</v>
      </c>
      <c r="P210" s="120">
        <f t="shared" si="62"/>
        <v>0</v>
      </c>
      <c r="Q210" s="120">
        <f t="shared" si="62"/>
        <v>0</v>
      </c>
      <c r="R210" s="120">
        <f t="shared" si="62"/>
        <v>0</v>
      </c>
      <c r="S210" s="120">
        <f t="shared" si="62"/>
        <v>0</v>
      </c>
      <c r="T210" s="120">
        <f t="shared" si="62"/>
        <v>0</v>
      </c>
      <c r="U210" s="120">
        <f t="shared" si="62"/>
        <v>0</v>
      </c>
      <c r="V210" s="120">
        <f t="shared" si="62"/>
        <v>0</v>
      </c>
      <c r="W210" s="120">
        <f t="shared" si="62"/>
        <v>0</v>
      </c>
      <c r="X210" s="120">
        <f t="shared" si="62"/>
        <v>0</v>
      </c>
      <c r="Y210" s="179"/>
    </row>
    <row r="211" spans="1:25" x14ac:dyDescent="0.25">
      <c r="A211" s="139">
        <f t="shared" si="52"/>
        <v>0</v>
      </c>
      <c r="B211" s="30"/>
      <c r="C211" s="31">
        <f t="shared" si="63"/>
        <v>0</v>
      </c>
      <c r="D211" s="9" t="str">
        <f t="shared" si="65"/>
        <v>мин</v>
      </c>
      <c r="E211" s="90">
        <f>Простои!AD20</f>
        <v>0</v>
      </c>
      <c r="F211" s="120">
        <f t="shared" si="64"/>
        <v>0</v>
      </c>
      <c r="G211" s="120">
        <f t="shared" si="62"/>
        <v>0</v>
      </c>
      <c r="H211" s="120">
        <f t="shared" si="62"/>
        <v>0</v>
      </c>
      <c r="I211" s="120">
        <f t="shared" si="62"/>
        <v>0</v>
      </c>
      <c r="J211" s="120">
        <f t="shared" si="62"/>
        <v>0</v>
      </c>
      <c r="K211" s="120">
        <f t="shared" si="62"/>
        <v>0</v>
      </c>
      <c r="L211" s="120">
        <f t="shared" si="62"/>
        <v>0</v>
      </c>
      <c r="M211" s="120">
        <f t="shared" si="62"/>
        <v>0</v>
      </c>
      <c r="N211" s="120">
        <f t="shared" si="62"/>
        <v>0</v>
      </c>
      <c r="O211" s="120">
        <f t="shared" si="62"/>
        <v>0</v>
      </c>
      <c r="P211" s="120">
        <f t="shared" si="62"/>
        <v>0</v>
      </c>
      <c r="Q211" s="120">
        <f t="shared" si="62"/>
        <v>0</v>
      </c>
      <c r="R211" s="120">
        <f t="shared" si="62"/>
        <v>0</v>
      </c>
      <c r="S211" s="120">
        <f t="shared" si="62"/>
        <v>0</v>
      </c>
      <c r="T211" s="120">
        <f t="shared" si="62"/>
        <v>0</v>
      </c>
      <c r="U211" s="120">
        <f t="shared" si="62"/>
        <v>0</v>
      </c>
      <c r="V211" s="120">
        <f t="shared" si="62"/>
        <v>0</v>
      </c>
      <c r="W211" s="120">
        <f t="shared" si="62"/>
        <v>0</v>
      </c>
      <c r="X211" s="120">
        <f t="shared" si="62"/>
        <v>0</v>
      </c>
      <c r="Y211" s="179"/>
    </row>
    <row r="212" spans="1:25" x14ac:dyDescent="0.25">
      <c r="A212" s="139">
        <f t="shared" si="52"/>
        <v>0</v>
      </c>
      <c r="B212" s="30"/>
      <c r="C212" s="31">
        <f t="shared" si="63"/>
        <v>0</v>
      </c>
      <c r="D212" s="9" t="str">
        <f t="shared" si="65"/>
        <v>мин</v>
      </c>
      <c r="E212" s="90">
        <f>Простои!AD21</f>
        <v>0</v>
      </c>
      <c r="F212" s="120">
        <f t="shared" si="64"/>
        <v>0</v>
      </c>
      <c r="G212" s="120">
        <f t="shared" si="62"/>
        <v>0</v>
      </c>
      <c r="H212" s="120">
        <f t="shared" si="62"/>
        <v>0</v>
      </c>
      <c r="I212" s="120">
        <f t="shared" si="62"/>
        <v>0</v>
      </c>
      <c r="J212" s="120">
        <f t="shared" si="62"/>
        <v>0</v>
      </c>
      <c r="K212" s="120">
        <f t="shared" si="62"/>
        <v>0</v>
      </c>
      <c r="L212" s="120">
        <f t="shared" si="62"/>
        <v>0</v>
      </c>
      <c r="M212" s="120">
        <f t="shared" si="62"/>
        <v>0</v>
      </c>
      <c r="N212" s="120">
        <f t="shared" si="62"/>
        <v>0</v>
      </c>
      <c r="O212" s="120">
        <f t="shared" si="62"/>
        <v>0</v>
      </c>
      <c r="P212" s="120">
        <f t="shared" si="62"/>
        <v>0</v>
      </c>
      <c r="Q212" s="120">
        <f t="shared" si="62"/>
        <v>0</v>
      </c>
      <c r="R212" s="120">
        <f t="shared" si="62"/>
        <v>0</v>
      </c>
      <c r="S212" s="120">
        <f t="shared" si="62"/>
        <v>0</v>
      </c>
      <c r="T212" s="120">
        <f t="shared" si="62"/>
        <v>0</v>
      </c>
      <c r="U212" s="120">
        <f t="shared" si="62"/>
        <v>0</v>
      </c>
      <c r="V212" s="120">
        <f t="shared" si="62"/>
        <v>0</v>
      </c>
      <c r="W212" s="120">
        <f t="shared" si="62"/>
        <v>0</v>
      </c>
      <c r="X212" s="120">
        <f t="shared" si="62"/>
        <v>0</v>
      </c>
      <c r="Y212" s="179"/>
    </row>
    <row r="213" spans="1:25" x14ac:dyDescent="0.25">
      <c r="A213" s="139">
        <f t="shared" si="52"/>
        <v>0</v>
      </c>
      <c r="B213" s="30"/>
      <c r="C213" s="31">
        <f t="shared" si="63"/>
        <v>0</v>
      </c>
      <c r="D213" s="9" t="str">
        <f t="shared" si="65"/>
        <v>мин</v>
      </c>
      <c r="E213" s="90">
        <f>Простои!AD22</f>
        <v>0</v>
      </c>
      <c r="F213" s="120">
        <f t="shared" si="64"/>
        <v>0</v>
      </c>
      <c r="G213" s="120">
        <f t="shared" si="62"/>
        <v>0</v>
      </c>
      <c r="H213" s="120">
        <f t="shared" si="62"/>
        <v>0</v>
      </c>
      <c r="I213" s="120">
        <f t="shared" si="62"/>
        <v>0</v>
      </c>
      <c r="J213" s="120">
        <f t="shared" si="62"/>
        <v>0</v>
      </c>
      <c r="K213" s="120">
        <f t="shared" si="62"/>
        <v>0</v>
      </c>
      <c r="L213" s="120">
        <f t="shared" si="62"/>
        <v>0</v>
      </c>
      <c r="M213" s="120">
        <f t="shared" si="62"/>
        <v>0</v>
      </c>
      <c r="N213" s="120">
        <f t="shared" si="62"/>
        <v>0</v>
      </c>
      <c r="O213" s="120">
        <f t="shared" si="62"/>
        <v>0</v>
      </c>
      <c r="P213" s="120">
        <f t="shared" si="62"/>
        <v>0</v>
      </c>
      <c r="Q213" s="120">
        <f t="shared" si="62"/>
        <v>0</v>
      </c>
      <c r="R213" s="120">
        <f t="shared" si="62"/>
        <v>0</v>
      </c>
      <c r="S213" s="120">
        <f t="shared" si="62"/>
        <v>0</v>
      </c>
      <c r="T213" s="120">
        <f t="shared" si="62"/>
        <v>0</v>
      </c>
      <c r="U213" s="120">
        <f t="shared" si="62"/>
        <v>0</v>
      </c>
      <c r="V213" s="120">
        <f t="shared" si="62"/>
        <v>0</v>
      </c>
      <c r="W213" s="120">
        <f t="shared" si="62"/>
        <v>0</v>
      </c>
      <c r="X213" s="120">
        <f t="shared" si="62"/>
        <v>0</v>
      </c>
      <c r="Y213" s="179"/>
    </row>
    <row r="214" spans="1:25" x14ac:dyDescent="0.25">
      <c r="A214" s="139">
        <f t="shared" si="52"/>
        <v>0</v>
      </c>
      <c r="B214" s="30"/>
      <c r="C214" s="31">
        <f t="shared" si="63"/>
        <v>0</v>
      </c>
      <c r="D214" s="9" t="str">
        <f t="shared" si="65"/>
        <v>мин</v>
      </c>
      <c r="E214" s="90">
        <f>Простои!AD23</f>
        <v>0</v>
      </c>
      <c r="F214" s="120">
        <f t="shared" si="64"/>
        <v>0</v>
      </c>
      <c r="G214" s="120">
        <f t="shared" si="62"/>
        <v>0</v>
      </c>
      <c r="H214" s="120">
        <f t="shared" si="62"/>
        <v>0</v>
      </c>
      <c r="I214" s="120">
        <f t="shared" si="62"/>
        <v>0</v>
      </c>
      <c r="J214" s="120">
        <f t="shared" si="62"/>
        <v>0</v>
      </c>
      <c r="K214" s="120">
        <f t="shared" si="62"/>
        <v>0</v>
      </c>
      <c r="L214" s="120">
        <f t="shared" si="62"/>
        <v>0</v>
      </c>
      <c r="M214" s="120">
        <f t="shared" si="62"/>
        <v>0</v>
      </c>
      <c r="N214" s="120">
        <f t="shared" si="62"/>
        <v>0</v>
      </c>
      <c r="O214" s="120">
        <f t="shared" si="62"/>
        <v>0</v>
      </c>
      <c r="P214" s="120">
        <f t="shared" si="62"/>
        <v>0</v>
      </c>
      <c r="Q214" s="120">
        <f t="shared" si="62"/>
        <v>0</v>
      </c>
      <c r="R214" s="120">
        <f t="shared" si="62"/>
        <v>0</v>
      </c>
      <c r="S214" s="120">
        <f t="shared" si="62"/>
        <v>0</v>
      </c>
      <c r="T214" s="120">
        <f t="shared" si="62"/>
        <v>0</v>
      </c>
      <c r="U214" s="120">
        <f t="shared" si="62"/>
        <v>0</v>
      </c>
      <c r="V214" s="120">
        <f t="shared" si="62"/>
        <v>0</v>
      </c>
      <c r="W214" s="120">
        <f t="shared" si="62"/>
        <v>0</v>
      </c>
      <c r="X214" s="120">
        <f t="shared" si="62"/>
        <v>0</v>
      </c>
      <c r="Y214" s="179"/>
    </row>
    <row r="215" spans="1:25" x14ac:dyDescent="0.25">
      <c r="A215" s="139">
        <f t="shared" si="52"/>
        <v>1</v>
      </c>
      <c r="B215" s="9">
        <f>B199+0.1</f>
        <v>9.2999999999999989</v>
      </c>
      <c r="C215" s="147" t="s">
        <v>118</v>
      </c>
      <c r="D215" s="9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179"/>
    </row>
    <row r="216" spans="1:25" x14ac:dyDescent="0.25">
      <c r="A216" s="139">
        <f t="shared" si="52"/>
        <v>1</v>
      </c>
      <c r="B216" s="30"/>
      <c r="C216" s="31" t="str">
        <f>C200</f>
        <v>NHL NTE 240</v>
      </c>
      <c r="D216" s="9" t="s">
        <v>115</v>
      </c>
      <c r="E216" s="149">
        <f>IFERROR(E8/$D$279/E152*60,0)</f>
        <v>16.239986337701311</v>
      </c>
      <c r="F216" s="149">
        <f t="shared" ref="F216:X230" si="66">IFERROR(F8/$D$279/F152*60,0)</f>
        <v>18.004397357964599</v>
      </c>
      <c r="G216" s="149">
        <f t="shared" si="66"/>
        <v>21.620865828591036</v>
      </c>
      <c r="H216" s="149">
        <f t="shared" si="66"/>
        <v>20.868600127385555</v>
      </c>
      <c r="I216" s="149">
        <f t="shared" si="66"/>
        <v>25.61997748489657</v>
      </c>
      <c r="J216" s="149">
        <f t="shared" si="66"/>
        <v>28.616779792827813</v>
      </c>
      <c r="K216" s="149">
        <f t="shared" si="66"/>
        <v>23.610933776724519</v>
      </c>
      <c r="L216" s="149">
        <f t="shared" si="66"/>
        <v>24.182928055469119</v>
      </c>
      <c r="M216" s="149">
        <f t="shared" si="66"/>
        <v>28.766111532496382</v>
      </c>
      <c r="N216" s="149">
        <f t="shared" si="66"/>
        <v>25.751142493110091</v>
      </c>
      <c r="O216" s="149">
        <f t="shared" si="66"/>
        <v>25.323784520551669</v>
      </c>
      <c r="P216" s="149">
        <f t="shared" si="66"/>
        <v>30.650862486337786</v>
      </c>
      <c r="Q216" s="149">
        <f t="shared" si="66"/>
        <v>31.157298696470757</v>
      </c>
      <c r="R216" s="149">
        <f t="shared" si="66"/>
        <v>32.308014041870059</v>
      </c>
      <c r="S216" s="149">
        <f t="shared" si="66"/>
        <v>32.056704514975678</v>
      </c>
      <c r="T216" s="149">
        <f t="shared" si="66"/>
        <v>29.975159002248759</v>
      </c>
      <c r="U216" s="149">
        <f t="shared" si="66"/>
        <v>21.674668977320938</v>
      </c>
      <c r="V216" s="149">
        <f t="shared" si="66"/>
        <v>24.74662274660626</v>
      </c>
      <c r="W216" s="149">
        <f t="shared" si="66"/>
        <v>31.912127947500817</v>
      </c>
      <c r="X216" s="149">
        <f t="shared" si="66"/>
        <v>36.247919543218067</v>
      </c>
      <c r="Y216" s="179"/>
    </row>
    <row r="217" spans="1:25" x14ac:dyDescent="0.25">
      <c r="A217" s="139">
        <f t="shared" si="52"/>
        <v>1</v>
      </c>
      <c r="B217" s="30"/>
      <c r="C217" s="31" t="str">
        <f t="shared" ref="C217:C230" si="67">C201</f>
        <v>Estar ESDE240 (ГПБ К)</v>
      </c>
      <c r="D217" s="9" t="str">
        <f>D216</f>
        <v>мин</v>
      </c>
      <c r="E217" s="149">
        <f t="shared" ref="E217:T230" si="68">IFERROR(E9/$D$279/E153*60,0)</f>
        <v>16.239986337701311</v>
      </c>
      <c r="F217" s="149">
        <f t="shared" si="68"/>
        <v>18.004397357964599</v>
      </c>
      <c r="G217" s="149">
        <f t="shared" si="68"/>
        <v>21.620865828591036</v>
      </c>
      <c r="H217" s="149">
        <f t="shared" si="68"/>
        <v>20.868600127385555</v>
      </c>
      <c r="I217" s="149">
        <f t="shared" si="68"/>
        <v>25.61997748489657</v>
      </c>
      <c r="J217" s="149">
        <f t="shared" si="68"/>
        <v>28.616779792827813</v>
      </c>
      <c r="K217" s="149">
        <f t="shared" si="68"/>
        <v>23.610933776724519</v>
      </c>
      <c r="L217" s="149">
        <f t="shared" si="68"/>
        <v>24.182928055469119</v>
      </c>
      <c r="M217" s="149">
        <f t="shared" si="68"/>
        <v>28.766111532496382</v>
      </c>
      <c r="N217" s="149">
        <f t="shared" si="68"/>
        <v>25.751142493110091</v>
      </c>
      <c r="O217" s="149">
        <f t="shared" si="68"/>
        <v>25.323784520551669</v>
      </c>
      <c r="P217" s="149">
        <f t="shared" si="68"/>
        <v>30.650862486337786</v>
      </c>
      <c r="Q217" s="149">
        <f t="shared" si="68"/>
        <v>31.157298696470757</v>
      </c>
      <c r="R217" s="149">
        <f t="shared" si="68"/>
        <v>32.308014041870059</v>
      </c>
      <c r="S217" s="149">
        <f t="shared" si="68"/>
        <v>32.056704514975678</v>
      </c>
      <c r="T217" s="149">
        <f t="shared" si="68"/>
        <v>29.975159002248759</v>
      </c>
      <c r="U217" s="149">
        <f t="shared" si="66"/>
        <v>21.674668977320938</v>
      </c>
      <c r="V217" s="149">
        <f t="shared" si="66"/>
        <v>24.74662274660626</v>
      </c>
      <c r="W217" s="149">
        <f t="shared" si="66"/>
        <v>31.912127947500817</v>
      </c>
      <c r="X217" s="149">
        <f t="shared" si="66"/>
        <v>36.247919543218067</v>
      </c>
      <c r="Y217" s="179"/>
    </row>
    <row r="218" spans="1:25" x14ac:dyDescent="0.25">
      <c r="A218" s="139">
        <f t="shared" si="52"/>
        <v>1</v>
      </c>
      <c r="B218" s="30"/>
      <c r="C218" s="31" t="str">
        <f t="shared" si="67"/>
        <v>SANY SET240S</v>
      </c>
      <c r="D218" s="9" t="str">
        <f t="shared" ref="D218:D230" si="69">D217</f>
        <v>мин</v>
      </c>
      <c r="E218" s="149">
        <f t="shared" si="68"/>
        <v>16.239986337701311</v>
      </c>
      <c r="F218" s="149">
        <f t="shared" si="66"/>
        <v>18.004397357964599</v>
      </c>
      <c r="G218" s="149">
        <f t="shared" si="66"/>
        <v>21.620865828591036</v>
      </c>
      <c r="H218" s="149">
        <f t="shared" si="66"/>
        <v>20.868600127385555</v>
      </c>
      <c r="I218" s="149">
        <f t="shared" si="66"/>
        <v>25.61997748489657</v>
      </c>
      <c r="J218" s="149">
        <f t="shared" si="66"/>
        <v>28.616779792827813</v>
      </c>
      <c r="K218" s="149">
        <f t="shared" si="66"/>
        <v>23.610933776724519</v>
      </c>
      <c r="L218" s="149">
        <f t="shared" si="66"/>
        <v>24.182928055469119</v>
      </c>
      <c r="M218" s="149">
        <f t="shared" si="66"/>
        <v>28.766111532496382</v>
      </c>
      <c r="N218" s="149">
        <f t="shared" si="66"/>
        <v>25.751142493110091</v>
      </c>
      <c r="O218" s="149">
        <f t="shared" si="66"/>
        <v>25.323784520551669</v>
      </c>
      <c r="P218" s="149">
        <f t="shared" si="66"/>
        <v>30.650862486337786</v>
      </c>
      <c r="Q218" s="149">
        <f t="shared" si="66"/>
        <v>31.157298696470757</v>
      </c>
      <c r="R218" s="149">
        <f t="shared" si="66"/>
        <v>32.308014041870059</v>
      </c>
      <c r="S218" s="149">
        <f t="shared" si="66"/>
        <v>32.056704514975678</v>
      </c>
      <c r="T218" s="149">
        <f t="shared" si="66"/>
        <v>29.975159002248759</v>
      </c>
      <c r="U218" s="149">
        <f t="shared" si="66"/>
        <v>21.674668977320938</v>
      </c>
      <c r="V218" s="149">
        <f t="shared" si="66"/>
        <v>24.74662274660626</v>
      </c>
      <c r="W218" s="149">
        <f t="shared" si="66"/>
        <v>31.912127947500817</v>
      </c>
      <c r="X218" s="149">
        <f t="shared" si="66"/>
        <v>36.247919543218067</v>
      </c>
      <c r="Y218" s="179"/>
    </row>
    <row r="219" spans="1:25" x14ac:dyDescent="0.25">
      <c r="A219" s="139">
        <f t="shared" si="52"/>
        <v>1</v>
      </c>
      <c r="B219" s="30"/>
      <c r="C219" s="31" t="str">
        <f t="shared" si="67"/>
        <v>TZCO TZE240</v>
      </c>
      <c r="D219" s="9" t="str">
        <f t="shared" si="69"/>
        <v>мин</v>
      </c>
      <c r="E219" s="149">
        <f t="shared" si="68"/>
        <v>16.239986337701311</v>
      </c>
      <c r="F219" s="149">
        <f t="shared" si="66"/>
        <v>18.004397357964599</v>
      </c>
      <c r="G219" s="149">
        <f t="shared" si="66"/>
        <v>21.620865828591036</v>
      </c>
      <c r="H219" s="149">
        <f t="shared" si="66"/>
        <v>20.868600127385555</v>
      </c>
      <c r="I219" s="149">
        <f t="shared" si="66"/>
        <v>25.61997748489657</v>
      </c>
      <c r="J219" s="149">
        <f t="shared" si="66"/>
        <v>28.616779792827813</v>
      </c>
      <c r="K219" s="149">
        <f t="shared" si="66"/>
        <v>23.610933776724519</v>
      </c>
      <c r="L219" s="149">
        <f t="shared" si="66"/>
        <v>24.182928055469119</v>
      </c>
      <c r="M219" s="149">
        <f t="shared" si="66"/>
        <v>28.766111532496382</v>
      </c>
      <c r="N219" s="149">
        <f t="shared" si="66"/>
        <v>25.751142493110091</v>
      </c>
      <c r="O219" s="149">
        <f t="shared" si="66"/>
        <v>25.323784520551669</v>
      </c>
      <c r="P219" s="149">
        <f t="shared" si="66"/>
        <v>30.650862486337786</v>
      </c>
      <c r="Q219" s="149">
        <f t="shared" si="66"/>
        <v>31.157298696470757</v>
      </c>
      <c r="R219" s="149">
        <f t="shared" si="66"/>
        <v>32.308014041870059</v>
      </c>
      <c r="S219" s="149">
        <f t="shared" si="66"/>
        <v>32.056704514975678</v>
      </c>
      <c r="T219" s="149">
        <f t="shared" si="66"/>
        <v>29.975159002248759</v>
      </c>
      <c r="U219" s="149">
        <f t="shared" si="66"/>
        <v>21.674668977320938</v>
      </c>
      <c r="V219" s="149">
        <f t="shared" si="66"/>
        <v>24.74662274660626</v>
      </c>
      <c r="W219" s="149">
        <f t="shared" si="66"/>
        <v>31.912127947500817</v>
      </c>
      <c r="X219" s="149">
        <f t="shared" si="66"/>
        <v>36.247919543218067</v>
      </c>
      <c r="Y219" s="179"/>
    </row>
    <row r="220" spans="1:25" x14ac:dyDescent="0.25">
      <c r="A220" s="139">
        <f t="shared" si="52"/>
        <v>1</v>
      </c>
      <c r="B220" s="30"/>
      <c r="C220" s="31" t="str">
        <f t="shared" si="67"/>
        <v>БелАЗ 7531 (ГПФК)</v>
      </c>
      <c r="D220" s="9" t="str">
        <f t="shared" si="69"/>
        <v>мин</v>
      </c>
      <c r="E220" s="149">
        <f t="shared" si="68"/>
        <v>16.239986337701311</v>
      </c>
      <c r="F220" s="149">
        <f t="shared" si="66"/>
        <v>18.004397357964599</v>
      </c>
      <c r="G220" s="149">
        <f t="shared" si="66"/>
        <v>21.620865828591036</v>
      </c>
      <c r="H220" s="149">
        <f t="shared" si="66"/>
        <v>20.868600127385555</v>
      </c>
      <c r="I220" s="149">
        <f t="shared" si="66"/>
        <v>25.61997748489657</v>
      </c>
      <c r="J220" s="149">
        <f t="shared" si="66"/>
        <v>28.616779792827813</v>
      </c>
      <c r="K220" s="149">
        <f t="shared" si="66"/>
        <v>23.610933776724519</v>
      </c>
      <c r="L220" s="149">
        <f t="shared" si="66"/>
        <v>24.182928055469119</v>
      </c>
      <c r="M220" s="149">
        <f t="shared" si="66"/>
        <v>28.766111532496382</v>
      </c>
      <c r="N220" s="149">
        <f t="shared" si="66"/>
        <v>25.751142493110091</v>
      </c>
      <c r="O220" s="149">
        <f t="shared" si="66"/>
        <v>25.323784520551669</v>
      </c>
      <c r="P220" s="149">
        <f t="shared" si="66"/>
        <v>30.650862486337786</v>
      </c>
      <c r="Q220" s="149">
        <f t="shared" si="66"/>
        <v>31.157298696470757</v>
      </c>
      <c r="R220" s="149">
        <f t="shared" si="66"/>
        <v>32.308014041870059</v>
      </c>
      <c r="S220" s="149">
        <f t="shared" si="66"/>
        <v>32.056704514975678</v>
      </c>
      <c r="T220" s="149">
        <f t="shared" si="66"/>
        <v>29.975159002248759</v>
      </c>
      <c r="U220" s="149">
        <f t="shared" si="66"/>
        <v>21.674668977320938</v>
      </c>
      <c r="V220" s="149">
        <f t="shared" si="66"/>
        <v>24.74662274660626</v>
      </c>
      <c r="W220" s="149">
        <f t="shared" si="66"/>
        <v>31.912127947500817</v>
      </c>
      <c r="X220" s="149">
        <f t="shared" si="66"/>
        <v>36.247919543218067</v>
      </c>
      <c r="Y220" s="179"/>
    </row>
    <row r="221" spans="1:25" x14ac:dyDescent="0.25">
      <c r="A221" s="139">
        <f t="shared" si="52"/>
        <v>1</v>
      </c>
      <c r="B221" s="30"/>
      <c r="C221" s="31" t="str">
        <f t="shared" si="67"/>
        <v>XCMG 240</v>
      </c>
      <c r="D221" s="9" t="str">
        <f t="shared" si="69"/>
        <v>мин</v>
      </c>
      <c r="E221" s="149">
        <f t="shared" si="68"/>
        <v>16.239986337701311</v>
      </c>
      <c r="F221" s="149">
        <f t="shared" si="66"/>
        <v>18.004397357964599</v>
      </c>
      <c r="G221" s="149">
        <f t="shared" si="66"/>
        <v>21.620865828591036</v>
      </c>
      <c r="H221" s="149">
        <f t="shared" si="66"/>
        <v>20.868600127385555</v>
      </c>
      <c r="I221" s="149">
        <f t="shared" si="66"/>
        <v>25.61997748489657</v>
      </c>
      <c r="J221" s="149">
        <f t="shared" si="66"/>
        <v>28.616779792827813</v>
      </c>
      <c r="K221" s="149">
        <f t="shared" si="66"/>
        <v>23.610933776724519</v>
      </c>
      <c r="L221" s="149">
        <f t="shared" si="66"/>
        <v>24.182928055469119</v>
      </c>
      <c r="M221" s="149">
        <f t="shared" si="66"/>
        <v>28.766111532496382</v>
      </c>
      <c r="N221" s="149">
        <f t="shared" si="66"/>
        <v>25.751142493110091</v>
      </c>
      <c r="O221" s="149">
        <f t="shared" si="66"/>
        <v>25.323784520551669</v>
      </c>
      <c r="P221" s="149">
        <f t="shared" si="66"/>
        <v>30.650862486337786</v>
      </c>
      <c r="Q221" s="149">
        <f t="shared" si="66"/>
        <v>31.157298696470757</v>
      </c>
      <c r="R221" s="149">
        <f t="shared" si="66"/>
        <v>32.308014041870059</v>
      </c>
      <c r="S221" s="149">
        <f t="shared" si="66"/>
        <v>32.056704514975678</v>
      </c>
      <c r="T221" s="149">
        <f t="shared" si="66"/>
        <v>29.975159002248759</v>
      </c>
      <c r="U221" s="149">
        <f t="shared" si="66"/>
        <v>21.674668977320938</v>
      </c>
      <c r="V221" s="149">
        <f t="shared" si="66"/>
        <v>24.74662274660626</v>
      </c>
      <c r="W221" s="149">
        <f t="shared" si="66"/>
        <v>31.912127947500817</v>
      </c>
      <c r="X221" s="149">
        <f t="shared" si="66"/>
        <v>36.247919543218067</v>
      </c>
      <c r="Y221" s="179"/>
    </row>
    <row r="222" spans="1:25" x14ac:dyDescent="0.25">
      <c r="A222" s="139">
        <f t="shared" si="52"/>
        <v>1</v>
      </c>
      <c r="B222" s="30"/>
      <c r="C222" s="31" t="str">
        <f t="shared" si="67"/>
        <v>БелАЗ 7531 (БТЛ)</v>
      </c>
      <c r="D222" s="9" t="str">
        <f t="shared" si="69"/>
        <v>мин</v>
      </c>
      <c r="E222" s="149">
        <f t="shared" si="68"/>
        <v>16.239986337701311</v>
      </c>
      <c r="F222" s="149">
        <f t="shared" si="66"/>
        <v>18.004397357964599</v>
      </c>
      <c r="G222" s="149">
        <f t="shared" si="66"/>
        <v>21.620865828591036</v>
      </c>
      <c r="H222" s="149">
        <f t="shared" si="66"/>
        <v>20.868600127385555</v>
      </c>
      <c r="I222" s="149">
        <f t="shared" si="66"/>
        <v>25.61997748489657</v>
      </c>
      <c r="J222" s="149">
        <f t="shared" si="66"/>
        <v>28.616779792827813</v>
      </c>
      <c r="K222" s="149">
        <f t="shared" si="66"/>
        <v>23.610933776724519</v>
      </c>
      <c r="L222" s="149">
        <f t="shared" si="66"/>
        <v>24.182928055469119</v>
      </c>
      <c r="M222" s="149">
        <f t="shared" si="66"/>
        <v>28.766111532496382</v>
      </c>
      <c r="N222" s="149">
        <f t="shared" si="66"/>
        <v>25.751142493110091</v>
      </c>
      <c r="O222" s="149">
        <f t="shared" si="66"/>
        <v>25.323784520551669</v>
      </c>
      <c r="P222" s="149">
        <f t="shared" si="66"/>
        <v>30.650862486337786</v>
      </c>
      <c r="Q222" s="149">
        <f t="shared" si="66"/>
        <v>31.157298696470757</v>
      </c>
      <c r="R222" s="149">
        <f t="shared" si="66"/>
        <v>32.308014041870059</v>
      </c>
      <c r="S222" s="149">
        <f t="shared" si="66"/>
        <v>32.056704514975678</v>
      </c>
      <c r="T222" s="149">
        <f t="shared" si="66"/>
        <v>29.975159002248759</v>
      </c>
      <c r="U222" s="149">
        <f t="shared" si="66"/>
        <v>21.674668977320938</v>
      </c>
      <c r="V222" s="149">
        <f t="shared" si="66"/>
        <v>24.74662274660626</v>
      </c>
      <c r="W222" s="149">
        <f t="shared" si="66"/>
        <v>31.912127947500817</v>
      </c>
      <c r="X222" s="149">
        <f t="shared" si="66"/>
        <v>36.247919543218067</v>
      </c>
      <c r="Y222" s="179"/>
    </row>
    <row r="223" spans="1:25" x14ac:dyDescent="0.25">
      <c r="A223" s="139">
        <f t="shared" si="52"/>
        <v>0</v>
      </c>
      <c r="B223" s="30"/>
      <c r="C223" s="31">
        <f t="shared" si="67"/>
        <v>0</v>
      </c>
      <c r="D223" s="9" t="str">
        <f t="shared" si="69"/>
        <v>мин</v>
      </c>
      <c r="E223" s="149">
        <f t="shared" si="68"/>
        <v>0</v>
      </c>
      <c r="F223" s="149">
        <f t="shared" si="66"/>
        <v>0</v>
      </c>
      <c r="G223" s="149">
        <f t="shared" si="66"/>
        <v>0</v>
      </c>
      <c r="H223" s="149">
        <f t="shared" si="66"/>
        <v>0</v>
      </c>
      <c r="I223" s="149">
        <f t="shared" si="66"/>
        <v>0</v>
      </c>
      <c r="J223" s="149">
        <f t="shared" si="66"/>
        <v>0</v>
      </c>
      <c r="K223" s="149">
        <f t="shared" si="66"/>
        <v>0</v>
      </c>
      <c r="L223" s="149">
        <f t="shared" si="66"/>
        <v>0</v>
      </c>
      <c r="M223" s="149">
        <f t="shared" si="66"/>
        <v>0</v>
      </c>
      <c r="N223" s="149">
        <f t="shared" si="66"/>
        <v>0</v>
      </c>
      <c r="O223" s="149">
        <f t="shared" si="66"/>
        <v>0</v>
      </c>
      <c r="P223" s="149">
        <f t="shared" si="66"/>
        <v>0</v>
      </c>
      <c r="Q223" s="149">
        <f t="shared" si="66"/>
        <v>0</v>
      </c>
      <c r="R223" s="149">
        <f t="shared" si="66"/>
        <v>0</v>
      </c>
      <c r="S223" s="149">
        <f t="shared" si="66"/>
        <v>0</v>
      </c>
      <c r="T223" s="149">
        <f t="shared" si="66"/>
        <v>0</v>
      </c>
      <c r="U223" s="149">
        <f t="shared" si="66"/>
        <v>0</v>
      </c>
      <c r="V223" s="149">
        <f t="shared" si="66"/>
        <v>0</v>
      </c>
      <c r="W223" s="149">
        <f t="shared" si="66"/>
        <v>0</v>
      </c>
      <c r="X223" s="149">
        <f t="shared" si="66"/>
        <v>0</v>
      </c>
      <c r="Y223" s="179"/>
    </row>
    <row r="224" spans="1:25" x14ac:dyDescent="0.25">
      <c r="A224" s="139">
        <f t="shared" si="52"/>
        <v>0</v>
      </c>
      <c r="B224" s="30"/>
      <c r="C224" s="31">
        <f t="shared" si="67"/>
        <v>0</v>
      </c>
      <c r="D224" s="9" t="str">
        <f t="shared" si="69"/>
        <v>мин</v>
      </c>
      <c r="E224" s="149">
        <f t="shared" si="68"/>
        <v>0</v>
      </c>
      <c r="F224" s="149">
        <f t="shared" si="66"/>
        <v>0</v>
      </c>
      <c r="G224" s="149">
        <f t="shared" si="66"/>
        <v>0</v>
      </c>
      <c r="H224" s="149">
        <f t="shared" si="66"/>
        <v>0</v>
      </c>
      <c r="I224" s="149">
        <f t="shared" si="66"/>
        <v>0</v>
      </c>
      <c r="J224" s="149">
        <f t="shared" si="66"/>
        <v>0</v>
      </c>
      <c r="K224" s="149">
        <f t="shared" si="66"/>
        <v>0</v>
      </c>
      <c r="L224" s="149">
        <f t="shared" si="66"/>
        <v>0</v>
      </c>
      <c r="M224" s="149">
        <f t="shared" si="66"/>
        <v>0</v>
      </c>
      <c r="N224" s="149">
        <f t="shared" si="66"/>
        <v>0</v>
      </c>
      <c r="O224" s="149">
        <f t="shared" si="66"/>
        <v>0</v>
      </c>
      <c r="P224" s="149">
        <f t="shared" si="66"/>
        <v>0</v>
      </c>
      <c r="Q224" s="149">
        <f t="shared" si="66"/>
        <v>0</v>
      </c>
      <c r="R224" s="149">
        <f t="shared" si="66"/>
        <v>0</v>
      </c>
      <c r="S224" s="149">
        <f t="shared" si="66"/>
        <v>0</v>
      </c>
      <c r="T224" s="149">
        <f t="shared" si="66"/>
        <v>0</v>
      </c>
      <c r="U224" s="149">
        <f t="shared" si="66"/>
        <v>0</v>
      </c>
      <c r="V224" s="149">
        <f t="shared" si="66"/>
        <v>0</v>
      </c>
      <c r="W224" s="149">
        <f t="shared" si="66"/>
        <v>0</v>
      </c>
      <c r="X224" s="149">
        <f t="shared" si="66"/>
        <v>0</v>
      </c>
      <c r="Y224" s="179"/>
    </row>
    <row r="225" spans="1:25" x14ac:dyDescent="0.25">
      <c r="A225" s="139">
        <f t="shared" si="52"/>
        <v>0</v>
      </c>
      <c r="B225" s="30"/>
      <c r="C225" s="31">
        <f t="shared" si="67"/>
        <v>0</v>
      </c>
      <c r="D225" s="9" t="str">
        <f t="shared" si="69"/>
        <v>мин</v>
      </c>
      <c r="E225" s="149">
        <f t="shared" si="68"/>
        <v>0</v>
      </c>
      <c r="F225" s="149">
        <f t="shared" si="66"/>
        <v>0</v>
      </c>
      <c r="G225" s="149">
        <f t="shared" si="66"/>
        <v>0</v>
      </c>
      <c r="H225" s="149">
        <f t="shared" si="66"/>
        <v>0</v>
      </c>
      <c r="I225" s="149">
        <f t="shared" si="66"/>
        <v>0</v>
      </c>
      <c r="J225" s="149">
        <f t="shared" si="66"/>
        <v>0</v>
      </c>
      <c r="K225" s="149">
        <f t="shared" si="66"/>
        <v>0</v>
      </c>
      <c r="L225" s="149">
        <f t="shared" si="66"/>
        <v>0</v>
      </c>
      <c r="M225" s="149">
        <f t="shared" si="66"/>
        <v>0</v>
      </c>
      <c r="N225" s="149">
        <f t="shared" si="66"/>
        <v>0</v>
      </c>
      <c r="O225" s="149">
        <f t="shared" si="66"/>
        <v>0</v>
      </c>
      <c r="P225" s="149">
        <f t="shared" si="66"/>
        <v>0</v>
      </c>
      <c r="Q225" s="149">
        <f t="shared" si="66"/>
        <v>0</v>
      </c>
      <c r="R225" s="149">
        <f t="shared" si="66"/>
        <v>0</v>
      </c>
      <c r="S225" s="149">
        <f t="shared" si="66"/>
        <v>0</v>
      </c>
      <c r="T225" s="149">
        <f t="shared" si="66"/>
        <v>0</v>
      </c>
      <c r="U225" s="149">
        <f t="shared" si="66"/>
        <v>0</v>
      </c>
      <c r="V225" s="149">
        <f t="shared" si="66"/>
        <v>0</v>
      </c>
      <c r="W225" s="149">
        <f t="shared" si="66"/>
        <v>0</v>
      </c>
      <c r="X225" s="149">
        <f t="shared" si="66"/>
        <v>0</v>
      </c>
      <c r="Y225" s="179"/>
    </row>
    <row r="226" spans="1:25" x14ac:dyDescent="0.25">
      <c r="A226" s="139">
        <f t="shared" si="52"/>
        <v>0</v>
      </c>
      <c r="B226" s="30"/>
      <c r="C226" s="31">
        <f t="shared" si="67"/>
        <v>0</v>
      </c>
      <c r="D226" s="9" t="str">
        <f t="shared" si="69"/>
        <v>мин</v>
      </c>
      <c r="E226" s="149">
        <f t="shared" si="68"/>
        <v>0</v>
      </c>
      <c r="F226" s="149">
        <f t="shared" si="66"/>
        <v>0</v>
      </c>
      <c r="G226" s="149">
        <f t="shared" si="66"/>
        <v>0</v>
      </c>
      <c r="H226" s="149">
        <f t="shared" si="66"/>
        <v>0</v>
      </c>
      <c r="I226" s="149">
        <f t="shared" si="66"/>
        <v>0</v>
      </c>
      <c r="J226" s="149">
        <f t="shared" si="66"/>
        <v>0</v>
      </c>
      <c r="K226" s="149">
        <f t="shared" si="66"/>
        <v>0</v>
      </c>
      <c r="L226" s="149">
        <f t="shared" si="66"/>
        <v>0</v>
      </c>
      <c r="M226" s="149">
        <f t="shared" si="66"/>
        <v>0</v>
      </c>
      <c r="N226" s="149">
        <f t="shared" si="66"/>
        <v>0</v>
      </c>
      <c r="O226" s="149">
        <f t="shared" si="66"/>
        <v>0</v>
      </c>
      <c r="P226" s="149">
        <f t="shared" si="66"/>
        <v>0</v>
      </c>
      <c r="Q226" s="149">
        <f t="shared" si="66"/>
        <v>0</v>
      </c>
      <c r="R226" s="149">
        <f t="shared" si="66"/>
        <v>0</v>
      </c>
      <c r="S226" s="149">
        <f t="shared" si="66"/>
        <v>0</v>
      </c>
      <c r="T226" s="149">
        <f t="shared" si="66"/>
        <v>0</v>
      </c>
      <c r="U226" s="149">
        <f t="shared" si="66"/>
        <v>0</v>
      </c>
      <c r="V226" s="149">
        <f t="shared" si="66"/>
        <v>0</v>
      </c>
      <c r="W226" s="149">
        <f t="shared" si="66"/>
        <v>0</v>
      </c>
      <c r="X226" s="149">
        <f t="shared" si="66"/>
        <v>0</v>
      </c>
      <c r="Y226" s="179"/>
    </row>
    <row r="227" spans="1:25" x14ac:dyDescent="0.25">
      <c r="A227" s="139">
        <f t="shared" si="52"/>
        <v>0</v>
      </c>
      <c r="B227" s="30"/>
      <c r="C227" s="31">
        <f t="shared" si="67"/>
        <v>0</v>
      </c>
      <c r="D227" s="9" t="str">
        <f t="shared" si="69"/>
        <v>мин</v>
      </c>
      <c r="E227" s="149">
        <f t="shared" si="68"/>
        <v>0</v>
      </c>
      <c r="F227" s="149">
        <f t="shared" si="66"/>
        <v>0</v>
      </c>
      <c r="G227" s="149">
        <f t="shared" si="66"/>
        <v>0</v>
      </c>
      <c r="H227" s="149">
        <f t="shared" si="66"/>
        <v>0</v>
      </c>
      <c r="I227" s="149">
        <f t="shared" si="66"/>
        <v>0</v>
      </c>
      <c r="J227" s="149">
        <f t="shared" si="66"/>
        <v>0</v>
      </c>
      <c r="K227" s="149">
        <f t="shared" si="66"/>
        <v>0</v>
      </c>
      <c r="L227" s="149">
        <f t="shared" si="66"/>
        <v>0</v>
      </c>
      <c r="M227" s="149">
        <f t="shared" si="66"/>
        <v>0</v>
      </c>
      <c r="N227" s="149">
        <f t="shared" si="66"/>
        <v>0</v>
      </c>
      <c r="O227" s="149">
        <f t="shared" si="66"/>
        <v>0</v>
      </c>
      <c r="P227" s="149">
        <f t="shared" si="66"/>
        <v>0</v>
      </c>
      <c r="Q227" s="149">
        <f t="shared" si="66"/>
        <v>0</v>
      </c>
      <c r="R227" s="149">
        <f t="shared" si="66"/>
        <v>0</v>
      </c>
      <c r="S227" s="149">
        <f t="shared" si="66"/>
        <v>0</v>
      </c>
      <c r="T227" s="149">
        <f t="shared" si="66"/>
        <v>0</v>
      </c>
      <c r="U227" s="149">
        <f t="shared" si="66"/>
        <v>0</v>
      </c>
      <c r="V227" s="149">
        <f t="shared" si="66"/>
        <v>0</v>
      </c>
      <c r="W227" s="149">
        <f t="shared" si="66"/>
        <v>0</v>
      </c>
      <c r="X227" s="149">
        <f t="shared" si="66"/>
        <v>0</v>
      </c>
      <c r="Y227" s="179"/>
    </row>
    <row r="228" spans="1:25" x14ac:dyDescent="0.25">
      <c r="A228" s="139">
        <f t="shared" si="52"/>
        <v>0</v>
      </c>
      <c r="B228" s="30"/>
      <c r="C228" s="31">
        <f t="shared" si="67"/>
        <v>0</v>
      </c>
      <c r="D228" s="9" t="str">
        <f t="shared" si="69"/>
        <v>мин</v>
      </c>
      <c r="E228" s="149">
        <f t="shared" si="68"/>
        <v>0</v>
      </c>
      <c r="F228" s="149">
        <f t="shared" si="66"/>
        <v>0</v>
      </c>
      <c r="G228" s="149">
        <f t="shared" si="66"/>
        <v>0</v>
      </c>
      <c r="H228" s="149">
        <f t="shared" si="66"/>
        <v>0</v>
      </c>
      <c r="I228" s="149">
        <f t="shared" si="66"/>
        <v>0</v>
      </c>
      <c r="J228" s="149">
        <f t="shared" si="66"/>
        <v>0</v>
      </c>
      <c r="K228" s="149">
        <f t="shared" si="66"/>
        <v>0</v>
      </c>
      <c r="L228" s="149">
        <f t="shared" si="66"/>
        <v>0</v>
      </c>
      <c r="M228" s="149">
        <f t="shared" si="66"/>
        <v>0</v>
      </c>
      <c r="N228" s="149">
        <f t="shared" si="66"/>
        <v>0</v>
      </c>
      <c r="O228" s="149">
        <f t="shared" si="66"/>
        <v>0</v>
      </c>
      <c r="P228" s="149">
        <f t="shared" si="66"/>
        <v>0</v>
      </c>
      <c r="Q228" s="149">
        <f t="shared" si="66"/>
        <v>0</v>
      </c>
      <c r="R228" s="149">
        <f t="shared" si="66"/>
        <v>0</v>
      </c>
      <c r="S228" s="149">
        <f t="shared" si="66"/>
        <v>0</v>
      </c>
      <c r="T228" s="149">
        <f t="shared" si="66"/>
        <v>0</v>
      </c>
      <c r="U228" s="149">
        <f t="shared" si="66"/>
        <v>0</v>
      </c>
      <c r="V228" s="149">
        <f t="shared" si="66"/>
        <v>0</v>
      </c>
      <c r="W228" s="149">
        <f t="shared" si="66"/>
        <v>0</v>
      </c>
      <c r="X228" s="149">
        <f t="shared" si="66"/>
        <v>0</v>
      </c>
      <c r="Y228" s="179"/>
    </row>
    <row r="229" spans="1:25" x14ac:dyDescent="0.25">
      <c r="A229" s="139">
        <f t="shared" si="52"/>
        <v>0</v>
      </c>
      <c r="B229" s="30"/>
      <c r="C229" s="31">
        <f t="shared" si="67"/>
        <v>0</v>
      </c>
      <c r="D229" s="9" t="str">
        <f t="shared" si="69"/>
        <v>мин</v>
      </c>
      <c r="E229" s="149">
        <f t="shared" si="68"/>
        <v>0</v>
      </c>
      <c r="F229" s="149">
        <f t="shared" si="66"/>
        <v>0</v>
      </c>
      <c r="G229" s="149">
        <f t="shared" si="66"/>
        <v>0</v>
      </c>
      <c r="H229" s="149">
        <f t="shared" si="66"/>
        <v>0</v>
      </c>
      <c r="I229" s="149">
        <f t="shared" si="66"/>
        <v>0</v>
      </c>
      <c r="J229" s="149">
        <f t="shared" si="66"/>
        <v>0</v>
      </c>
      <c r="K229" s="149">
        <f t="shared" si="66"/>
        <v>0</v>
      </c>
      <c r="L229" s="149">
        <f t="shared" si="66"/>
        <v>0</v>
      </c>
      <c r="M229" s="149">
        <f t="shared" si="66"/>
        <v>0</v>
      </c>
      <c r="N229" s="149">
        <f t="shared" si="66"/>
        <v>0</v>
      </c>
      <c r="O229" s="149">
        <f t="shared" si="66"/>
        <v>0</v>
      </c>
      <c r="P229" s="149">
        <f t="shared" si="66"/>
        <v>0</v>
      </c>
      <c r="Q229" s="149">
        <f t="shared" si="66"/>
        <v>0</v>
      </c>
      <c r="R229" s="149">
        <f t="shared" si="66"/>
        <v>0</v>
      </c>
      <c r="S229" s="149">
        <f t="shared" si="66"/>
        <v>0</v>
      </c>
      <c r="T229" s="149">
        <f t="shared" si="66"/>
        <v>0</v>
      </c>
      <c r="U229" s="149">
        <f t="shared" si="66"/>
        <v>0</v>
      </c>
      <c r="V229" s="149">
        <f t="shared" si="66"/>
        <v>0</v>
      </c>
      <c r="W229" s="149">
        <f t="shared" si="66"/>
        <v>0</v>
      </c>
      <c r="X229" s="149">
        <f t="shared" si="66"/>
        <v>0</v>
      </c>
      <c r="Y229" s="179"/>
    </row>
    <row r="230" spans="1:25" x14ac:dyDescent="0.25">
      <c r="A230" s="139">
        <f t="shared" si="52"/>
        <v>0</v>
      </c>
      <c r="B230" s="30"/>
      <c r="C230" s="31">
        <f t="shared" si="67"/>
        <v>0</v>
      </c>
      <c r="D230" s="9" t="str">
        <f t="shared" si="69"/>
        <v>мин</v>
      </c>
      <c r="E230" s="149">
        <f t="shared" si="68"/>
        <v>0</v>
      </c>
      <c r="F230" s="149">
        <f t="shared" si="66"/>
        <v>0</v>
      </c>
      <c r="G230" s="149">
        <f t="shared" si="66"/>
        <v>0</v>
      </c>
      <c r="H230" s="149">
        <f t="shared" si="66"/>
        <v>0</v>
      </c>
      <c r="I230" s="149">
        <f t="shared" si="66"/>
        <v>0</v>
      </c>
      <c r="J230" s="149">
        <f t="shared" ref="J230:X230" si="70">IFERROR(J22/$D$279/J166*60,0)</f>
        <v>0</v>
      </c>
      <c r="K230" s="149">
        <f t="shared" si="70"/>
        <v>0</v>
      </c>
      <c r="L230" s="149">
        <f t="shared" si="70"/>
        <v>0</v>
      </c>
      <c r="M230" s="149">
        <f t="shared" si="70"/>
        <v>0</v>
      </c>
      <c r="N230" s="149">
        <f t="shared" si="70"/>
        <v>0</v>
      </c>
      <c r="O230" s="149">
        <f t="shared" si="70"/>
        <v>0</v>
      </c>
      <c r="P230" s="149">
        <f t="shared" si="70"/>
        <v>0</v>
      </c>
      <c r="Q230" s="149">
        <f t="shared" si="70"/>
        <v>0</v>
      </c>
      <c r="R230" s="149">
        <f t="shared" si="70"/>
        <v>0</v>
      </c>
      <c r="S230" s="149">
        <f t="shared" si="70"/>
        <v>0</v>
      </c>
      <c r="T230" s="149">
        <f t="shared" si="70"/>
        <v>0</v>
      </c>
      <c r="U230" s="149">
        <f t="shared" si="70"/>
        <v>0</v>
      </c>
      <c r="V230" s="149">
        <f t="shared" si="70"/>
        <v>0</v>
      </c>
      <c r="W230" s="149">
        <f t="shared" si="70"/>
        <v>0</v>
      </c>
      <c r="X230" s="149">
        <f t="shared" si="70"/>
        <v>0</v>
      </c>
      <c r="Y230" s="179"/>
    </row>
    <row r="231" spans="1:25" x14ac:dyDescent="0.25">
      <c r="A231" s="139">
        <f t="shared" si="52"/>
        <v>1</v>
      </c>
      <c r="B231" s="68">
        <f>B167+1</f>
        <v>10</v>
      </c>
      <c r="C231" s="98" t="s">
        <v>119</v>
      </c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179"/>
    </row>
    <row r="232" spans="1:25" x14ac:dyDescent="0.25">
      <c r="A232" s="139">
        <f t="shared" ref="A232:A278" si="71">A216</f>
        <v>1</v>
      </c>
      <c r="B232" s="30"/>
      <c r="C232" s="31" t="str">
        <f>C216</f>
        <v>NHL NTE 240</v>
      </c>
      <c r="D232" s="9" t="s">
        <v>67</v>
      </c>
      <c r="E232" s="89">
        <f>IFERROR(E136*60/E168,0)</f>
        <v>17155.29563077584</v>
      </c>
      <c r="F232" s="89">
        <f t="shared" ref="F232:X246" si="72">IFERROR(F136*60/F168,0)</f>
        <v>15886.511169492567</v>
      </c>
      <c r="G232" s="89">
        <f t="shared" si="72"/>
        <v>13940.525473740152</v>
      </c>
      <c r="H232" s="89">
        <f t="shared" si="72"/>
        <v>14104.788955982352</v>
      </c>
      <c r="I232" s="89">
        <f t="shared" si="72"/>
        <v>12467.83892644841</v>
      </c>
      <c r="J232" s="89">
        <f t="shared" si="72"/>
        <v>11315.945948861381</v>
      </c>
      <c r="K232" s="89">
        <f t="shared" si="72"/>
        <v>13221.02855643325</v>
      </c>
      <c r="L232" s="89">
        <f t="shared" si="72"/>
        <v>12708.132912025669</v>
      </c>
      <c r="M232" s="89">
        <f t="shared" si="72"/>
        <v>11213.481963163937</v>
      </c>
      <c r="N232" s="89">
        <f t="shared" si="72"/>
        <v>12405.184649093413</v>
      </c>
      <c r="O232" s="89">
        <f t="shared" si="72"/>
        <v>12325.185654903293</v>
      </c>
      <c r="P232" s="89">
        <f t="shared" si="72"/>
        <v>10628.360902315202</v>
      </c>
      <c r="Q232" s="89">
        <f t="shared" si="72"/>
        <v>10727.662452450953</v>
      </c>
      <c r="R232" s="89">
        <f t="shared" si="72"/>
        <v>10412.027876181903</v>
      </c>
      <c r="S232" s="89">
        <f t="shared" si="72"/>
        <v>10092.723971452757</v>
      </c>
      <c r="T232" s="89">
        <f t="shared" si="72"/>
        <v>10960.866711419136</v>
      </c>
      <c r="U232" s="89">
        <f t="shared" si="72"/>
        <v>14116.833560166442</v>
      </c>
      <c r="V232" s="89">
        <f t="shared" si="72"/>
        <v>12403.762276937034</v>
      </c>
      <c r="W232" s="89">
        <f t="shared" si="72"/>
        <v>10534.298042383054</v>
      </c>
      <c r="X232" s="89">
        <f t="shared" si="72"/>
        <v>9384.7825402072176</v>
      </c>
      <c r="Y232" s="179"/>
    </row>
    <row r="233" spans="1:25" x14ac:dyDescent="0.25">
      <c r="A233" s="139">
        <f t="shared" si="71"/>
        <v>1</v>
      </c>
      <c r="B233" s="30"/>
      <c r="C233" s="31" t="str">
        <f t="shared" ref="C233:C246" si="73">C217</f>
        <v>Estar ESDE240 (ГПБ К)</v>
      </c>
      <c r="D233" s="9" t="str">
        <f>D232</f>
        <v>шт.</v>
      </c>
      <c r="E233" s="89">
        <f t="shared" ref="E233:T246" si="74">IFERROR(E137*60/E169,0)</f>
        <v>16680.911150485033</v>
      </c>
      <c r="F233" s="89">
        <f t="shared" si="74"/>
        <v>15300.936703594154</v>
      </c>
      <c r="G233" s="89">
        <f t="shared" si="74"/>
        <v>12847.479956567049</v>
      </c>
      <c r="H233" s="89">
        <f t="shared" si="74"/>
        <v>12509.066960017562</v>
      </c>
      <c r="I233" s="89">
        <f t="shared" si="74"/>
        <v>12002.910002873661</v>
      </c>
      <c r="J233" s="89">
        <f t="shared" si="74"/>
        <v>10092.384348314708</v>
      </c>
      <c r="K233" s="89">
        <f t="shared" si="74"/>
        <v>12627.025784693029</v>
      </c>
      <c r="L233" s="89">
        <f t="shared" si="74"/>
        <v>11314.045594204103</v>
      </c>
      <c r="M233" s="89">
        <f t="shared" si="74"/>
        <v>10468.454766751263</v>
      </c>
      <c r="N233" s="89">
        <f t="shared" si="74"/>
        <v>11097.266755840148</v>
      </c>
      <c r="O233" s="89">
        <f t="shared" si="74"/>
        <v>0</v>
      </c>
      <c r="P233" s="89">
        <f t="shared" si="74"/>
        <v>0</v>
      </c>
      <c r="Q233" s="89">
        <f t="shared" si="74"/>
        <v>0</v>
      </c>
      <c r="R233" s="89">
        <f t="shared" si="74"/>
        <v>0</v>
      </c>
      <c r="S233" s="89">
        <f t="shared" si="74"/>
        <v>0</v>
      </c>
      <c r="T233" s="89">
        <f t="shared" si="74"/>
        <v>0</v>
      </c>
      <c r="U233" s="89">
        <f t="shared" si="72"/>
        <v>0</v>
      </c>
      <c r="V233" s="89">
        <f t="shared" si="72"/>
        <v>0</v>
      </c>
      <c r="W233" s="89">
        <f t="shared" si="72"/>
        <v>0</v>
      </c>
      <c r="X233" s="89">
        <f t="shared" si="72"/>
        <v>0</v>
      </c>
      <c r="Y233" s="179"/>
    </row>
    <row r="234" spans="1:25" x14ac:dyDescent="0.25">
      <c r="A234" s="139">
        <f t="shared" si="71"/>
        <v>1</v>
      </c>
      <c r="B234" s="30"/>
      <c r="C234" s="31" t="str">
        <f t="shared" si="73"/>
        <v>SANY SET240S</v>
      </c>
      <c r="D234" s="9" t="str">
        <f t="shared" ref="D234:D246" si="75">D233</f>
        <v>шт.</v>
      </c>
      <c r="E234" s="89">
        <f t="shared" si="74"/>
        <v>17121.592635712113</v>
      </c>
      <c r="F234" s="89">
        <f t="shared" si="72"/>
        <v>15412.746867764585</v>
      </c>
      <c r="G234" s="89">
        <f t="shared" si="72"/>
        <v>13106.210427772927</v>
      </c>
      <c r="H234" s="89">
        <f t="shared" si="72"/>
        <v>14028.97287801391</v>
      </c>
      <c r="I234" s="89">
        <f t="shared" si="72"/>
        <v>11357.990801879339</v>
      </c>
      <c r="J234" s="89">
        <f t="shared" si="72"/>
        <v>11092.493719404622</v>
      </c>
      <c r="K234" s="89">
        <f t="shared" si="72"/>
        <v>12291.418535861034</v>
      </c>
      <c r="L234" s="89">
        <f t="shared" si="72"/>
        <v>12601.948991984618</v>
      </c>
      <c r="M234" s="89">
        <f t="shared" si="72"/>
        <v>10396.529941415794</v>
      </c>
      <c r="N234" s="89">
        <f t="shared" si="72"/>
        <v>11772.200334149829</v>
      </c>
      <c r="O234" s="89">
        <f t="shared" si="72"/>
        <v>11637.218314485597</v>
      </c>
      <c r="P234" s="89">
        <f t="shared" si="72"/>
        <v>10140.150930207848</v>
      </c>
      <c r="Q234" s="89">
        <f t="shared" si="72"/>
        <v>0</v>
      </c>
      <c r="R234" s="89">
        <f t="shared" si="72"/>
        <v>0</v>
      </c>
      <c r="S234" s="89">
        <f t="shared" si="72"/>
        <v>0</v>
      </c>
      <c r="T234" s="89">
        <f t="shared" si="72"/>
        <v>0</v>
      </c>
      <c r="U234" s="89">
        <f t="shared" si="72"/>
        <v>0</v>
      </c>
      <c r="V234" s="89">
        <f t="shared" si="72"/>
        <v>0</v>
      </c>
      <c r="W234" s="89">
        <f t="shared" si="72"/>
        <v>0</v>
      </c>
      <c r="X234" s="89">
        <f t="shared" si="72"/>
        <v>0</v>
      </c>
      <c r="Y234" s="179"/>
    </row>
    <row r="235" spans="1:25" x14ac:dyDescent="0.25">
      <c r="A235" s="139">
        <f t="shared" si="71"/>
        <v>1</v>
      </c>
      <c r="B235" s="30"/>
      <c r="C235" s="31" t="str">
        <f t="shared" si="73"/>
        <v>TZCO TZE240</v>
      </c>
      <c r="D235" s="9" t="str">
        <f t="shared" si="75"/>
        <v>шт.</v>
      </c>
      <c r="E235" s="89">
        <f t="shared" si="74"/>
        <v>16644.356925903987</v>
      </c>
      <c r="F235" s="89">
        <f t="shared" si="72"/>
        <v>15090.58198795148</v>
      </c>
      <c r="G235" s="89">
        <f t="shared" si="72"/>
        <v>11716.794196037479</v>
      </c>
      <c r="H235" s="89">
        <f t="shared" si="72"/>
        <v>13722.234495470429</v>
      </c>
      <c r="I235" s="89">
        <f t="shared" si="72"/>
        <v>12151.167290458563</v>
      </c>
      <c r="J235" s="89">
        <f t="shared" si="72"/>
        <v>9184.9281614674564</v>
      </c>
      <c r="K235" s="89">
        <f t="shared" si="72"/>
        <v>12913.788786042433</v>
      </c>
      <c r="L235" s="89">
        <f t="shared" si="72"/>
        <v>12326.411966978691</v>
      </c>
      <c r="M235" s="89">
        <f t="shared" si="72"/>
        <v>0</v>
      </c>
      <c r="N235" s="89">
        <f t="shared" si="72"/>
        <v>0</v>
      </c>
      <c r="O235" s="89">
        <f t="shared" si="72"/>
        <v>0</v>
      </c>
      <c r="P235" s="89">
        <f t="shared" si="72"/>
        <v>0</v>
      </c>
      <c r="Q235" s="89">
        <f t="shared" si="72"/>
        <v>0</v>
      </c>
      <c r="R235" s="89">
        <f t="shared" si="72"/>
        <v>0</v>
      </c>
      <c r="S235" s="89">
        <f t="shared" si="72"/>
        <v>0</v>
      </c>
      <c r="T235" s="89">
        <f t="shared" si="72"/>
        <v>0</v>
      </c>
      <c r="U235" s="89">
        <f t="shared" si="72"/>
        <v>0</v>
      </c>
      <c r="V235" s="89">
        <f t="shared" si="72"/>
        <v>0</v>
      </c>
      <c r="W235" s="89">
        <f t="shared" si="72"/>
        <v>0</v>
      </c>
      <c r="X235" s="89">
        <f t="shared" si="72"/>
        <v>0</v>
      </c>
      <c r="Y235" s="179"/>
    </row>
    <row r="236" spans="1:25" x14ac:dyDescent="0.25">
      <c r="A236" s="139">
        <f t="shared" si="71"/>
        <v>1</v>
      </c>
      <c r="B236" s="30"/>
      <c r="C236" s="31" t="str">
        <f t="shared" si="73"/>
        <v>БелАЗ 7531 (ГПФК)</v>
      </c>
      <c r="D236" s="9" t="str">
        <f t="shared" si="75"/>
        <v>шт.</v>
      </c>
      <c r="E236" s="89">
        <f t="shared" si="74"/>
        <v>16620.149906070314</v>
      </c>
      <c r="F236" s="89">
        <f t="shared" si="72"/>
        <v>15124.845170463366</v>
      </c>
      <c r="G236" s="89">
        <f t="shared" si="72"/>
        <v>13089.544153264078</v>
      </c>
      <c r="H236" s="89">
        <f t="shared" si="72"/>
        <v>13579.917076633403</v>
      </c>
      <c r="I236" s="89">
        <f t="shared" si="72"/>
        <v>11772.735621988515</v>
      </c>
      <c r="J236" s="89">
        <f t="shared" si="72"/>
        <v>10382.261643957045</v>
      </c>
      <c r="K236" s="89">
        <f t="shared" si="72"/>
        <v>12736.394882497059</v>
      </c>
      <c r="L236" s="89">
        <f t="shared" si="72"/>
        <v>11919.938096531741</v>
      </c>
      <c r="M236" s="89">
        <f t="shared" si="72"/>
        <v>10298.024595723644</v>
      </c>
      <c r="N236" s="89">
        <f t="shared" si="72"/>
        <v>11462.173951745524</v>
      </c>
      <c r="O236" s="89">
        <f t="shared" si="72"/>
        <v>0</v>
      </c>
      <c r="P236" s="89">
        <f t="shared" si="72"/>
        <v>0</v>
      </c>
      <c r="Q236" s="89">
        <f t="shared" si="72"/>
        <v>0</v>
      </c>
      <c r="R236" s="89">
        <f t="shared" si="72"/>
        <v>0</v>
      </c>
      <c r="S236" s="89">
        <f t="shared" si="72"/>
        <v>0</v>
      </c>
      <c r="T236" s="89">
        <f t="shared" si="72"/>
        <v>0</v>
      </c>
      <c r="U236" s="89">
        <f t="shared" si="72"/>
        <v>0</v>
      </c>
      <c r="V236" s="89">
        <f t="shared" si="72"/>
        <v>0</v>
      </c>
      <c r="W236" s="89">
        <f t="shared" si="72"/>
        <v>0</v>
      </c>
      <c r="X236" s="89">
        <f t="shared" si="72"/>
        <v>0</v>
      </c>
      <c r="Y236" s="179"/>
    </row>
    <row r="237" spans="1:25" x14ac:dyDescent="0.25">
      <c r="A237" s="139">
        <f t="shared" si="71"/>
        <v>1</v>
      </c>
      <c r="B237" s="30"/>
      <c r="C237" s="31" t="str">
        <f t="shared" si="73"/>
        <v>XCMG 240</v>
      </c>
      <c r="D237" s="9" t="str">
        <f t="shared" si="75"/>
        <v>шт.</v>
      </c>
      <c r="E237" s="89">
        <f t="shared" si="74"/>
        <v>0</v>
      </c>
      <c r="F237" s="89">
        <f t="shared" si="72"/>
        <v>0</v>
      </c>
      <c r="G237" s="89">
        <f t="shared" si="72"/>
        <v>0</v>
      </c>
      <c r="H237" s="89">
        <f t="shared" si="72"/>
        <v>0</v>
      </c>
      <c r="I237" s="89">
        <f t="shared" si="72"/>
        <v>0</v>
      </c>
      <c r="J237" s="89">
        <f t="shared" si="72"/>
        <v>0</v>
      </c>
      <c r="K237" s="89">
        <f t="shared" si="72"/>
        <v>0</v>
      </c>
      <c r="L237" s="89">
        <f t="shared" si="72"/>
        <v>0</v>
      </c>
      <c r="M237" s="89">
        <f t="shared" si="72"/>
        <v>0</v>
      </c>
      <c r="N237" s="89">
        <f t="shared" si="72"/>
        <v>0</v>
      </c>
      <c r="O237" s="89">
        <f t="shared" si="72"/>
        <v>0</v>
      </c>
      <c r="P237" s="89">
        <f t="shared" si="72"/>
        <v>0</v>
      </c>
      <c r="Q237" s="89">
        <f t="shared" si="72"/>
        <v>0</v>
      </c>
      <c r="R237" s="89">
        <f t="shared" si="72"/>
        <v>0</v>
      </c>
      <c r="S237" s="89">
        <f t="shared" si="72"/>
        <v>0</v>
      </c>
      <c r="T237" s="89">
        <f t="shared" si="72"/>
        <v>0</v>
      </c>
      <c r="U237" s="89">
        <f t="shared" si="72"/>
        <v>0</v>
      </c>
      <c r="V237" s="89">
        <f t="shared" si="72"/>
        <v>0</v>
      </c>
      <c r="W237" s="89">
        <f t="shared" si="72"/>
        <v>0</v>
      </c>
      <c r="X237" s="89">
        <f t="shared" si="72"/>
        <v>0</v>
      </c>
      <c r="Y237" s="179"/>
    </row>
    <row r="238" spans="1:25" x14ac:dyDescent="0.25">
      <c r="A238" s="139">
        <f t="shared" si="71"/>
        <v>1</v>
      </c>
      <c r="B238" s="30"/>
      <c r="C238" s="31" t="str">
        <f t="shared" si="73"/>
        <v>БелАЗ 7531 (БТЛ)</v>
      </c>
      <c r="D238" s="9" t="str">
        <f t="shared" si="75"/>
        <v>шт.</v>
      </c>
      <c r="E238" s="89">
        <f t="shared" si="74"/>
        <v>17009.095994168812</v>
      </c>
      <c r="F238" s="89">
        <f t="shared" si="72"/>
        <v>15502.999463756698</v>
      </c>
      <c r="G238" s="89">
        <f t="shared" si="72"/>
        <v>13615.200187343344</v>
      </c>
      <c r="H238" s="89">
        <f t="shared" si="72"/>
        <v>13671.613184479384</v>
      </c>
      <c r="I238" s="89">
        <f t="shared" si="72"/>
        <v>12037.935045779159</v>
      </c>
      <c r="J238" s="89">
        <f t="shared" si="72"/>
        <v>10684.126399493052</v>
      </c>
      <c r="K238" s="89">
        <f t="shared" si="72"/>
        <v>12075.642094857047</v>
      </c>
      <c r="L238" s="89">
        <f t="shared" si="72"/>
        <v>12437.283886346875</v>
      </c>
      <c r="M238" s="89">
        <f t="shared" si="72"/>
        <v>10488.301268791236</v>
      </c>
      <c r="N238" s="89">
        <f t="shared" si="72"/>
        <v>11341.381763676725</v>
      </c>
      <c r="O238" s="89">
        <f t="shared" si="72"/>
        <v>0</v>
      </c>
      <c r="P238" s="89">
        <f t="shared" si="72"/>
        <v>0</v>
      </c>
      <c r="Q238" s="89">
        <f t="shared" si="72"/>
        <v>0</v>
      </c>
      <c r="R238" s="89">
        <f t="shared" si="72"/>
        <v>0</v>
      </c>
      <c r="S238" s="89">
        <f t="shared" si="72"/>
        <v>0</v>
      </c>
      <c r="T238" s="89">
        <f t="shared" si="72"/>
        <v>0</v>
      </c>
      <c r="U238" s="89">
        <f t="shared" si="72"/>
        <v>0</v>
      </c>
      <c r="V238" s="89">
        <f t="shared" si="72"/>
        <v>0</v>
      </c>
      <c r="W238" s="89">
        <f t="shared" si="72"/>
        <v>0</v>
      </c>
      <c r="X238" s="89">
        <f t="shared" si="72"/>
        <v>0</v>
      </c>
      <c r="Y238" s="179"/>
    </row>
    <row r="239" spans="1:25" x14ac:dyDescent="0.25">
      <c r="A239" s="139">
        <f t="shared" si="71"/>
        <v>0</v>
      </c>
      <c r="B239" s="30"/>
      <c r="C239" s="31">
        <f t="shared" si="73"/>
        <v>0</v>
      </c>
      <c r="D239" s="9" t="str">
        <f t="shared" si="75"/>
        <v>шт.</v>
      </c>
      <c r="E239" s="89">
        <f t="shared" si="74"/>
        <v>0</v>
      </c>
      <c r="F239" s="89">
        <f t="shared" si="72"/>
        <v>0</v>
      </c>
      <c r="G239" s="89">
        <f t="shared" si="72"/>
        <v>0</v>
      </c>
      <c r="H239" s="89">
        <f t="shared" si="72"/>
        <v>0</v>
      </c>
      <c r="I239" s="89">
        <f t="shared" si="72"/>
        <v>0</v>
      </c>
      <c r="J239" s="89">
        <f t="shared" si="72"/>
        <v>0</v>
      </c>
      <c r="K239" s="89">
        <f t="shared" si="72"/>
        <v>0</v>
      </c>
      <c r="L239" s="89">
        <f t="shared" si="72"/>
        <v>0</v>
      </c>
      <c r="M239" s="89">
        <f t="shared" si="72"/>
        <v>0</v>
      </c>
      <c r="N239" s="89">
        <f t="shared" si="72"/>
        <v>0</v>
      </c>
      <c r="O239" s="89">
        <f t="shared" si="72"/>
        <v>0</v>
      </c>
      <c r="P239" s="89">
        <f t="shared" si="72"/>
        <v>0</v>
      </c>
      <c r="Q239" s="89">
        <f t="shared" si="72"/>
        <v>0</v>
      </c>
      <c r="R239" s="89">
        <f t="shared" si="72"/>
        <v>0</v>
      </c>
      <c r="S239" s="89">
        <f t="shared" si="72"/>
        <v>0</v>
      </c>
      <c r="T239" s="89">
        <f t="shared" si="72"/>
        <v>0</v>
      </c>
      <c r="U239" s="89">
        <f t="shared" si="72"/>
        <v>0</v>
      </c>
      <c r="V239" s="89">
        <f t="shared" si="72"/>
        <v>0</v>
      </c>
      <c r="W239" s="89">
        <f t="shared" si="72"/>
        <v>0</v>
      </c>
      <c r="X239" s="89">
        <f t="shared" si="72"/>
        <v>0</v>
      </c>
      <c r="Y239" s="179"/>
    </row>
    <row r="240" spans="1:25" x14ac:dyDescent="0.25">
      <c r="A240" s="139">
        <f t="shared" si="71"/>
        <v>0</v>
      </c>
      <c r="B240" s="30"/>
      <c r="C240" s="31">
        <f t="shared" si="73"/>
        <v>0</v>
      </c>
      <c r="D240" s="9" t="str">
        <f t="shared" si="75"/>
        <v>шт.</v>
      </c>
      <c r="E240" s="89">
        <f t="shared" si="74"/>
        <v>0</v>
      </c>
      <c r="F240" s="89">
        <f t="shared" si="72"/>
        <v>0</v>
      </c>
      <c r="G240" s="89">
        <f t="shared" si="72"/>
        <v>0</v>
      </c>
      <c r="H240" s="89">
        <f t="shared" si="72"/>
        <v>0</v>
      </c>
      <c r="I240" s="89">
        <f t="shared" si="72"/>
        <v>0</v>
      </c>
      <c r="J240" s="89">
        <f t="shared" si="72"/>
        <v>0</v>
      </c>
      <c r="K240" s="89">
        <f t="shared" si="72"/>
        <v>0</v>
      </c>
      <c r="L240" s="89">
        <f t="shared" si="72"/>
        <v>0</v>
      </c>
      <c r="M240" s="89">
        <f t="shared" si="72"/>
        <v>0</v>
      </c>
      <c r="N240" s="89">
        <f t="shared" si="72"/>
        <v>0</v>
      </c>
      <c r="O240" s="89">
        <f t="shared" si="72"/>
        <v>0</v>
      </c>
      <c r="P240" s="89">
        <f t="shared" si="72"/>
        <v>0</v>
      </c>
      <c r="Q240" s="89">
        <f t="shared" si="72"/>
        <v>0</v>
      </c>
      <c r="R240" s="89">
        <f t="shared" si="72"/>
        <v>0</v>
      </c>
      <c r="S240" s="89">
        <f t="shared" si="72"/>
        <v>0</v>
      </c>
      <c r="T240" s="89">
        <f t="shared" si="72"/>
        <v>0</v>
      </c>
      <c r="U240" s="89">
        <f t="shared" si="72"/>
        <v>0</v>
      </c>
      <c r="V240" s="89">
        <f t="shared" si="72"/>
        <v>0</v>
      </c>
      <c r="W240" s="89">
        <f t="shared" si="72"/>
        <v>0</v>
      </c>
      <c r="X240" s="89">
        <f t="shared" si="72"/>
        <v>0</v>
      </c>
      <c r="Y240" s="179"/>
    </row>
    <row r="241" spans="1:26" x14ac:dyDescent="0.25">
      <c r="A241" s="139">
        <f t="shared" si="71"/>
        <v>0</v>
      </c>
      <c r="B241" s="30"/>
      <c r="C241" s="31">
        <f t="shared" si="73"/>
        <v>0</v>
      </c>
      <c r="D241" s="9" t="str">
        <f t="shared" si="75"/>
        <v>шт.</v>
      </c>
      <c r="E241" s="89">
        <f t="shared" si="74"/>
        <v>0</v>
      </c>
      <c r="F241" s="89">
        <f t="shared" si="72"/>
        <v>0</v>
      </c>
      <c r="G241" s="89">
        <f t="shared" si="72"/>
        <v>0</v>
      </c>
      <c r="H241" s="89">
        <f t="shared" si="72"/>
        <v>0</v>
      </c>
      <c r="I241" s="89">
        <f t="shared" si="72"/>
        <v>0</v>
      </c>
      <c r="J241" s="89">
        <f t="shared" si="72"/>
        <v>0</v>
      </c>
      <c r="K241" s="89">
        <f t="shared" si="72"/>
        <v>0</v>
      </c>
      <c r="L241" s="89">
        <f t="shared" si="72"/>
        <v>0</v>
      </c>
      <c r="M241" s="89">
        <f t="shared" si="72"/>
        <v>0</v>
      </c>
      <c r="N241" s="89">
        <f t="shared" si="72"/>
        <v>0</v>
      </c>
      <c r="O241" s="89">
        <f t="shared" si="72"/>
        <v>0</v>
      </c>
      <c r="P241" s="89">
        <f t="shared" si="72"/>
        <v>0</v>
      </c>
      <c r="Q241" s="89">
        <f t="shared" si="72"/>
        <v>0</v>
      </c>
      <c r="R241" s="89">
        <f t="shared" si="72"/>
        <v>0</v>
      </c>
      <c r="S241" s="89">
        <f t="shared" si="72"/>
        <v>0</v>
      </c>
      <c r="T241" s="89">
        <f t="shared" si="72"/>
        <v>0</v>
      </c>
      <c r="U241" s="89">
        <f t="shared" si="72"/>
        <v>0</v>
      </c>
      <c r="V241" s="89">
        <f t="shared" si="72"/>
        <v>0</v>
      </c>
      <c r="W241" s="89">
        <f t="shared" si="72"/>
        <v>0</v>
      </c>
      <c r="X241" s="89">
        <f t="shared" si="72"/>
        <v>0</v>
      </c>
      <c r="Y241" s="179"/>
    </row>
    <row r="242" spans="1:26" x14ac:dyDescent="0.25">
      <c r="A242" s="139">
        <f t="shared" si="71"/>
        <v>0</v>
      </c>
      <c r="B242" s="30"/>
      <c r="C242" s="31">
        <f t="shared" si="73"/>
        <v>0</v>
      </c>
      <c r="D242" s="9" t="str">
        <f t="shared" si="75"/>
        <v>шт.</v>
      </c>
      <c r="E242" s="89">
        <f t="shared" si="74"/>
        <v>0</v>
      </c>
      <c r="F242" s="89">
        <f t="shared" si="72"/>
        <v>0</v>
      </c>
      <c r="G242" s="89">
        <f t="shared" si="72"/>
        <v>0</v>
      </c>
      <c r="H242" s="89">
        <f t="shared" si="72"/>
        <v>0</v>
      </c>
      <c r="I242" s="89">
        <f t="shared" si="72"/>
        <v>0</v>
      </c>
      <c r="J242" s="89">
        <f t="shared" si="72"/>
        <v>0</v>
      </c>
      <c r="K242" s="89">
        <f t="shared" si="72"/>
        <v>0</v>
      </c>
      <c r="L242" s="89">
        <f t="shared" si="72"/>
        <v>0</v>
      </c>
      <c r="M242" s="89">
        <f t="shared" si="72"/>
        <v>0</v>
      </c>
      <c r="N242" s="89">
        <f t="shared" si="72"/>
        <v>0</v>
      </c>
      <c r="O242" s="89">
        <f t="shared" si="72"/>
        <v>0</v>
      </c>
      <c r="P242" s="89">
        <f t="shared" si="72"/>
        <v>0</v>
      </c>
      <c r="Q242" s="89">
        <f t="shared" si="72"/>
        <v>0</v>
      </c>
      <c r="R242" s="89">
        <f t="shared" si="72"/>
        <v>0</v>
      </c>
      <c r="S242" s="89">
        <f t="shared" si="72"/>
        <v>0</v>
      </c>
      <c r="T242" s="89">
        <f t="shared" si="72"/>
        <v>0</v>
      </c>
      <c r="U242" s="89">
        <f t="shared" si="72"/>
        <v>0</v>
      </c>
      <c r="V242" s="89">
        <f t="shared" si="72"/>
        <v>0</v>
      </c>
      <c r="W242" s="89">
        <f t="shared" si="72"/>
        <v>0</v>
      </c>
      <c r="X242" s="89">
        <f t="shared" si="72"/>
        <v>0</v>
      </c>
      <c r="Y242" s="179"/>
    </row>
    <row r="243" spans="1:26" x14ac:dyDescent="0.25">
      <c r="A243" s="139">
        <f t="shared" si="71"/>
        <v>0</v>
      </c>
      <c r="B243" s="30"/>
      <c r="C243" s="31">
        <f t="shared" si="73"/>
        <v>0</v>
      </c>
      <c r="D243" s="9" t="str">
        <f t="shared" si="75"/>
        <v>шт.</v>
      </c>
      <c r="E243" s="89">
        <f t="shared" si="74"/>
        <v>0</v>
      </c>
      <c r="F243" s="89">
        <f t="shared" si="72"/>
        <v>0</v>
      </c>
      <c r="G243" s="89">
        <f t="shared" si="72"/>
        <v>0</v>
      </c>
      <c r="H243" s="89">
        <f t="shared" si="72"/>
        <v>0</v>
      </c>
      <c r="I243" s="89">
        <f t="shared" si="72"/>
        <v>0</v>
      </c>
      <c r="J243" s="89">
        <f t="shared" si="72"/>
        <v>0</v>
      </c>
      <c r="K243" s="89">
        <f t="shared" si="72"/>
        <v>0</v>
      </c>
      <c r="L243" s="89">
        <f t="shared" si="72"/>
        <v>0</v>
      </c>
      <c r="M243" s="89">
        <f t="shared" si="72"/>
        <v>0</v>
      </c>
      <c r="N243" s="89">
        <f t="shared" si="72"/>
        <v>0</v>
      </c>
      <c r="O243" s="89">
        <f t="shared" si="72"/>
        <v>0</v>
      </c>
      <c r="P243" s="89">
        <f t="shared" si="72"/>
        <v>0</v>
      </c>
      <c r="Q243" s="89">
        <f t="shared" si="72"/>
        <v>0</v>
      </c>
      <c r="R243" s="89">
        <f t="shared" si="72"/>
        <v>0</v>
      </c>
      <c r="S243" s="89">
        <f t="shared" si="72"/>
        <v>0</v>
      </c>
      <c r="T243" s="89">
        <f t="shared" si="72"/>
        <v>0</v>
      </c>
      <c r="U243" s="89">
        <f t="shared" si="72"/>
        <v>0</v>
      </c>
      <c r="V243" s="89">
        <f t="shared" si="72"/>
        <v>0</v>
      </c>
      <c r="W243" s="89">
        <f t="shared" si="72"/>
        <v>0</v>
      </c>
      <c r="X243" s="89">
        <f t="shared" si="72"/>
        <v>0</v>
      </c>
      <c r="Y243" s="179"/>
    </row>
    <row r="244" spans="1:26" x14ac:dyDescent="0.25">
      <c r="A244" s="139">
        <f t="shared" si="71"/>
        <v>0</v>
      </c>
      <c r="B244" s="30"/>
      <c r="C244" s="31">
        <f t="shared" si="73"/>
        <v>0</v>
      </c>
      <c r="D244" s="9" t="str">
        <f t="shared" si="75"/>
        <v>шт.</v>
      </c>
      <c r="E244" s="89">
        <f t="shared" si="74"/>
        <v>0</v>
      </c>
      <c r="F244" s="89">
        <f t="shared" si="72"/>
        <v>0</v>
      </c>
      <c r="G244" s="89">
        <f t="shared" si="72"/>
        <v>0</v>
      </c>
      <c r="H244" s="89">
        <f t="shared" si="72"/>
        <v>0</v>
      </c>
      <c r="I244" s="89">
        <f t="shared" si="72"/>
        <v>0</v>
      </c>
      <c r="J244" s="89">
        <f t="shared" si="72"/>
        <v>0</v>
      </c>
      <c r="K244" s="89">
        <f t="shared" si="72"/>
        <v>0</v>
      </c>
      <c r="L244" s="89">
        <f t="shared" si="72"/>
        <v>0</v>
      </c>
      <c r="M244" s="89">
        <f t="shared" si="72"/>
        <v>0</v>
      </c>
      <c r="N244" s="89">
        <f t="shared" si="72"/>
        <v>0</v>
      </c>
      <c r="O244" s="89">
        <f t="shared" si="72"/>
        <v>0</v>
      </c>
      <c r="P244" s="89">
        <f t="shared" si="72"/>
        <v>0</v>
      </c>
      <c r="Q244" s="89">
        <f t="shared" si="72"/>
        <v>0</v>
      </c>
      <c r="R244" s="89">
        <f t="shared" si="72"/>
        <v>0</v>
      </c>
      <c r="S244" s="89">
        <f t="shared" si="72"/>
        <v>0</v>
      </c>
      <c r="T244" s="89">
        <f t="shared" si="72"/>
        <v>0</v>
      </c>
      <c r="U244" s="89">
        <f t="shared" si="72"/>
        <v>0</v>
      </c>
      <c r="V244" s="89">
        <f t="shared" si="72"/>
        <v>0</v>
      </c>
      <c r="W244" s="89">
        <f t="shared" si="72"/>
        <v>0</v>
      </c>
      <c r="X244" s="89">
        <f t="shared" si="72"/>
        <v>0</v>
      </c>
      <c r="Y244" s="179"/>
    </row>
    <row r="245" spans="1:26" x14ac:dyDescent="0.25">
      <c r="A245" s="139">
        <f t="shared" si="71"/>
        <v>0</v>
      </c>
      <c r="B245" s="30"/>
      <c r="C245" s="31">
        <f t="shared" si="73"/>
        <v>0</v>
      </c>
      <c r="D245" s="9" t="str">
        <f t="shared" si="75"/>
        <v>шт.</v>
      </c>
      <c r="E245" s="89">
        <f t="shared" si="74"/>
        <v>0</v>
      </c>
      <c r="F245" s="89">
        <f t="shared" si="72"/>
        <v>0</v>
      </c>
      <c r="G245" s="89">
        <f t="shared" si="72"/>
        <v>0</v>
      </c>
      <c r="H245" s="89">
        <f t="shared" si="72"/>
        <v>0</v>
      </c>
      <c r="I245" s="89">
        <f t="shared" si="72"/>
        <v>0</v>
      </c>
      <c r="J245" s="89">
        <f t="shared" si="72"/>
        <v>0</v>
      </c>
      <c r="K245" s="89">
        <f t="shared" si="72"/>
        <v>0</v>
      </c>
      <c r="L245" s="89">
        <f t="shared" si="72"/>
        <v>0</v>
      </c>
      <c r="M245" s="89">
        <f t="shared" si="72"/>
        <v>0</v>
      </c>
      <c r="N245" s="89">
        <f t="shared" si="72"/>
        <v>0</v>
      </c>
      <c r="O245" s="89">
        <f t="shared" si="72"/>
        <v>0</v>
      </c>
      <c r="P245" s="89">
        <f t="shared" si="72"/>
        <v>0</v>
      </c>
      <c r="Q245" s="89">
        <f t="shared" si="72"/>
        <v>0</v>
      </c>
      <c r="R245" s="89">
        <f t="shared" si="72"/>
        <v>0</v>
      </c>
      <c r="S245" s="89">
        <f t="shared" si="72"/>
        <v>0</v>
      </c>
      <c r="T245" s="89">
        <f t="shared" si="72"/>
        <v>0</v>
      </c>
      <c r="U245" s="89">
        <f t="shared" si="72"/>
        <v>0</v>
      </c>
      <c r="V245" s="89">
        <f t="shared" si="72"/>
        <v>0</v>
      </c>
      <c r="W245" s="89">
        <f t="shared" si="72"/>
        <v>0</v>
      </c>
      <c r="X245" s="89">
        <f t="shared" si="72"/>
        <v>0</v>
      </c>
      <c r="Y245" s="179"/>
    </row>
    <row r="246" spans="1:26" x14ac:dyDescent="0.25">
      <c r="A246" s="139">
        <f t="shared" si="71"/>
        <v>0</v>
      </c>
      <c r="B246" s="30"/>
      <c r="C246" s="31">
        <f t="shared" si="73"/>
        <v>0</v>
      </c>
      <c r="D246" s="9" t="str">
        <f t="shared" si="75"/>
        <v>шт.</v>
      </c>
      <c r="E246" s="89">
        <f t="shared" si="74"/>
        <v>0</v>
      </c>
      <c r="F246" s="89">
        <f t="shared" si="72"/>
        <v>0</v>
      </c>
      <c r="G246" s="89">
        <f t="shared" si="72"/>
        <v>0</v>
      </c>
      <c r="H246" s="89">
        <f t="shared" si="72"/>
        <v>0</v>
      </c>
      <c r="I246" s="89">
        <f t="shared" si="72"/>
        <v>0</v>
      </c>
      <c r="J246" s="89">
        <f t="shared" ref="J246:X246" si="76">IFERROR(J150*60/J182,0)</f>
        <v>0</v>
      </c>
      <c r="K246" s="89">
        <f t="shared" si="76"/>
        <v>0</v>
      </c>
      <c r="L246" s="89">
        <f t="shared" si="76"/>
        <v>0</v>
      </c>
      <c r="M246" s="89">
        <f t="shared" si="76"/>
        <v>0</v>
      </c>
      <c r="N246" s="89">
        <f t="shared" si="76"/>
        <v>0</v>
      </c>
      <c r="O246" s="89">
        <f t="shared" si="76"/>
        <v>0</v>
      </c>
      <c r="P246" s="89">
        <f t="shared" si="76"/>
        <v>0</v>
      </c>
      <c r="Q246" s="89">
        <f t="shared" si="76"/>
        <v>0</v>
      </c>
      <c r="R246" s="89">
        <f t="shared" si="76"/>
        <v>0</v>
      </c>
      <c r="S246" s="89">
        <f t="shared" si="76"/>
        <v>0</v>
      </c>
      <c r="T246" s="89">
        <f t="shared" si="76"/>
        <v>0</v>
      </c>
      <c r="U246" s="89">
        <f t="shared" si="76"/>
        <v>0</v>
      </c>
      <c r="V246" s="89">
        <f t="shared" si="76"/>
        <v>0</v>
      </c>
      <c r="W246" s="89">
        <f t="shared" si="76"/>
        <v>0</v>
      </c>
      <c r="X246" s="89">
        <f t="shared" si="76"/>
        <v>0</v>
      </c>
      <c r="Y246" s="179"/>
    </row>
    <row r="247" spans="1:26" x14ac:dyDescent="0.25">
      <c r="A247" s="139">
        <f t="shared" si="71"/>
        <v>1</v>
      </c>
      <c r="B247" s="68">
        <f>B231+1</f>
        <v>11</v>
      </c>
      <c r="C247" s="98" t="s">
        <v>120</v>
      </c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179"/>
    </row>
    <row r="248" spans="1:26" x14ac:dyDescent="0.25">
      <c r="A248" s="139">
        <f t="shared" si="71"/>
        <v>1</v>
      </c>
      <c r="B248" s="30"/>
      <c r="C248" s="31" t="str">
        <f>C232</f>
        <v>NHL NTE 240</v>
      </c>
      <c r="D248" s="9" t="s">
        <v>23</v>
      </c>
      <c r="E248" s="74">
        <f>E232*E24*E40/1000</f>
        <v>3844.3301979005578</v>
      </c>
      <c r="F248" s="74">
        <f t="shared" ref="F248:X262" si="77">F232*F24*F40/1000</f>
        <v>3560.0082879715892</v>
      </c>
      <c r="G248" s="74">
        <f t="shared" si="77"/>
        <v>3123.9323534104306</v>
      </c>
      <c r="H248" s="74">
        <f t="shared" si="77"/>
        <v>3160.7421571460854</v>
      </c>
      <c r="I248" s="74">
        <f t="shared" si="77"/>
        <v>2793.9180250278246</v>
      </c>
      <c r="J248" s="74">
        <f t="shared" si="77"/>
        <v>2535.7903276803472</v>
      </c>
      <c r="K248" s="74">
        <f t="shared" si="77"/>
        <v>2962.7002892111268</v>
      </c>
      <c r="L248" s="74">
        <f t="shared" si="77"/>
        <v>2847.7655042558322</v>
      </c>
      <c r="M248" s="74">
        <f t="shared" si="77"/>
        <v>2512.8291731254067</v>
      </c>
      <c r="N248" s="74">
        <f t="shared" si="77"/>
        <v>2779.8778280153429</v>
      </c>
      <c r="O248" s="74">
        <f t="shared" si="77"/>
        <v>2761.9508534072793</v>
      </c>
      <c r="P248" s="74">
        <f t="shared" si="77"/>
        <v>2381.709394599814</v>
      </c>
      <c r="Q248" s="74">
        <f t="shared" si="77"/>
        <v>2403.9618789697347</v>
      </c>
      <c r="R248" s="74">
        <f t="shared" si="77"/>
        <v>2333.2313267736031</v>
      </c>
      <c r="S248" s="74">
        <f t="shared" si="77"/>
        <v>2261.678514762848</v>
      </c>
      <c r="T248" s="74">
        <f t="shared" si="77"/>
        <v>2456.2206213619147</v>
      </c>
      <c r="U248" s="74">
        <f t="shared" si="77"/>
        <v>3163.4412324976984</v>
      </c>
      <c r="V248" s="74">
        <f t="shared" si="77"/>
        <v>2779.55908863882</v>
      </c>
      <c r="W248" s="74">
        <f t="shared" si="77"/>
        <v>2360.630848317619</v>
      </c>
      <c r="X248" s="74">
        <f t="shared" si="77"/>
        <v>2103.0359194350353</v>
      </c>
      <c r="Y248" s="179"/>
      <c r="Z248" s="50">
        <f>SUM(E248:X248)/Y56</f>
        <v>2756.3656911254452</v>
      </c>
    </row>
    <row r="249" spans="1:26" x14ac:dyDescent="0.25">
      <c r="A249" s="139">
        <f t="shared" si="71"/>
        <v>1</v>
      </c>
      <c r="B249" s="30"/>
      <c r="C249" s="31" t="str">
        <f t="shared" ref="C249:C262" si="78">C233</f>
        <v>Estar ESDE240 (ГПБ К)</v>
      </c>
      <c r="D249" s="9" t="str">
        <f>D248</f>
        <v>тыс. т</v>
      </c>
      <c r="E249" s="74">
        <f t="shared" ref="E249:T262" si="79">E233*E25*E41/1000</f>
        <v>3468.7825332226494</v>
      </c>
      <c r="F249" s="74">
        <f t="shared" si="79"/>
        <v>3181.8179175320083</v>
      </c>
      <c r="G249" s="74">
        <f t="shared" si="79"/>
        <v>2671.6234903014893</v>
      </c>
      <c r="H249" s="74">
        <f t="shared" si="79"/>
        <v>2601.2507701990708</v>
      </c>
      <c r="I249" s="74">
        <f t="shared" si="79"/>
        <v>2495.9958236214775</v>
      </c>
      <c r="J249" s="74">
        <f t="shared" si="79"/>
        <v>2098.7034958810245</v>
      </c>
      <c r="K249" s="74">
        <f t="shared" si="79"/>
        <v>2625.7802162816274</v>
      </c>
      <c r="L249" s="74">
        <f t="shared" si="79"/>
        <v>2352.7470042377572</v>
      </c>
      <c r="M249" s="74">
        <f t="shared" si="79"/>
        <v>2176.9070476514285</v>
      </c>
      <c r="N249" s="74">
        <f t="shared" si="79"/>
        <v>2307.6680129701058</v>
      </c>
      <c r="O249" s="74">
        <f t="shared" si="79"/>
        <v>0</v>
      </c>
      <c r="P249" s="74">
        <f t="shared" si="79"/>
        <v>0</v>
      </c>
      <c r="Q249" s="74">
        <f t="shared" si="79"/>
        <v>0</v>
      </c>
      <c r="R249" s="74">
        <f t="shared" si="79"/>
        <v>0</v>
      </c>
      <c r="S249" s="74">
        <f t="shared" si="79"/>
        <v>0</v>
      </c>
      <c r="T249" s="74">
        <f t="shared" si="79"/>
        <v>0</v>
      </c>
      <c r="U249" s="74">
        <f t="shared" si="77"/>
        <v>0</v>
      </c>
      <c r="V249" s="74">
        <f t="shared" si="77"/>
        <v>0</v>
      </c>
      <c r="W249" s="74">
        <f t="shared" si="77"/>
        <v>0</v>
      </c>
      <c r="X249" s="74">
        <f t="shared" si="77"/>
        <v>0</v>
      </c>
      <c r="Y249" s="179"/>
      <c r="Z249" s="50">
        <f t="shared" ref="Z249:Z262" si="80">SUM(E249:X249)/Y57</f>
        <v>2598.1276311898637</v>
      </c>
    </row>
    <row r="250" spans="1:26" x14ac:dyDescent="0.25">
      <c r="A250" s="139">
        <f t="shared" si="71"/>
        <v>1</v>
      </c>
      <c r="B250" s="30"/>
      <c r="C250" s="31" t="str">
        <f t="shared" si="78"/>
        <v>SANY SET240S</v>
      </c>
      <c r="D250" s="9" t="str">
        <f t="shared" ref="D250:D262" si="81">D249</f>
        <v>тыс. т</v>
      </c>
      <c r="E250" s="74">
        <f t="shared" si="79"/>
        <v>3644.1303572092447</v>
      </c>
      <c r="F250" s="74">
        <f t="shared" si="77"/>
        <v>3280.4225602034121</v>
      </c>
      <c r="G250" s="74">
        <f t="shared" si="77"/>
        <v>2789.5033075486581</v>
      </c>
      <c r="H250" s="74">
        <f t="shared" si="77"/>
        <v>2985.9024819106344</v>
      </c>
      <c r="I250" s="74">
        <f t="shared" si="77"/>
        <v>2417.4152462721759</v>
      </c>
      <c r="J250" s="74">
        <f t="shared" si="77"/>
        <v>2360.9073034317075</v>
      </c>
      <c r="K250" s="74">
        <f t="shared" si="77"/>
        <v>2616.0844012997773</v>
      </c>
      <c r="L250" s="74">
        <f t="shared" si="77"/>
        <v>2682.1771700085524</v>
      </c>
      <c r="M250" s="74">
        <f t="shared" si="77"/>
        <v>2212.7795687724229</v>
      </c>
      <c r="N250" s="74">
        <f t="shared" si="77"/>
        <v>2505.5748914002793</v>
      </c>
      <c r="O250" s="74">
        <f t="shared" si="77"/>
        <v>2476.8455502693701</v>
      </c>
      <c r="P250" s="74">
        <f t="shared" si="77"/>
        <v>2158.2123005531425</v>
      </c>
      <c r="Q250" s="74">
        <f t="shared" si="77"/>
        <v>0</v>
      </c>
      <c r="R250" s="74">
        <f t="shared" si="77"/>
        <v>0</v>
      </c>
      <c r="S250" s="74">
        <f t="shared" si="77"/>
        <v>0</v>
      </c>
      <c r="T250" s="74">
        <f t="shared" si="77"/>
        <v>0</v>
      </c>
      <c r="U250" s="74">
        <f t="shared" si="77"/>
        <v>0</v>
      </c>
      <c r="V250" s="74">
        <f t="shared" si="77"/>
        <v>0</v>
      </c>
      <c r="W250" s="74">
        <f t="shared" si="77"/>
        <v>0</v>
      </c>
      <c r="X250" s="74">
        <f t="shared" si="77"/>
        <v>0</v>
      </c>
      <c r="Y250" s="179"/>
      <c r="Z250" s="50">
        <f t="shared" si="80"/>
        <v>2677.4962615732816</v>
      </c>
    </row>
    <row r="251" spans="1:26" x14ac:dyDescent="0.25">
      <c r="A251" s="139">
        <f t="shared" si="71"/>
        <v>1</v>
      </c>
      <c r="B251" s="30"/>
      <c r="C251" s="31" t="str">
        <f t="shared" si="78"/>
        <v>TZCO TZE240</v>
      </c>
      <c r="D251" s="9" t="str">
        <f t="shared" si="81"/>
        <v>тыс. т</v>
      </c>
      <c r="E251" s="74">
        <f t="shared" si="79"/>
        <v>3634.86890018759</v>
      </c>
      <c r="F251" s="74">
        <f t="shared" si="77"/>
        <v>3295.5485993194488</v>
      </c>
      <c r="G251" s="74">
        <f t="shared" si="77"/>
        <v>2558.7657740499935</v>
      </c>
      <c r="H251" s="74">
        <f t="shared" si="77"/>
        <v>2996.7227710095394</v>
      </c>
      <c r="I251" s="74">
        <f t="shared" si="77"/>
        <v>2653.626107736553</v>
      </c>
      <c r="J251" s="74">
        <f t="shared" si="77"/>
        <v>2005.845577164705</v>
      </c>
      <c r="K251" s="74">
        <f t="shared" si="77"/>
        <v>2820.1707912742022</v>
      </c>
      <c r="L251" s="74">
        <f t="shared" si="77"/>
        <v>2691.8968217955075</v>
      </c>
      <c r="M251" s="74">
        <f t="shared" si="77"/>
        <v>0</v>
      </c>
      <c r="N251" s="74">
        <f t="shared" si="77"/>
        <v>0</v>
      </c>
      <c r="O251" s="74">
        <f t="shared" si="77"/>
        <v>0</v>
      </c>
      <c r="P251" s="74">
        <f t="shared" si="77"/>
        <v>0</v>
      </c>
      <c r="Q251" s="74">
        <f t="shared" si="77"/>
        <v>0</v>
      </c>
      <c r="R251" s="74">
        <f t="shared" si="77"/>
        <v>0</v>
      </c>
      <c r="S251" s="74">
        <f t="shared" si="77"/>
        <v>0</v>
      </c>
      <c r="T251" s="74">
        <f t="shared" si="77"/>
        <v>0</v>
      </c>
      <c r="U251" s="74">
        <f t="shared" si="77"/>
        <v>0</v>
      </c>
      <c r="V251" s="74">
        <f t="shared" si="77"/>
        <v>0</v>
      </c>
      <c r="W251" s="74">
        <f t="shared" si="77"/>
        <v>0</v>
      </c>
      <c r="X251" s="74">
        <f t="shared" si="77"/>
        <v>0</v>
      </c>
      <c r="Y251" s="179"/>
      <c r="Z251" s="50">
        <f t="shared" si="80"/>
        <v>2832.1806678171924</v>
      </c>
    </row>
    <row r="252" spans="1:26" x14ac:dyDescent="0.25">
      <c r="A252" s="139">
        <f t="shared" si="71"/>
        <v>1</v>
      </c>
      <c r="B252" s="30"/>
      <c r="C252" s="31" t="str">
        <f t="shared" si="78"/>
        <v>БелАЗ 7531 (ГПФК)</v>
      </c>
      <c r="D252" s="9" t="str">
        <f t="shared" si="81"/>
        <v>тыс. т</v>
      </c>
      <c r="E252" s="74">
        <f t="shared" si="79"/>
        <v>3776.7276982276098</v>
      </c>
      <c r="F252" s="74">
        <f t="shared" si="77"/>
        <v>3436.9378140103181</v>
      </c>
      <c r="G252" s="74">
        <f t="shared" si="77"/>
        <v>2974.4403173373257</v>
      </c>
      <c r="H252" s="74">
        <f t="shared" si="77"/>
        <v>3085.871622868051</v>
      </c>
      <c r="I252" s="74">
        <f t="shared" si="77"/>
        <v>2675.2115329137619</v>
      </c>
      <c r="J252" s="74">
        <f t="shared" si="77"/>
        <v>2359.2431682374499</v>
      </c>
      <c r="K252" s="74">
        <f t="shared" si="77"/>
        <v>2894.1914242736389</v>
      </c>
      <c r="L252" s="74">
        <f t="shared" si="77"/>
        <v>2708.6615117645538</v>
      </c>
      <c r="M252" s="74">
        <f t="shared" si="77"/>
        <v>2340.1013196333156</v>
      </c>
      <c r="N252" s="74">
        <f t="shared" si="77"/>
        <v>2604.6401560824283</v>
      </c>
      <c r="O252" s="74">
        <f t="shared" si="77"/>
        <v>0</v>
      </c>
      <c r="P252" s="74">
        <f t="shared" si="77"/>
        <v>0</v>
      </c>
      <c r="Q252" s="74">
        <f t="shared" si="77"/>
        <v>0</v>
      </c>
      <c r="R252" s="74">
        <f t="shared" si="77"/>
        <v>0</v>
      </c>
      <c r="S252" s="74">
        <f t="shared" si="77"/>
        <v>0</v>
      </c>
      <c r="T252" s="74">
        <f t="shared" si="77"/>
        <v>0</v>
      </c>
      <c r="U252" s="74">
        <f t="shared" si="77"/>
        <v>0</v>
      </c>
      <c r="V252" s="74">
        <f t="shared" si="77"/>
        <v>0</v>
      </c>
      <c r="W252" s="74">
        <f t="shared" si="77"/>
        <v>0</v>
      </c>
      <c r="X252" s="74">
        <f t="shared" si="77"/>
        <v>0</v>
      </c>
      <c r="Y252" s="179"/>
      <c r="Z252" s="50">
        <f t="shared" si="80"/>
        <v>2885.6026565348448</v>
      </c>
    </row>
    <row r="253" spans="1:26" x14ac:dyDescent="0.25">
      <c r="A253" s="139">
        <f t="shared" si="71"/>
        <v>1</v>
      </c>
      <c r="B253" s="30"/>
      <c r="C253" s="31" t="str">
        <f t="shared" si="78"/>
        <v>XCMG 240</v>
      </c>
      <c r="D253" s="9" t="str">
        <f t="shared" si="81"/>
        <v>тыс. т</v>
      </c>
      <c r="E253" s="74">
        <f t="shared" si="79"/>
        <v>0</v>
      </c>
      <c r="F253" s="74">
        <f t="shared" si="77"/>
        <v>0</v>
      </c>
      <c r="G253" s="74">
        <f t="shared" si="77"/>
        <v>0</v>
      </c>
      <c r="H253" s="74">
        <f t="shared" si="77"/>
        <v>0</v>
      </c>
      <c r="I253" s="74">
        <f t="shared" si="77"/>
        <v>0</v>
      </c>
      <c r="J253" s="74">
        <f t="shared" si="77"/>
        <v>0</v>
      </c>
      <c r="K253" s="74">
        <f t="shared" si="77"/>
        <v>0</v>
      </c>
      <c r="L253" s="74">
        <f t="shared" si="77"/>
        <v>0</v>
      </c>
      <c r="M253" s="74">
        <f t="shared" si="77"/>
        <v>0</v>
      </c>
      <c r="N253" s="74">
        <f t="shared" si="77"/>
        <v>0</v>
      </c>
      <c r="O253" s="74">
        <f t="shared" si="77"/>
        <v>0</v>
      </c>
      <c r="P253" s="74">
        <f t="shared" si="77"/>
        <v>0</v>
      </c>
      <c r="Q253" s="74">
        <f t="shared" si="77"/>
        <v>0</v>
      </c>
      <c r="R253" s="74">
        <f t="shared" si="77"/>
        <v>0</v>
      </c>
      <c r="S253" s="74">
        <f t="shared" si="77"/>
        <v>0</v>
      </c>
      <c r="T253" s="74">
        <f t="shared" si="77"/>
        <v>0</v>
      </c>
      <c r="U253" s="74">
        <f t="shared" si="77"/>
        <v>0</v>
      </c>
      <c r="V253" s="74">
        <f t="shared" si="77"/>
        <v>0</v>
      </c>
      <c r="W253" s="74">
        <f t="shared" si="77"/>
        <v>0</v>
      </c>
      <c r="X253" s="74">
        <f t="shared" si="77"/>
        <v>0</v>
      </c>
      <c r="Y253" s="179"/>
      <c r="Z253" s="50" t="e">
        <f t="shared" si="80"/>
        <v>#DIV/0!</v>
      </c>
    </row>
    <row r="254" spans="1:26" x14ac:dyDescent="0.25">
      <c r="A254" s="139">
        <f t="shared" si="71"/>
        <v>1</v>
      </c>
      <c r="B254" s="30"/>
      <c r="C254" s="31" t="str">
        <f t="shared" si="78"/>
        <v>БелАЗ 7531 (БТЛ)</v>
      </c>
      <c r="D254" s="9" t="str">
        <f t="shared" si="81"/>
        <v>тыс. т</v>
      </c>
      <c r="E254" s="74">
        <f t="shared" si="79"/>
        <v>3865.1109843195336</v>
      </c>
      <c r="F254" s="74">
        <f t="shared" si="77"/>
        <v>3522.8687954849784</v>
      </c>
      <c r="G254" s="74">
        <f t="shared" si="77"/>
        <v>3093.8892822905568</v>
      </c>
      <c r="H254" s="74">
        <f t="shared" si="77"/>
        <v>3106.7084523959902</v>
      </c>
      <c r="I254" s="74">
        <f t="shared" si="77"/>
        <v>2735.4748888428385</v>
      </c>
      <c r="J254" s="74">
        <f t="shared" si="77"/>
        <v>2427.8382765724932</v>
      </c>
      <c r="K254" s="74">
        <f t="shared" si="77"/>
        <v>2744.043358891287</v>
      </c>
      <c r="L254" s="74">
        <f t="shared" si="77"/>
        <v>2826.2220743947755</v>
      </c>
      <c r="M254" s="74">
        <f t="shared" si="77"/>
        <v>2383.3393882164701</v>
      </c>
      <c r="N254" s="74">
        <f t="shared" si="77"/>
        <v>2577.1915948487945</v>
      </c>
      <c r="O254" s="74">
        <f t="shared" si="77"/>
        <v>0</v>
      </c>
      <c r="P254" s="74">
        <f t="shared" si="77"/>
        <v>0</v>
      </c>
      <c r="Q254" s="74">
        <f t="shared" si="77"/>
        <v>0</v>
      </c>
      <c r="R254" s="74">
        <f t="shared" si="77"/>
        <v>0</v>
      </c>
      <c r="S254" s="74">
        <f t="shared" si="77"/>
        <v>0</v>
      </c>
      <c r="T254" s="74">
        <f t="shared" si="77"/>
        <v>0</v>
      </c>
      <c r="U254" s="74">
        <f t="shared" si="77"/>
        <v>0</v>
      </c>
      <c r="V254" s="74">
        <f t="shared" si="77"/>
        <v>0</v>
      </c>
      <c r="W254" s="74">
        <f t="shared" si="77"/>
        <v>0</v>
      </c>
      <c r="X254" s="74">
        <f t="shared" si="77"/>
        <v>0</v>
      </c>
      <c r="Y254" s="179"/>
      <c r="Z254" s="50">
        <f t="shared" si="80"/>
        <v>2928.2687096257719</v>
      </c>
    </row>
    <row r="255" spans="1:26" x14ac:dyDescent="0.25">
      <c r="A255" s="139">
        <f t="shared" si="71"/>
        <v>0</v>
      </c>
      <c r="B255" s="30"/>
      <c r="C255" s="31">
        <f t="shared" si="78"/>
        <v>0</v>
      </c>
      <c r="D255" s="9" t="str">
        <f t="shared" si="81"/>
        <v>тыс. т</v>
      </c>
      <c r="E255" s="74">
        <f t="shared" si="79"/>
        <v>0</v>
      </c>
      <c r="F255" s="74">
        <f t="shared" si="77"/>
        <v>0</v>
      </c>
      <c r="G255" s="74">
        <f t="shared" si="77"/>
        <v>0</v>
      </c>
      <c r="H255" s="74">
        <f t="shared" si="77"/>
        <v>0</v>
      </c>
      <c r="I255" s="74">
        <f t="shared" si="77"/>
        <v>0</v>
      </c>
      <c r="J255" s="74">
        <f t="shared" si="77"/>
        <v>0</v>
      </c>
      <c r="K255" s="74">
        <f t="shared" si="77"/>
        <v>0</v>
      </c>
      <c r="L255" s="74">
        <f t="shared" si="77"/>
        <v>0</v>
      </c>
      <c r="M255" s="74">
        <f t="shared" si="77"/>
        <v>0</v>
      </c>
      <c r="N255" s="74">
        <f t="shared" si="77"/>
        <v>0</v>
      </c>
      <c r="O255" s="74">
        <f t="shared" si="77"/>
        <v>0</v>
      </c>
      <c r="P255" s="74">
        <f t="shared" si="77"/>
        <v>0</v>
      </c>
      <c r="Q255" s="74">
        <f t="shared" si="77"/>
        <v>0</v>
      </c>
      <c r="R255" s="74">
        <f t="shared" si="77"/>
        <v>0</v>
      </c>
      <c r="S255" s="74">
        <f t="shared" si="77"/>
        <v>0</v>
      </c>
      <c r="T255" s="74">
        <f t="shared" si="77"/>
        <v>0</v>
      </c>
      <c r="U255" s="74">
        <f t="shared" si="77"/>
        <v>0</v>
      </c>
      <c r="V255" s="74">
        <f t="shared" si="77"/>
        <v>0</v>
      </c>
      <c r="W255" s="74">
        <f t="shared" si="77"/>
        <v>0</v>
      </c>
      <c r="X255" s="74">
        <f t="shared" si="77"/>
        <v>0</v>
      </c>
      <c r="Y255" s="179"/>
      <c r="Z255" s="50" t="e">
        <f t="shared" si="80"/>
        <v>#DIV/0!</v>
      </c>
    </row>
    <row r="256" spans="1:26" x14ac:dyDescent="0.25">
      <c r="A256" s="139">
        <f t="shared" si="71"/>
        <v>0</v>
      </c>
      <c r="B256" s="30"/>
      <c r="C256" s="31">
        <f t="shared" si="78"/>
        <v>0</v>
      </c>
      <c r="D256" s="9" t="str">
        <f t="shared" si="81"/>
        <v>тыс. т</v>
      </c>
      <c r="E256" s="74">
        <f t="shared" si="79"/>
        <v>0</v>
      </c>
      <c r="F256" s="74">
        <f t="shared" si="77"/>
        <v>0</v>
      </c>
      <c r="G256" s="74">
        <f t="shared" si="77"/>
        <v>0</v>
      </c>
      <c r="H256" s="74">
        <f t="shared" si="77"/>
        <v>0</v>
      </c>
      <c r="I256" s="74">
        <f t="shared" si="77"/>
        <v>0</v>
      </c>
      <c r="J256" s="74">
        <f t="shared" si="77"/>
        <v>0</v>
      </c>
      <c r="K256" s="74">
        <f t="shared" si="77"/>
        <v>0</v>
      </c>
      <c r="L256" s="74">
        <f t="shared" si="77"/>
        <v>0</v>
      </c>
      <c r="M256" s="74">
        <f t="shared" si="77"/>
        <v>0</v>
      </c>
      <c r="N256" s="74">
        <f t="shared" si="77"/>
        <v>0</v>
      </c>
      <c r="O256" s="74">
        <f t="shared" si="77"/>
        <v>0</v>
      </c>
      <c r="P256" s="74">
        <f t="shared" si="77"/>
        <v>0</v>
      </c>
      <c r="Q256" s="74">
        <f t="shared" si="77"/>
        <v>0</v>
      </c>
      <c r="R256" s="74">
        <f t="shared" si="77"/>
        <v>0</v>
      </c>
      <c r="S256" s="74">
        <f t="shared" si="77"/>
        <v>0</v>
      </c>
      <c r="T256" s="74">
        <f t="shared" si="77"/>
        <v>0</v>
      </c>
      <c r="U256" s="74">
        <f t="shared" si="77"/>
        <v>0</v>
      </c>
      <c r="V256" s="74">
        <f t="shared" si="77"/>
        <v>0</v>
      </c>
      <c r="W256" s="74">
        <f t="shared" si="77"/>
        <v>0</v>
      </c>
      <c r="X256" s="74">
        <f t="shared" si="77"/>
        <v>0</v>
      </c>
      <c r="Y256" s="179"/>
      <c r="Z256" s="50" t="e">
        <f t="shared" si="80"/>
        <v>#DIV/0!</v>
      </c>
    </row>
    <row r="257" spans="1:26" x14ac:dyDescent="0.25">
      <c r="A257" s="139">
        <f t="shared" si="71"/>
        <v>0</v>
      </c>
      <c r="B257" s="30"/>
      <c r="C257" s="31">
        <f t="shared" si="78"/>
        <v>0</v>
      </c>
      <c r="D257" s="9" t="str">
        <f t="shared" si="81"/>
        <v>тыс. т</v>
      </c>
      <c r="E257" s="74">
        <f t="shared" si="79"/>
        <v>0</v>
      </c>
      <c r="F257" s="74">
        <f t="shared" si="77"/>
        <v>0</v>
      </c>
      <c r="G257" s="74">
        <f t="shared" si="77"/>
        <v>0</v>
      </c>
      <c r="H257" s="74">
        <f t="shared" si="77"/>
        <v>0</v>
      </c>
      <c r="I257" s="74">
        <f t="shared" si="77"/>
        <v>0</v>
      </c>
      <c r="J257" s="74">
        <f t="shared" si="77"/>
        <v>0</v>
      </c>
      <c r="K257" s="74">
        <f t="shared" si="77"/>
        <v>0</v>
      </c>
      <c r="L257" s="74">
        <f t="shared" si="77"/>
        <v>0</v>
      </c>
      <c r="M257" s="74">
        <f t="shared" si="77"/>
        <v>0</v>
      </c>
      <c r="N257" s="74">
        <f t="shared" si="77"/>
        <v>0</v>
      </c>
      <c r="O257" s="74">
        <f t="shared" si="77"/>
        <v>0</v>
      </c>
      <c r="P257" s="74">
        <f t="shared" si="77"/>
        <v>0</v>
      </c>
      <c r="Q257" s="74">
        <f t="shared" si="77"/>
        <v>0</v>
      </c>
      <c r="R257" s="74">
        <f t="shared" si="77"/>
        <v>0</v>
      </c>
      <c r="S257" s="74">
        <f t="shared" si="77"/>
        <v>0</v>
      </c>
      <c r="T257" s="74">
        <f t="shared" si="77"/>
        <v>0</v>
      </c>
      <c r="U257" s="74">
        <f t="shared" si="77"/>
        <v>0</v>
      </c>
      <c r="V257" s="74">
        <f t="shared" si="77"/>
        <v>0</v>
      </c>
      <c r="W257" s="74">
        <f t="shared" si="77"/>
        <v>0</v>
      </c>
      <c r="X257" s="74">
        <f t="shared" si="77"/>
        <v>0</v>
      </c>
      <c r="Y257" s="179"/>
      <c r="Z257" s="50" t="e">
        <f t="shared" si="80"/>
        <v>#DIV/0!</v>
      </c>
    </row>
    <row r="258" spans="1:26" x14ac:dyDescent="0.25">
      <c r="A258" s="139">
        <f t="shared" si="71"/>
        <v>0</v>
      </c>
      <c r="B258" s="30"/>
      <c r="C258" s="31">
        <f t="shared" si="78"/>
        <v>0</v>
      </c>
      <c r="D258" s="9" t="str">
        <f t="shared" si="81"/>
        <v>тыс. т</v>
      </c>
      <c r="E258" s="74">
        <f t="shared" si="79"/>
        <v>0</v>
      </c>
      <c r="F258" s="74">
        <f t="shared" si="77"/>
        <v>0</v>
      </c>
      <c r="G258" s="74">
        <f t="shared" si="77"/>
        <v>0</v>
      </c>
      <c r="H258" s="74">
        <f t="shared" si="77"/>
        <v>0</v>
      </c>
      <c r="I258" s="74">
        <f t="shared" si="77"/>
        <v>0</v>
      </c>
      <c r="J258" s="74">
        <f t="shared" si="77"/>
        <v>0</v>
      </c>
      <c r="K258" s="74">
        <f t="shared" si="77"/>
        <v>0</v>
      </c>
      <c r="L258" s="74">
        <f t="shared" si="77"/>
        <v>0</v>
      </c>
      <c r="M258" s="74">
        <f t="shared" si="77"/>
        <v>0</v>
      </c>
      <c r="N258" s="74">
        <f t="shared" si="77"/>
        <v>0</v>
      </c>
      <c r="O258" s="74">
        <f t="shared" si="77"/>
        <v>0</v>
      </c>
      <c r="P258" s="74">
        <f t="shared" si="77"/>
        <v>0</v>
      </c>
      <c r="Q258" s="74">
        <f t="shared" si="77"/>
        <v>0</v>
      </c>
      <c r="R258" s="74">
        <f t="shared" si="77"/>
        <v>0</v>
      </c>
      <c r="S258" s="74">
        <f t="shared" si="77"/>
        <v>0</v>
      </c>
      <c r="T258" s="74">
        <f t="shared" si="77"/>
        <v>0</v>
      </c>
      <c r="U258" s="74">
        <f t="shared" si="77"/>
        <v>0</v>
      </c>
      <c r="V258" s="74">
        <f t="shared" si="77"/>
        <v>0</v>
      </c>
      <c r="W258" s="74">
        <f t="shared" si="77"/>
        <v>0</v>
      </c>
      <c r="X258" s="74">
        <f t="shared" si="77"/>
        <v>0</v>
      </c>
      <c r="Y258" s="179"/>
      <c r="Z258" s="50" t="e">
        <f t="shared" si="80"/>
        <v>#DIV/0!</v>
      </c>
    </row>
    <row r="259" spans="1:26" x14ac:dyDescent="0.25">
      <c r="A259" s="139">
        <f t="shared" si="71"/>
        <v>0</v>
      </c>
      <c r="B259" s="30"/>
      <c r="C259" s="31">
        <f t="shared" si="78"/>
        <v>0</v>
      </c>
      <c r="D259" s="9" t="str">
        <f t="shared" si="81"/>
        <v>тыс. т</v>
      </c>
      <c r="E259" s="74">
        <f t="shared" si="79"/>
        <v>0</v>
      </c>
      <c r="F259" s="74">
        <f t="shared" si="77"/>
        <v>0</v>
      </c>
      <c r="G259" s="74">
        <f t="shared" si="77"/>
        <v>0</v>
      </c>
      <c r="H259" s="74">
        <f t="shared" si="77"/>
        <v>0</v>
      </c>
      <c r="I259" s="74">
        <f t="shared" si="77"/>
        <v>0</v>
      </c>
      <c r="J259" s="74">
        <f t="shared" si="77"/>
        <v>0</v>
      </c>
      <c r="K259" s="74">
        <f t="shared" si="77"/>
        <v>0</v>
      </c>
      <c r="L259" s="74">
        <f t="shared" si="77"/>
        <v>0</v>
      </c>
      <c r="M259" s="74">
        <f t="shared" si="77"/>
        <v>0</v>
      </c>
      <c r="N259" s="74">
        <f t="shared" si="77"/>
        <v>0</v>
      </c>
      <c r="O259" s="74">
        <f t="shared" si="77"/>
        <v>0</v>
      </c>
      <c r="P259" s="74">
        <f t="shared" si="77"/>
        <v>0</v>
      </c>
      <c r="Q259" s="74">
        <f t="shared" si="77"/>
        <v>0</v>
      </c>
      <c r="R259" s="74">
        <f t="shared" si="77"/>
        <v>0</v>
      </c>
      <c r="S259" s="74">
        <f t="shared" si="77"/>
        <v>0</v>
      </c>
      <c r="T259" s="74">
        <f t="shared" si="77"/>
        <v>0</v>
      </c>
      <c r="U259" s="74">
        <f t="shared" si="77"/>
        <v>0</v>
      </c>
      <c r="V259" s="74">
        <f t="shared" si="77"/>
        <v>0</v>
      </c>
      <c r="W259" s="74">
        <f t="shared" si="77"/>
        <v>0</v>
      </c>
      <c r="X259" s="74">
        <f t="shared" si="77"/>
        <v>0</v>
      </c>
      <c r="Y259" s="179"/>
      <c r="Z259" s="50" t="e">
        <f t="shared" si="80"/>
        <v>#DIV/0!</v>
      </c>
    </row>
    <row r="260" spans="1:26" x14ac:dyDescent="0.25">
      <c r="A260" s="139">
        <f t="shared" si="71"/>
        <v>0</v>
      </c>
      <c r="B260" s="30"/>
      <c r="C260" s="31">
        <f t="shared" si="78"/>
        <v>0</v>
      </c>
      <c r="D260" s="9" t="str">
        <f t="shared" si="81"/>
        <v>тыс. т</v>
      </c>
      <c r="E260" s="74">
        <f t="shared" si="79"/>
        <v>0</v>
      </c>
      <c r="F260" s="74">
        <f t="shared" si="77"/>
        <v>0</v>
      </c>
      <c r="G260" s="74">
        <f t="shared" si="77"/>
        <v>0</v>
      </c>
      <c r="H260" s="74">
        <f t="shared" si="77"/>
        <v>0</v>
      </c>
      <c r="I260" s="74">
        <f t="shared" si="77"/>
        <v>0</v>
      </c>
      <c r="J260" s="74">
        <f t="shared" si="77"/>
        <v>0</v>
      </c>
      <c r="K260" s="74">
        <f t="shared" si="77"/>
        <v>0</v>
      </c>
      <c r="L260" s="74">
        <f t="shared" si="77"/>
        <v>0</v>
      </c>
      <c r="M260" s="74">
        <f t="shared" si="77"/>
        <v>0</v>
      </c>
      <c r="N260" s="74">
        <f t="shared" si="77"/>
        <v>0</v>
      </c>
      <c r="O260" s="74">
        <f t="shared" si="77"/>
        <v>0</v>
      </c>
      <c r="P260" s="74">
        <f t="shared" si="77"/>
        <v>0</v>
      </c>
      <c r="Q260" s="74">
        <f t="shared" si="77"/>
        <v>0</v>
      </c>
      <c r="R260" s="74">
        <f t="shared" si="77"/>
        <v>0</v>
      </c>
      <c r="S260" s="74">
        <f t="shared" si="77"/>
        <v>0</v>
      </c>
      <c r="T260" s="74">
        <f t="shared" si="77"/>
        <v>0</v>
      </c>
      <c r="U260" s="74">
        <f t="shared" si="77"/>
        <v>0</v>
      </c>
      <c r="V260" s="74">
        <f t="shared" si="77"/>
        <v>0</v>
      </c>
      <c r="W260" s="74">
        <f t="shared" si="77"/>
        <v>0</v>
      </c>
      <c r="X260" s="74">
        <f t="shared" si="77"/>
        <v>0</v>
      </c>
      <c r="Y260" s="179"/>
      <c r="Z260" s="50" t="e">
        <f t="shared" si="80"/>
        <v>#DIV/0!</v>
      </c>
    </row>
    <row r="261" spans="1:26" x14ac:dyDescent="0.25">
      <c r="A261" s="139">
        <f t="shared" si="71"/>
        <v>0</v>
      </c>
      <c r="B261" s="30"/>
      <c r="C261" s="31">
        <f t="shared" si="78"/>
        <v>0</v>
      </c>
      <c r="D261" s="9" t="str">
        <f t="shared" si="81"/>
        <v>тыс. т</v>
      </c>
      <c r="E261" s="74">
        <f t="shared" si="79"/>
        <v>0</v>
      </c>
      <c r="F261" s="74">
        <f t="shared" si="77"/>
        <v>0</v>
      </c>
      <c r="G261" s="74">
        <f t="shared" si="77"/>
        <v>0</v>
      </c>
      <c r="H261" s="74">
        <f t="shared" si="77"/>
        <v>0</v>
      </c>
      <c r="I261" s="74">
        <f t="shared" si="77"/>
        <v>0</v>
      </c>
      <c r="J261" s="74">
        <f t="shared" si="77"/>
        <v>0</v>
      </c>
      <c r="K261" s="74">
        <f t="shared" si="77"/>
        <v>0</v>
      </c>
      <c r="L261" s="74">
        <f t="shared" si="77"/>
        <v>0</v>
      </c>
      <c r="M261" s="74">
        <f t="shared" si="77"/>
        <v>0</v>
      </c>
      <c r="N261" s="74">
        <f t="shared" si="77"/>
        <v>0</v>
      </c>
      <c r="O261" s="74">
        <f t="shared" si="77"/>
        <v>0</v>
      </c>
      <c r="P261" s="74">
        <f t="shared" si="77"/>
        <v>0</v>
      </c>
      <c r="Q261" s="74">
        <f t="shared" si="77"/>
        <v>0</v>
      </c>
      <c r="R261" s="74">
        <f t="shared" si="77"/>
        <v>0</v>
      </c>
      <c r="S261" s="74">
        <f t="shared" si="77"/>
        <v>0</v>
      </c>
      <c r="T261" s="74">
        <f t="shared" si="77"/>
        <v>0</v>
      </c>
      <c r="U261" s="74">
        <f t="shared" si="77"/>
        <v>0</v>
      </c>
      <c r="V261" s="74">
        <f t="shared" si="77"/>
        <v>0</v>
      </c>
      <c r="W261" s="74">
        <f t="shared" si="77"/>
        <v>0</v>
      </c>
      <c r="X261" s="74">
        <f t="shared" si="77"/>
        <v>0</v>
      </c>
      <c r="Y261" s="179"/>
      <c r="Z261" s="50" t="e">
        <f t="shared" si="80"/>
        <v>#DIV/0!</v>
      </c>
    </row>
    <row r="262" spans="1:26" x14ac:dyDescent="0.25">
      <c r="A262" s="139">
        <f t="shared" si="71"/>
        <v>0</v>
      </c>
      <c r="B262" s="30"/>
      <c r="C262" s="31">
        <f t="shared" si="78"/>
        <v>0</v>
      </c>
      <c r="D262" s="9" t="str">
        <f t="shared" si="81"/>
        <v>тыс. т</v>
      </c>
      <c r="E262" s="74">
        <f t="shared" si="79"/>
        <v>0</v>
      </c>
      <c r="F262" s="74">
        <f t="shared" si="77"/>
        <v>0</v>
      </c>
      <c r="G262" s="74">
        <f t="shared" si="77"/>
        <v>0</v>
      </c>
      <c r="H262" s="74">
        <f t="shared" si="77"/>
        <v>0</v>
      </c>
      <c r="I262" s="74">
        <f t="shared" si="77"/>
        <v>0</v>
      </c>
      <c r="J262" s="74">
        <f t="shared" ref="J262:X262" si="82">J246*J38*J54/1000</f>
        <v>0</v>
      </c>
      <c r="K262" s="74">
        <f t="shared" si="82"/>
        <v>0</v>
      </c>
      <c r="L262" s="74">
        <f t="shared" si="82"/>
        <v>0</v>
      </c>
      <c r="M262" s="74">
        <f t="shared" si="82"/>
        <v>0</v>
      </c>
      <c r="N262" s="74">
        <f t="shared" si="82"/>
        <v>0</v>
      </c>
      <c r="O262" s="74">
        <f t="shared" si="82"/>
        <v>0</v>
      </c>
      <c r="P262" s="74">
        <f t="shared" si="82"/>
        <v>0</v>
      </c>
      <c r="Q262" s="74">
        <f t="shared" si="82"/>
        <v>0</v>
      </c>
      <c r="R262" s="74">
        <f t="shared" si="82"/>
        <v>0</v>
      </c>
      <c r="S262" s="74">
        <f t="shared" si="82"/>
        <v>0</v>
      </c>
      <c r="T262" s="74">
        <f t="shared" si="82"/>
        <v>0</v>
      </c>
      <c r="U262" s="74">
        <f t="shared" si="82"/>
        <v>0</v>
      </c>
      <c r="V262" s="74">
        <f t="shared" si="82"/>
        <v>0</v>
      </c>
      <c r="W262" s="74">
        <f t="shared" si="82"/>
        <v>0</v>
      </c>
      <c r="X262" s="74">
        <f t="shared" si="82"/>
        <v>0</v>
      </c>
      <c r="Y262" s="179"/>
      <c r="Z262" s="50" t="e">
        <f t="shared" si="80"/>
        <v>#DIV/0!</v>
      </c>
    </row>
    <row r="263" spans="1:26" x14ac:dyDescent="0.25">
      <c r="A263" s="139">
        <f t="shared" si="71"/>
        <v>1</v>
      </c>
      <c r="B263" s="68">
        <f>B247+1</f>
        <v>12</v>
      </c>
      <c r="C263" s="98" t="s">
        <v>120</v>
      </c>
      <c r="D263" s="9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179"/>
    </row>
    <row r="264" spans="1:26" x14ac:dyDescent="0.25">
      <c r="A264" s="139">
        <f t="shared" si="71"/>
        <v>1</v>
      </c>
      <c r="B264" s="30"/>
      <c r="C264" s="31" t="str">
        <f>C248</f>
        <v>NHL NTE 240</v>
      </c>
      <c r="D264" s="9" t="s">
        <v>24</v>
      </c>
      <c r="E264" s="74">
        <f>E248*E8</f>
        <v>11685.164981362384</v>
      </c>
      <c r="F264" s="74">
        <f t="shared" ref="F264:X264" si="83">F248*F8</f>
        <v>11996.597947240858</v>
      </c>
      <c r="G264" s="74">
        <f t="shared" si="83"/>
        <v>12641.633884995897</v>
      </c>
      <c r="H264" s="74">
        <f t="shared" si="83"/>
        <v>12345.562779631944</v>
      </c>
      <c r="I264" s="74">
        <f t="shared" si="83"/>
        <v>13397.411879008381</v>
      </c>
      <c r="J264" s="74">
        <f t="shared" si="83"/>
        <v>13581.965046199426</v>
      </c>
      <c r="K264" s="74">
        <f t="shared" si="83"/>
        <v>13092.705188215768</v>
      </c>
      <c r="L264" s="74">
        <f t="shared" si="83"/>
        <v>12889.664538363699</v>
      </c>
      <c r="M264" s="74">
        <f t="shared" si="83"/>
        <v>13529.216023292192</v>
      </c>
      <c r="N264" s="74">
        <f t="shared" si="83"/>
        <v>13398.331460061287</v>
      </c>
      <c r="O264" s="74">
        <f t="shared" si="83"/>
        <v>13091.007200834771</v>
      </c>
      <c r="P264" s="74">
        <f t="shared" si="83"/>
        <v>13663.437522343724</v>
      </c>
      <c r="Q264" s="74">
        <f t="shared" si="83"/>
        <v>14018.962698516962</v>
      </c>
      <c r="R264" s="74">
        <f t="shared" si="83"/>
        <v>14109.0108559896</v>
      </c>
      <c r="S264" s="74">
        <f t="shared" si="83"/>
        <v>13569.95015297719</v>
      </c>
      <c r="T264" s="74">
        <f t="shared" si="83"/>
        <v>13780.258820221083</v>
      </c>
      <c r="U264" s="74">
        <f t="shared" si="83"/>
        <v>12833.371025576342</v>
      </c>
      <c r="V264" s="74">
        <f t="shared" si="83"/>
        <v>12874.203048194066</v>
      </c>
      <c r="W264" s="74">
        <f t="shared" si="83"/>
        <v>14099.780394922293</v>
      </c>
      <c r="X264" s="74">
        <f t="shared" si="83"/>
        <v>14267.841675182131</v>
      </c>
      <c r="Y264" s="179"/>
      <c r="Z264" s="50">
        <f>SUM(E264:X264)/Y56</f>
        <v>13243.303856156499</v>
      </c>
    </row>
    <row r="265" spans="1:26" x14ac:dyDescent="0.25">
      <c r="A265" s="139">
        <f t="shared" si="71"/>
        <v>1</v>
      </c>
      <c r="B265" s="30"/>
      <c r="C265" s="31" t="str">
        <f t="shared" ref="C265:C278" si="84">C249</f>
        <v>Estar ESDE240 (ГПБ К)</v>
      </c>
      <c r="D265" s="9" t="str">
        <f>D264</f>
        <v>тыс. ткм</v>
      </c>
      <c r="E265" s="74">
        <f t="shared" ref="E265:X278" si="85">E249*E9</f>
        <v>10543.656267432647</v>
      </c>
      <c r="F265" s="74">
        <f t="shared" si="85"/>
        <v>10722.163323869008</v>
      </c>
      <c r="G265" s="74">
        <f t="shared" si="85"/>
        <v>10811.273171800669</v>
      </c>
      <c r="H265" s="74">
        <f t="shared" si="85"/>
        <v>10160.241833220283</v>
      </c>
      <c r="I265" s="74">
        <f t="shared" si="85"/>
        <v>11968.813615069706</v>
      </c>
      <c r="J265" s="74">
        <f t="shared" si="85"/>
        <v>11240.881082414868</v>
      </c>
      <c r="K265" s="74">
        <f t="shared" si="85"/>
        <v>11603.794817186421</v>
      </c>
      <c r="L265" s="74">
        <f t="shared" si="85"/>
        <v>10649.092975859176</v>
      </c>
      <c r="M265" s="74">
        <f t="shared" si="85"/>
        <v>11720.592082139747</v>
      </c>
      <c r="N265" s="74">
        <f t="shared" si="85"/>
        <v>11122.395605287671</v>
      </c>
      <c r="O265" s="74">
        <f t="shared" si="85"/>
        <v>0</v>
      </c>
      <c r="P265" s="74">
        <f t="shared" si="85"/>
        <v>0</v>
      </c>
      <c r="Q265" s="74">
        <f t="shared" si="85"/>
        <v>0</v>
      </c>
      <c r="R265" s="74">
        <f t="shared" si="85"/>
        <v>0</v>
      </c>
      <c r="S265" s="74">
        <f t="shared" si="85"/>
        <v>0</v>
      </c>
      <c r="T265" s="74">
        <f t="shared" si="85"/>
        <v>0</v>
      </c>
      <c r="U265" s="74">
        <f t="shared" si="85"/>
        <v>0</v>
      </c>
      <c r="V265" s="74">
        <f t="shared" si="85"/>
        <v>0</v>
      </c>
      <c r="W265" s="74">
        <f t="shared" si="85"/>
        <v>0</v>
      </c>
      <c r="X265" s="74">
        <f t="shared" si="85"/>
        <v>0</v>
      </c>
      <c r="Y265" s="179"/>
      <c r="Z265" s="50">
        <f t="shared" ref="Z265:Z278" si="86">SUM(E265:X265)/Y57</f>
        <v>11054.290477428021</v>
      </c>
    </row>
    <row r="266" spans="1:26" x14ac:dyDescent="0.25">
      <c r="A266" s="139">
        <f t="shared" si="71"/>
        <v>1</v>
      </c>
      <c r="B266" s="30"/>
      <c r="C266" s="31" t="str">
        <f t="shared" si="84"/>
        <v>SANY SET240S</v>
      </c>
      <c r="D266" s="9" t="str">
        <f t="shared" ref="D266:D278" si="87">D265</f>
        <v>тыс. ткм</v>
      </c>
      <c r="E266" s="74">
        <f t="shared" ref="E266:E278" si="88">E250*E10</f>
        <v>11076.640726864678</v>
      </c>
      <c r="F266" s="74">
        <f t="shared" si="85"/>
        <v>11054.443520478939</v>
      </c>
      <c r="G266" s="74">
        <f t="shared" si="85"/>
        <v>11288.298063342279</v>
      </c>
      <c r="H266" s="74">
        <f t="shared" si="85"/>
        <v>11662.655386471255</v>
      </c>
      <c r="I266" s="74">
        <f t="shared" si="85"/>
        <v>11592.003575903154</v>
      </c>
      <c r="J266" s="74">
        <f t="shared" si="85"/>
        <v>12645.272806075822</v>
      </c>
      <c r="K266" s="74">
        <f t="shared" si="85"/>
        <v>11560.947267746767</v>
      </c>
      <c r="L266" s="74">
        <f t="shared" si="85"/>
        <v>12140.172321843706</v>
      </c>
      <c r="M266" s="74">
        <f t="shared" si="85"/>
        <v>11913.731788068266</v>
      </c>
      <c r="N266" s="74">
        <f t="shared" si="85"/>
        <v>12076.258371741191</v>
      </c>
      <c r="O266" s="74">
        <f t="shared" si="85"/>
        <v>11739.674112568489</v>
      </c>
      <c r="P266" s="74">
        <f t="shared" si="85"/>
        <v>12381.274976461345</v>
      </c>
      <c r="Q266" s="74">
        <f t="shared" si="85"/>
        <v>0</v>
      </c>
      <c r="R266" s="74">
        <f t="shared" si="85"/>
        <v>0</v>
      </c>
      <c r="S266" s="74">
        <f t="shared" si="85"/>
        <v>0</v>
      </c>
      <c r="T266" s="74">
        <f t="shared" si="85"/>
        <v>0</v>
      </c>
      <c r="U266" s="74">
        <f t="shared" si="85"/>
        <v>0</v>
      </c>
      <c r="V266" s="74">
        <f t="shared" si="85"/>
        <v>0</v>
      </c>
      <c r="W266" s="74">
        <f t="shared" si="85"/>
        <v>0</v>
      </c>
      <c r="X266" s="74">
        <f t="shared" si="85"/>
        <v>0</v>
      </c>
      <c r="Y266" s="179"/>
      <c r="Z266" s="50">
        <f t="shared" si="86"/>
        <v>11760.947743130491</v>
      </c>
    </row>
    <row r="267" spans="1:26" x14ac:dyDescent="0.25">
      <c r="A267" s="139">
        <f t="shared" si="71"/>
        <v>1</v>
      </c>
      <c r="B267" s="30"/>
      <c r="C267" s="31" t="str">
        <f t="shared" si="84"/>
        <v>TZCO TZE240</v>
      </c>
      <c r="D267" s="9" t="str">
        <f t="shared" si="87"/>
        <v>тыс. ткм</v>
      </c>
      <c r="E267" s="74">
        <f t="shared" si="88"/>
        <v>11048.489749270471</v>
      </c>
      <c r="F267" s="74">
        <f t="shared" si="85"/>
        <v>11105.415595578439</v>
      </c>
      <c r="G267" s="74">
        <f t="shared" si="85"/>
        <v>10354.571243415245</v>
      </c>
      <c r="H267" s="74">
        <f t="shared" si="85"/>
        <v>11704.918422088471</v>
      </c>
      <c r="I267" s="74">
        <f t="shared" si="85"/>
        <v>12724.683265495025</v>
      </c>
      <c r="J267" s="74">
        <f t="shared" si="85"/>
        <v>10743.524107549531</v>
      </c>
      <c r="K267" s="74">
        <f t="shared" si="85"/>
        <v>12462.841714037135</v>
      </c>
      <c r="L267" s="74">
        <f t="shared" si="85"/>
        <v>12184.165779442772</v>
      </c>
      <c r="M267" s="74">
        <f t="shared" si="85"/>
        <v>0</v>
      </c>
      <c r="N267" s="74">
        <f t="shared" si="85"/>
        <v>0</v>
      </c>
      <c r="O267" s="74">
        <f t="shared" si="85"/>
        <v>0</v>
      </c>
      <c r="P267" s="74">
        <f t="shared" si="85"/>
        <v>0</v>
      </c>
      <c r="Q267" s="74">
        <f t="shared" si="85"/>
        <v>0</v>
      </c>
      <c r="R267" s="74">
        <f t="shared" si="85"/>
        <v>0</v>
      </c>
      <c r="S267" s="74">
        <f t="shared" si="85"/>
        <v>0</v>
      </c>
      <c r="T267" s="74">
        <f t="shared" si="85"/>
        <v>0</v>
      </c>
      <c r="U267" s="74">
        <f t="shared" si="85"/>
        <v>0</v>
      </c>
      <c r="V267" s="74">
        <f t="shared" si="85"/>
        <v>0</v>
      </c>
      <c r="W267" s="74">
        <f t="shared" si="85"/>
        <v>0</v>
      </c>
      <c r="X267" s="74">
        <f t="shared" si="85"/>
        <v>0</v>
      </c>
      <c r="Y267" s="179"/>
      <c r="Z267" s="50">
        <f t="shared" si="86"/>
        <v>11541.076234609636</v>
      </c>
    </row>
    <row r="268" spans="1:26" x14ac:dyDescent="0.25">
      <c r="A268" s="139">
        <f t="shared" si="71"/>
        <v>1</v>
      </c>
      <c r="B268" s="30"/>
      <c r="C268" s="31" t="str">
        <f t="shared" si="84"/>
        <v>БелАЗ 7531 (ГПФК)</v>
      </c>
      <c r="D268" s="9" t="str">
        <f t="shared" si="87"/>
        <v>тыс. ткм</v>
      </c>
      <c r="E268" s="74">
        <f t="shared" si="88"/>
        <v>11479.681497591326</v>
      </c>
      <c r="F268" s="74">
        <f t="shared" si="85"/>
        <v>11581.872228686147</v>
      </c>
      <c r="G268" s="74">
        <f t="shared" si="85"/>
        <v>12036.683657217869</v>
      </c>
      <c r="H268" s="74">
        <f t="shared" si="85"/>
        <v>12053.125486325915</v>
      </c>
      <c r="I268" s="74">
        <f t="shared" si="85"/>
        <v>12828.189821196389</v>
      </c>
      <c r="J268" s="74">
        <f t="shared" si="85"/>
        <v>12636.359519439371</v>
      </c>
      <c r="K268" s="74">
        <f t="shared" si="85"/>
        <v>12789.952198089773</v>
      </c>
      <c r="L268" s="74">
        <f t="shared" si="85"/>
        <v>12260.046756815291</v>
      </c>
      <c r="M268" s="74">
        <f t="shared" si="85"/>
        <v>12599.239378589557</v>
      </c>
      <c r="N268" s="74">
        <f t="shared" si="85"/>
        <v>12553.728726378233</v>
      </c>
      <c r="O268" s="74">
        <f t="shared" si="85"/>
        <v>0</v>
      </c>
      <c r="P268" s="74">
        <f t="shared" si="85"/>
        <v>0</v>
      </c>
      <c r="Q268" s="74">
        <f t="shared" si="85"/>
        <v>0</v>
      </c>
      <c r="R268" s="74">
        <f t="shared" si="85"/>
        <v>0</v>
      </c>
      <c r="S268" s="74">
        <f t="shared" si="85"/>
        <v>0</v>
      </c>
      <c r="T268" s="74">
        <f t="shared" si="85"/>
        <v>0</v>
      </c>
      <c r="U268" s="74">
        <f t="shared" si="85"/>
        <v>0</v>
      </c>
      <c r="V268" s="74">
        <f t="shared" si="85"/>
        <v>0</v>
      </c>
      <c r="W268" s="74">
        <f t="shared" si="85"/>
        <v>0</v>
      </c>
      <c r="X268" s="74">
        <f t="shared" si="85"/>
        <v>0</v>
      </c>
      <c r="Y268" s="179"/>
      <c r="Z268" s="50">
        <f t="shared" si="86"/>
        <v>12281.887927032989</v>
      </c>
    </row>
    <row r="269" spans="1:26" x14ac:dyDescent="0.25">
      <c r="A269" s="139">
        <f t="shared" si="71"/>
        <v>1</v>
      </c>
      <c r="B269" s="30"/>
      <c r="C269" s="31" t="str">
        <f t="shared" si="84"/>
        <v>XCMG 240</v>
      </c>
      <c r="D269" s="9" t="str">
        <f t="shared" si="87"/>
        <v>тыс. ткм</v>
      </c>
      <c r="E269" s="74">
        <f t="shared" si="88"/>
        <v>0</v>
      </c>
      <c r="F269" s="74">
        <f t="shared" si="85"/>
        <v>0</v>
      </c>
      <c r="G269" s="74">
        <f t="shared" si="85"/>
        <v>0</v>
      </c>
      <c r="H269" s="74">
        <f t="shared" si="85"/>
        <v>0</v>
      </c>
      <c r="I269" s="74">
        <f t="shared" si="85"/>
        <v>0</v>
      </c>
      <c r="J269" s="74">
        <f t="shared" si="85"/>
        <v>0</v>
      </c>
      <c r="K269" s="74">
        <f t="shared" si="85"/>
        <v>0</v>
      </c>
      <c r="L269" s="74">
        <f t="shared" si="85"/>
        <v>0</v>
      </c>
      <c r="M269" s="74">
        <f t="shared" si="85"/>
        <v>0</v>
      </c>
      <c r="N269" s="74">
        <f t="shared" si="85"/>
        <v>0</v>
      </c>
      <c r="O269" s="74">
        <f t="shared" si="85"/>
        <v>0</v>
      </c>
      <c r="P269" s="74">
        <f t="shared" si="85"/>
        <v>0</v>
      </c>
      <c r="Q269" s="74">
        <f t="shared" si="85"/>
        <v>0</v>
      </c>
      <c r="R269" s="74">
        <f t="shared" si="85"/>
        <v>0</v>
      </c>
      <c r="S269" s="74">
        <f t="shared" si="85"/>
        <v>0</v>
      </c>
      <c r="T269" s="74">
        <f t="shared" si="85"/>
        <v>0</v>
      </c>
      <c r="U269" s="74">
        <f t="shared" si="85"/>
        <v>0</v>
      </c>
      <c r="V269" s="74">
        <f t="shared" si="85"/>
        <v>0</v>
      </c>
      <c r="W269" s="74">
        <f t="shared" si="85"/>
        <v>0</v>
      </c>
      <c r="X269" s="74">
        <f t="shared" si="85"/>
        <v>0</v>
      </c>
      <c r="Y269" s="179"/>
      <c r="Z269" s="50" t="e">
        <f t="shared" si="86"/>
        <v>#DIV/0!</v>
      </c>
    </row>
    <row r="270" spans="1:26" x14ac:dyDescent="0.25">
      <c r="A270" s="139">
        <f t="shared" si="71"/>
        <v>1</v>
      </c>
      <c r="B270" s="30"/>
      <c r="C270" s="31" t="str">
        <f t="shared" si="84"/>
        <v>БелАЗ 7531 (БТЛ)</v>
      </c>
      <c r="D270" s="9" t="str">
        <f t="shared" si="87"/>
        <v>тыс. ткм</v>
      </c>
      <c r="E270" s="74">
        <f t="shared" si="88"/>
        <v>11748.329929545243</v>
      </c>
      <c r="F270" s="74">
        <f t="shared" si="85"/>
        <v>11871.444429808935</v>
      </c>
      <c r="G270" s="74">
        <f t="shared" si="85"/>
        <v>12520.058427235517</v>
      </c>
      <c r="H270" s="74">
        <f t="shared" si="85"/>
        <v>12134.512190547917</v>
      </c>
      <c r="I270" s="74">
        <f t="shared" si="85"/>
        <v>13117.165014226643</v>
      </c>
      <c r="J270" s="74">
        <f t="shared" si="85"/>
        <v>13003.762278877713</v>
      </c>
      <c r="K270" s="74">
        <f t="shared" si="85"/>
        <v>12126.420904765628</v>
      </c>
      <c r="L270" s="74">
        <f t="shared" si="85"/>
        <v>12792.153846735544</v>
      </c>
      <c r="M270" s="74">
        <f t="shared" si="85"/>
        <v>12832.03561342626</v>
      </c>
      <c r="N270" s="74">
        <f t="shared" si="85"/>
        <v>12421.43337231493</v>
      </c>
      <c r="O270" s="74">
        <f t="shared" si="85"/>
        <v>0</v>
      </c>
      <c r="P270" s="74">
        <f t="shared" si="85"/>
        <v>0</v>
      </c>
      <c r="Q270" s="74">
        <f t="shared" si="85"/>
        <v>0</v>
      </c>
      <c r="R270" s="74">
        <f t="shared" si="85"/>
        <v>0</v>
      </c>
      <c r="S270" s="74">
        <f t="shared" si="85"/>
        <v>0</v>
      </c>
      <c r="T270" s="74">
        <f t="shared" si="85"/>
        <v>0</v>
      </c>
      <c r="U270" s="74">
        <f t="shared" si="85"/>
        <v>0</v>
      </c>
      <c r="V270" s="74">
        <f t="shared" si="85"/>
        <v>0</v>
      </c>
      <c r="W270" s="74">
        <f t="shared" si="85"/>
        <v>0</v>
      </c>
      <c r="X270" s="74">
        <f t="shared" si="85"/>
        <v>0</v>
      </c>
      <c r="Y270" s="179"/>
      <c r="Z270" s="50">
        <f t="shared" si="86"/>
        <v>12456.731600748433</v>
      </c>
    </row>
    <row r="271" spans="1:26" x14ac:dyDescent="0.25">
      <c r="A271" s="139">
        <f t="shared" si="71"/>
        <v>0</v>
      </c>
      <c r="B271" s="30"/>
      <c r="C271" s="31">
        <f t="shared" si="84"/>
        <v>0</v>
      </c>
      <c r="D271" s="9" t="str">
        <f t="shared" si="87"/>
        <v>тыс. ткм</v>
      </c>
      <c r="E271" s="74">
        <f t="shared" si="88"/>
        <v>0</v>
      </c>
      <c r="F271" s="74">
        <f t="shared" si="85"/>
        <v>0</v>
      </c>
      <c r="G271" s="74">
        <f t="shared" si="85"/>
        <v>0</v>
      </c>
      <c r="H271" s="74">
        <f t="shared" si="85"/>
        <v>0</v>
      </c>
      <c r="I271" s="74">
        <f t="shared" si="85"/>
        <v>0</v>
      </c>
      <c r="J271" s="74">
        <f t="shared" si="85"/>
        <v>0</v>
      </c>
      <c r="K271" s="74">
        <f t="shared" si="85"/>
        <v>0</v>
      </c>
      <c r="L271" s="74">
        <f t="shared" si="85"/>
        <v>0</v>
      </c>
      <c r="M271" s="74">
        <f t="shared" si="85"/>
        <v>0</v>
      </c>
      <c r="N271" s="74">
        <f t="shared" si="85"/>
        <v>0</v>
      </c>
      <c r="O271" s="74">
        <f t="shared" si="85"/>
        <v>0</v>
      </c>
      <c r="P271" s="74">
        <f t="shared" si="85"/>
        <v>0</v>
      </c>
      <c r="Q271" s="74">
        <f t="shared" si="85"/>
        <v>0</v>
      </c>
      <c r="R271" s="74">
        <f t="shared" si="85"/>
        <v>0</v>
      </c>
      <c r="S271" s="74">
        <f t="shared" si="85"/>
        <v>0</v>
      </c>
      <c r="T271" s="74">
        <f t="shared" si="85"/>
        <v>0</v>
      </c>
      <c r="U271" s="74">
        <f t="shared" si="85"/>
        <v>0</v>
      </c>
      <c r="V271" s="74">
        <f t="shared" si="85"/>
        <v>0</v>
      </c>
      <c r="W271" s="74">
        <f t="shared" si="85"/>
        <v>0</v>
      </c>
      <c r="X271" s="74">
        <f t="shared" si="85"/>
        <v>0</v>
      </c>
      <c r="Y271" s="179"/>
      <c r="Z271" s="50" t="e">
        <f t="shared" si="86"/>
        <v>#DIV/0!</v>
      </c>
    </row>
    <row r="272" spans="1:26" x14ac:dyDescent="0.25">
      <c r="A272" s="139">
        <f t="shared" si="71"/>
        <v>0</v>
      </c>
      <c r="B272" s="30"/>
      <c r="C272" s="31">
        <f t="shared" si="84"/>
        <v>0</v>
      </c>
      <c r="D272" s="9" t="str">
        <f t="shared" si="87"/>
        <v>тыс. ткм</v>
      </c>
      <c r="E272" s="74">
        <f t="shared" si="88"/>
        <v>0</v>
      </c>
      <c r="F272" s="74">
        <f t="shared" si="85"/>
        <v>0</v>
      </c>
      <c r="G272" s="74">
        <f t="shared" si="85"/>
        <v>0</v>
      </c>
      <c r="H272" s="74">
        <f t="shared" si="85"/>
        <v>0</v>
      </c>
      <c r="I272" s="74">
        <f t="shared" si="85"/>
        <v>0</v>
      </c>
      <c r="J272" s="74">
        <f t="shared" si="85"/>
        <v>0</v>
      </c>
      <c r="K272" s="74">
        <f t="shared" si="85"/>
        <v>0</v>
      </c>
      <c r="L272" s="74">
        <f t="shared" si="85"/>
        <v>0</v>
      </c>
      <c r="M272" s="74">
        <f t="shared" si="85"/>
        <v>0</v>
      </c>
      <c r="N272" s="74">
        <f t="shared" si="85"/>
        <v>0</v>
      </c>
      <c r="O272" s="74">
        <f t="shared" si="85"/>
        <v>0</v>
      </c>
      <c r="P272" s="74">
        <f t="shared" si="85"/>
        <v>0</v>
      </c>
      <c r="Q272" s="74">
        <f t="shared" si="85"/>
        <v>0</v>
      </c>
      <c r="R272" s="74">
        <f t="shared" si="85"/>
        <v>0</v>
      </c>
      <c r="S272" s="74">
        <f t="shared" si="85"/>
        <v>0</v>
      </c>
      <c r="T272" s="74">
        <f t="shared" si="85"/>
        <v>0</v>
      </c>
      <c r="U272" s="74">
        <f t="shared" si="85"/>
        <v>0</v>
      </c>
      <c r="V272" s="74">
        <f t="shared" si="85"/>
        <v>0</v>
      </c>
      <c r="W272" s="74">
        <f t="shared" si="85"/>
        <v>0</v>
      </c>
      <c r="X272" s="74">
        <f t="shared" si="85"/>
        <v>0</v>
      </c>
      <c r="Y272" s="179"/>
      <c r="Z272" s="50" t="e">
        <f t="shared" si="86"/>
        <v>#DIV/0!</v>
      </c>
    </row>
    <row r="273" spans="1:26" x14ac:dyDescent="0.25">
      <c r="A273" s="139">
        <f t="shared" si="71"/>
        <v>0</v>
      </c>
      <c r="B273" s="30"/>
      <c r="C273" s="31">
        <f t="shared" si="84"/>
        <v>0</v>
      </c>
      <c r="D273" s="9" t="str">
        <f t="shared" si="87"/>
        <v>тыс. ткм</v>
      </c>
      <c r="E273" s="74">
        <f t="shared" si="88"/>
        <v>0</v>
      </c>
      <c r="F273" s="74">
        <f t="shared" si="85"/>
        <v>0</v>
      </c>
      <c r="G273" s="74">
        <f t="shared" si="85"/>
        <v>0</v>
      </c>
      <c r="H273" s="74">
        <f t="shared" si="85"/>
        <v>0</v>
      </c>
      <c r="I273" s="74">
        <f t="shared" si="85"/>
        <v>0</v>
      </c>
      <c r="J273" s="74">
        <f t="shared" si="85"/>
        <v>0</v>
      </c>
      <c r="K273" s="74">
        <f t="shared" si="85"/>
        <v>0</v>
      </c>
      <c r="L273" s="74">
        <f t="shared" si="85"/>
        <v>0</v>
      </c>
      <c r="M273" s="74">
        <f t="shared" si="85"/>
        <v>0</v>
      </c>
      <c r="N273" s="74">
        <f t="shared" si="85"/>
        <v>0</v>
      </c>
      <c r="O273" s="74">
        <f t="shared" si="85"/>
        <v>0</v>
      </c>
      <c r="P273" s="74">
        <f t="shared" si="85"/>
        <v>0</v>
      </c>
      <c r="Q273" s="74">
        <f t="shared" si="85"/>
        <v>0</v>
      </c>
      <c r="R273" s="74">
        <f t="shared" si="85"/>
        <v>0</v>
      </c>
      <c r="S273" s="74">
        <f t="shared" si="85"/>
        <v>0</v>
      </c>
      <c r="T273" s="74">
        <f t="shared" si="85"/>
        <v>0</v>
      </c>
      <c r="U273" s="74">
        <f t="shared" si="85"/>
        <v>0</v>
      </c>
      <c r="V273" s="74">
        <f t="shared" si="85"/>
        <v>0</v>
      </c>
      <c r="W273" s="74">
        <f t="shared" si="85"/>
        <v>0</v>
      </c>
      <c r="X273" s="74">
        <f t="shared" si="85"/>
        <v>0</v>
      </c>
      <c r="Y273" s="179"/>
      <c r="Z273" s="50" t="e">
        <f t="shared" si="86"/>
        <v>#DIV/0!</v>
      </c>
    </row>
    <row r="274" spans="1:26" x14ac:dyDescent="0.25">
      <c r="A274" s="139">
        <f t="shared" si="71"/>
        <v>0</v>
      </c>
      <c r="B274" s="30"/>
      <c r="C274" s="31">
        <f t="shared" si="84"/>
        <v>0</v>
      </c>
      <c r="D274" s="9" t="str">
        <f t="shared" si="87"/>
        <v>тыс. ткм</v>
      </c>
      <c r="E274" s="74">
        <f t="shared" si="88"/>
        <v>0</v>
      </c>
      <c r="F274" s="74">
        <f t="shared" si="85"/>
        <v>0</v>
      </c>
      <c r="G274" s="74">
        <f t="shared" si="85"/>
        <v>0</v>
      </c>
      <c r="H274" s="74">
        <f t="shared" si="85"/>
        <v>0</v>
      </c>
      <c r="I274" s="74">
        <f t="shared" si="85"/>
        <v>0</v>
      </c>
      <c r="J274" s="74">
        <f t="shared" si="85"/>
        <v>0</v>
      </c>
      <c r="K274" s="74">
        <f t="shared" si="85"/>
        <v>0</v>
      </c>
      <c r="L274" s="74">
        <f t="shared" si="85"/>
        <v>0</v>
      </c>
      <c r="M274" s="74">
        <f t="shared" si="85"/>
        <v>0</v>
      </c>
      <c r="N274" s="74">
        <f t="shared" si="85"/>
        <v>0</v>
      </c>
      <c r="O274" s="74">
        <f t="shared" si="85"/>
        <v>0</v>
      </c>
      <c r="P274" s="74">
        <f t="shared" si="85"/>
        <v>0</v>
      </c>
      <c r="Q274" s="74">
        <f t="shared" si="85"/>
        <v>0</v>
      </c>
      <c r="R274" s="74">
        <f t="shared" si="85"/>
        <v>0</v>
      </c>
      <c r="S274" s="74">
        <f t="shared" si="85"/>
        <v>0</v>
      </c>
      <c r="T274" s="74">
        <f t="shared" si="85"/>
        <v>0</v>
      </c>
      <c r="U274" s="74">
        <f t="shared" si="85"/>
        <v>0</v>
      </c>
      <c r="V274" s="74">
        <f t="shared" si="85"/>
        <v>0</v>
      </c>
      <c r="W274" s="74">
        <f t="shared" si="85"/>
        <v>0</v>
      </c>
      <c r="X274" s="74">
        <f t="shared" si="85"/>
        <v>0</v>
      </c>
      <c r="Y274" s="179"/>
      <c r="Z274" s="50" t="e">
        <f t="shared" si="86"/>
        <v>#DIV/0!</v>
      </c>
    </row>
    <row r="275" spans="1:26" x14ac:dyDescent="0.25">
      <c r="A275" s="139">
        <f t="shared" si="71"/>
        <v>0</v>
      </c>
      <c r="B275" s="30"/>
      <c r="C275" s="31">
        <f t="shared" si="84"/>
        <v>0</v>
      </c>
      <c r="D275" s="9" t="str">
        <f t="shared" si="87"/>
        <v>тыс. ткм</v>
      </c>
      <c r="E275" s="74">
        <f t="shared" si="88"/>
        <v>0</v>
      </c>
      <c r="F275" s="74">
        <f t="shared" si="85"/>
        <v>0</v>
      </c>
      <c r="G275" s="74">
        <f t="shared" si="85"/>
        <v>0</v>
      </c>
      <c r="H275" s="74">
        <f t="shared" si="85"/>
        <v>0</v>
      </c>
      <c r="I275" s="74">
        <f t="shared" si="85"/>
        <v>0</v>
      </c>
      <c r="J275" s="74">
        <f t="shared" si="85"/>
        <v>0</v>
      </c>
      <c r="K275" s="74">
        <f t="shared" si="85"/>
        <v>0</v>
      </c>
      <c r="L275" s="74">
        <f t="shared" si="85"/>
        <v>0</v>
      </c>
      <c r="M275" s="74">
        <f t="shared" si="85"/>
        <v>0</v>
      </c>
      <c r="N275" s="74">
        <f t="shared" si="85"/>
        <v>0</v>
      </c>
      <c r="O275" s="74">
        <f t="shared" si="85"/>
        <v>0</v>
      </c>
      <c r="P275" s="74">
        <f t="shared" si="85"/>
        <v>0</v>
      </c>
      <c r="Q275" s="74">
        <f t="shared" si="85"/>
        <v>0</v>
      </c>
      <c r="R275" s="74">
        <f t="shared" si="85"/>
        <v>0</v>
      </c>
      <c r="S275" s="74">
        <f t="shared" si="85"/>
        <v>0</v>
      </c>
      <c r="T275" s="74">
        <f t="shared" si="85"/>
        <v>0</v>
      </c>
      <c r="U275" s="74">
        <f t="shared" si="85"/>
        <v>0</v>
      </c>
      <c r="V275" s="74">
        <f t="shared" si="85"/>
        <v>0</v>
      </c>
      <c r="W275" s="74">
        <f t="shared" si="85"/>
        <v>0</v>
      </c>
      <c r="X275" s="74">
        <f t="shared" si="85"/>
        <v>0</v>
      </c>
      <c r="Y275" s="179"/>
      <c r="Z275" s="50" t="e">
        <f t="shared" si="86"/>
        <v>#DIV/0!</v>
      </c>
    </row>
    <row r="276" spans="1:26" x14ac:dyDescent="0.25">
      <c r="A276" s="139">
        <f t="shared" si="71"/>
        <v>0</v>
      </c>
      <c r="B276" s="30"/>
      <c r="C276" s="31">
        <f t="shared" si="84"/>
        <v>0</v>
      </c>
      <c r="D276" s="9" t="str">
        <f t="shared" si="87"/>
        <v>тыс. ткм</v>
      </c>
      <c r="E276" s="74">
        <f t="shared" si="88"/>
        <v>0</v>
      </c>
      <c r="F276" s="74">
        <f t="shared" si="85"/>
        <v>0</v>
      </c>
      <c r="G276" s="74">
        <f t="shared" si="85"/>
        <v>0</v>
      </c>
      <c r="H276" s="74">
        <f t="shared" si="85"/>
        <v>0</v>
      </c>
      <c r="I276" s="74">
        <f t="shared" si="85"/>
        <v>0</v>
      </c>
      <c r="J276" s="74">
        <f t="shared" si="85"/>
        <v>0</v>
      </c>
      <c r="K276" s="74">
        <f t="shared" si="85"/>
        <v>0</v>
      </c>
      <c r="L276" s="74">
        <f t="shared" si="85"/>
        <v>0</v>
      </c>
      <c r="M276" s="74">
        <f t="shared" si="85"/>
        <v>0</v>
      </c>
      <c r="N276" s="74">
        <f t="shared" si="85"/>
        <v>0</v>
      </c>
      <c r="O276" s="74">
        <f t="shared" si="85"/>
        <v>0</v>
      </c>
      <c r="P276" s="74">
        <f t="shared" si="85"/>
        <v>0</v>
      </c>
      <c r="Q276" s="74">
        <f t="shared" si="85"/>
        <v>0</v>
      </c>
      <c r="R276" s="74">
        <f t="shared" si="85"/>
        <v>0</v>
      </c>
      <c r="S276" s="74">
        <f t="shared" si="85"/>
        <v>0</v>
      </c>
      <c r="T276" s="74">
        <f t="shared" si="85"/>
        <v>0</v>
      </c>
      <c r="U276" s="74">
        <f t="shared" si="85"/>
        <v>0</v>
      </c>
      <c r="V276" s="74">
        <f t="shared" si="85"/>
        <v>0</v>
      </c>
      <c r="W276" s="74">
        <f t="shared" si="85"/>
        <v>0</v>
      </c>
      <c r="X276" s="74">
        <f t="shared" si="85"/>
        <v>0</v>
      </c>
      <c r="Y276" s="179"/>
      <c r="Z276" s="50" t="e">
        <f t="shared" si="86"/>
        <v>#DIV/0!</v>
      </c>
    </row>
    <row r="277" spans="1:26" x14ac:dyDescent="0.25">
      <c r="A277" s="139">
        <f t="shared" si="71"/>
        <v>0</v>
      </c>
      <c r="B277" s="30"/>
      <c r="C277" s="31">
        <f t="shared" si="84"/>
        <v>0</v>
      </c>
      <c r="D277" s="9" t="str">
        <f t="shared" si="87"/>
        <v>тыс. ткм</v>
      </c>
      <c r="E277" s="74">
        <f t="shared" si="88"/>
        <v>0</v>
      </c>
      <c r="F277" s="74">
        <f t="shared" si="85"/>
        <v>0</v>
      </c>
      <c r="G277" s="74">
        <f t="shared" si="85"/>
        <v>0</v>
      </c>
      <c r="H277" s="74">
        <f t="shared" si="85"/>
        <v>0</v>
      </c>
      <c r="I277" s="74">
        <f t="shared" si="85"/>
        <v>0</v>
      </c>
      <c r="J277" s="74">
        <f t="shared" si="85"/>
        <v>0</v>
      </c>
      <c r="K277" s="74">
        <f t="shared" si="85"/>
        <v>0</v>
      </c>
      <c r="L277" s="74">
        <f t="shared" si="85"/>
        <v>0</v>
      </c>
      <c r="M277" s="74">
        <f t="shared" si="85"/>
        <v>0</v>
      </c>
      <c r="N277" s="74">
        <f t="shared" si="85"/>
        <v>0</v>
      </c>
      <c r="O277" s="74">
        <f t="shared" si="85"/>
        <v>0</v>
      </c>
      <c r="P277" s="74">
        <f t="shared" si="85"/>
        <v>0</v>
      </c>
      <c r="Q277" s="74">
        <f t="shared" si="85"/>
        <v>0</v>
      </c>
      <c r="R277" s="74">
        <f t="shared" si="85"/>
        <v>0</v>
      </c>
      <c r="S277" s="74">
        <f t="shared" si="85"/>
        <v>0</v>
      </c>
      <c r="T277" s="74">
        <f t="shared" si="85"/>
        <v>0</v>
      </c>
      <c r="U277" s="74">
        <f t="shared" si="85"/>
        <v>0</v>
      </c>
      <c r="V277" s="74">
        <f t="shared" si="85"/>
        <v>0</v>
      </c>
      <c r="W277" s="74">
        <f t="shared" si="85"/>
        <v>0</v>
      </c>
      <c r="X277" s="74">
        <f t="shared" si="85"/>
        <v>0</v>
      </c>
      <c r="Y277" s="179"/>
      <c r="Z277" s="50" t="e">
        <f t="shared" si="86"/>
        <v>#DIV/0!</v>
      </c>
    </row>
    <row r="278" spans="1:26" x14ac:dyDescent="0.25">
      <c r="A278" s="139">
        <f t="shared" si="71"/>
        <v>0</v>
      </c>
      <c r="B278" s="30"/>
      <c r="C278" s="31">
        <f t="shared" si="84"/>
        <v>0</v>
      </c>
      <c r="D278" s="9" t="str">
        <f t="shared" si="87"/>
        <v>тыс. ткм</v>
      </c>
      <c r="E278" s="74">
        <f t="shared" si="88"/>
        <v>0</v>
      </c>
      <c r="F278" s="74">
        <f t="shared" si="85"/>
        <v>0</v>
      </c>
      <c r="G278" s="74">
        <f t="shared" si="85"/>
        <v>0</v>
      </c>
      <c r="H278" s="74">
        <f t="shared" si="85"/>
        <v>0</v>
      </c>
      <c r="I278" s="74">
        <f t="shared" si="85"/>
        <v>0</v>
      </c>
      <c r="J278" s="74">
        <f t="shared" si="85"/>
        <v>0</v>
      </c>
      <c r="K278" s="74">
        <f t="shared" si="85"/>
        <v>0</v>
      </c>
      <c r="L278" s="74">
        <f t="shared" si="85"/>
        <v>0</v>
      </c>
      <c r="M278" s="74">
        <f t="shared" ref="M278:X278" si="89">M262*M22</f>
        <v>0</v>
      </c>
      <c r="N278" s="74">
        <f t="shared" si="89"/>
        <v>0</v>
      </c>
      <c r="O278" s="74">
        <f t="shared" si="89"/>
        <v>0</v>
      </c>
      <c r="P278" s="74">
        <f t="shared" si="89"/>
        <v>0</v>
      </c>
      <c r="Q278" s="74">
        <f t="shared" si="89"/>
        <v>0</v>
      </c>
      <c r="R278" s="74">
        <f t="shared" si="89"/>
        <v>0</v>
      </c>
      <c r="S278" s="74">
        <f t="shared" si="89"/>
        <v>0</v>
      </c>
      <c r="T278" s="74">
        <f t="shared" si="89"/>
        <v>0</v>
      </c>
      <c r="U278" s="74">
        <f t="shared" si="89"/>
        <v>0</v>
      </c>
      <c r="V278" s="74">
        <f t="shared" si="89"/>
        <v>0</v>
      </c>
      <c r="W278" s="74">
        <f t="shared" si="89"/>
        <v>0</v>
      </c>
      <c r="X278" s="74">
        <f t="shared" si="89"/>
        <v>0</v>
      </c>
      <c r="Y278" s="179"/>
      <c r="Z278" s="50" t="e">
        <f t="shared" si="86"/>
        <v>#DIV/0!</v>
      </c>
    </row>
    <row r="279" spans="1:26" x14ac:dyDescent="0.25">
      <c r="A279" s="139">
        <f>A263</f>
        <v>1</v>
      </c>
      <c r="B279" s="68">
        <f>B263+1</f>
        <v>13</v>
      </c>
      <c r="C279" s="98" t="s">
        <v>56</v>
      </c>
      <c r="D279" s="191">
        <v>0.5</v>
      </c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179"/>
    </row>
    <row r="280" spans="1:26" x14ac:dyDescent="0.25">
      <c r="A280" s="139">
        <f t="shared" ref="A280:A294" si="90">A264</f>
        <v>1</v>
      </c>
      <c r="B280" s="30"/>
      <c r="C280" s="31" t="str">
        <f>C264</f>
        <v>NHL NTE 240</v>
      </c>
      <c r="D280" s="9" t="s">
        <v>106</v>
      </c>
      <c r="E280" s="74">
        <f>E232*E8/$D$279</f>
        <v>104289.9279875263</v>
      </c>
      <c r="F280" s="74">
        <f t="shared" ref="F280:X294" si="91">F232*F8/$D$279</f>
        <v>107069.46269124778</v>
      </c>
      <c r="G280" s="74">
        <f t="shared" si="91"/>
        <v>112826.39908068988</v>
      </c>
      <c r="H280" s="74">
        <f t="shared" si="91"/>
        <v>110183.96875926586</v>
      </c>
      <c r="I280" s="74">
        <f t="shared" si="91"/>
        <v>119571.70671612638</v>
      </c>
      <c r="J280" s="74">
        <f t="shared" si="91"/>
        <v>121218.84105671314</v>
      </c>
      <c r="K280" s="74">
        <f t="shared" si="91"/>
        <v>116852.20391999437</v>
      </c>
      <c r="L280" s="74">
        <f t="shared" si="91"/>
        <v>115040.06906478378</v>
      </c>
      <c r="M280" s="74">
        <f t="shared" si="91"/>
        <v>120748.05679229052</v>
      </c>
      <c r="N280" s="74">
        <f t="shared" si="91"/>
        <v>119579.91396368679</v>
      </c>
      <c r="O280" s="74">
        <f t="shared" si="91"/>
        <v>116837.04940724502</v>
      </c>
      <c r="P280" s="74">
        <f t="shared" si="91"/>
        <v>121945.9817246974</v>
      </c>
      <c r="Q280" s="74">
        <f t="shared" si="91"/>
        <v>125119.03876582587</v>
      </c>
      <c r="R280" s="74">
        <f t="shared" si="91"/>
        <v>125922.71726529159</v>
      </c>
      <c r="S280" s="74">
        <f t="shared" si="91"/>
        <v>121111.60830895793</v>
      </c>
      <c r="T280" s="74">
        <f t="shared" si="91"/>
        <v>122988.6101139817</v>
      </c>
      <c r="U280" s="74">
        <f t="shared" si="91"/>
        <v>114537.65027958713</v>
      </c>
      <c r="V280" s="74">
        <f t="shared" si="91"/>
        <v>114902.07548925935</v>
      </c>
      <c r="W280" s="74">
        <f t="shared" si="91"/>
        <v>125840.3355341362</v>
      </c>
      <c r="X280" s="74">
        <f t="shared" si="91"/>
        <v>127340.28002304549</v>
      </c>
      <c r="Y280" s="179"/>
    </row>
    <row r="281" spans="1:26" x14ac:dyDescent="0.25">
      <c r="A281" s="139">
        <f t="shared" si="90"/>
        <v>1</v>
      </c>
      <c r="B281" s="30"/>
      <c r="C281" s="31" t="str">
        <f t="shared" ref="C281:C294" si="92">C265</f>
        <v>Estar ESDE240 (ГПБ К)</v>
      </c>
      <c r="D281" s="9" t="str">
        <f>D280</f>
        <v>км</v>
      </c>
      <c r="E281" s="74">
        <f t="shared" ref="E281:T294" si="93">E233*E9/$D$279</f>
        <v>101406.06493131789</v>
      </c>
      <c r="F281" s="74">
        <f t="shared" si="93"/>
        <v>103122.89803897492</v>
      </c>
      <c r="G281" s="74">
        <f t="shared" si="93"/>
        <v>103979.93271425065</v>
      </c>
      <c r="H281" s="74">
        <f t="shared" si="93"/>
        <v>97718.487488999497</v>
      </c>
      <c r="I281" s="74">
        <f t="shared" si="93"/>
        <v>115112.84698738907</v>
      </c>
      <c r="J281" s="74">
        <f t="shared" si="93"/>
        <v>108111.78665312714</v>
      </c>
      <c r="K281" s="74">
        <f t="shared" si="93"/>
        <v>111602.19385336793</v>
      </c>
      <c r="L281" s="74">
        <f t="shared" si="93"/>
        <v>102420.12698243673</v>
      </c>
      <c r="M281" s="74">
        <f t="shared" si="93"/>
        <v>112725.51869754375</v>
      </c>
      <c r="N281" s="74">
        <f t="shared" si="93"/>
        <v>106972.22503595916</v>
      </c>
      <c r="O281" s="74">
        <f t="shared" si="93"/>
        <v>0</v>
      </c>
      <c r="P281" s="74">
        <f t="shared" si="93"/>
        <v>0</v>
      </c>
      <c r="Q281" s="74">
        <f t="shared" si="93"/>
        <v>0</v>
      </c>
      <c r="R281" s="74">
        <f t="shared" si="93"/>
        <v>0</v>
      </c>
      <c r="S281" s="74">
        <f t="shared" si="93"/>
        <v>0</v>
      </c>
      <c r="T281" s="74">
        <f t="shared" si="93"/>
        <v>0</v>
      </c>
      <c r="U281" s="74">
        <f t="shared" si="91"/>
        <v>0</v>
      </c>
      <c r="V281" s="74">
        <f t="shared" si="91"/>
        <v>0</v>
      </c>
      <c r="W281" s="74">
        <f t="shared" si="91"/>
        <v>0</v>
      </c>
      <c r="X281" s="74">
        <f t="shared" si="91"/>
        <v>0</v>
      </c>
      <c r="Y281" s="179"/>
    </row>
    <row r="282" spans="1:26" x14ac:dyDescent="0.25">
      <c r="A282" s="139">
        <f t="shared" si="90"/>
        <v>1</v>
      </c>
      <c r="B282" s="30"/>
      <c r="C282" s="31" t="str">
        <f t="shared" si="92"/>
        <v>SANY SET240S</v>
      </c>
      <c r="D282" s="9" t="str">
        <f t="shared" ref="D282:D294" si="94">D281</f>
        <v>км</v>
      </c>
      <c r="E282" s="74">
        <f t="shared" si="93"/>
        <v>104085.04181104711</v>
      </c>
      <c r="F282" s="74">
        <f t="shared" si="91"/>
        <v>103876.45897336921</v>
      </c>
      <c r="G282" s="74">
        <f t="shared" si="91"/>
        <v>106073.94469777292</v>
      </c>
      <c r="H282" s="74">
        <f t="shared" si="91"/>
        <v>109591.70776249413</v>
      </c>
      <c r="I282" s="74">
        <f t="shared" si="91"/>
        <v>108927.80641926726</v>
      </c>
      <c r="J282" s="74">
        <f t="shared" si="91"/>
        <v>118825.17282882516</v>
      </c>
      <c r="K282" s="74">
        <f t="shared" si="91"/>
        <v>108635.97632270069</v>
      </c>
      <c r="L282" s="74">
        <f t="shared" si="91"/>
        <v>114078.84166972463</v>
      </c>
      <c r="M282" s="74">
        <f t="shared" si="91"/>
        <v>111951.02394890884</v>
      </c>
      <c r="N282" s="74">
        <f t="shared" si="91"/>
        <v>113478.25469279084</v>
      </c>
      <c r="O282" s="74">
        <f t="shared" si="91"/>
        <v>110315.43777448426</v>
      </c>
      <c r="P282" s="74">
        <f t="shared" si="91"/>
        <v>116344.43649268993</v>
      </c>
      <c r="Q282" s="74">
        <f t="shared" si="91"/>
        <v>0</v>
      </c>
      <c r="R282" s="74">
        <f t="shared" si="91"/>
        <v>0</v>
      </c>
      <c r="S282" s="74">
        <f t="shared" si="91"/>
        <v>0</v>
      </c>
      <c r="T282" s="74">
        <f t="shared" si="91"/>
        <v>0</v>
      </c>
      <c r="U282" s="74">
        <f t="shared" si="91"/>
        <v>0</v>
      </c>
      <c r="V282" s="74">
        <f t="shared" si="91"/>
        <v>0</v>
      </c>
      <c r="W282" s="74">
        <f t="shared" si="91"/>
        <v>0</v>
      </c>
      <c r="X282" s="74">
        <f t="shared" si="91"/>
        <v>0</v>
      </c>
      <c r="Y282" s="179"/>
    </row>
    <row r="283" spans="1:26" x14ac:dyDescent="0.25">
      <c r="A283" s="139">
        <f t="shared" si="90"/>
        <v>1</v>
      </c>
      <c r="B283" s="30"/>
      <c r="C283" s="31" t="str">
        <f t="shared" si="92"/>
        <v>TZCO TZE240</v>
      </c>
      <c r="D283" s="9" t="str">
        <f t="shared" si="94"/>
        <v>км</v>
      </c>
      <c r="E283" s="74">
        <f t="shared" si="93"/>
        <v>101183.84565097169</v>
      </c>
      <c r="F283" s="74">
        <f t="shared" si="91"/>
        <v>101705.18170477549</v>
      </c>
      <c r="G283" s="74">
        <f t="shared" si="91"/>
        <v>94828.828396650206</v>
      </c>
      <c r="H283" s="74">
        <f t="shared" si="91"/>
        <v>107195.52498621063</v>
      </c>
      <c r="I283" s="74">
        <f t="shared" si="91"/>
        <v>116534.69539385385</v>
      </c>
      <c r="J283" s="74">
        <f t="shared" si="91"/>
        <v>98390.921267548285</v>
      </c>
      <c r="K283" s="74">
        <f t="shared" si="91"/>
        <v>114136.70836313994</v>
      </c>
      <c r="L283" s="74">
        <f t="shared" si="91"/>
        <v>111584.54934480005</v>
      </c>
      <c r="M283" s="74">
        <f t="shared" si="91"/>
        <v>0</v>
      </c>
      <c r="N283" s="74">
        <f t="shared" si="91"/>
        <v>0</v>
      </c>
      <c r="O283" s="74">
        <f t="shared" si="91"/>
        <v>0</v>
      </c>
      <c r="P283" s="74">
        <f t="shared" si="91"/>
        <v>0</v>
      </c>
      <c r="Q283" s="74">
        <f t="shared" si="91"/>
        <v>0</v>
      </c>
      <c r="R283" s="74">
        <f t="shared" si="91"/>
        <v>0</v>
      </c>
      <c r="S283" s="74">
        <f t="shared" si="91"/>
        <v>0</v>
      </c>
      <c r="T283" s="74">
        <f t="shared" si="91"/>
        <v>0</v>
      </c>
      <c r="U283" s="74">
        <f t="shared" si="91"/>
        <v>0</v>
      </c>
      <c r="V283" s="74">
        <f t="shared" si="91"/>
        <v>0</v>
      </c>
      <c r="W283" s="74">
        <f t="shared" si="91"/>
        <v>0</v>
      </c>
      <c r="X283" s="74">
        <f t="shared" si="91"/>
        <v>0</v>
      </c>
      <c r="Y283" s="179"/>
    </row>
    <row r="284" spans="1:26" x14ac:dyDescent="0.25">
      <c r="A284" s="139">
        <f t="shared" si="90"/>
        <v>1</v>
      </c>
      <c r="B284" s="30"/>
      <c r="C284" s="31" t="str">
        <f t="shared" si="92"/>
        <v>БелАЗ 7531 (ГПФК)</v>
      </c>
      <c r="D284" s="9" t="str">
        <f t="shared" si="94"/>
        <v>км</v>
      </c>
      <c r="E284" s="74">
        <f t="shared" si="93"/>
        <v>101036.68710532019</v>
      </c>
      <c r="F284" s="74">
        <f t="shared" si="91"/>
        <v>101936.10342840003</v>
      </c>
      <c r="G284" s="74">
        <f t="shared" si="91"/>
        <v>105939.05769208107</v>
      </c>
      <c r="H284" s="74">
        <f t="shared" si="91"/>
        <v>106083.76797375371</v>
      </c>
      <c r="I284" s="74">
        <f t="shared" si="91"/>
        <v>112905.37994140561</v>
      </c>
      <c r="J284" s="74">
        <f t="shared" si="91"/>
        <v>111217.01444276269</v>
      </c>
      <c r="K284" s="74">
        <f t="shared" si="91"/>
        <v>112568.83726273593</v>
      </c>
      <c r="L284" s="74">
        <f t="shared" si="91"/>
        <v>107904.95436000118</v>
      </c>
      <c r="M284" s="74">
        <f t="shared" si="91"/>
        <v>110890.30711580985</v>
      </c>
      <c r="N284" s="74">
        <f t="shared" si="91"/>
        <v>110489.75196727202</v>
      </c>
      <c r="O284" s="74">
        <f t="shared" si="91"/>
        <v>0</v>
      </c>
      <c r="P284" s="74">
        <f t="shared" si="91"/>
        <v>0</v>
      </c>
      <c r="Q284" s="74">
        <f t="shared" si="91"/>
        <v>0</v>
      </c>
      <c r="R284" s="74">
        <f t="shared" si="91"/>
        <v>0</v>
      </c>
      <c r="S284" s="74">
        <f t="shared" si="91"/>
        <v>0</v>
      </c>
      <c r="T284" s="74">
        <f t="shared" si="91"/>
        <v>0</v>
      </c>
      <c r="U284" s="74">
        <f t="shared" si="91"/>
        <v>0</v>
      </c>
      <c r="V284" s="74">
        <f t="shared" si="91"/>
        <v>0</v>
      </c>
      <c r="W284" s="74">
        <f t="shared" si="91"/>
        <v>0</v>
      </c>
      <c r="X284" s="74">
        <f t="shared" si="91"/>
        <v>0</v>
      </c>
      <c r="Y284" s="179"/>
    </row>
    <row r="285" spans="1:26" x14ac:dyDescent="0.25">
      <c r="A285" s="139">
        <f t="shared" si="90"/>
        <v>1</v>
      </c>
      <c r="B285" s="30"/>
      <c r="C285" s="31" t="str">
        <f t="shared" si="92"/>
        <v>XCMG 240</v>
      </c>
      <c r="D285" s="9" t="str">
        <f t="shared" si="94"/>
        <v>км</v>
      </c>
      <c r="E285" s="74">
        <f t="shared" si="93"/>
        <v>0</v>
      </c>
      <c r="F285" s="74">
        <f t="shared" si="91"/>
        <v>0</v>
      </c>
      <c r="G285" s="74">
        <f t="shared" si="91"/>
        <v>0</v>
      </c>
      <c r="H285" s="74">
        <f t="shared" si="91"/>
        <v>0</v>
      </c>
      <c r="I285" s="74">
        <f t="shared" si="91"/>
        <v>0</v>
      </c>
      <c r="J285" s="74">
        <f t="shared" si="91"/>
        <v>0</v>
      </c>
      <c r="K285" s="74">
        <f t="shared" si="91"/>
        <v>0</v>
      </c>
      <c r="L285" s="74">
        <f t="shared" si="91"/>
        <v>0</v>
      </c>
      <c r="M285" s="74">
        <f t="shared" si="91"/>
        <v>0</v>
      </c>
      <c r="N285" s="74">
        <f t="shared" si="91"/>
        <v>0</v>
      </c>
      <c r="O285" s="74">
        <f t="shared" si="91"/>
        <v>0</v>
      </c>
      <c r="P285" s="74">
        <f t="shared" si="91"/>
        <v>0</v>
      </c>
      <c r="Q285" s="74">
        <f t="shared" si="91"/>
        <v>0</v>
      </c>
      <c r="R285" s="74">
        <f t="shared" si="91"/>
        <v>0</v>
      </c>
      <c r="S285" s="74">
        <f t="shared" si="91"/>
        <v>0</v>
      </c>
      <c r="T285" s="74">
        <f t="shared" si="91"/>
        <v>0</v>
      </c>
      <c r="U285" s="74">
        <f t="shared" si="91"/>
        <v>0</v>
      </c>
      <c r="V285" s="74">
        <f t="shared" si="91"/>
        <v>0</v>
      </c>
      <c r="W285" s="74">
        <f t="shared" si="91"/>
        <v>0</v>
      </c>
      <c r="X285" s="74">
        <f t="shared" si="91"/>
        <v>0</v>
      </c>
      <c r="Y285" s="179"/>
    </row>
    <row r="286" spans="1:26" x14ac:dyDescent="0.25">
      <c r="A286" s="139">
        <f t="shared" si="90"/>
        <v>1</v>
      </c>
      <c r="B286" s="30"/>
      <c r="C286" s="31" t="str">
        <f t="shared" si="92"/>
        <v>БелАЗ 7531 (БТЛ)</v>
      </c>
      <c r="D286" s="9" t="str">
        <f t="shared" si="94"/>
        <v>км</v>
      </c>
      <c r="E286" s="74">
        <f t="shared" si="93"/>
        <v>103401.1558030239</v>
      </c>
      <c r="F286" s="74">
        <f t="shared" si="91"/>
        <v>104484.72952794652</v>
      </c>
      <c r="G286" s="74">
        <f t="shared" si="91"/>
        <v>110193.40790233093</v>
      </c>
      <c r="H286" s="74">
        <f t="shared" si="91"/>
        <v>106800.08078876841</v>
      </c>
      <c r="I286" s="74">
        <f t="shared" si="91"/>
        <v>115448.75156417437</v>
      </c>
      <c r="J286" s="74">
        <f t="shared" si="91"/>
        <v>114450.65447491792</v>
      </c>
      <c r="K286" s="74">
        <f t="shared" si="91"/>
        <v>106728.86655603585</v>
      </c>
      <c r="L286" s="74">
        <f t="shared" si="91"/>
        <v>112588.21474157847</v>
      </c>
      <c r="M286" s="74">
        <f t="shared" si="91"/>
        <v>112939.22810228736</v>
      </c>
      <c r="N286" s="74">
        <f t="shared" si="91"/>
        <v>109325.37434087304</v>
      </c>
      <c r="O286" s="74">
        <f t="shared" si="91"/>
        <v>0</v>
      </c>
      <c r="P286" s="74">
        <f t="shared" si="91"/>
        <v>0</v>
      </c>
      <c r="Q286" s="74">
        <f t="shared" si="91"/>
        <v>0</v>
      </c>
      <c r="R286" s="74">
        <f t="shared" si="91"/>
        <v>0</v>
      </c>
      <c r="S286" s="74">
        <f t="shared" si="91"/>
        <v>0</v>
      </c>
      <c r="T286" s="74">
        <f t="shared" si="91"/>
        <v>0</v>
      </c>
      <c r="U286" s="74">
        <f t="shared" si="91"/>
        <v>0</v>
      </c>
      <c r="V286" s="74">
        <f t="shared" si="91"/>
        <v>0</v>
      </c>
      <c r="W286" s="74">
        <f t="shared" si="91"/>
        <v>0</v>
      </c>
      <c r="X286" s="74">
        <f t="shared" si="91"/>
        <v>0</v>
      </c>
      <c r="Y286" s="179"/>
    </row>
    <row r="287" spans="1:26" x14ac:dyDescent="0.25">
      <c r="A287" s="139">
        <f t="shared" si="90"/>
        <v>0</v>
      </c>
      <c r="B287" s="30"/>
      <c r="C287" s="31">
        <f t="shared" si="92"/>
        <v>0</v>
      </c>
      <c r="D287" s="9" t="str">
        <f t="shared" si="94"/>
        <v>км</v>
      </c>
      <c r="E287" s="74">
        <f t="shared" si="93"/>
        <v>0</v>
      </c>
      <c r="F287" s="74">
        <f t="shared" si="91"/>
        <v>0</v>
      </c>
      <c r="G287" s="74">
        <f t="shared" si="91"/>
        <v>0</v>
      </c>
      <c r="H287" s="74">
        <f t="shared" si="91"/>
        <v>0</v>
      </c>
      <c r="I287" s="74">
        <f t="shared" si="91"/>
        <v>0</v>
      </c>
      <c r="J287" s="74">
        <f t="shared" si="91"/>
        <v>0</v>
      </c>
      <c r="K287" s="74">
        <f t="shared" si="91"/>
        <v>0</v>
      </c>
      <c r="L287" s="74">
        <f t="shared" si="91"/>
        <v>0</v>
      </c>
      <c r="M287" s="74">
        <f t="shared" si="91"/>
        <v>0</v>
      </c>
      <c r="N287" s="74">
        <f t="shared" si="91"/>
        <v>0</v>
      </c>
      <c r="O287" s="74">
        <f t="shared" si="91"/>
        <v>0</v>
      </c>
      <c r="P287" s="74">
        <f t="shared" si="91"/>
        <v>0</v>
      </c>
      <c r="Q287" s="74">
        <f t="shared" si="91"/>
        <v>0</v>
      </c>
      <c r="R287" s="74">
        <f t="shared" si="91"/>
        <v>0</v>
      </c>
      <c r="S287" s="74">
        <f t="shared" si="91"/>
        <v>0</v>
      </c>
      <c r="T287" s="74">
        <f t="shared" si="91"/>
        <v>0</v>
      </c>
      <c r="U287" s="74">
        <f t="shared" si="91"/>
        <v>0</v>
      </c>
      <c r="V287" s="74">
        <f t="shared" si="91"/>
        <v>0</v>
      </c>
      <c r="W287" s="74">
        <f t="shared" si="91"/>
        <v>0</v>
      </c>
      <c r="X287" s="74">
        <f t="shared" si="91"/>
        <v>0</v>
      </c>
      <c r="Y287" s="179"/>
    </row>
    <row r="288" spans="1:26" x14ac:dyDescent="0.25">
      <c r="A288" s="139">
        <f t="shared" si="90"/>
        <v>0</v>
      </c>
      <c r="B288" s="30"/>
      <c r="C288" s="31">
        <f t="shared" si="92"/>
        <v>0</v>
      </c>
      <c r="D288" s="9" t="str">
        <f t="shared" si="94"/>
        <v>км</v>
      </c>
      <c r="E288" s="74">
        <f t="shared" si="93"/>
        <v>0</v>
      </c>
      <c r="F288" s="74">
        <f t="shared" si="91"/>
        <v>0</v>
      </c>
      <c r="G288" s="74">
        <f t="shared" si="91"/>
        <v>0</v>
      </c>
      <c r="H288" s="74">
        <f t="shared" si="91"/>
        <v>0</v>
      </c>
      <c r="I288" s="74">
        <f t="shared" si="91"/>
        <v>0</v>
      </c>
      <c r="J288" s="74">
        <f t="shared" si="91"/>
        <v>0</v>
      </c>
      <c r="K288" s="74">
        <f t="shared" si="91"/>
        <v>0</v>
      </c>
      <c r="L288" s="74">
        <f t="shared" si="91"/>
        <v>0</v>
      </c>
      <c r="M288" s="74">
        <f t="shared" si="91"/>
        <v>0</v>
      </c>
      <c r="N288" s="74">
        <f t="shared" si="91"/>
        <v>0</v>
      </c>
      <c r="O288" s="74">
        <f t="shared" si="91"/>
        <v>0</v>
      </c>
      <c r="P288" s="74">
        <f t="shared" si="91"/>
        <v>0</v>
      </c>
      <c r="Q288" s="74">
        <f t="shared" si="91"/>
        <v>0</v>
      </c>
      <c r="R288" s="74">
        <f t="shared" si="91"/>
        <v>0</v>
      </c>
      <c r="S288" s="74">
        <f t="shared" si="91"/>
        <v>0</v>
      </c>
      <c r="T288" s="74">
        <f t="shared" si="91"/>
        <v>0</v>
      </c>
      <c r="U288" s="74">
        <f t="shared" si="91"/>
        <v>0</v>
      </c>
      <c r="V288" s="74">
        <f t="shared" si="91"/>
        <v>0</v>
      </c>
      <c r="W288" s="74">
        <f t="shared" si="91"/>
        <v>0</v>
      </c>
      <c r="X288" s="74">
        <f t="shared" si="91"/>
        <v>0</v>
      </c>
      <c r="Y288" s="179"/>
    </row>
    <row r="289" spans="1:25" x14ac:dyDescent="0.25">
      <c r="A289" s="139">
        <f t="shared" si="90"/>
        <v>0</v>
      </c>
      <c r="B289" s="30"/>
      <c r="C289" s="31">
        <f t="shared" si="92"/>
        <v>0</v>
      </c>
      <c r="D289" s="9" t="str">
        <f t="shared" si="94"/>
        <v>км</v>
      </c>
      <c r="E289" s="74">
        <f t="shared" si="93"/>
        <v>0</v>
      </c>
      <c r="F289" s="74">
        <f t="shared" si="91"/>
        <v>0</v>
      </c>
      <c r="G289" s="74">
        <f t="shared" si="91"/>
        <v>0</v>
      </c>
      <c r="H289" s="74">
        <f t="shared" si="91"/>
        <v>0</v>
      </c>
      <c r="I289" s="74">
        <f t="shared" si="91"/>
        <v>0</v>
      </c>
      <c r="J289" s="74">
        <f t="shared" si="91"/>
        <v>0</v>
      </c>
      <c r="K289" s="74">
        <f t="shared" si="91"/>
        <v>0</v>
      </c>
      <c r="L289" s="74">
        <f t="shared" si="91"/>
        <v>0</v>
      </c>
      <c r="M289" s="74">
        <f t="shared" si="91"/>
        <v>0</v>
      </c>
      <c r="N289" s="74">
        <f t="shared" si="91"/>
        <v>0</v>
      </c>
      <c r="O289" s="74">
        <f t="shared" si="91"/>
        <v>0</v>
      </c>
      <c r="P289" s="74">
        <f t="shared" si="91"/>
        <v>0</v>
      </c>
      <c r="Q289" s="74">
        <f t="shared" si="91"/>
        <v>0</v>
      </c>
      <c r="R289" s="74">
        <f t="shared" si="91"/>
        <v>0</v>
      </c>
      <c r="S289" s="74">
        <f t="shared" si="91"/>
        <v>0</v>
      </c>
      <c r="T289" s="74">
        <f t="shared" si="91"/>
        <v>0</v>
      </c>
      <c r="U289" s="74">
        <f t="shared" si="91"/>
        <v>0</v>
      </c>
      <c r="V289" s="74">
        <f t="shared" si="91"/>
        <v>0</v>
      </c>
      <c r="W289" s="74">
        <f t="shared" si="91"/>
        <v>0</v>
      </c>
      <c r="X289" s="74">
        <f t="shared" si="91"/>
        <v>0</v>
      </c>
      <c r="Y289" s="179"/>
    </row>
    <row r="290" spans="1:25" x14ac:dyDescent="0.25">
      <c r="A290" s="139">
        <f t="shared" si="90"/>
        <v>0</v>
      </c>
      <c r="B290" s="30"/>
      <c r="C290" s="31">
        <f t="shared" si="92"/>
        <v>0</v>
      </c>
      <c r="D290" s="9" t="str">
        <f t="shared" si="94"/>
        <v>км</v>
      </c>
      <c r="E290" s="74">
        <f t="shared" si="93"/>
        <v>0</v>
      </c>
      <c r="F290" s="74">
        <f t="shared" si="91"/>
        <v>0</v>
      </c>
      <c r="G290" s="74">
        <f t="shared" si="91"/>
        <v>0</v>
      </c>
      <c r="H290" s="74">
        <f t="shared" si="91"/>
        <v>0</v>
      </c>
      <c r="I290" s="74">
        <f t="shared" si="91"/>
        <v>0</v>
      </c>
      <c r="J290" s="74">
        <f t="shared" si="91"/>
        <v>0</v>
      </c>
      <c r="K290" s="74">
        <f t="shared" si="91"/>
        <v>0</v>
      </c>
      <c r="L290" s="74">
        <f t="shared" si="91"/>
        <v>0</v>
      </c>
      <c r="M290" s="74">
        <f t="shared" si="91"/>
        <v>0</v>
      </c>
      <c r="N290" s="74">
        <f t="shared" si="91"/>
        <v>0</v>
      </c>
      <c r="O290" s="74">
        <f t="shared" si="91"/>
        <v>0</v>
      </c>
      <c r="P290" s="74">
        <f t="shared" si="91"/>
        <v>0</v>
      </c>
      <c r="Q290" s="74">
        <f t="shared" si="91"/>
        <v>0</v>
      </c>
      <c r="R290" s="74">
        <f t="shared" si="91"/>
        <v>0</v>
      </c>
      <c r="S290" s="74">
        <f t="shared" si="91"/>
        <v>0</v>
      </c>
      <c r="T290" s="74">
        <f t="shared" si="91"/>
        <v>0</v>
      </c>
      <c r="U290" s="74">
        <f t="shared" si="91"/>
        <v>0</v>
      </c>
      <c r="V290" s="74">
        <f t="shared" si="91"/>
        <v>0</v>
      </c>
      <c r="W290" s="74">
        <f t="shared" si="91"/>
        <v>0</v>
      </c>
      <c r="X290" s="74">
        <f t="shared" si="91"/>
        <v>0</v>
      </c>
      <c r="Y290" s="179"/>
    </row>
    <row r="291" spans="1:25" x14ac:dyDescent="0.25">
      <c r="A291" s="139">
        <f t="shared" si="90"/>
        <v>0</v>
      </c>
      <c r="B291" s="30"/>
      <c r="C291" s="31">
        <f t="shared" si="92"/>
        <v>0</v>
      </c>
      <c r="D291" s="9" t="str">
        <f t="shared" si="94"/>
        <v>км</v>
      </c>
      <c r="E291" s="74">
        <f t="shared" si="93"/>
        <v>0</v>
      </c>
      <c r="F291" s="74">
        <f t="shared" si="91"/>
        <v>0</v>
      </c>
      <c r="G291" s="74">
        <f t="shared" si="91"/>
        <v>0</v>
      </c>
      <c r="H291" s="74">
        <f t="shared" si="91"/>
        <v>0</v>
      </c>
      <c r="I291" s="74">
        <f t="shared" si="91"/>
        <v>0</v>
      </c>
      <c r="J291" s="74">
        <f t="shared" si="91"/>
        <v>0</v>
      </c>
      <c r="K291" s="74">
        <f t="shared" si="91"/>
        <v>0</v>
      </c>
      <c r="L291" s="74">
        <f t="shared" si="91"/>
        <v>0</v>
      </c>
      <c r="M291" s="74">
        <f t="shared" si="91"/>
        <v>0</v>
      </c>
      <c r="N291" s="74">
        <f t="shared" si="91"/>
        <v>0</v>
      </c>
      <c r="O291" s="74">
        <f t="shared" si="91"/>
        <v>0</v>
      </c>
      <c r="P291" s="74">
        <f t="shared" si="91"/>
        <v>0</v>
      </c>
      <c r="Q291" s="74">
        <f t="shared" si="91"/>
        <v>0</v>
      </c>
      <c r="R291" s="74">
        <f t="shared" si="91"/>
        <v>0</v>
      </c>
      <c r="S291" s="74">
        <f t="shared" si="91"/>
        <v>0</v>
      </c>
      <c r="T291" s="74">
        <f t="shared" si="91"/>
        <v>0</v>
      </c>
      <c r="U291" s="74">
        <f t="shared" si="91"/>
        <v>0</v>
      </c>
      <c r="V291" s="74">
        <f t="shared" si="91"/>
        <v>0</v>
      </c>
      <c r="W291" s="74">
        <f t="shared" si="91"/>
        <v>0</v>
      </c>
      <c r="X291" s="74">
        <f t="shared" si="91"/>
        <v>0</v>
      </c>
      <c r="Y291" s="179"/>
    </row>
    <row r="292" spans="1:25" x14ac:dyDescent="0.25">
      <c r="A292" s="139">
        <f t="shared" si="90"/>
        <v>0</v>
      </c>
      <c r="B292" s="30"/>
      <c r="C292" s="31">
        <f t="shared" si="92"/>
        <v>0</v>
      </c>
      <c r="D292" s="9" t="str">
        <f t="shared" si="94"/>
        <v>км</v>
      </c>
      <c r="E292" s="74">
        <f t="shared" si="93"/>
        <v>0</v>
      </c>
      <c r="F292" s="74">
        <f t="shared" si="91"/>
        <v>0</v>
      </c>
      <c r="G292" s="74">
        <f t="shared" si="91"/>
        <v>0</v>
      </c>
      <c r="H292" s="74">
        <f t="shared" si="91"/>
        <v>0</v>
      </c>
      <c r="I292" s="74">
        <f t="shared" si="91"/>
        <v>0</v>
      </c>
      <c r="J292" s="74">
        <f t="shared" si="91"/>
        <v>0</v>
      </c>
      <c r="K292" s="74">
        <f t="shared" si="91"/>
        <v>0</v>
      </c>
      <c r="L292" s="74">
        <f t="shared" si="91"/>
        <v>0</v>
      </c>
      <c r="M292" s="74">
        <f t="shared" si="91"/>
        <v>0</v>
      </c>
      <c r="N292" s="74">
        <f t="shared" si="91"/>
        <v>0</v>
      </c>
      <c r="O292" s="74">
        <f t="shared" si="91"/>
        <v>0</v>
      </c>
      <c r="P292" s="74">
        <f t="shared" si="91"/>
        <v>0</v>
      </c>
      <c r="Q292" s="74">
        <f t="shared" si="91"/>
        <v>0</v>
      </c>
      <c r="R292" s="74">
        <f t="shared" si="91"/>
        <v>0</v>
      </c>
      <c r="S292" s="74">
        <f t="shared" si="91"/>
        <v>0</v>
      </c>
      <c r="T292" s="74">
        <f t="shared" si="91"/>
        <v>0</v>
      </c>
      <c r="U292" s="74">
        <f t="shared" si="91"/>
        <v>0</v>
      </c>
      <c r="V292" s="74">
        <f t="shared" si="91"/>
        <v>0</v>
      </c>
      <c r="W292" s="74">
        <f t="shared" si="91"/>
        <v>0</v>
      </c>
      <c r="X292" s="74">
        <f t="shared" si="91"/>
        <v>0</v>
      </c>
      <c r="Y292" s="179"/>
    </row>
    <row r="293" spans="1:25" x14ac:dyDescent="0.25">
      <c r="A293" s="139">
        <f t="shared" si="90"/>
        <v>0</v>
      </c>
      <c r="B293" s="30"/>
      <c r="C293" s="31">
        <f t="shared" si="92"/>
        <v>0</v>
      </c>
      <c r="D293" s="9" t="str">
        <f t="shared" si="94"/>
        <v>км</v>
      </c>
      <c r="E293" s="74">
        <f t="shared" si="93"/>
        <v>0</v>
      </c>
      <c r="F293" s="74">
        <f t="shared" si="91"/>
        <v>0</v>
      </c>
      <c r="G293" s="74">
        <f t="shared" si="91"/>
        <v>0</v>
      </c>
      <c r="H293" s="74">
        <f t="shared" si="91"/>
        <v>0</v>
      </c>
      <c r="I293" s="74">
        <f t="shared" si="91"/>
        <v>0</v>
      </c>
      <c r="J293" s="74">
        <f t="shared" si="91"/>
        <v>0</v>
      </c>
      <c r="K293" s="74">
        <f t="shared" si="91"/>
        <v>0</v>
      </c>
      <c r="L293" s="74">
        <f t="shared" si="91"/>
        <v>0</v>
      </c>
      <c r="M293" s="74">
        <f t="shared" si="91"/>
        <v>0</v>
      </c>
      <c r="N293" s="74">
        <f t="shared" si="91"/>
        <v>0</v>
      </c>
      <c r="O293" s="74">
        <f t="shared" si="91"/>
        <v>0</v>
      </c>
      <c r="P293" s="74">
        <f t="shared" si="91"/>
        <v>0</v>
      </c>
      <c r="Q293" s="74">
        <f t="shared" si="91"/>
        <v>0</v>
      </c>
      <c r="R293" s="74">
        <f t="shared" si="91"/>
        <v>0</v>
      </c>
      <c r="S293" s="74">
        <f t="shared" si="91"/>
        <v>0</v>
      </c>
      <c r="T293" s="74">
        <f t="shared" si="91"/>
        <v>0</v>
      </c>
      <c r="U293" s="74">
        <f t="shared" si="91"/>
        <v>0</v>
      </c>
      <c r="V293" s="74">
        <f t="shared" si="91"/>
        <v>0</v>
      </c>
      <c r="W293" s="74">
        <f t="shared" si="91"/>
        <v>0</v>
      </c>
      <c r="X293" s="74">
        <f t="shared" si="91"/>
        <v>0</v>
      </c>
      <c r="Y293" s="179"/>
    </row>
    <row r="294" spans="1:25" x14ac:dyDescent="0.25">
      <c r="A294" s="139">
        <f t="shared" si="90"/>
        <v>0</v>
      </c>
      <c r="B294" s="30"/>
      <c r="C294" s="31">
        <f t="shared" si="92"/>
        <v>0</v>
      </c>
      <c r="D294" s="9" t="str">
        <f t="shared" si="94"/>
        <v>км</v>
      </c>
      <c r="E294" s="74">
        <f t="shared" si="93"/>
        <v>0</v>
      </c>
      <c r="F294" s="74">
        <f t="shared" si="91"/>
        <v>0</v>
      </c>
      <c r="G294" s="74">
        <f t="shared" si="91"/>
        <v>0</v>
      </c>
      <c r="H294" s="74">
        <f t="shared" si="91"/>
        <v>0</v>
      </c>
      <c r="I294" s="74">
        <f t="shared" si="91"/>
        <v>0</v>
      </c>
      <c r="J294" s="74">
        <f t="shared" ref="J294:X294" si="95">J246*J22/$D$279</f>
        <v>0</v>
      </c>
      <c r="K294" s="74">
        <f t="shared" si="95"/>
        <v>0</v>
      </c>
      <c r="L294" s="74">
        <f t="shared" si="95"/>
        <v>0</v>
      </c>
      <c r="M294" s="74">
        <f t="shared" si="95"/>
        <v>0</v>
      </c>
      <c r="N294" s="74">
        <f t="shared" si="95"/>
        <v>0</v>
      </c>
      <c r="O294" s="74">
        <f t="shared" si="95"/>
        <v>0</v>
      </c>
      <c r="P294" s="74">
        <f t="shared" si="95"/>
        <v>0</v>
      </c>
      <c r="Q294" s="74">
        <f t="shared" si="95"/>
        <v>0</v>
      </c>
      <c r="R294" s="74">
        <f t="shared" si="95"/>
        <v>0</v>
      </c>
      <c r="S294" s="74">
        <f t="shared" si="95"/>
        <v>0</v>
      </c>
      <c r="T294" s="74">
        <f t="shared" si="95"/>
        <v>0</v>
      </c>
      <c r="U294" s="74">
        <f t="shared" si="95"/>
        <v>0</v>
      </c>
      <c r="V294" s="74">
        <f t="shared" si="95"/>
        <v>0</v>
      </c>
      <c r="W294" s="74">
        <f t="shared" si="95"/>
        <v>0</v>
      </c>
      <c r="X294" s="74">
        <f t="shared" si="95"/>
        <v>0</v>
      </c>
      <c r="Y294" s="179"/>
    </row>
    <row r="295" spans="1:25" x14ac:dyDescent="0.25">
      <c r="A295" s="150">
        <v>1</v>
      </c>
      <c r="B295" s="122"/>
      <c r="C295" s="121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</row>
  </sheetData>
  <autoFilter ref="A3:AC3" xr:uid="{D489A9B4-C033-42CD-AFFD-B78384B15B9B}"/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0D23-B36A-49ED-829C-9DE31E15CA7E}">
  <dimension ref="B2:Z113"/>
  <sheetViews>
    <sheetView showGridLines="0" workbookViewId="0">
      <selection activeCell="E31" sqref="E31"/>
    </sheetView>
  </sheetViews>
  <sheetFormatPr defaultRowHeight="14.3" x14ac:dyDescent="0.25"/>
  <cols>
    <col min="2" max="2" width="13" bestFit="1" customWidth="1"/>
    <col min="4" max="4" width="59" customWidth="1"/>
    <col min="5" max="5" width="13.375" customWidth="1"/>
  </cols>
  <sheetData>
    <row r="2" spans="2:5" x14ac:dyDescent="0.25">
      <c r="B2" s="444" t="str">
        <f>Свод!F23</f>
        <v>NHL NTE 240</v>
      </c>
      <c r="E2" s="184">
        <v>227.8</v>
      </c>
    </row>
    <row r="31" spans="2:5" x14ac:dyDescent="0.25">
      <c r="B31" s="444" t="str">
        <f>Свод!G23</f>
        <v>Estar ESDE240 (ГПБ К)</v>
      </c>
      <c r="E31" s="184">
        <f>220-8.608</f>
        <v>211.392</v>
      </c>
    </row>
    <row r="67" spans="2:26" x14ac:dyDescent="0.25">
      <c r="B67" s="444" t="str">
        <f>Свод!H23</f>
        <v>SANY SET240S</v>
      </c>
      <c r="E67" s="184">
        <f>(390-138.2-31.8)-(Y68-L68)/1000</f>
        <v>216.36199999999999</v>
      </c>
    </row>
    <row r="68" spans="2:26" x14ac:dyDescent="0.25">
      <c r="H68" t="s">
        <v>668</v>
      </c>
      <c r="L68" s="590">
        <v>4800</v>
      </c>
      <c r="M68" t="s">
        <v>181</v>
      </c>
      <c r="U68" t="s">
        <v>669</v>
      </c>
      <c r="Y68" s="590">
        <v>8438</v>
      </c>
      <c r="Z68" t="s">
        <v>181</v>
      </c>
    </row>
    <row r="99" spans="2:5" x14ac:dyDescent="0.25">
      <c r="B99" s="444" t="str">
        <f>Свод!I23</f>
        <v>TZCO TZE240</v>
      </c>
      <c r="E99" s="184">
        <f>E111/1000</f>
        <v>222</v>
      </c>
    </row>
    <row r="101" spans="2:5" x14ac:dyDescent="0.25">
      <c r="C101" s="539" t="s">
        <v>531</v>
      </c>
      <c r="D101" s="539" t="s">
        <v>532</v>
      </c>
      <c r="E101" s="539" t="s">
        <v>533</v>
      </c>
    </row>
    <row r="102" spans="2:5" x14ac:dyDescent="0.25">
      <c r="C102" s="540">
        <v>1</v>
      </c>
      <c r="D102" s="541" t="s">
        <v>534</v>
      </c>
      <c r="E102" s="540" t="s">
        <v>181</v>
      </c>
    </row>
    <row r="103" spans="2:5" x14ac:dyDescent="0.25">
      <c r="C103" s="542">
        <v>2</v>
      </c>
      <c r="D103" s="543" t="s">
        <v>535</v>
      </c>
      <c r="E103" s="544">
        <v>165000</v>
      </c>
    </row>
    <row r="104" spans="2:5" x14ac:dyDescent="0.25">
      <c r="C104" s="542">
        <v>3</v>
      </c>
      <c r="D104" s="543" t="s">
        <v>536</v>
      </c>
      <c r="E104" s="544">
        <v>395000</v>
      </c>
    </row>
    <row r="105" spans="2:5" x14ac:dyDescent="0.25">
      <c r="C105" s="542">
        <v>4</v>
      </c>
      <c r="D105" s="543" t="s">
        <v>537</v>
      </c>
      <c r="E105" s="544">
        <v>27000</v>
      </c>
    </row>
    <row r="106" spans="2:5" x14ac:dyDescent="0.25">
      <c r="C106" s="542">
        <v>5</v>
      </c>
      <c r="D106" s="543" t="s">
        <v>538</v>
      </c>
      <c r="E106" s="544">
        <v>8000</v>
      </c>
    </row>
    <row r="107" spans="2:5" x14ac:dyDescent="0.25">
      <c r="C107" s="542">
        <v>6</v>
      </c>
      <c r="D107" s="543" t="s">
        <v>539</v>
      </c>
      <c r="E107" s="542" t="s">
        <v>425</v>
      </c>
    </row>
    <row r="108" spans="2:5" x14ac:dyDescent="0.25">
      <c r="C108" s="542">
        <v>7</v>
      </c>
      <c r="D108" s="543" t="s">
        <v>540</v>
      </c>
      <c r="E108" s="544">
        <v>22800</v>
      </c>
    </row>
    <row r="109" spans="2:5" x14ac:dyDescent="0.25">
      <c r="C109" s="542">
        <v>8</v>
      </c>
      <c r="D109" s="543" t="s">
        <v>541</v>
      </c>
      <c r="E109" s="544">
        <v>7800</v>
      </c>
    </row>
    <row r="110" spans="2:5" x14ac:dyDescent="0.25">
      <c r="C110" s="542">
        <v>9</v>
      </c>
      <c r="D110" s="543" t="s">
        <v>542</v>
      </c>
      <c r="E110" s="544">
        <v>3740</v>
      </c>
    </row>
    <row r="111" spans="2:5" x14ac:dyDescent="0.25">
      <c r="C111" s="542">
        <v>10</v>
      </c>
      <c r="D111" s="543" t="s">
        <v>543</v>
      </c>
      <c r="E111" s="545">
        <f>(E104-E103)-E106</f>
        <v>222000</v>
      </c>
    </row>
    <row r="112" spans="2:5" ht="28.55" x14ac:dyDescent="0.25">
      <c r="C112" s="542">
        <v>11</v>
      </c>
      <c r="D112" s="543" t="s">
        <v>544</v>
      </c>
      <c r="E112" s="544">
        <v>244200</v>
      </c>
    </row>
    <row r="113" spans="3:5" ht="42.8" x14ac:dyDescent="0.25">
      <c r="C113" s="546">
        <v>12</v>
      </c>
      <c r="D113" s="547" t="s">
        <v>545</v>
      </c>
      <c r="E113" s="548">
        <v>266400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52FB-60EA-46FE-BE54-96CA4D60E743}">
  <dimension ref="B2:AB88"/>
  <sheetViews>
    <sheetView showGridLines="0" workbookViewId="0">
      <selection activeCell="E99" sqref="E99"/>
    </sheetView>
  </sheetViews>
  <sheetFormatPr defaultRowHeight="14.3" x14ac:dyDescent="0.25"/>
  <cols>
    <col min="2" max="2" width="13.125" bestFit="1" customWidth="1"/>
    <col min="17" max="26" width="11.125" bestFit="1" customWidth="1"/>
    <col min="27" max="27" width="12.625" bestFit="1" customWidth="1"/>
  </cols>
  <sheetData>
    <row r="2" spans="2:4" x14ac:dyDescent="0.25">
      <c r="B2" s="444" t="str">
        <f>Свод!H23</f>
        <v>SANY SET240S</v>
      </c>
      <c r="D2" s="593" t="s">
        <v>636</v>
      </c>
    </row>
    <row r="34" spans="2:4" x14ac:dyDescent="0.25">
      <c r="B34" s="444" t="str">
        <f>Свод!I23</f>
        <v>TZCO TZE240</v>
      </c>
      <c r="D34" s="593" t="s">
        <v>637</v>
      </c>
    </row>
    <row r="80" spans="2:4" x14ac:dyDescent="0.25">
      <c r="B80" s="444" t="str">
        <f>Свод!J23</f>
        <v>БелАЗ 7531 (ГПФК)</v>
      </c>
      <c r="D80" s="593" t="s">
        <v>638</v>
      </c>
    </row>
    <row r="81" spans="17:28" x14ac:dyDescent="0.25">
      <c r="Q81" s="590">
        <v>900000</v>
      </c>
      <c r="R81" t="s">
        <v>106</v>
      </c>
    </row>
    <row r="82" spans="17:28" x14ac:dyDescent="0.25">
      <c r="Q82" s="184">
        <v>0.83</v>
      </c>
      <c r="R82" t="s">
        <v>631</v>
      </c>
    </row>
    <row r="84" spans="17:28" x14ac:dyDescent="0.25">
      <c r="Q84" s="589">
        <f>Q81*Q82</f>
        <v>747000</v>
      </c>
      <c r="R84" t="s">
        <v>632</v>
      </c>
    </row>
    <row r="86" spans="17:28" x14ac:dyDescent="0.25">
      <c r="Q86" s="2"/>
      <c r="R86" s="2"/>
      <c r="S86" s="56">
        <f>Производительность!E4</f>
        <v>1</v>
      </c>
      <c r="T86" s="56">
        <f>Производительность!F4</f>
        <v>2</v>
      </c>
      <c r="U86" s="56">
        <f>Производительность!G4</f>
        <v>3</v>
      </c>
      <c r="V86" s="56">
        <f>Производительность!H4</f>
        <v>4</v>
      </c>
      <c r="W86" s="56">
        <f>Производительность!I4</f>
        <v>5</v>
      </c>
      <c r="X86" s="56">
        <f>Производительность!J4</f>
        <v>6</v>
      </c>
      <c r="Y86" s="56">
        <f>Производительность!K4</f>
        <v>7</v>
      </c>
      <c r="Z86" s="56">
        <f>Производительность!L4</f>
        <v>8</v>
      </c>
      <c r="AA86" s="56">
        <f>Производительность!M4</f>
        <v>9</v>
      </c>
      <c r="AB86" s="56">
        <f>Производительность!N4</f>
        <v>10</v>
      </c>
    </row>
    <row r="87" spans="17:28" x14ac:dyDescent="0.25">
      <c r="Q87" s="2" t="s">
        <v>633</v>
      </c>
      <c r="R87" s="56" t="s">
        <v>57</v>
      </c>
      <c r="S87" s="592">
        <f>Производительность!E284</f>
        <v>101036.68710532019</v>
      </c>
      <c r="T87" s="50">
        <f>Производительность!F284+S87</f>
        <v>202972.79053372022</v>
      </c>
      <c r="U87" s="50">
        <f>Производительность!G284+T87</f>
        <v>308911.84822580131</v>
      </c>
      <c r="V87" s="50">
        <f>Производительность!H284+U87</f>
        <v>414995.61619955499</v>
      </c>
      <c r="W87" s="50">
        <f>Производительность!I284+V87</f>
        <v>527900.9961409606</v>
      </c>
      <c r="X87" s="50">
        <f>Производительность!J284+W87</f>
        <v>639118.01058372331</v>
      </c>
      <c r="Y87" s="50">
        <f>Производительность!K284+X87</f>
        <v>751686.84784645925</v>
      </c>
      <c r="Z87" s="50">
        <f>Производительность!L284+Y87</f>
        <v>859591.80220646039</v>
      </c>
      <c r="AA87" s="50">
        <f>Производительность!M284+Z87</f>
        <v>970482.10932227026</v>
      </c>
      <c r="AB87" s="50">
        <f>Производительность!N284+AA87</f>
        <v>1080971.8612895422</v>
      </c>
    </row>
    <row r="88" spans="17:28" x14ac:dyDescent="0.25">
      <c r="Q88" s="2" t="s">
        <v>634</v>
      </c>
      <c r="R88" s="56" t="str">
        <f>R87</f>
        <v>тыс. км</v>
      </c>
      <c r="S88" s="592">
        <f>Производительность_1!E284</f>
        <v>101036.68710532019</v>
      </c>
      <c r="T88" s="50">
        <f>Производительность_1!F284+S88</f>
        <v>202972.79053372022</v>
      </c>
      <c r="U88" s="50">
        <f>Производительность_1!G284+T88</f>
        <v>308911.84822580131</v>
      </c>
      <c r="V88" s="50">
        <f>Производительность_1!H284+U88</f>
        <v>414995.61619955499</v>
      </c>
      <c r="W88" s="50">
        <f>Производительность_1!I284+V88</f>
        <v>527900.9961409606</v>
      </c>
      <c r="X88" s="50">
        <f>Производительность_1!J284+W88</f>
        <v>639118.01058372331</v>
      </c>
      <c r="Y88" s="50">
        <f>Производительность_1!K284+X88</f>
        <v>751686.84784645925</v>
      </c>
      <c r="Z88" s="50">
        <f>Производительность_1!L284+Y88</f>
        <v>859591.80220646039</v>
      </c>
      <c r="AA88" s="50">
        <f>Производительность_1!M284+Z88</f>
        <v>970482.10932227026</v>
      </c>
      <c r="AB88" s="50">
        <f>Производительность_1!N284+AA88</f>
        <v>1080971.8612895422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10C-3358-4A79-BCB1-CC228EEA0FD8}">
  <dimension ref="A2:L25"/>
  <sheetViews>
    <sheetView showGridLines="0" workbookViewId="0">
      <selection activeCell="E99" sqref="E99"/>
    </sheetView>
  </sheetViews>
  <sheetFormatPr defaultRowHeight="14.3" x14ac:dyDescent="0.25"/>
  <cols>
    <col min="1" max="1" width="13.75" bestFit="1" customWidth="1"/>
    <col min="2" max="2" width="17.875" bestFit="1" customWidth="1"/>
    <col min="3" max="5" width="7.625" bestFit="1" customWidth="1"/>
  </cols>
  <sheetData>
    <row r="2" spans="1:12" x14ac:dyDescent="0.25">
      <c r="A2" s="180" t="s">
        <v>630</v>
      </c>
      <c r="B2" s="181"/>
    </row>
    <row r="4" spans="1:12" x14ac:dyDescent="0.25">
      <c r="B4" s="180" t="s">
        <v>10</v>
      </c>
      <c r="C4" s="588">
        <f>Производительность!E24</f>
        <v>227.8</v>
      </c>
      <c r="E4" s="182"/>
      <c r="F4" s="182"/>
      <c r="K4" s="591"/>
      <c r="L4" s="591"/>
    </row>
    <row r="5" spans="1:12" x14ac:dyDescent="0.25">
      <c r="B5" t="s">
        <v>168</v>
      </c>
      <c r="D5" s="184">
        <v>224.09</v>
      </c>
      <c r="E5" s="184">
        <v>225.09</v>
      </c>
    </row>
    <row r="7" spans="1:12" x14ac:dyDescent="0.25">
      <c r="B7" s="180" t="s">
        <v>107</v>
      </c>
      <c r="D7" s="186">
        <f>D5/$C$4</f>
        <v>0.98371378402107112</v>
      </c>
      <c r="E7" s="185">
        <f>E5/$C$4</f>
        <v>0.98810359964881467</v>
      </c>
    </row>
    <row r="25" spans="9:9" x14ac:dyDescent="0.25">
      <c r="I25" s="180"/>
    </row>
  </sheetData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BD48-EE70-45A4-94D6-42CC6AE7331B}">
  <sheetPr>
    <tabColor rgb="FFFF0000"/>
  </sheetPr>
  <dimension ref="A2:AO25"/>
  <sheetViews>
    <sheetView showGridLines="0" zoomScaleNormal="100" workbookViewId="0">
      <selection activeCell="K39" sqref="K39"/>
    </sheetView>
  </sheetViews>
  <sheetFormatPr defaultRowHeight="13.6" x14ac:dyDescent="0.25"/>
  <cols>
    <col min="1" max="1" width="20" style="2" customWidth="1"/>
    <col min="2" max="3" width="6.625" style="2" customWidth="1"/>
    <col min="4" max="4" width="1.375" style="2" customWidth="1"/>
    <col min="5" max="5" width="11.25" style="2" customWidth="1"/>
    <col min="6" max="6" width="7.625" style="2" bestFit="1" customWidth="1"/>
    <col min="7" max="7" width="8.375" style="2" bestFit="1" customWidth="1"/>
    <col min="8" max="8" width="9.625" style="2" customWidth="1"/>
    <col min="9" max="9" width="8.625" style="2" customWidth="1"/>
    <col min="10" max="10" width="6.875" style="2" bestFit="1" customWidth="1"/>
    <col min="11" max="11" width="8.125" style="2" bestFit="1" customWidth="1"/>
    <col min="12" max="12" width="1.375" style="2" customWidth="1"/>
    <col min="13" max="13" width="6.125" style="2" customWidth="1"/>
    <col min="14" max="14" width="10.625" style="2" bestFit="1" customWidth="1"/>
    <col min="15" max="15" width="7" style="2" bestFit="1" customWidth="1"/>
    <col min="16" max="16" width="2.875" style="2" customWidth="1"/>
    <col min="17" max="18" width="6.625" style="2" customWidth="1"/>
    <col min="19" max="19" width="7.75" style="2" customWidth="1"/>
    <col min="20" max="20" width="2.875" style="2" customWidth="1"/>
    <col min="21" max="22" width="6.625" style="2" customWidth="1"/>
    <col min="23" max="23" width="7.75" style="2" customWidth="1"/>
    <col min="24" max="24" width="6.25" style="2" customWidth="1"/>
    <col min="25" max="25" width="9.5" style="2" customWidth="1"/>
    <col min="26" max="26" width="9.125" style="2" customWidth="1"/>
    <col min="27" max="27" width="7.5" style="2" bestFit="1" customWidth="1"/>
    <col min="28" max="28" width="10.125" style="2" customWidth="1"/>
    <col min="29" max="29" width="11" style="2" bestFit="1" customWidth="1"/>
    <col min="30" max="30" width="6.75" style="2" bestFit="1" customWidth="1"/>
    <col min="31" max="33" width="9" style="2"/>
    <col min="34" max="34" width="4.25" style="2" customWidth="1"/>
    <col min="35" max="37" width="6.125" style="2" customWidth="1"/>
    <col min="38" max="38" width="3.75" style="2" customWidth="1"/>
    <col min="39" max="39" width="7.125" style="2" bestFit="1" customWidth="1"/>
    <col min="40" max="40" width="9.25" style="2" bestFit="1" customWidth="1"/>
    <col min="41" max="16384" width="9" style="2"/>
  </cols>
  <sheetData>
    <row r="2" spans="1:41" x14ac:dyDescent="0.25">
      <c r="A2" s="188" t="s">
        <v>176</v>
      </c>
    </row>
    <row r="3" spans="1:41" x14ac:dyDescent="0.25">
      <c r="B3" s="170" t="s">
        <v>171</v>
      </c>
      <c r="C3" s="144">
        <v>5</v>
      </c>
      <c r="R3" s="216">
        <f>C3</f>
        <v>5</v>
      </c>
      <c r="S3" s="151"/>
      <c r="V3" s="216">
        <f>R3</f>
        <v>5</v>
      </c>
      <c r="W3" s="151"/>
      <c r="X3" s="151"/>
    </row>
    <row r="5" spans="1:41" x14ac:dyDescent="0.25">
      <c r="B5" s="152" t="s">
        <v>121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2"/>
      <c r="N5" s="153"/>
      <c r="O5" s="153"/>
      <c r="P5" s="153"/>
      <c r="Q5" s="153"/>
      <c r="R5" s="153"/>
      <c r="S5" s="153"/>
      <c r="T5" s="153"/>
      <c r="U5" s="153"/>
      <c r="V5" s="153"/>
      <c r="W5" s="153"/>
      <c r="Y5" s="154" t="s">
        <v>122</v>
      </c>
      <c r="Z5" s="155"/>
      <c r="AA5" s="155"/>
      <c r="AB5" s="155"/>
      <c r="AC5" s="155"/>
      <c r="AD5" s="155"/>
    </row>
    <row r="6" spans="1:41" x14ac:dyDescent="0.25">
      <c r="Q6" s="520" t="s">
        <v>416</v>
      </c>
      <c r="R6" s="520"/>
      <c r="S6" s="520"/>
      <c r="U6" s="520" t="s">
        <v>521</v>
      </c>
      <c r="V6" s="520"/>
      <c r="W6" s="520"/>
    </row>
    <row r="7" spans="1:41" x14ac:dyDescent="0.25">
      <c r="B7" s="1064" t="s">
        <v>123</v>
      </c>
      <c r="C7" s="1066"/>
      <c r="E7" s="1067" t="s">
        <v>124</v>
      </c>
      <c r="F7" s="1067"/>
      <c r="G7" s="1067"/>
      <c r="H7" s="1067"/>
      <c r="I7" s="1067"/>
      <c r="J7" s="1067"/>
      <c r="K7" s="1067"/>
      <c r="M7" s="1067" t="s">
        <v>125</v>
      </c>
      <c r="N7" s="1067"/>
      <c r="O7" s="1067"/>
      <c r="Q7" s="1068" t="str">
        <f>B7</f>
        <v>взрыв</v>
      </c>
      <c r="R7" s="1068"/>
      <c r="S7" s="520"/>
      <c r="U7" s="1068" t="str">
        <f>Q7</f>
        <v>взрыв</v>
      </c>
      <c r="V7" s="1068"/>
      <c r="W7" s="520"/>
      <c r="Y7" s="1064" t="s">
        <v>126</v>
      </c>
      <c r="Z7" s="1065"/>
      <c r="AA7" s="1066"/>
      <c r="AB7" s="1064" t="s">
        <v>127</v>
      </c>
      <c r="AC7" s="1065"/>
      <c r="AD7" s="156" t="s">
        <v>76</v>
      </c>
      <c r="AF7" s="189">
        <f>35*2.8*1.027/1.5*0.9*0.85</f>
        <v>51.32945999999999</v>
      </c>
      <c r="AG7" s="216">
        <v>45</v>
      </c>
    </row>
    <row r="8" spans="1:41" ht="40.75" x14ac:dyDescent="0.25">
      <c r="B8" s="157" t="s">
        <v>128</v>
      </c>
      <c r="C8" s="158" t="s">
        <v>129</v>
      </c>
      <c r="E8" s="158" t="s">
        <v>174</v>
      </c>
      <c r="F8" s="158" t="s">
        <v>130</v>
      </c>
      <c r="G8" s="158" t="s">
        <v>131</v>
      </c>
      <c r="H8" s="158" t="s">
        <v>173</v>
      </c>
      <c r="I8" s="158" t="s">
        <v>175</v>
      </c>
      <c r="J8" s="158" t="s">
        <v>132</v>
      </c>
      <c r="K8" s="158" t="s">
        <v>117</v>
      </c>
      <c r="M8" s="158" t="s">
        <v>133</v>
      </c>
      <c r="N8" s="158" t="s">
        <v>134</v>
      </c>
      <c r="O8" s="158" t="s">
        <v>135</v>
      </c>
      <c r="Q8" s="522" t="str">
        <f>B8</f>
        <v>минут</v>
      </c>
      <c r="R8" s="522" t="str">
        <f>C8</f>
        <v>минут/смена</v>
      </c>
      <c r="S8" s="520" t="s">
        <v>520</v>
      </c>
      <c r="U8" s="521" t="str">
        <f>Q8</f>
        <v>минут</v>
      </c>
      <c r="V8" s="521" t="str">
        <f>R8</f>
        <v>минут/смена</v>
      </c>
      <c r="W8" s="520" t="s">
        <v>522</v>
      </c>
      <c r="Y8" s="158" t="s">
        <v>136</v>
      </c>
      <c r="Z8" s="158" t="s">
        <v>137</v>
      </c>
      <c r="AA8" s="158" t="s">
        <v>138</v>
      </c>
      <c r="AB8" s="158" t="s">
        <v>139</v>
      </c>
      <c r="AC8" s="158" t="s">
        <v>127</v>
      </c>
      <c r="AD8" s="158" t="s">
        <v>76</v>
      </c>
      <c r="AE8" s="224" t="s">
        <v>211</v>
      </c>
      <c r="AF8" s="224" t="s">
        <v>212</v>
      </c>
      <c r="AG8" s="224" t="s">
        <v>213</v>
      </c>
      <c r="AM8" s="2" t="s">
        <v>403</v>
      </c>
      <c r="AN8" s="2" t="s">
        <v>404</v>
      </c>
    </row>
    <row r="9" spans="1:41" x14ac:dyDescent="0.25">
      <c r="A9" s="151" t="str">
        <f>Производительность!C8</f>
        <v>NHL NTE 240</v>
      </c>
      <c r="B9" s="643">
        <v>300</v>
      </c>
      <c r="C9" s="190">
        <f>C$3*B9/(30.5*2)</f>
        <v>24.590163934426229</v>
      </c>
      <c r="D9" s="50"/>
      <c r="E9" s="117">
        <v>7</v>
      </c>
      <c r="F9" s="117">
        <v>1</v>
      </c>
      <c r="G9" s="117">
        <v>0.8</v>
      </c>
      <c r="H9" s="117">
        <v>0.5</v>
      </c>
      <c r="I9" s="117">
        <v>0.49</v>
      </c>
      <c r="J9" s="117">
        <v>18</v>
      </c>
      <c r="K9" s="117"/>
      <c r="L9" s="50"/>
      <c r="M9" s="643">
        <v>30</v>
      </c>
      <c r="N9" s="643">
        <v>10</v>
      </c>
      <c r="O9" s="643">
        <v>10</v>
      </c>
      <c r="Q9" s="523">
        <f>B9</f>
        <v>300</v>
      </c>
      <c r="R9" s="524">
        <f>R$3*Q9/(30.5*2)</f>
        <v>24.590163934426229</v>
      </c>
      <c r="S9" s="526">
        <f t="shared" ref="S9:S23" si="0">R9-C9</f>
        <v>0</v>
      </c>
      <c r="U9" s="523">
        <f>Q9-60</f>
        <v>240</v>
      </c>
      <c r="V9" s="524">
        <f>V$3*U9/(30.5*2)</f>
        <v>19.672131147540984</v>
      </c>
      <c r="W9" s="526">
        <f>V9-R9</f>
        <v>-4.9180327868852451</v>
      </c>
      <c r="Y9" s="117">
        <v>2.5</v>
      </c>
      <c r="Z9" s="117">
        <v>0.8</v>
      </c>
      <c r="AA9" s="117">
        <v>3.5</v>
      </c>
      <c r="AB9" s="117">
        <v>0.3</v>
      </c>
      <c r="AC9" s="117">
        <v>0.8</v>
      </c>
      <c r="AD9" s="117">
        <v>0.5</v>
      </c>
      <c r="AE9" s="225">
        <f>Производительность!E24*Производительность!E40</f>
        <v>224.09</v>
      </c>
      <c r="AF9" s="646">
        <f>AE9/$AF$7</f>
        <v>4.3657190237341297</v>
      </c>
      <c r="AG9" s="226">
        <f>ROUNDUP(AF9,0)*$AG$7/60</f>
        <v>3.75</v>
      </c>
      <c r="AI9" s="50">
        <f>SUM(C9,E9:K9,M9:O9)</f>
        <v>102.38016393442624</v>
      </c>
      <c r="AJ9" s="50">
        <f>AI9-C9</f>
        <v>77.790000000000006</v>
      </c>
      <c r="AK9" s="50">
        <f>AJ9-M9-N9-O9</f>
        <v>27.790000000000006</v>
      </c>
      <c r="AM9" s="144">
        <f>'NHL NTE240'!D16</f>
        <v>22</v>
      </c>
      <c r="AN9" s="144">
        <f>'NHL NTE240'!D17</f>
        <v>15</v>
      </c>
      <c r="AO9" s="49">
        <f>(AM9+AN9)/60</f>
        <v>0.6166666666666667</v>
      </c>
    </row>
    <row r="10" spans="1:41" x14ac:dyDescent="0.25">
      <c r="A10" s="151" t="str">
        <f>Производительность!C9</f>
        <v>Estar ESDE240 (ГПБ К)</v>
      </c>
      <c r="B10" s="144">
        <f>B9</f>
        <v>300</v>
      </c>
      <c r="C10" s="190">
        <f t="shared" ref="C10:C23" si="1">C$3*B10/(30.5*2)</f>
        <v>24.590163934426229</v>
      </c>
      <c r="D10" s="50"/>
      <c r="E10" s="99">
        <f>E9</f>
        <v>7</v>
      </c>
      <c r="F10" s="99">
        <f t="shared" ref="F10:J15" si="2">F9</f>
        <v>1</v>
      </c>
      <c r="G10" s="99">
        <f t="shared" si="2"/>
        <v>0.8</v>
      </c>
      <c r="H10" s="99">
        <f t="shared" si="2"/>
        <v>0.5</v>
      </c>
      <c r="I10" s="99">
        <f t="shared" si="2"/>
        <v>0.49</v>
      </c>
      <c r="J10" s="99">
        <f t="shared" si="2"/>
        <v>18</v>
      </c>
      <c r="K10" s="99"/>
      <c r="L10" s="50"/>
      <c r="M10" s="144">
        <f>M9</f>
        <v>30</v>
      </c>
      <c r="N10" s="144">
        <f>N9</f>
        <v>10</v>
      </c>
      <c r="O10" s="144">
        <f>O9</f>
        <v>10</v>
      </c>
      <c r="Q10" s="144">
        <f>Q9</f>
        <v>300</v>
      </c>
      <c r="R10" s="524">
        <f>R$3*Q10/(30.5*2)</f>
        <v>24.590163934426229</v>
      </c>
      <c r="S10" s="526">
        <f t="shared" si="0"/>
        <v>0</v>
      </c>
      <c r="U10" s="144">
        <f>U9</f>
        <v>240</v>
      </c>
      <c r="V10" s="524">
        <f>V$3*U10/(30.5*2)</f>
        <v>19.672131147540984</v>
      </c>
      <c r="W10" s="526">
        <f t="shared" ref="W10:W23" si="3">V10-R10</f>
        <v>-4.9180327868852451</v>
      </c>
      <c r="Y10" s="99">
        <f t="shared" ref="Y10:Y15" si="4">Y9</f>
        <v>2.5</v>
      </c>
      <c r="Z10" s="99">
        <f t="shared" ref="Z10:Z15" si="5">Z9</f>
        <v>0.8</v>
      </c>
      <c r="AA10" s="99">
        <f t="shared" ref="AA10:AA15" si="6">AA9</f>
        <v>3.5</v>
      </c>
      <c r="AB10" s="99">
        <f t="shared" ref="AB10:AB15" si="7">AB9</f>
        <v>0.3</v>
      </c>
      <c r="AC10" s="99">
        <f t="shared" ref="AC10:AC15" si="8">AC9</f>
        <v>0.8</v>
      </c>
      <c r="AD10" s="99">
        <f t="shared" ref="AD10:AD15" si="9">AD9</f>
        <v>0.5</v>
      </c>
      <c r="AE10" s="225">
        <f>Производительность!E25*Производительность!E41</f>
        <v>207.94922423178227</v>
      </c>
      <c r="AF10" s="646">
        <f t="shared" ref="AF10:AF23" si="10">AE10/$AF$7</f>
        <v>4.0512645999350534</v>
      </c>
      <c r="AG10" s="226">
        <f t="shared" ref="AG10:AG23" si="11">ROUNDUP(AF10,0)*$AG$7/60</f>
        <v>3.75</v>
      </c>
      <c r="AI10" s="50">
        <f t="shared" ref="AI10:AI23" si="12">SUM(C10,E10:K10,M10:O10)</f>
        <v>102.38016393442624</v>
      </c>
      <c r="AJ10" s="50">
        <f t="shared" ref="AJ10:AJ23" si="13">AI10-C10</f>
        <v>77.790000000000006</v>
      </c>
      <c r="AK10" s="50">
        <f t="shared" ref="AK10:AK23" si="14">AJ10-M10-N10-O10</f>
        <v>27.790000000000006</v>
      </c>
      <c r="AM10" s="144">
        <f>ESDE240!D16</f>
        <v>25</v>
      </c>
      <c r="AN10" s="144">
        <f>ESDE240!D17</f>
        <v>28</v>
      </c>
      <c r="AO10" s="49">
        <f t="shared" ref="AO10:AO23" si="15">(AM10+AN10)/60</f>
        <v>0.8833333333333333</v>
      </c>
    </row>
    <row r="11" spans="1:41" x14ac:dyDescent="0.25">
      <c r="A11" s="151" t="str">
        <f>Производительность!C10</f>
        <v>SANY SET240S</v>
      </c>
      <c r="B11" s="144">
        <f t="shared" ref="B11:B15" si="16">B10</f>
        <v>300</v>
      </c>
      <c r="C11" s="190">
        <f t="shared" si="1"/>
        <v>24.590163934426229</v>
      </c>
      <c r="D11" s="50"/>
      <c r="E11" s="99">
        <f t="shared" ref="E11:E15" si="17">E10</f>
        <v>7</v>
      </c>
      <c r="F11" s="99">
        <f t="shared" si="2"/>
        <v>1</v>
      </c>
      <c r="G11" s="99">
        <f t="shared" si="2"/>
        <v>0.8</v>
      </c>
      <c r="H11" s="99">
        <f t="shared" si="2"/>
        <v>0.5</v>
      </c>
      <c r="I11" s="99">
        <f t="shared" si="2"/>
        <v>0.49</v>
      </c>
      <c r="J11" s="99">
        <f t="shared" si="2"/>
        <v>18</v>
      </c>
      <c r="K11" s="99"/>
      <c r="L11" s="50"/>
      <c r="M11" s="144">
        <f t="shared" ref="M11:O15" si="18">M10</f>
        <v>30</v>
      </c>
      <c r="N11" s="144">
        <f t="shared" si="18"/>
        <v>10</v>
      </c>
      <c r="O11" s="144">
        <f t="shared" si="18"/>
        <v>10</v>
      </c>
      <c r="Q11" s="144">
        <f t="shared" ref="Q11:Q15" si="19">Q10</f>
        <v>300</v>
      </c>
      <c r="R11" s="524">
        <f t="shared" ref="R11:R23" si="20">R$3*Q11/(30.5*2)</f>
        <v>24.590163934426229</v>
      </c>
      <c r="S11" s="526">
        <f t="shared" si="0"/>
        <v>0</v>
      </c>
      <c r="U11" s="144">
        <f t="shared" ref="U11:U15" si="21">U10</f>
        <v>240</v>
      </c>
      <c r="V11" s="524">
        <f t="shared" ref="V11:V23" si="22">V$3*U11/(30.5*2)</f>
        <v>19.672131147540984</v>
      </c>
      <c r="W11" s="526">
        <f t="shared" si="3"/>
        <v>-4.9180327868852451</v>
      </c>
      <c r="Y11" s="99">
        <f t="shared" si="4"/>
        <v>2.5</v>
      </c>
      <c r="Z11" s="99">
        <f t="shared" si="5"/>
        <v>0.8</v>
      </c>
      <c r="AA11" s="99">
        <f t="shared" si="6"/>
        <v>3.5</v>
      </c>
      <c r="AB11" s="99">
        <f t="shared" si="7"/>
        <v>0.3</v>
      </c>
      <c r="AC11" s="99">
        <f t="shared" si="8"/>
        <v>0.8</v>
      </c>
      <c r="AD11" s="99">
        <f t="shared" si="9"/>
        <v>0.5</v>
      </c>
      <c r="AE11" s="225">
        <f>Производительность!E26*Производительность!E42</f>
        <v>212.83828173836702</v>
      </c>
      <c r="AF11" s="646">
        <f t="shared" si="10"/>
        <v>4.1465131668707809</v>
      </c>
      <c r="AG11" s="226">
        <f t="shared" si="11"/>
        <v>3.75</v>
      </c>
      <c r="AI11" s="50">
        <f t="shared" si="12"/>
        <v>102.38016393442624</v>
      </c>
      <c r="AJ11" s="50">
        <f t="shared" si="13"/>
        <v>77.790000000000006</v>
      </c>
      <c r="AK11" s="50">
        <f t="shared" si="14"/>
        <v>27.790000000000006</v>
      </c>
      <c r="AM11" s="144">
        <f>SANY!D16</f>
        <v>23</v>
      </c>
      <c r="AN11" s="144">
        <f>SANY!D17</f>
        <v>22</v>
      </c>
      <c r="AO11" s="49">
        <f t="shared" si="15"/>
        <v>0.75</v>
      </c>
    </row>
    <row r="12" spans="1:41" x14ac:dyDescent="0.25">
      <c r="A12" s="151" t="str">
        <f>Производительность!C11</f>
        <v>TZCO TZE240</v>
      </c>
      <c r="B12" s="144">
        <f t="shared" si="16"/>
        <v>300</v>
      </c>
      <c r="C12" s="190">
        <f t="shared" si="1"/>
        <v>24.590163934426229</v>
      </c>
      <c r="D12" s="50"/>
      <c r="E12" s="99">
        <f t="shared" si="17"/>
        <v>7</v>
      </c>
      <c r="F12" s="99">
        <f t="shared" si="2"/>
        <v>1</v>
      </c>
      <c r="G12" s="99">
        <f t="shared" si="2"/>
        <v>0.8</v>
      </c>
      <c r="H12" s="99">
        <f t="shared" si="2"/>
        <v>0.5</v>
      </c>
      <c r="I12" s="99">
        <f t="shared" si="2"/>
        <v>0.49</v>
      </c>
      <c r="J12" s="99">
        <f t="shared" si="2"/>
        <v>18</v>
      </c>
      <c r="K12" s="99"/>
      <c r="L12" s="50"/>
      <c r="M12" s="144">
        <f t="shared" si="18"/>
        <v>30</v>
      </c>
      <c r="N12" s="144">
        <f t="shared" si="18"/>
        <v>10</v>
      </c>
      <c r="O12" s="144">
        <f t="shared" si="18"/>
        <v>10</v>
      </c>
      <c r="Q12" s="144">
        <f t="shared" si="19"/>
        <v>300</v>
      </c>
      <c r="R12" s="524">
        <f t="shared" si="20"/>
        <v>24.590163934426229</v>
      </c>
      <c r="S12" s="526">
        <f t="shared" si="0"/>
        <v>0</v>
      </c>
      <c r="U12" s="144">
        <f t="shared" si="21"/>
        <v>240</v>
      </c>
      <c r="V12" s="524">
        <f t="shared" si="22"/>
        <v>19.672131147540984</v>
      </c>
      <c r="W12" s="526">
        <f t="shared" si="3"/>
        <v>-4.9180327868852451</v>
      </c>
      <c r="Y12" s="99">
        <f t="shared" si="4"/>
        <v>2.5</v>
      </c>
      <c r="Z12" s="99">
        <f t="shared" si="5"/>
        <v>0.8</v>
      </c>
      <c r="AA12" s="99">
        <f t="shared" si="6"/>
        <v>3.5</v>
      </c>
      <c r="AB12" s="99">
        <f t="shared" si="7"/>
        <v>0.3</v>
      </c>
      <c r="AC12" s="99">
        <f t="shared" si="8"/>
        <v>0.8</v>
      </c>
      <c r="AD12" s="99">
        <f t="shared" si="9"/>
        <v>0.5</v>
      </c>
      <c r="AE12" s="225">
        <f>Производительность!E27*Производительность!E43</f>
        <v>218.38446005267778</v>
      </c>
      <c r="AF12" s="646">
        <f t="shared" si="10"/>
        <v>4.2545637544731196</v>
      </c>
      <c r="AG12" s="226">
        <f t="shared" si="11"/>
        <v>3.75</v>
      </c>
      <c r="AI12" s="50">
        <f t="shared" si="12"/>
        <v>102.38016393442624</v>
      </c>
      <c r="AJ12" s="50">
        <f t="shared" si="13"/>
        <v>77.790000000000006</v>
      </c>
      <c r="AK12" s="50">
        <f t="shared" si="14"/>
        <v>27.790000000000006</v>
      </c>
      <c r="AM12" s="144">
        <f>TZCO!D16</f>
        <v>23</v>
      </c>
      <c r="AN12" s="144">
        <f>TZCO!D17</f>
        <v>17</v>
      </c>
      <c r="AO12" s="49">
        <f t="shared" si="15"/>
        <v>0.66666666666666663</v>
      </c>
    </row>
    <row r="13" spans="1:41" x14ac:dyDescent="0.25">
      <c r="A13" s="151" t="str">
        <f>Производительность!C12</f>
        <v>БелАЗ 7531 (ГПФК)</v>
      </c>
      <c r="B13" s="144">
        <f t="shared" si="16"/>
        <v>300</v>
      </c>
      <c r="C13" s="190">
        <f t="shared" si="1"/>
        <v>24.590163934426229</v>
      </c>
      <c r="D13" s="50"/>
      <c r="E13" s="99">
        <f t="shared" si="17"/>
        <v>7</v>
      </c>
      <c r="F13" s="99">
        <f t="shared" si="2"/>
        <v>1</v>
      </c>
      <c r="G13" s="99">
        <f t="shared" si="2"/>
        <v>0.8</v>
      </c>
      <c r="H13" s="99">
        <f t="shared" si="2"/>
        <v>0.5</v>
      </c>
      <c r="I13" s="99">
        <f t="shared" si="2"/>
        <v>0.49</v>
      </c>
      <c r="J13" s="99">
        <f t="shared" si="2"/>
        <v>18</v>
      </c>
      <c r="K13" s="99"/>
      <c r="L13" s="50"/>
      <c r="M13" s="144">
        <f t="shared" si="18"/>
        <v>30</v>
      </c>
      <c r="N13" s="144">
        <f t="shared" si="18"/>
        <v>10</v>
      </c>
      <c r="O13" s="144">
        <f t="shared" si="18"/>
        <v>10</v>
      </c>
      <c r="Q13" s="144">
        <f t="shared" si="19"/>
        <v>300</v>
      </c>
      <c r="R13" s="524">
        <f t="shared" si="20"/>
        <v>24.590163934426229</v>
      </c>
      <c r="S13" s="526">
        <f t="shared" si="0"/>
        <v>0</v>
      </c>
      <c r="U13" s="144">
        <f t="shared" si="21"/>
        <v>240</v>
      </c>
      <c r="V13" s="524">
        <f t="shared" si="22"/>
        <v>19.672131147540984</v>
      </c>
      <c r="W13" s="526">
        <f t="shared" si="3"/>
        <v>-4.9180327868852451</v>
      </c>
      <c r="Y13" s="99">
        <f t="shared" si="4"/>
        <v>2.5</v>
      </c>
      <c r="Z13" s="99">
        <f t="shared" si="5"/>
        <v>0.8</v>
      </c>
      <c r="AA13" s="99">
        <f t="shared" si="6"/>
        <v>3.5</v>
      </c>
      <c r="AB13" s="99">
        <f t="shared" si="7"/>
        <v>0.3</v>
      </c>
      <c r="AC13" s="99">
        <f t="shared" si="8"/>
        <v>0.8</v>
      </c>
      <c r="AD13" s="99">
        <f t="shared" si="9"/>
        <v>0.5</v>
      </c>
      <c r="AE13" s="225">
        <f>Производительность!E28*Производительность!E44</f>
        <v>227.23788410886743</v>
      </c>
      <c r="AF13" s="646">
        <f t="shared" si="10"/>
        <v>4.4270460688436515</v>
      </c>
      <c r="AG13" s="226">
        <f t="shared" si="11"/>
        <v>3.75</v>
      </c>
      <c r="AI13" s="50">
        <f t="shared" si="12"/>
        <v>102.38016393442624</v>
      </c>
      <c r="AJ13" s="50">
        <f t="shared" si="13"/>
        <v>77.790000000000006</v>
      </c>
      <c r="AK13" s="50">
        <f t="shared" si="14"/>
        <v>27.790000000000006</v>
      </c>
      <c r="AM13" s="144">
        <f>БелАЗ!E16</f>
        <v>22</v>
      </c>
      <c r="AN13" s="144">
        <f>БелАЗ!E17</f>
        <v>17</v>
      </c>
      <c r="AO13" s="49">
        <f t="shared" si="15"/>
        <v>0.65</v>
      </c>
    </row>
    <row r="14" spans="1:41" x14ac:dyDescent="0.25">
      <c r="A14" s="151" t="str">
        <f>Производительность!C13</f>
        <v>XCMG 240</v>
      </c>
      <c r="B14" s="144">
        <f t="shared" si="16"/>
        <v>300</v>
      </c>
      <c r="C14" s="190">
        <f t="shared" ref="C14" si="23">C$3*B14/(30.5*2)</f>
        <v>24.590163934426229</v>
      </c>
      <c r="D14" s="50"/>
      <c r="E14" s="99">
        <f t="shared" si="17"/>
        <v>7</v>
      </c>
      <c r="F14" s="99">
        <f t="shared" si="2"/>
        <v>1</v>
      </c>
      <c r="G14" s="99">
        <f t="shared" si="2"/>
        <v>0.8</v>
      </c>
      <c r="H14" s="99">
        <f t="shared" si="2"/>
        <v>0.5</v>
      </c>
      <c r="I14" s="99">
        <f t="shared" si="2"/>
        <v>0.49</v>
      </c>
      <c r="J14" s="99">
        <f t="shared" si="2"/>
        <v>18</v>
      </c>
      <c r="K14" s="99"/>
      <c r="L14" s="50"/>
      <c r="M14" s="144">
        <f t="shared" si="18"/>
        <v>30</v>
      </c>
      <c r="N14" s="144">
        <f t="shared" si="18"/>
        <v>10</v>
      </c>
      <c r="O14" s="144">
        <f t="shared" si="18"/>
        <v>10</v>
      </c>
      <c r="Q14" s="144">
        <f t="shared" si="19"/>
        <v>300</v>
      </c>
      <c r="R14" s="524">
        <f t="shared" ref="R14" si="24">R$3*Q14/(30.5*2)</f>
        <v>24.590163934426229</v>
      </c>
      <c r="S14" s="526">
        <f t="shared" ref="S14" si="25">R14-C14</f>
        <v>0</v>
      </c>
      <c r="U14" s="144">
        <f t="shared" si="21"/>
        <v>240</v>
      </c>
      <c r="V14" s="524">
        <f t="shared" ref="V14" si="26">V$3*U14/(30.5*2)</f>
        <v>19.672131147540984</v>
      </c>
      <c r="W14" s="526">
        <f t="shared" ref="W14" si="27">V14-R14</f>
        <v>-4.9180327868852451</v>
      </c>
      <c r="Y14" s="99">
        <f t="shared" si="4"/>
        <v>2.5</v>
      </c>
      <c r="Z14" s="99">
        <f t="shared" si="5"/>
        <v>0.8</v>
      </c>
      <c r="AA14" s="99">
        <f t="shared" si="6"/>
        <v>3.5</v>
      </c>
      <c r="AB14" s="99">
        <f t="shared" si="7"/>
        <v>0.3</v>
      </c>
      <c r="AC14" s="99">
        <f t="shared" si="8"/>
        <v>0.8</v>
      </c>
      <c r="AD14" s="99">
        <f t="shared" si="9"/>
        <v>0.5</v>
      </c>
      <c r="AE14" s="225">
        <f>Производительность!E29*Производительность!E45</f>
        <v>207.94922423178227</v>
      </c>
      <c r="AF14" s="646">
        <f t="shared" ref="AF14" si="28">AE14/$AF$7</f>
        <v>4.0512645999350534</v>
      </c>
      <c r="AG14" s="226">
        <f t="shared" ref="AG14" si="29">ROUNDUP(AF14,0)*$AG$7/60</f>
        <v>3.75</v>
      </c>
      <c r="AI14" s="50">
        <f t="shared" ref="AI14" si="30">SUM(C14,E14:K14,M14:O14)</f>
        <v>102.38016393442624</v>
      </c>
      <c r="AJ14" s="50">
        <f t="shared" ref="AJ14" si="31">AI14-C14</f>
        <v>77.790000000000006</v>
      </c>
      <c r="AK14" s="50">
        <f t="shared" ref="AK14" si="32">AJ14-M14-N14-O14</f>
        <v>27.790000000000006</v>
      </c>
      <c r="AM14" s="216"/>
      <c r="AN14" s="216"/>
      <c r="AO14" s="49">
        <f t="shared" si="15"/>
        <v>0</v>
      </c>
    </row>
    <row r="15" spans="1:41" x14ac:dyDescent="0.25">
      <c r="A15" s="151" t="str">
        <f>Производительность!C14</f>
        <v>БелАЗ 7531 (БТЛ)</v>
      </c>
      <c r="B15" s="144">
        <f t="shared" si="16"/>
        <v>300</v>
      </c>
      <c r="C15" s="190">
        <f t="shared" ref="C15" si="33">C$3*B15/(30.5*2)</f>
        <v>24.590163934426229</v>
      </c>
      <c r="D15" s="50"/>
      <c r="E15" s="99">
        <f t="shared" si="17"/>
        <v>7</v>
      </c>
      <c r="F15" s="99">
        <f t="shared" si="2"/>
        <v>1</v>
      </c>
      <c r="G15" s="99">
        <f t="shared" si="2"/>
        <v>0.8</v>
      </c>
      <c r="H15" s="99">
        <f t="shared" si="2"/>
        <v>0.5</v>
      </c>
      <c r="I15" s="99">
        <f t="shared" si="2"/>
        <v>0.49</v>
      </c>
      <c r="J15" s="99">
        <f t="shared" si="2"/>
        <v>18</v>
      </c>
      <c r="K15" s="99"/>
      <c r="L15" s="50"/>
      <c r="M15" s="144">
        <f t="shared" si="18"/>
        <v>30</v>
      </c>
      <c r="N15" s="144">
        <f t="shared" si="18"/>
        <v>10</v>
      </c>
      <c r="O15" s="144">
        <f t="shared" si="18"/>
        <v>10</v>
      </c>
      <c r="Q15" s="144">
        <f t="shared" si="19"/>
        <v>300</v>
      </c>
      <c r="R15" s="524">
        <f t="shared" ref="R15" si="34">R$3*Q15/(30.5*2)</f>
        <v>24.590163934426229</v>
      </c>
      <c r="S15" s="526">
        <f t="shared" ref="S15" si="35">R15-C15</f>
        <v>0</v>
      </c>
      <c r="U15" s="144">
        <f t="shared" si="21"/>
        <v>240</v>
      </c>
      <c r="V15" s="524">
        <f t="shared" ref="V15" si="36">V$3*U15/(30.5*2)</f>
        <v>19.672131147540984</v>
      </c>
      <c r="W15" s="526">
        <f t="shared" ref="W15" si="37">V15-R15</f>
        <v>-4.9180327868852451</v>
      </c>
      <c r="Y15" s="99">
        <f t="shared" si="4"/>
        <v>2.5</v>
      </c>
      <c r="Z15" s="99">
        <f t="shared" si="5"/>
        <v>0.8</v>
      </c>
      <c r="AA15" s="99">
        <f t="shared" si="6"/>
        <v>3.5</v>
      </c>
      <c r="AB15" s="99">
        <f t="shared" si="7"/>
        <v>0.3</v>
      </c>
      <c r="AC15" s="99">
        <f t="shared" si="8"/>
        <v>0.8</v>
      </c>
      <c r="AD15" s="99">
        <f t="shared" si="9"/>
        <v>0.5</v>
      </c>
      <c r="AE15" s="225">
        <f>Производительность!E30*Производительность!E46</f>
        <v>227.23788410886743</v>
      </c>
      <c r="AF15" s="646">
        <f t="shared" ref="AF15" si="38">AE15/$AF$7</f>
        <v>4.4270460688436515</v>
      </c>
      <c r="AG15" s="226">
        <f t="shared" ref="AG15" si="39">ROUNDUP(AF15,0)*$AG$7/60</f>
        <v>3.75</v>
      </c>
      <c r="AI15" s="50">
        <f t="shared" ref="AI15" si="40">SUM(C15,E15:K15,M15:O15)</f>
        <v>102.38016393442624</v>
      </c>
      <c r="AJ15" s="50">
        <f t="shared" ref="AJ15" si="41">AI15-C15</f>
        <v>77.790000000000006</v>
      </c>
      <c r="AK15" s="50">
        <f t="shared" ref="AK15" si="42">AJ15-M15-N15-O15</f>
        <v>27.790000000000006</v>
      </c>
      <c r="AM15" s="144">
        <f>БелАЗ_Б!E16</f>
        <v>22</v>
      </c>
      <c r="AN15" s="144">
        <f>БелАЗ_Б!E17</f>
        <v>33</v>
      </c>
      <c r="AO15" s="49">
        <f t="shared" ref="AO15" si="43">(AM15+AN15)/60</f>
        <v>0.91666666666666663</v>
      </c>
    </row>
    <row r="16" spans="1:41" x14ac:dyDescent="0.25">
      <c r="A16" s="151">
        <f>Производительность!C15</f>
        <v>0</v>
      </c>
      <c r="B16" s="144"/>
      <c r="C16" s="190">
        <f t="shared" si="1"/>
        <v>0</v>
      </c>
      <c r="D16" s="50"/>
      <c r="E16" s="99"/>
      <c r="F16" s="99"/>
      <c r="G16" s="99"/>
      <c r="H16" s="99"/>
      <c r="I16" s="99"/>
      <c r="J16" s="99"/>
      <c r="K16" s="99"/>
      <c r="L16" s="50"/>
      <c r="M16" s="144"/>
      <c r="N16" s="144"/>
      <c r="O16" s="144"/>
      <c r="Q16" s="525"/>
      <c r="R16" s="524">
        <f t="shared" si="20"/>
        <v>0</v>
      </c>
      <c r="S16" s="526">
        <f t="shared" si="0"/>
        <v>0</v>
      </c>
      <c r="U16" s="525"/>
      <c r="V16" s="524">
        <f t="shared" si="22"/>
        <v>0</v>
      </c>
      <c r="W16" s="526">
        <f t="shared" si="3"/>
        <v>0</v>
      </c>
      <c r="Y16" s="99"/>
      <c r="Z16" s="99"/>
      <c r="AA16" s="99"/>
      <c r="AB16" s="99"/>
      <c r="AC16" s="99"/>
      <c r="AD16" s="99"/>
      <c r="AE16" s="225">
        <f>Производительность!E31*Производительность!E47</f>
        <v>0</v>
      </c>
      <c r="AF16" s="646">
        <f t="shared" si="10"/>
        <v>0</v>
      </c>
      <c r="AG16" s="226">
        <f t="shared" si="11"/>
        <v>0</v>
      </c>
      <c r="AI16" s="50">
        <f t="shared" si="12"/>
        <v>0</v>
      </c>
      <c r="AJ16" s="50">
        <f t="shared" si="13"/>
        <v>0</v>
      </c>
      <c r="AK16" s="50">
        <f t="shared" si="14"/>
        <v>0</v>
      </c>
      <c r="AM16" s="144"/>
      <c r="AN16" s="144"/>
      <c r="AO16" s="49">
        <f t="shared" si="15"/>
        <v>0</v>
      </c>
    </row>
    <row r="17" spans="1:41" x14ac:dyDescent="0.25">
      <c r="A17" s="151">
        <f>Производительность!C16</f>
        <v>0</v>
      </c>
      <c r="B17" s="144"/>
      <c r="C17" s="190">
        <f t="shared" si="1"/>
        <v>0</v>
      </c>
      <c r="D17" s="50"/>
      <c r="E17" s="99"/>
      <c r="F17" s="99"/>
      <c r="G17" s="99"/>
      <c r="H17" s="99"/>
      <c r="I17" s="99"/>
      <c r="J17" s="99"/>
      <c r="K17" s="99"/>
      <c r="L17" s="50"/>
      <c r="M17" s="144"/>
      <c r="N17" s="144"/>
      <c r="O17" s="144"/>
      <c r="Q17" s="525"/>
      <c r="R17" s="524">
        <f t="shared" si="20"/>
        <v>0</v>
      </c>
      <c r="S17" s="526">
        <f t="shared" si="0"/>
        <v>0</v>
      </c>
      <c r="U17" s="525"/>
      <c r="V17" s="524">
        <f t="shared" si="22"/>
        <v>0</v>
      </c>
      <c r="W17" s="526">
        <f t="shared" si="3"/>
        <v>0</v>
      </c>
      <c r="Y17" s="99"/>
      <c r="Z17" s="99"/>
      <c r="AA17" s="99"/>
      <c r="AB17" s="99"/>
      <c r="AC17" s="99"/>
      <c r="AD17" s="99"/>
      <c r="AE17" s="225">
        <f>Производительность!E32*Производительность!E48</f>
        <v>0</v>
      </c>
      <c r="AF17" s="646">
        <f t="shared" si="10"/>
        <v>0</v>
      </c>
      <c r="AG17" s="226">
        <f t="shared" si="11"/>
        <v>0</v>
      </c>
      <c r="AI17" s="50">
        <f t="shared" si="12"/>
        <v>0</v>
      </c>
      <c r="AJ17" s="50">
        <f t="shared" si="13"/>
        <v>0</v>
      </c>
      <c r="AK17" s="50">
        <f t="shared" si="14"/>
        <v>0</v>
      </c>
      <c r="AM17" s="144"/>
      <c r="AN17" s="144"/>
      <c r="AO17" s="49">
        <f t="shared" si="15"/>
        <v>0</v>
      </c>
    </row>
    <row r="18" spans="1:41" x14ac:dyDescent="0.25">
      <c r="A18" s="151">
        <f>Производительность!C17</f>
        <v>0</v>
      </c>
      <c r="B18" s="144"/>
      <c r="C18" s="190">
        <f t="shared" si="1"/>
        <v>0</v>
      </c>
      <c r="D18" s="50"/>
      <c r="E18" s="99"/>
      <c r="F18" s="99"/>
      <c r="G18" s="99"/>
      <c r="H18" s="99"/>
      <c r="I18" s="99"/>
      <c r="J18" s="99"/>
      <c r="K18" s="99"/>
      <c r="L18" s="50"/>
      <c r="M18" s="144"/>
      <c r="N18" s="144"/>
      <c r="O18" s="144"/>
      <c r="Q18" s="525"/>
      <c r="R18" s="524">
        <f t="shared" si="20"/>
        <v>0</v>
      </c>
      <c r="S18" s="526">
        <f t="shared" si="0"/>
        <v>0</v>
      </c>
      <c r="U18" s="525"/>
      <c r="V18" s="524">
        <f t="shared" si="22"/>
        <v>0</v>
      </c>
      <c r="W18" s="526">
        <f t="shared" si="3"/>
        <v>0</v>
      </c>
      <c r="Y18" s="99"/>
      <c r="Z18" s="99"/>
      <c r="AA18" s="99"/>
      <c r="AB18" s="99"/>
      <c r="AC18" s="99"/>
      <c r="AD18" s="99"/>
      <c r="AE18" s="225">
        <f>Производительность!E33*Производительность!E49</f>
        <v>0</v>
      </c>
      <c r="AF18" s="646">
        <f t="shared" si="10"/>
        <v>0</v>
      </c>
      <c r="AG18" s="226">
        <f t="shared" si="11"/>
        <v>0</v>
      </c>
      <c r="AI18" s="50">
        <f t="shared" si="12"/>
        <v>0</v>
      </c>
      <c r="AJ18" s="50">
        <f t="shared" si="13"/>
        <v>0</v>
      </c>
      <c r="AK18" s="50">
        <f t="shared" si="14"/>
        <v>0</v>
      </c>
      <c r="AM18" s="144"/>
      <c r="AN18" s="144"/>
      <c r="AO18" s="49">
        <f t="shared" si="15"/>
        <v>0</v>
      </c>
    </row>
    <row r="19" spans="1:41" x14ac:dyDescent="0.25">
      <c r="A19" s="151">
        <f>Производительность!C18</f>
        <v>0</v>
      </c>
      <c r="B19" s="144"/>
      <c r="C19" s="190">
        <f t="shared" si="1"/>
        <v>0</v>
      </c>
      <c r="D19" s="50"/>
      <c r="E19" s="99"/>
      <c r="F19" s="99"/>
      <c r="G19" s="99"/>
      <c r="H19" s="99"/>
      <c r="I19" s="99"/>
      <c r="J19" s="99"/>
      <c r="K19" s="99"/>
      <c r="L19" s="50"/>
      <c r="M19" s="144"/>
      <c r="N19" s="144"/>
      <c r="O19" s="144"/>
      <c r="Q19" s="525"/>
      <c r="R19" s="524">
        <f t="shared" si="20"/>
        <v>0</v>
      </c>
      <c r="S19" s="526">
        <f t="shared" si="0"/>
        <v>0</v>
      </c>
      <c r="U19" s="525"/>
      <c r="V19" s="524">
        <f t="shared" si="22"/>
        <v>0</v>
      </c>
      <c r="W19" s="526">
        <f t="shared" si="3"/>
        <v>0</v>
      </c>
      <c r="Y19" s="99"/>
      <c r="Z19" s="99"/>
      <c r="AA19" s="99"/>
      <c r="AB19" s="99"/>
      <c r="AC19" s="99"/>
      <c r="AD19" s="99"/>
      <c r="AE19" s="225">
        <f>Производительность!E34*Производительность!E50</f>
        <v>0</v>
      </c>
      <c r="AF19" s="646">
        <f t="shared" si="10"/>
        <v>0</v>
      </c>
      <c r="AG19" s="226">
        <f t="shared" si="11"/>
        <v>0</v>
      </c>
      <c r="AI19" s="50">
        <f t="shared" si="12"/>
        <v>0</v>
      </c>
      <c r="AJ19" s="50">
        <f t="shared" si="13"/>
        <v>0</v>
      </c>
      <c r="AK19" s="50">
        <f t="shared" si="14"/>
        <v>0</v>
      </c>
      <c r="AM19" s="144"/>
      <c r="AN19" s="144"/>
      <c r="AO19" s="49">
        <f t="shared" si="15"/>
        <v>0</v>
      </c>
    </row>
    <row r="20" spans="1:41" x14ac:dyDescent="0.25">
      <c r="A20" s="151">
        <f>Производительность!C19</f>
        <v>0</v>
      </c>
      <c r="B20" s="144"/>
      <c r="C20" s="190">
        <f t="shared" si="1"/>
        <v>0</v>
      </c>
      <c r="D20" s="50"/>
      <c r="E20" s="99"/>
      <c r="F20" s="99"/>
      <c r="G20" s="99"/>
      <c r="H20" s="99"/>
      <c r="I20" s="99"/>
      <c r="J20" s="99"/>
      <c r="K20" s="99"/>
      <c r="L20" s="50"/>
      <c r="M20" s="144"/>
      <c r="N20" s="144"/>
      <c r="O20" s="144"/>
      <c r="Q20" s="525"/>
      <c r="R20" s="524">
        <f t="shared" si="20"/>
        <v>0</v>
      </c>
      <c r="S20" s="526">
        <f t="shared" si="0"/>
        <v>0</v>
      </c>
      <c r="U20" s="525"/>
      <c r="V20" s="524">
        <f t="shared" si="22"/>
        <v>0</v>
      </c>
      <c r="W20" s="526">
        <f t="shared" si="3"/>
        <v>0</v>
      </c>
      <c r="Y20" s="99"/>
      <c r="Z20" s="99"/>
      <c r="AA20" s="99"/>
      <c r="AB20" s="99"/>
      <c r="AC20" s="99"/>
      <c r="AD20" s="99"/>
      <c r="AE20" s="225">
        <f>Производительность!E35*Производительность!E51</f>
        <v>0</v>
      </c>
      <c r="AF20" s="646">
        <f t="shared" si="10"/>
        <v>0</v>
      </c>
      <c r="AG20" s="226">
        <f t="shared" si="11"/>
        <v>0</v>
      </c>
      <c r="AI20" s="50">
        <f t="shared" si="12"/>
        <v>0</v>
      </c>
      <c r="AJ20" s="50">
        <f t="shared" si="13"/>
        <v>0</v>
      </c>
      <c r="AK20" s="50">
        <f t="shared" si="14"/>
        <v>0</v>
      </c>
      <c r="AM20" s="144"/>
      <c r="AN20" s="144"/>
      <c r="AO20" s="49">
        <f t="shared" si="15"/>
        <v>0</v>
      </c>
    </row>
    <row r="21" spans="1:41" x14ac:dyDescent="0.25">
      <c r="A21" s="151">
        <f>Производительность!C20</f>
        <v>0</v>
      </c>
      <c r="B21" s="144"/>
      <c r="C21" s="190">
        <f t="shared" si="1"/>
        <v>0</v>
      </c>
      <c r="D21" s="50"/>
      <c r="E21" s="99"/>
      <c r="F21" s="99"/>
      <c r="G21" s="99"/>
      <c r="H21" s="99"/>
      <c r="I21" s="99"/>
      <c r="J21" s="99"/>
      <c r="K21" s="99"/>
      <c r="L21" s="50"/>
      <c r="M21" s="144"/>
      <c r="N21" s="144"/>
      <c r="O21" s="144"/>
      <c r="Q21" s="525"/>
      <c r="R21" s="524">
        <f t="shared" si="20"/>
        <v>0</v>
      </c>
      <c r="S21" s="526">
        <f t="shared" si="0"/>
        <v>0</v>
      </c>
      <c r="U21" s="525"/>
      <c r="V21" s="524">
        <f t="shared" si="22"/>
        <v>0</v>
      </c>
      <c r="W21" s="526">
        <f t="shared" si="3"/>
        <v>0</v>
      </c>
      <c r="Y21" s="99"/>
      <c r="Z21" s="99"/>
      <c r="AA21" s="99"/>
      <c r="AB21" s="99"/>
      <c r="AC21" s="99"/>
      <c r="AD21" s="99"/>
      <c r="AE21" s="225">
        <f>Производительность!E36*Производительность!E52</f>
        <v>0</v>
      </c>
      <c r="AF21" s="646">
        <f t="shared" si="10"/>
        <v>0</v>
      </c>
      <c r="AG21" s="226">
        <f t="shared" si="11"/>
        <v>0</v>
      </c>
      <c r="AI21" s="50">
        <f t="shared" si="12"/>
        <v>0</v>
      </c>
      <c r="AJ21" s="50">
        <f t="shared" si="13"/>
        <v>0</v>
      </c>
      <c r="AK21" s="50">
        <f t="shared" si="14"/>
        <v>0</v>
      </c>
      <c r="AM21" s="144"/>
      <c r="AN21" s="144"/>
      <c r="AO21" s="49">
        <f t="shared" si="15"/>
        <v>0</v>
      </c>
    </row>
    <row r="22" spans="1:41" x14ac:dyDescent="0.25">
      <c r="A22" s="151">
        <f>Производительность!C21</f>
        <v>0</v>
      </c>
      <c r="B22" s="144"/>
      <c r="C22" s="190">
        <f t="shared" si="1"/>
        <v>0</v>
      </c>
      <c r="D22" s="50"/>
      <c r="E22" s="99"/>
      <c r="F22" s="99"/>
      <c r="G22" s="99"/>
      <c r="H22" s="99"/>
      <c r="I22" s="99"/>
      <c r="J22" s="99"/>
      <c r="K22" s="99"/>
      <c r="L22" s="50"/>
      <c r="M22" s="144"/>
      <c r="N22" s="144"/>
      <c r="O22" s="144"/>
      <c r="Q22" s="525"/>
      <c r="R22" s="524">
        <f t="shared" si="20"/>
        <v>0</v>
      </c>
      <c r="S22" s="526">
        <f t="shared" si="0"/>
        <v>0</v>
      </c>
      <c r="U22" s="525"/>
      <c r="V22" s="524">
        <f t="shared" si="22"/>
        <v>0</v>
      </c>
      <c r="W22" s="526">
        <f t="shared" si="3"/>
        <v>0</v>
      </c>
      <c r="Y22" s="99"/>
      <c r="Z22" s="99"/>
      <c r="AA22" s="99"/>
      <c r="AB22" s="99"/>
      <c r="AC22" s="99"/>
      <c r="AD22" s="99"/>
      <c r="AE22" s="225">
        <f>Производительность!E37*Производительность!E53</f>
        <v>0</v>
      </c>
      <c r="AF22" s="646">
        <f t="shared" si="10"/>
        <v>0</v>
      </c>
      <c r="AG22" s="226">
        <f t="shared" si="11"/>
        <v>0</v>
      </c>
      <c r="AI22" s="50">
        <f t="shared" si="12"/>
        <v>0</v>
      </c>
      <c r="AJ22" s="50">
        <f t="shared" si="13"/>
        <v>0</v>
      </c>
      <c r="AK22" s="50">
        <f t="shared" si="14"/>
        <v>0</v>
      </c>
      <c r="AM22" s="144"/>
      <c r="AN22" s="144"/>
      <c r="AO22" s="49">
        <f t="shared" si="15"/>
        <v>0</v>
      </c>
    </row>
    <row r="23" spans="1:41" x14ac:dyDescent="0.25">
      <c r="A23" s="151">
        <f>Производительность!C22</f>
        <v>0</v>
      </c>
      <c r="B23" s="144"/>
      <c r="C23" s="190">
        <f t="shared" si="1"/>
        <v>0</v>
      </c>
      <c r="D23" s="50"/>
      <c r="E23" s="99"/>
      <c r="F23" s="99"/>
      <c r="G23" s="99"/>
      <c r="H23" s="99"/>
      <c r="I23" s="99"/>
      <c r="J23" s="99"/>
      <c r="K23" s="99"/>
      <c r="L23" s="50"/>
      <c r="M23" s="144"/>
      <c r="N23" s="144"/>
      <c r="O23" s="144"/>
      <c r="Q23" s="525"/>
      <c r="R23" s="524">
        <f t="shared" si="20"/>
        <v>0</v>
      </c>
      <c r="S23" s="526">
        <f t="shared" si="0"/>
        <v>0</v>
      </c>
      <c r="U23" s="525"/>
      <c r="V23" s="524">
        <f t="shared" si="22"/>
        <v>0</v>
      </c>
      <c r="W23" s="526">
        <f t="shared" si="3"/>
        <v>0</v>
      </c>
      <c r="Y23" s="99"/>
      <c r="Z23" s="99"/>
      <c r="AA23" s="99"/>
      <c r="AB23" s="99"/>
      <c r="AC23" s="99"/>
      <c r="AD23" s="99"/>
      <c r="AE23" s="225">
        <f>Производительность!E38*Производительность!E54</f>
        <v>0</v>
      </c>
      <c r="AF23" s="646">
        <f t="shared" si="10"/>
        <v>0</v>
      </c>
      <c r="AG23" s="226">
        <f t="shared" si="11"/>
        <v>0</v>
      </c>
      <c r="AI23" s="50">
        <f t="shared" si="12"/>
        <v>0</v>
      </c>
      <c r="AJ23" s="50">
        <f t="shared" si="13"/>
        <v>0</v>
      </c>
      <c r="AK23" s="50">
        <f t="shared" si="14"/>
        <v>0</v>
      </c>
      <c r="AM23" s="144"/>
      <c r="AN23" s="144"/>
      <c r="AO23" s="49">
        <f t="shared" si="15"/>
        <v>0</v>
      </c>
    </row>
    <row r="25" spans="1:41" x14ac:dyDescent="0.25">
      <c r="Y25" s="2" t="s">
        <v>214</v>
      </c>
    </row>
  </sheetData>
  <mergeCells count="7">
    <mergeCell ref="AB7:AC7"/>
    <mergeCell ref="B7:C7"/>
    <mergeCell ref="E7:K7"/>
    <mergeCell ref="M7:O7"/>
    <mergeCell ref="Y7:AA7"/>
    <mergeCell ref="Q7:R7"/>
    <mergeCell ref="U7:V7"/>
  </mergeCells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5E9E-C867-4AE6-9A52-404291B144C0}">
  <sheetPr>
    <tabColor rgb="FFFF0000"/>
  </sheetPr>
  <dimension ref="A1:BD47"/>
  <sheetViews>
    <sheetView showGridLines="0" topLeftCell="Z1" zoomScaleNormal="100" workbookViewId="0">
      <selection activeCell="D45" sqref="D45"/>
    </sheetView>
  </sheetViews>
  <sheetFormatPr defaultRowHeight="13.6" x14ac:dyDescent="0.25"/>
  <cols>
    <col min="1" max="1" width="24.75" style="2" customWidth="1"/>
    <col min="2" max="2" width="50.375" style="2" bestFit="1" customWidth="1"/>
    <col min="3" max="3" width="11.25" style="2" customWidth="1"/>
    <col min="4" max="4" width="15.25" style="2" customWidth="1"/>
    <col min="5" max="5" width="9" style="2" customWidth="1"/>
    <col min="6" max="6" width="14.375" style="2" bestFit="1" customWidth="1"/>
    <col min="7" max="7" width="13.125" style="2" customWidth="1"/>
    <col min="8" max="8" width="10.25" style="2" bestFit="1" customWidth="1"/>
    <col min="9" max="9" width="9.125" style="2" bestFit="1" customWidth="1"/>
    <col min="10" max="10" width="9" style="2"/>
    <col min="11" max="11" width="9.125" style="2" bestFit="1" customWidth="1"/>
    <col min="12" max="13" width="9" style="2"/>
    <col min="14" max="14" width="23.25" style="2" bestFit="1" customWidth="1"/>
    <col min="15" max="15" width="7" style="2" bestFit="1" customWidth="1"/>
    <col min="16" max="16" width="22.5" style="2" bestFit="1" customWidth="1"/>
    <col min="17" max="17" width="23" style="2" bestFit="1" customWidth="1"/>
    <col min="18" max="18" width="7.375" style="2" bestFit="1" customWidth="1"/>
    <col min="19" max="20" width="16.125" style="2" bestFit="1" customWidth="1"/>
    <col min="21" max="22" width="7.375" style="2" customWidth="1"/>
    <col min="23" max="23" width="20.75" style="2" bestFit="1" customWidth="1"/>
    <col min="24" max="24" width="32.125" style="2" bestFit="1" customWidth="1"/>
    <col min="25" max="25" width="13.375" style="2" bestFit="1" customWidth="1"/>
    <col min="26" max="26" width="16.125" style="2" bestFit="1" customWidth="1"/>
    <col min="27" max="27" width="22" style="2" customWidth="1"/>
    <col min="28" max="28" width="9" style="2"/>
    <col min="29" max="29" width="45.5" style="2" customWidth="1"/>
    <col min="30" max="30" width="16.25" style="2" customWidth="1"/>
    <col min="31" max="31" width="9" style="2"/>
    <col min="32" max="33" width="11" style="2" customWidth="1"/>
    <col min="34" max="34" width="9" style="2"/>
    <col min="35" max="35" width="21.75" style="2" bestFit="1" customWidth="1"/>
    <col min="36" max="56" width="6.375" style="2" customWidth="1"/>
    <col min="57" max="16384" width="9" style="2"/>
  </cols>
  <sheetData>
    <row r="1" spans="1:56" x14ac:dyDescent="0.25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</row>
    <row r="2" spans="1:56" x14ac:dyDescent="0.25">
      <c r="A2" s="214" t="s">
        <v>253</v>
      </c>
      <c r="F2" s="159" t="s">
        <v>140</v>
      </c>
      <c r="G2" s="160">
        <f>G4/I4</f>
        <v>66.018919487352079</v>
      </c>
      <c r="H2" s="159" t="s">
        <v>72</v>
      </c>
      <c r="N2" s="214" t="s">
        <v>141</v>
      </c>
      <c r="W2" s="214" t="s">
        <v>39</v>
      </c>
      <c r="X2" s="179"/>
      <c r="AC2" s="214" t="s">
        <v>77</v>
      </c>
      <c r="AF2" s="159" t="s">
        <v>142</v>
      </c>
      <c r="AG2" s="4"/>
      <c r="AI2" s="159" t="s">
        <v>143</v>
      </c>
    </row>
    <row r="4" spans="1:56" x14ac:dyDescent="0.25">
      <c r="A4" s="2" t="s">
        <v>529</v>
      </c>
      <c r="B4" s="144">
        <v>3702.5</v>
      </c>
      <c r="C4" s="2" t="s">
        <v>530</v>
      </c>
      <c r="F4" s="4" t="s">
        <v>177</v>
      </c>
      <c r="G4" s="50">
        <v>1274749.8973300001</v>
      </c>
      <c r="H4" s="2" t="s">
        <v>33</v>
      </c>
      <c r="I4" s="50">
        <v>19308.857327999998</v>
      </c>
      <c r="J4" s="2" t="s">
        <v>11</v>
      </c>
      <c r="N4" s="53"/>
      <c r="O4" s="161" t="s">
        <v>144</v>
      </c>
      <c r="P4" s="161" t="s">
        <v>145</v>
      </c>
      <c r="Q4" s="162" t="s">
        <v>146</v>
      </c>
      <c r="Y4" s="158" t="s">
        <v>147</v>
      </c>
      <c r="Z4" s="158" t="s">
        <v>148</v>
      </c>
      <c r="AA4" s="158" t="s">
        <v>411</v>
      </c>
      <c r="AC4" s="158" t="s">
        <v>149</v>
      </c>
      <c r="AD4" s="158" t="s">
        <v>150</v>
      </c>
      <c r="AF4" s="158" t="s">
        <v>151</v>
      </c>
      <c r="AG4" s="158" t="s">
        <v>152</v>
      </c>
    </row>
    <row r="5" spans="1:56" x14ac:dyDescent="0.25">
      <c r="A5" s="536" t="s">
        <v>75</v>
      </c>
      <c r="B5" s="537">
        <f>(30+3.7+4)/100</f>
        <v>0.377</v>
      </c>
      <c r="N5" s="2" t="str">
        <f>Производительность!C8</f>
        <v>NHL NTE 240</v>
      </c>
      <c r="O5" s="194">
        <v>90</v>
      </c>
      <c r="P5" s="192">
        <v>180</v>
      </c>
      <c r="Q5" s="193" t="str">
        <f>O4</f>
        <v>г/ткм</v>
      </c>
      <c r="W5" s="2" t="str">
        <f>Производительность!C8</f>
        <v>NHL NTE 240</v>
      </c>
      <c r="X5" s="55" t="s">
        <v>166</v>
      </c>
      <c r="Y5" s="195">
        <v>80</v>
      </c>
      <c r="Z5" s="166">
        <f>6/Y5</f>
        <v>7.4999999999999997E-2</v>
      </c>
      <c r="AA5" s="165">
        <f>SUMIFS($AA$24:$AA$28,$W$24:$W$28,X5)</f>
        <v>2985.3815355000002</v>
      </c>
      <c r="AC5" s="165">
        <f>'NHL NTE240'!D11</f>
        <v>2500</v>
      </c>
      <c r="AD5" s="165">
        <v>85</v>
      </c>
      <c r="AF5" s="165">
        <f>7*12+1</f>
        <v>85</v>
      </c>
      <c r="AG5" s="167">
        <f>100/(AF5/12)</f>
        <v>14.117647058823531</v>
      </c>
      <c r="AJ5" s="53">
        <v>2026</v>
      </c>
      <c r="AK5" s="53">
        <f>ТСО!G2</f>
        <v>2027</v>
      </c>
      <c r="AL5" s="53">
        <f>ТСО!H2</f>
        <v>2028</v>
      </c>
      <c r="AM5" s="53">
        <f>ТСО!I2</f>
        <v>2029</v>
      </c>
      <c r="AN5" s="53">
        <f>ТСО!J2</f>
        <v>2030</v>
      </c>
      <c r="AO5" s="53">
        <f>ТСО!K2</f>
        <v>2031</v>
      </c>
      <c r="AP5" s="53">
        <f>ТСО!L2</f>
        <v>2032</v>
      </c>
      <c r="AQ5" s="53">
        <f>ТСО!M2</f>
        <v>2033</v>
      </c>
      <c r="AR5" s="53">
        <f>ТСО!N2</f>
        <v>2034</v>
      </c>
      <c r="AS5" s="53">
        <f>ТСО!O2</f>
        <v>2035</v>
      </c>
      <c r="AT5" s="53">
        <f>ТСО!P2</f>
        <v>2036</v>
      </c>
      <c r="AU5" s="53">
        <f>ТСО!Q2</f>
        <v>2037</v>
      </c>
      <c r="AV5" s="53">
        <f>ТСО!R2</f>
        <v>2038</v>
      </c>
      <c r="AW5" s="53">
        <f>ТСО!S2</f>
        <v>2039</v>
      </c>
      <c r="AX5" s="53">
        <f>ТСО!T2</f>
        <v>2040</v>
      </c>
      <c r="AY5" s="53">
        <f>ТСО!U2</f>
        <v>2041</v>
      </c>
      <c r="AZ5" s="53">
        <f>ТСО!V2</f>
        <v>2042</v>
      </c>
      <c r="BA5" s="53">
        <f>ТСО!W2</f>
        <v>2043</v>
      </c>
      <c r="BB5" s="53">
        <f>ТСО!X2</f>
        <v>2044</v>
      </c>
      <c r="BC5" s="53">
        <f>ТСО!Y2</f>
        <v>2045</v>
      </c>
      <c r="BD5" s="53">
        <f>ТСО!Z2</f>
        <v>2046</v>
      </c>
    </row>
    <row r="6" spans="1:56" x14ac:dyDescent="0.25">
      <c r="N6" s="2" t="str">
        <f>Производительность!C9</f>
        <v>Estar ESDE240 (ГПБ К)</v>
      </c>
      <c r="O6" s="194">
        <v>90</v>
      </c>
      <c r="P6" s="192">
        <v>180</v>
      </c>
      <c r="Q6" s="193" t="str">
        <f>O4</f>
        <v>г/ткм</v>
      </c>
      <c r="W6" s="2" t="str">
        <f>Производительность!C9</f>
        <v>Estar ESDE240 (ГПБ К)</v>
      </c>
      <c r="X6" s="55" t="s">
        <v>166</v>
      </c>
      <c r="Y6" s="192">
        <v>80</v>
      </c>
      <c r="Z6" s="168">
        <f>6/Y6</f>
        <v>7.4999999999999997E-2</v>
      </c>
      <c r="AA6" s="79">
        <f t="shared" ref="AA6:AA11" si="0">SUMIFS($AA$24:$AA$28,$W$24:$W$28,X6)</f>
        <v>2985.3815355000002</v>
      </c>
      <c r="AC6" s="79">
        <f>ESDE240!D11</f>
        <v>1864</v>
      </c>
      <c r="AD6" s="79">
        <v>85</v>
      </c>
      <c r="AF6" s="79">
        <f t="shared" ref="AF6:AF11" si="1">7*12+1</f>
        <v>85</v>
      </c>
      <c r="AG6" s="169">
        <f t="shared" ref="AG6:AG19" si="2">100/(AF6/12)</f>
        <v>14.117647058823531</v>
      </c>
      <c r="AI6" s="4" t="s">
        <v>153</v>
      </c>
    </row>
    <row r="7" spans="1:56" x14ac:dyDescent="0.25">
      <c r="A7" s="536" t="s">
        <v>251</v>
      </c>
      <c r="B7" s="538">
        <v>3</v>
      </c>
      <c r="C7" s="536" t="s">
        <v>252</v>
      </c>
      <c r="N7" s="2" t="str">
        <f>Производительность!C10</f>
        <v>SANY SET240S</v>
      </c>
      <c r="O7" s="194">
        <v>90</v>
      </c>
      <c r="P7" s="192">
        <v>180</v>
      </c>
      <c r="Q7" s="193" t="str">
        <f>O4</f>
        <v>г/ткм</v>
      </c>
      <c r="W7" s="2" t="str">
        <f>Производительность!C10</f>
        <v>SANY SET240S</v>
      </c>
      <c r="X7" s="55" t="s">
        <v>166</v>
      </c>
      <c r="Y7" s="192">
        <v>80</v>
      </c>
      <c r="Z7" s="168">
        <f t="shared" ref="Z7:Z19" si="3">6/Y7</f>
        <v>7.4999999999999997E-2</v>
      </c>
      <c r="AA7" s="79">
        <f t="shared" si="0"/>
        <v>2985.3815355000002</v>
      </c>
      <c r="AC7" s="79">
        <f>SANY!S11</f>
        <v>2843</v>
      </c>
      <c r="AD7" s="79">
        <v>85</v>
      </c>
      <c r="AF7" s="79">
        <f t="shared" si="1"/>
        <v>85</v>
      </c>
      <c r="AG7" s="169">
        <f t="shared" si="2"/>
        <v>14.117647058823531</v>
      </c>
      <c r="AI7" s="170" t="s">
        <v>154</v>
      </c>
      <c r="AJ7" s="99">
        <f>Свод!W42</f>
        <v>94.048500000000004</v>
      </c>
      <c r="AK7" s="171">
        <f>AJ7</f>
        <v>94.048500000000004</v>
      </c>
      <c r="AL7" s="171">
        <f t="shared" ref="AL7:BD7" si="4">AK7</f>
        <v>94.048500000000004</v>
      </c>
      <c r="AM7" s="171">
        <f t="shared" si="4"/>
        <v>94.048500000000004</v>
      </c>
      <c r="AN7" s="171">
        <f t="shared" si="4"/>
        <v>94.048500000000004</v>
      </c>
      <c r="AO7" s="171">
        <f t="shared" si="4"/>
        <v>94.048500000000004</v>
      </c>
      <c r="AP7" s="171">
        <f t="shared" si="4"/>
        <v>94.048500000000004</v>
      </c>
      <c r="AQ7" s="171">
        <f t="shared" si="4"/>
        <v>94.048500000000004</v>
      </c>
      <c r="AR7" s="171">
        <f t="shared" si="4"/>
        <v>94.048500000000004</v>
      </c>
      <c r="AS7" s="171">
        <f t="shared" si="4"/>
        <v>94.048500000000004</v>
      </c>
      <c r="AT7" s="171">
        <f t="shared" si="4"/>
        <v>94.048500000000004</v>
      </c>
      <c r="AU7" s="171">
        <f t="shared" si="4"/>
        <v>94.048500000000004</v>
      </c>
      <c r="AV7" s="171">
        <f t="shared" si="4"/>
        <v>94.048500000000004</v>
      </c>
      <c r="AW7" s="171">
        <f t="shared" si="4"/>
        <v>94.048500000000004</v>
      </c>
      <c r="AX7" s="171">
        <f t="shared" si="4"/>
        <v>94.048500000000004</v>
      </c>
      <c r="AY7" s="171">
        <f t="shared" si="4"/>
        <v>94.048500000000004</v>
      </c>
      <c r="AZ7" s="171">
        <f t="shared" si="4"/>
        <v>94.048500000000004</v>
      </c>
      <c r="BA7" s="171">
        <f t="shared" si="4"/>
        <v>94.048500000000004</v>
      </c>
      <c r="BB7" s="171">
        <f t="shared" si="4"/>
        <v>94.048500000000004</v>
      </c>
      <c r="BC7" s="171">
        <f t="shared" si="4"/>
        <v>94.048500000000004</v>
      </c>
      <c r="BD7" s="171">
        <f t="shared" si="4"/>
        <v>94.048500000000004</v>
      </c>
    </row>
    <row r="8" spans="1:56" x14ac:dyDescent="0.25">
      <c r="N8" s="2" t="str">
        <f>Производительность!C11</f>
        <v>TZCO TZE240</v>
      </c>
      <c r="O8" s="194">
        <v>90</v>
      </c>
      <c r="P8" s="192">
        <v>180</v>
      </c>
      <c r="Q8" s="193" t="str">
        <f>O4</f>
        <v>г/ткм</v>
      </c>
      <c r="W8" s="2" t="str">
        <f>Производительность!C11</f>
        <v>TZCO TZE240</v>
      </c>
      <c r="X8" s="55" t="s">
        <v>167</v>
      </c>
      <c r="Y8" s="192">
        <v>80</v>
      </c>
      <c r="Z8" s="168">
        <f t="shared" si="3"/>
        <v>7.4999999999999997E-2</v>
      </c>
      <c r="AA8" s="79">
        <f t="shared" si="0"/>
        <v>2511.4896936000005</v>
      </c>
      <c r="AC8" s="79">
        <f>TZCO!D11</f>
        <v>2500</v>
      </c>
      <c r="AD8" s="79">
        <v>85</v>
      </c>
      <c r="AF8" s="79">
        <f t="shared" si="1"/>
        <v>85</v>
      </c>
      <c r="AG8" s="169">
        <f t="shared" si="2"/>
        <v>14.117647058823531</v>
      </c>
      <c r="AI8" s="170" t="s">
        <v>155</v>
      </c>
      <c r="AJ8" s="99">
        <f>Свод!W43</f>
        <v>12.770200000000001</v>
      </c>
      <c r="AK8" s="171">
        <f>AJ8</f>
        <v>12.770200000000001</v>
      </c>
      <c r="AL8" s="171">
        <f t="shared" ref="AL8:BD8" si="5">AK8</f>
        <v>12.770200000000001</v>
      </c>
      <c r="AM8" s="171">
        <f t="shared" si="5"/>
        <v>12.770200000000001</v>
      </c>
      <c r="AN8" s="171">
        <f t="shared" si="5"/>
        <v>12.770200000000001</v>
      </c>
      <c r="AO8" s="171">
        <f t="shared" si="5"/>
        <v>12.770200000000001</v>
      </c>
      <c r="AP8" s="171">
        <f t="shared" si="5"/>
        <v>12.770200000000001</v>
      </c>
      <c r="AQ8" s="171">
        <f t="shared" si="5"/>
        <v>12.770200000000001</v>
      </c>
      <c r="AR8" s="171">
        <f t="shared" si="5"/>
        <v>12.770200000000001</v>
      </c>
      <c r="AS8" s="171">
        <f t="shared" si="5"/>
        <v>12.770200000000001</v>
      </c>
      <c r="AT8" s="171">
        <f t="shared" si="5"/>
        <v>12.770200000000001</v>
      </c>
      <c r="AU8" s="171">
        <f t="shared" si="5"/>
        <v>12.770200000000001</v>
      </c>
      <c r="AV8" s="171">
        <f t="shared" si="5"/>
        <v>12.770200000000001</v>
      </c>
      <c r="AW8" s="171">
        <f t="shared" si="5"/>
        <v>12.770200000000001</v>
      </c>
      <c r="AX8" s="171">
        <f t="shared" si="5"/>
        <v>12.770200000000001</v>
      </c>
      <c r="AY8" s="171">
        <f t="shared" si="5"/>
        <v>12.770200000000001</v>
      </c>
      <c r="AZ8" s="171">
        <f t="shared" si="5"/>
        <v>12.770200000000001</v>
      </c>
      <c r="BA8" s="171">
        <f t="shared" si="5"/>
        <v>12.770200000000001</v>
      </c>
      <c r="BB8" s="171">
        <f t="shared" si="5"/>
        <v>12.770200000000001</v>
      </c>
      <c r="BC8" s="171">
        <f t="shared" si="5"/>
        <v>12.770200000000001</v>
      </c>
      <c r="BD8" s="171">
        <f t="shared" si="5"/>
        <v>12.770200000000001</v>
      </c>
    </row>
    <row r="9" spans="1:56" x14ac:dyDescent="0.25">
      <c r="N9" s="2" t="str">
        <f>Производительность!C12</f>
        <v>БелАЗ 7531 (ГПФК)</v>
      </c>
      <c r="O9" s="194">
        <v>90</v>
      </c>
      <c r="P9" s="192">
        <v>180</v>
      </c>
      <c r="Q9" s="193" t="str">
        <f>O4</f>
        <v>г/ткм</v>
      </c>
      <c r="W9" s="2" t="str">
        <f>Производительность!C12</f>
        <v>БелАЗ 7531 (ГПФК)</v>
      </c>
      <c r="X9" s="55" t="s">
        <v>210</v>
      </c>
      <c r="Y9" s="192">
        <v>90</v>
      </c>
      <c r="Z9" s="168">
        <f t="shared" si="3"/>
        <v>6.6666666666666666E-2</v>
      </c>
      <c r="AA9" s="79">
        <f t="shared" si="0"/>
        <v>2819.1037875000002</v>
      </c>
      <c r="AC9" s="79">
        <f>БелАЗ!E11</f>
        <v>2535</v>
      </c>
      <c r="AD9" s="79">
        <v>85</v>
      </c>
      <c r="AF9" s="79">
        <f t="shared" si="1"/>
        <v>85</v>
      </c>
      <c r="AG9" s="169">
        <f t="shared" si="2"/>
        <v>14.117647058823531</v>
      </c>
    </row>
    <row r="10" spans="1:56" x14ac:dyDescent="0.25">
      <c r="N10" s="2" t="str">
        <f>Производительность!C13</f>
        <v>XCMG 240</v>
      </c>
      <c r="O10" s="194">
        <v>90</v>
      </c>
      <c r="P10" s="192">
        <v>180</v>
      </c>
      <c r="Q10" s="193" t="str">
        <f>O4</f>
        <v>г/ткм</v>
      </c>
      <c r="W10" s="2" t="str">
        <f>Производительность!C13</f>
        <v>XCMG 240</v>
      </c>
      <c r="X10" s="217" t="str">
        <f>X6</f>
        <v xml:space="preserve">50/80R57 </v>
      </c>
      <c r="Y10" s="192">
        <v>80</v>
      </c>
      <c r="Z10" s="168">
        <f t="shared" ref="Z10:Z18" si="6">6/Y10</f>
        <v>7.4999999999999997E-2</v>
      </c>
      <c r="AA10" s="79">
        <f t="shared" si="0"/>
        <v>2985.3815355000002</v>
      </c>
      <c r="AC10" s="192"/>
      <c r="AD10" s="79">
        <v>85</v>
      </c>
      <c r="AF10" s="79">
        <f t="shared" si="1"/>
        <v>85</v>
      </c>
      <c r="AG10" s="169">
        <f t="shared" ref="AG10:AG12" si="7">100/(AF10/12)</f>
        <v>14.117647058823531</v>
      </c>
    </row>
    <row r="11" spans="1:56" x14ac:dyDescent="0.25">
      <c r="A11" s="214" t="s">
        <v>629</v>
      </c>
      <c r="N11" s="2" t="str">
        <f>Производительность!C14</f>
        <v>БелАЗ 7531 (БТЛ)</v>
      </c>
      <c r="O11" s="194">
        <v>90</v>
      </c>
      <c r="P11" s="192">
        <v>180</v>
      </c>
      <c r="Q11" s="193" t="str">
        <f>O4</f>
        <v>г/ткм</v>
      </c>
      <c r="W11" s="2" t="str">
        <f>Производительность!C14</f>
        <v>БелАЗ 7531 (БТЛ)</v>
      </c>
      <c r="X11" s="55" t="s">
        <v>167</v>
      </c>
      <c r="Y11" s="192">
        <v>80</v>
      </c>
      <c r="Z11" s="168">
        <f t="shared" si="6"/>
        <v>7.4999999999999997E-2</v>
      </c>
      <c r="AA11" s="79">
        <f t="shared" si="0"/>
        <v>2511.4896936000005</v>
      </c>
      <c r="AC11" s="79">
        <f>БелАЗ_Б!E11</f>
        <v>2535</v>
      </c>
      <c r="AD11" s="79">
        <v>85</v>
      </c>
      <c r="AF11" s="79">
        <f t="shared" si="1"/>
        <v>85</v>
      </c>
      <c r="AG11" s="169">
        <f t="shared" si="7"/>
        <v>14.117647058823531</v>
      </c>
      <c r="AI11" s="4" t="s">
        <v>83</v>
      </c>
      <c r="AJ11" s="172">
        <v>0.25</v>
      </c>
      <c r="AK11" s="172">
        <f>AJ11</f>
        <v>0.25</v>
      </c>
      <c r="AL11" s="172">
        <f t="shared" ref="AL11:BD11" si="8">AK11</f>
        <v>0.25</v>
      </c>
      <c r="AM11" s="172">
        <f t="shared" si="8"/>
        <v>0.25</v>
      </c>
      <c r="AN11" s="172">
        <f t="shared" si="8"/>
        <v>0.25</v>
      </c>
      <c r="AO11" s="172">
        <f t="shared" si="8"/>
        <v>0.25</v>
      </c>
      <c r="AP11" s="172">
        <f t="shared" si="8"/>
        <v>0.25</v>
      </c>
      <c r="AQ11" s="172">
        <f t="shared" si="8"/>
        <v>0.25</v>
      </c>
      <c r="AR11" s="172">
        <f t="shared" si="8"/>
        <v>0.25</v>
      </c>
      <c r="AS11" s="172">
        <f t="shared" si="8"/>
        <v>0.25</v>
      </c>
      <c r="AT11" s="172">
        <f t="shared" si="8"/>
        <v>0.25</v>
      </c>
      <c r="AU11" s="172">
        <f t="shared" si="8"/>
        <v>0.25</v>
      </c>
      <c r="AV11" s="172">
        <f t="shared" si="8"/>
        <v>0.25</v>
      </c>
      <c r="AW11" s="172">
        <f t="shared" si="8"/>
        <v>0.25</v>
      </c>
      <c r="AX11" s="172">
        <f t="shared" si="8"/>
        <v>0.25</v>
      </c>
      <c r="AY11" s="172">
        <f t="shared" si="8"/>
        <v>0.25</v>
      </c>
      <c r="AZ11" s="172">
        <f t="shared" si="8"/>
        <v>0.25</v>
      </c>
      <c r="BA11" s="172">
        <f t="shared" si="8"/>
        <v>0.25</v>
      </c>
      <c r="BB11" s="172">
        <f t="shared" si="8"/>
        <v>0.25</v>
      </c>
      <c r="BC11" s="172">
        <f t="shared" si="8"/>
        <v>0.25</v>
      </c>
      <c r="BD11" s="172">
        <f t="shared" si="8"/>
        <v>0.25</v>
      </c>
    </row>
    <row r="12" spans="1:56" x14ac:dyDescent="0.25">
      <c r="N12" s="2">
        <f>Производительность!C15</f>
        <v>0</v>
      </c>
      <c r="O12" s="163"/>
      <c r="P12" s="79"/>
      <c r="Q12" s="164"/>
      <c r="W12" s="2">
        <f>Производительность!C15</f>
        <v>0</v>
      </c>
      <c r="X12" s="55"/>
      <c r="Y12" s="79"/>
      <c r="Z12" s="168" t="e">
        <f t="shared" si="6"/>
        <v>#DIV/0!</v>
      </c>
      <c r="AA12" s="79"/>
      <c r="AC12" s="79"/>
      <c r="AD12" s="79"/>
      <c r="AF12" s="79"/>
      <c r="AG12" s="169" t="e">
        <f t="shared" si="7"/>
        <v>#DIV/0!</v>
      </c>
    </row>
    <row r="13" spans="1:56" x14ac:dyDescent="0.25">
      <c r="B13" s="188" t="s">
        <v>249</v>
      </c>
      <c r="C13" s="234">
        <f>SUM(C14:C20)</f>
        <v>1060.1895802206991</v>
      </c>
      <c r="D13" s="188" t="s">
        <v>250</v>
      </c>
      <c r="N13" s="2">
        <f>Производительность!C16</f>
        <v>0</v>
      </c>
      <c r="O13" s="163"/>
      <c r="P13" s="79"/>
      <c r="Q13" s="164"/>
      <c r="W13" s="2">
        <f>Производительность!C16</f>
        <v>0</v>
      </c>
      <c r="X13" s="55"/>
      <c r="Y13" s="79"/>
      <c r="Z13" s="168" t="e">
        <f t="shared" si="6"/>
        <v>#DIV/0!</v>
      </c>
      <c r="AA13" s="79"/>
      <c r="AC13" s="79"/>
      <c r="AD13" s="79"/>
      <c r="AF13" s="79"/>
      <c r="AG13" s="169" t="e">
        <f t="shared" si="2"/>
        <v>#DIV/0!</v>
      </c>
      <c r="AI13" s="4" t="s">
        <v>156</v>
      </c>
      <c r="AJ13" s="36">
        <v>1</v>
      </c>
      <c r="AK13" s="49">
        <f>AJ13/(1+$AI$14)</f>
        <v>0.89285714285714279</v>
      </c>
      <c r="AL13" s="49">
        <f t="shared" ref="AL13:BD13" si="9">AK13/(1+$AI$14)</f>
        <v>0.79719387755102022</v>
      </c>
      <c r="AM13" s="49">
        <f t="shared" si="9"/>
        <v>0.71178024781341087</v>
      </c>
      <c r="AN13" s="49">
        <f t="shared" si="9"/>
        <v>0.6355180784048311</v>
      </c>
      <c r="AO13" s="49">
        <f t="shared" si="9"/>
        <v>0.56742685571859919</v>
      </c>
      <c r="AP13" s="49">
        <f t="shared" si="9"/>
        <v>0.50663112117732068</v>
      </c>
      <c r="AQ13" s="49">
        <f t="shared" si="9"/>
        <v>0.45234921533689343</v>
      </c>
      <c r="AR13" s="49">
        <f t="shared" si="9"/>
        <v>0.4038832279793691</v>
      </c>
      <c r="AS13" s="49">
        <f t="shared" si="9"/>
        <v>0.36061002498157951</v>
      </c>
      <c r="AT13" s="49">
        <f t="shared" si="9"/>
        <v>0.32197323659069599</v>
      </c>
      <c r="AU13" s="49">
        <f t="shared" si="9"/>
        <v>0.28747610409883567</v>
      </c>
      <c r="AV13" s="49">
        <f t="shared" si="9"/>
        <v>0.25667509294538898</v>
      </c>
      <c r="AW13" s="49">
        <f t="shared" si="9"/>
        <v>0.22917419012981158</v>
      </c>
      <c r="AX13" s="49">
        <f t="shared" si="9"/>
        <v>0.20461981261590317</v>
      </c>
      <c r="AY13" s="49">
        <f t="shared" si="9"/>
        <v>0.18269626126419924</v>
      </c>
      <c r="AZ13" s="49">
        <f t="shared" si="9"/>
        <v>0.16312166184303503</v>
      </c>
      <c r="BA13" s="49">
        <f t="shared" si="9"/>
        <v>0.14564434093128126</v>
      </c>
      <c r="BB13" s="49">
        <f t="shared" si="9"/>
        <v>0.13003959011721539</v>
      </c>
      <c r="BC13" s="49">
        <f t="shared" si="9"/>
        <v>0.11610677689037087</v>
      </c>
      <c r="BD13" s="49">
        <f t="shared" si="9"/>
        <v>0.10366676508068827</v>
      </c>
    </row>
    <row r="14" spans="1:56" x14ac:dyDescent="0.25">
      <c r="B14" s="170" t="s">
        <v>242</v>
      </c>
      <c r="C14" s="144">
        <v>252.23988627376502</v>
      </c>
      <c r="N14" s="2">
        <f>Производительность!C17</f>
        <v>0</v>
      </c>
      <c r="O14" s="163"/>
      <c r="P14" s="79"/>
      <c r="Q14" s="164"/>
      <c r="W14" s="2">
        <f>Производительность!C17</f>
        <v>0</v>
      </c>
      <c r="X14" s="55"/>
      <c r="Y14" s="79"/>
      <c r="Z14" s="168" t="e">
        <f t="shared" si="6"/>
        <v>#DIV/0!</v>
      </c>
      <c r="AA14" s="79"/>
      <c r="AC14" s="79"/>
      <c r="AD14" s="79"/>
      <c r="AF14" s="79"/>
      <c r="AG14" s="169" t="e">
        <f t="shared" si="2"/>
        <v>#DIV/0!</v>
      </c>
      <c r="AI14" s="173">
        <v>0.12</v>
      </c>
      <c r="AJ14" s="56" t="s">
        <v>157</v>
      </c>
      <c r="AK14" s="49">
        <f>AK13</f>
        <v>0.89285714285714279</v>
      </c>
      <c r="AL14" s="49">
        <f>AK14+AL13</f>
        <v>1.6900510204081631</v>
      </c>
      <c r="AM14" s="49">
        <f t="shared" ref="AM14:BD14" si="10">AL14+AM13</f>
        <v>2.4018312682215739</v>
      </c>
      <c r="AN14" s="49">
        <f t="shared" si="10"/>
        <v>3.0373493466264048</v>
      </c>
      <c r="AO14" s="49">
        <f t="shared" si="10"/>
        <v>3.6047762023450041</v>
      </c>
      <c r="AP14" s="49">
        <f t="shared" si="10"/>
        <v>4.1114073235223252</v>
      </c>
      <c r="AQ14" s="49">
        <f t="shared" si="10"/>
        <v>4.5637565388592183</v>
      </c>
      <c r="AR14" s="49">
        <f t="shared" si="10"/>
        <v>4.9676397668385874</v>
      </c>
      <c r="AS14" s="49">
        <f t="shared" si="10"/>
        <v>5.3282497918201672</v>
      </c>
      <c r="AT14" s="49">
        <f t="shared" si="10"/>
        <v>5.6502230284108634</v>
      </c>
      <c r="AU14" s="49">
        <f t="shared" si="10"/>
        <v>5.9376991325096995</v>
      </c>
      <c r="AV14" s="49">
        <f t="shared" si="10"/>
        <v>6.1943742254550882</v>
      </c>
      <c r="AW14" s="49">
        <f t="shared" si="10"/>
        <v>6.4235484155849001</v>
      </c>
      <c r="AX14" s="49">
        <f t="shared" si="10"/>
        <v>6.6281682282008036</v>
      </c>
      <c r="AY14" s="49">
        <f t="shared" si="10"/>
        <v>6.8108644894650032</v>
      </c>
      <c r="AZ14" s="49">
        <f t="shared" si="10"/>
        <v>6.9739861513080381</v>
      </c>
      <c r="BA14" s="49">
        <f t="shared" si="10"/>
        <v>7.1196304922393194</v>
      </c>
      <c r="BB14" s="49">
        <f t="shared" si="10"/>
        <v>7.249670082356535</v>
      </c>
      <c r="BC14" s="49">
        <f t="shared" si="10"/>
        <v>7.3657768592469059</v>
      </c>
      <c r="BD14" s="49">
        <f t="shared" si="10"/>
        <v>7.4694436243275941</v>
      </c>
    </row>
    <row r="15" spans="1:56" x14ac:dyDescent="0.25">
      <c r="B15" s="170" t="s">
        <v>243</v>
      </c>
      <c r="C15" s="144">
        <v>10.343118949509959</v>
      </c>
      <c r="N15" s="2">
        <f>Производительность!C18</f>
        <v>0</v>
      </c>
      <c r="O15" s="163"/>
      <c r="P15" s="79"/>
      <c r="Q15" s="164"/>
      <c r="W15" s="2">
        <f>Производительность!C18</f>
        <v>0</v>
      </c>
      <c r="X15" s="55"/>
      <c r="Y15" s="79"/>
      <c r="Z15" s="168" t="e">
        <f t="shared" si="6"/>
        <v>#DIV/0!</v>
      </c>
      <c r="AA15" s="79"/>
      <c r="AC15" s="79"/>
      <c r="AD15" s="79"/>
      <c r="AF15" s="79"/>
      <c r="AG15" s="169" t="e">
        <f t="shared" si="2"/>
        <v>#DIV/0!</v>
      </c>
    </row>
    <row r="16" spans="1:56" x14ac:dyDescent="0.25">
      <c r="B16" s="170" t="s">
        <v>244</v>
      </c>
      <c r="C16" s="144">
        <v>66.086456380832203</v>
      </c>
      <c r="N16" s="2">
        <f>Производительность!C19</f>
        <v>0</v>
      </c>
      <c r="O16" s="163"/>
      <c r="P16" s="79"/>
      <c r="Q16" s="164"/>
      <c r="W16" s="2">
        <f>Производительность!C19</f>
        <v>0</v>
      </c>
      <c r="X16" s="55"/>
      <c r="Y16" s="79"/>
      <c r="Z16" s="168" t="e">
        <f t="shared" si="6"/>
        <v>#DIV/0!</v>
      </c>
      <c r="AA16" s="79"/>
      <c r="AC16" s="79"/>
      <c r="AD16" s="79"/>
      <c r="AF16" s="79"/>
      <c r="AG16" s="169" t="e">
        <f t="shared" si="2"/>
        <v>#DIV/0!</v>
      </c>
    </row>
    <row r="17" spans="2:33" x14ac:dyDescent="0.25">
      <c r="B17" s="170" t="s">
        <v>245</v>
      </c>
      <c r="C17" s="144">
        <v>97.196422781873807</v>
      </c>
      <c r="N17" s="2">
        <f>Производительность!C20</f>
        <v>0</v>
      </c>
      <c r="O17" s="163"/>
      <c r="P17" s="79"/>
      <c r="Q17" s="164"/>
      <c r="W17" s="2">
        <f>Производительность!C20</f>
        <v>0</v>
      </c>
      <c r="X17" s="55"/>
      <c r="Y17" s="79"/>
      <c r="Z17" s="168" t="e">
        <f t="shared" si="6"/>
        <v>#DIV/0!</v>
      </c>
      <c r="AA17" s="79"/>
      <c r="AC17" s="79"/>
      <c r="AD17" s="79"/>
      <c r="AF17" s="79"/>
      <c r="AG17" s="169" t="e">
        <f t="shared" si="2"/>
        <v>#DIV/0!</v>
      </c>
    </row>
    <row r="18" spans="2:33" x14ac:dyDescent="0.25">
      <c r="B18" s="170" t="s">
        <v>246</v>
      </c>
      <c r="C18" s="144">
        <v>39.911169141237032</v>
      </c>
      <c r="N18" s="2">
        <f>Производительность!C21</f>
        <v>0</v>
      </c>
      <c r="O18" s="163"/>
      <c r="P18" s="79"/>
      <c r="Q18" s="164"/>
      <c r="W18" s="2">
        <f>Производительность!C21</f>
        <v>0</v>
      </c>
      <c r="X18" s="55"/>
      <c r="Y18" s="79"/>
      <c r="Z18" s="168" t="e">
        <f t="shared" si="6"/>
        <v>#DIV/0!</v>
      </c>
      <c r="AA18" s="79"/>
      <c r="AC18" s="79"/>
      <c r="AD18" s="79"/>
      <c r="AF18" s="79"/>
      <c r="AG18" s="169" t="e">
        <f t="shared" si="2"/>
        <v>#DIV/0!</v>
      </c>
    </row>
    <row r="19" spans="2:33" x14ac:dyDescent="0.25">
      <c r="B19" s="170" t="s">
        <v>247</v>
      </c>
      <c r="C19" s="144">
        <v>340.81252669348106</v>
      </c>
      <c r="N19" s="2">
        <f>Производительность!C22</f>
        <v>0</v>
      </c>
      <c r="O19" s="163"/>
      <c r="P19" s="79"/>
      <c r="Q19" s="164"/>
      <c r="W19" s="2">
        <f>Производительность!C22</f>
        <v>0</v>
      </c>
      <c r="X19" s="55"/>
      <c r="Y19" s="79"/>
      <c r="Z19" s="168" t="e">
        <f t="shared" si="3"/>
        <v>#DIV/0!</v>
      </c>
      <c r="AA19" s="79"/>
      <c r="AC19" s="79"/>
      <c r="AD19" s="79"/>
      <c r="AF19" s="79"/>
      <c r="AG19" s="169" t="e">
        <f t="shared" si="2"/>
        <v>#DIV/0!</v>
      </c>
    </row>
    <row r="20" spans="2:33" x14ac:dyDescent="0.25">
      <c r="B20" s="170" t="s">
        <v>248</v>
      </c>
      <c r="C20" s="144">
        <v>253.6</v>
      </c>
      <c r="O20" s="174"/>
      <c r="P20" s="174"/>
      <c r="Q20" s="174"/>
      <c r="Y20" s="174"/>
      <c r="Z20" s="174"/>
      <c r="AA20" s="174"/>
      <c r="AC20" s="174"/>
      <c r="AD20" s="174"/>
      <c r="AF20" s="175"/>
      <c r="AG20" s="174"/>
    </row>
    <row r="22" spans="2:33" ht="14.3" x14ac:dyDescent="0.25">
      <c r="AC22" s="1" t="s">
        <v>178</v>
      </c>
    </row>
    <row r="23" spans="2:33" x14ac:dyDescent="0.25">
      <c r="AC23" s="2" t="s">
        <v>179</v>
      </c>
    </row>
    <row r="24" spans="2:33" x14ac:dyDescent="0.25">
      <c r="W24" s="432"/>
      <c r="X24" s="433" t="s">
        <v>410</v>
      </c>
      <c r="Y24" s="434"/>
      <c r="Z24" s="434"/>
      <c r="AA24" s="435" t="s">
        <v>69</v>
      </c>
      <c r="AD24" s="92"/>
    </row>
    <row r="25" spans="2:33" x14ac:dyDescent="0.25">
      <c r="N25" s="4" t="s">
        <v>172</v>
      </c>
      <c r="O25" s="196"/>
      <c r="P25" s="196"/>
      <c r="Q25" s="196"/>
      <c r="R25" s="196"/>
      <c r="S25" s="196"/>
      <c r="T25" s="196"/>
      <c r="W25" s="436" t="s">
        <v>166</v>
      </c>
      <c r="X25" s="437" t="s">
        <v>405</v>
      </c>
      <c r="Y25" s="441">
        <v>31743</v>
      </c>
      <c r="Z25" s="442" t="s">
        <v>408</v>
      </c>
      <c r="AA25" s="443">
        <f>Y25*AJ7/1000</f>
        <v>2985.3815355000002</v>
      </c>
    </row>
    <row r="26" spans="2:33" x14ac:dyDescent="0.25">
      <c r="N26" s="196"/>
      <c r="O26" s="196"/>
      <c r="P26" s="196"/>
      <c r="Q26" s="53" t="s">
        <v>181</v>
      </c>
      <c r="R26" s="53" t="s">
        <v>182</v>
      </c>
      <c r="S26" s="53" t="s">
        <v>183</v>
      </c>
      <c r="T26" s="53" t="s">
        <v>184</v>
      </c>
      <c r="W26" s="436" t="s">
        <v>210</v>
      </c>
      <c r="X26" s="437" t="s">
        <v>406</v>
      </c>
      <c r="Y26" s="441">
        <v>29975</v>
      </c>
      <c r="Z26" s="442" t="s">
        <v>408</v>
      </c>
      <c r="AA26" s="443">
        <f>Y26*AJ7/1000</f>
        <v>2819.1037875000002</v>
      </c>
    </row>
    <row r="27" spans="2:33" x14ac:dyDescent="0.25">
      <c r="N27" s="197" t="s">
        <v>180</v>
      </c>
      <c r="O27" s="198">
        <v>1014842</v>
      </c>
      <c r="P27" s="198" t="s">
        <v>158</v>
      </c>
      <c r="Q27" s="199">
        <v>34586668.560000002</v>
      </c>
      <c r="R27" s="200">
        <v>5.4017582830325601E-2</v>
      </c>
      <c r="S27" s="196"/>
      <c r="T27" s="196"/>
      <c r="W27" s="436" t="s">
        <v>167</v>
      </c>
      <c r="X27" s="437" t="s">
        <v>407</v>
      </c>
      <c r="Y27" s="441">
        <v>196668</v>
      </c>
      <c r="Z27" s="442" t="s">
        <v>409</v>
      </c>
      <c r="AA27" s="443">
        <f>Y27*AJ8/1000</f>
        <v>2511.4896936000005</v>
      </c>
    </row>
    <row r="28" spans="2:33" x14ac:dyDescent="0.25">
      <c r="N28" s="197" t="s">
        <v>180</v>
      </c>
      <c r="O28" s="198">
        <v>1014843</v>
      </c>
      <c r="P28" s="198" t="s">
        <v>159</v>
      </c>
      <c r="Q28" s="199">
        <v>25682645.039000001</v>
      </c>
      <c r="R28" s="200">
        <v>4.0111247005167897E-2</v>
      </c>
      <c r="S28" s="196"/>
      <c r="T28" s="196"/>
      <c r="W28" s="438"/>
      <c r="X28" s="439"/>
      <c r="Y28" s="439"/>
      <c r="Z28" s="439"/>
      <c r="AA28" s="440"/>
    </row>
    <row r="29" spans="2:33" x14ac:dyDescent="0.25">
      <c r="N29" s="197" t="s">
        <v>180</v>
      </c>
      <c r="O29" s="198">
        <v>1014872</v>
      </c>
      <c r="P29" s="198" t="s">
        <v>159</v>
      </c>
      <c r="Q29" s="199">
        <v>2912182.2850000001</v>
      </c>
      <c r="R29" s="200">
        <v>4.5482567227918703E-3</v>
      </c>
      <c r="S29" s="196"/>
      <c r="T29" s="196"/>
    </row>
    <row r="30" spans="2:33" x14ac:dyDescent="0.25">
      <c r="N30" s="197" t="s">
        <v>180</v>
      </c>
      <c r="O30" s="198">
        <v>1014858</v>
      </c>
      <c r="P30" s="198" t="s">
        <v>160</v>
      </c>
      <c r="Q30" s="199">
        <v>27205.227999999999</v>
      </c>
      <c r="R30" s="200">
        <v>4.2489222526839802E-5</v>
      </c>
      <c r="S30" s="196"/>
      <c r="T30" s="196"/>
    </row>
    <row r="31" spans="2:33" x14ac:dyDescent="0.25">
      <c r="N31" s="196"/>
      <c r="O31" s="196"/>
      <c r="P31" s="196"/>
      <c r="Q31" s="201">
        <f>SUM(Q27:Q30)</f>
        <v>63208701.112000003</v>
      </c>
      <c r="R31" s="202">
        <f>SUM(R27:R30)</f>
        <v>9.871957578081221E-2</v>
      </c>
      <c r="S31" s="203">
        <v>640285380.45000005</v>
      </c>
      <c r="T31" s="204">
        <v>409931.88243333303</v>
      </c>
    </row>
    <row r="32" spans="2:33" x14ac:dyDescent="0.25">
      <c r="N32" s="196"/>
      <c r="O32" s="196"/>
      <c r="P32" s="196"/>
      <c r="Q32" s="196"/>
      <c r="R32" s="215">
        <f>Q31/S31-R31</f>
        <v>-3.8545236447085074E-11</v>
      </c>
      <c r="S32" s="205"/>
      <c r="T32" s="196"/>
    </row>
    <row r="33" spans="6:20" x14ac:dyDescent="0.25">
      <c r="N33" s="196"/>
      <c r="O33" s="196"/>
      <c r="P33" s="2" t="s">
        <v>144</v>
      </c>
      <c r="Q33" s="42">
        <f>Q31*1000/S31</f>
        <v>98.719575742266969</v>
      </c>
      <c r="R33" s="196"/>
      <c r="S33" s="196"/>
      <c r="T33" s="196"/>
    </row>
    <row r="34" spans="6:20" x14ac:dyDescent="0.25">
      <c r="N34" s="196"/>
      <c r="O34" s="196"/>
      <c r="P34" s="2" t="s">
        <v>185</v>
      </c>
      <c r="Q34" s="42">
        <f>Q31/T31</f>
        <v>154.19318140564388</v>
      </c>
      <c r="R34" s="196"/>
      <c r="S34" s="196"/>
      <c r="T34" s="196"/>
    </row>
    <row r="35" spans="6:20" x14ac:dyDescent="0.25">
      <c r="N35" s="196"/>
      <c r="O35" s="196"/>
      <c r="P35" s="2" t="s">
        <v>145</v>
      </c>
      <c r="Q35" s="42">
        <f>Q34/0.85</f>
        <v>181.40374283016928</v>
      </c>
      <c r="R35" s="196"/>
      <c r="S35" s="196"/>
      <c r="T35" s="196"/>
    </row>
    <row r="36" spans="6:20" x14ac:dyDescent="0.25">
      <c r="N36" s="196"/>
      <c r="O36" s="196"/>
      <c r="P36" s="196"/>
      <c r="Q36" s="196"/>
      <c r="R36" s="196"/>
      <c r="S36" s="196"/>
      <c r="T36" s="196"/>
    </row>
    <row r="37" spans="6:20" x14ac:dyDescent="0.25">
      <c r="N37" s="4" t="s">
        <v>209</v>
      </c>
      <c r="O37" s="196"/>
      <c r="P37" s="196"/>
      <c r="Q37" s="196"/>
      <c r="R37" s="196"/>
      <c r="S37" s="196"/>
      <c r="T37" s="196"/>
    </row>
    <row r="38" spans="6:20" x14ac:dyDescent="0.25">
      <c r="N38" s="196"/>
      <c r="O38" s="196"/>
      <c r="P38" s="196"/>
      <c r="Q38" s="53" t="s">
        <v>181</v>
      </c>
      <c r="R38" s="53" t="s">
        <v>182</v>
      </c>
      <c r="S38" s="53" t="s">
        <v>183</v>
      </c>
      <c r="T38" s="53" t="s">
        <v>184</v>
      </c>
    </row>
    <row r="39" spans="6:20" x14ac:dyDescent="0.25">
      <c r="N39" s="198" t="s">
        <v>186</v>
      </c>
      <c r="O39" s="198" t="s">
        <v>187</v>
      </c>
      <c r="P39" s="198" t="s">
        <v>191</v>
      </c>
      <c r="Q39" s="199">
        <v>1037503.5550000001</v>
      </c>
      <c r="R39" s="200">
        <v>2.2709648177943599E-3</v>
      </c>
      <c r="S39" s="196"/>
      <c r="T39" s="196"/>
    </row>
    <row r="40" spans="6:20" x14ac:dyDescent="0.25">
      <c r="N40" s="198" t="s">
        <v>186</v>
      </c>
      <c r="O40" s="198" t="s">
        <v>188</v>
      </c>
      <c r="P40" s="198" t="s">
        <v>192</v>
      </c>
      <c r="Q40" s="199">
        <v>34855447.278999999</v>
      </c>
      <c r="R40" s="200">
        <v>7.6294191087466004E-2</v>
      </c>
      <c r="S40" s="196"/>
      <c r="T40" s="196"/>
    </row>
    <row r="41" spans="6:20" x14ac:dyDescent="0.25">
      <c r="N41" s="198" t="s">
        <v>186</v>
      </c>
      <c r="O41" s="198" t="s">
        <v>189</v>
      </c>
      <c r="P41" s="198" t="s">
        <v>193</v>
      </c>
      <c r="Q41" s="199">
        <v>11230418.223999999</v>
      </c>
      <c r="R41" s="200">
        <v>2.4581973288583699E-2</v>
      </c>
      <c r="S41" s="196"/>
      <c r="T41" s="196"/>
    </row>
    <row r="42" spans="6:20" x14ac:dyDescent="0.25">
      <c r="F42" s="92"/>
      <c r="N42" s="198" t="s">
        <v>186</v>
      </c>
      <c r="O42" s="198" t="s">
        <v>190</v>
      </c>
      <c r="P42" s="198" t="s">
        <v>194</v>
      </c>
      <c r="Q42" s="199">
        <v>27988.647000000001</v>
      </c>
      <c r="R42" s="200">
        <v>6.1263628763822203E-5</v>
      </c>
      <c r="S42" s="196"/>
      <c r="T42" s="196"/>
    </row>
    <row r="43" spans="6:20" x14ac:dyDescent="0.25">
      <c r="G43" s="92"/>
      <c r="N43" s="196"/>
      <c r="O43" s="196"/>
      <c r="P43" s="196"/>
      <c r="Q43" s="201">
        <f>SUM(Q39:Q42)</f>
        <v>47151357.704999998</v>
      </c>
      <c r="R43" s="202">
        <f>SUM(R39:R42)</f>
        <v>0.10320839282260788</v>
      </c>
      <c r="S43" s="203">
        <v>457005851.64999998</v>
      </c>
      <c r="T43" s="204">
        <v>279377.00079999998</v>
      </c>
    </row>
    <row r="44" spans="6:20" x14ac:dyDescent="0.25">
      <c r="R44" s="215">
        <f>Q43/S43-R43</f>
        <v>-3.3876490350762123E-5</v>
      </c>
    </row>
    <row r="45" spans="6:20" x14ac:dyDescent="0.25">
      <c r="P45" s="2" t="s">
        <v>144</v>
      </c>
      <c r="Q45" s="42">
        <f>Q43*1000/S43</f>
        <v>103.17451633225713</v>
      </c>
    </row>
    <row r="46" spans="6:20" x14ac:dyDescent="0.25">
      <c r="P46" s="2" t="s">
        <v>185</v>
      </c>
      <c r="Q46" s="42">
        <f>Q43/T43</f>
        <v>168.7732260350044</v>
      </c>
    </row>
    <row r="47" spans="6:20" x14ac:dyDescent="0.25">
      <c r="P47" s="2" t="s">
        <v>145</v>
      </c>
      <c r="Q47" s="42">
        <f>Q46/0.85</f>
        <v>198.55673651176988</v>
      </c>
    </row>
  </sheetData>
  <phoneticPr fontId="60" type="noConversion"/>
  <hyperlinks>
    <hyperlink ref="AC22" r:id="rId1" location="content:210:hdoc" xr:uid="{DA785528-21D4-44C0-A7A3-4B3734591277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567E-C367-4AFE-9DDE-0C9BFB739EF6}">
  <sheetPr>
    <tabColor theme="7" tint="0.79998168889431442"/>
    <pageSetUpPr fitToPage="1"/>
  </sheetPr>
  <dimension ref="A2:S34"/>
  <sheetViews>
    <sheetView showGridLines="0" zoomScale="85" zoomScaleNormal="85" zoomScaleSheetLayoutView="100" workbookViewId="0">
      <selection activeCell="S18" sqref="S18"/>
    </sheetView>
  </sheetViews>
  <sheetFormatPr defaultColWidth="9.125" defaultRowHeight="12.9" x14ac:dyDescent="0.25"/>
  <cols>
    <col min="1" max="1" width="6" style="236" customWidth="1"/>
    <col min="2" max="2" width="43.625" style="274" customWidth="1"/>
    <col min="3" max="3" width="17" style="238" customWidth="1"/>
    <col min="4" max="4" width="17.75" style="238" hidden="1" customWidth="1"/>
    <col min="5" max="5" width="8.75" style="239" customWidth="1"/>
    <col min="6" max="14" width="8.25" style="239" customWidth="1"/>
    <col min="15" max="15" width="21.375" style="236" customWidth="1"/>
    <col min="16" max="16" width="14" style="236" bestFit="1" customWidth="1"/>
    <col min="17" max="17" width="17.25" style="236" customWidth="1"/>
    <col min="18" max="18" width="9.875" style="236" bestFit="1" customWidth="1"/>
    <col min="19" max="16384" width="9.125" style="236"/>
  </cols>
  <sheetData>
    <row r="2" spans="1:16" ht="14.3" x14ac:dyDescent="0.25">
      <c r="B2" s="237" t="s">
        <v>259</v>
      </c>
      <c r="M2" s="240" t="s">
        <v>260</v>
      </c>
      <c r="P2" s="240"/>
    </row>
    <row r="3" spans="1:16" s="241" customFormat="1" ht="27" customHeight="1" x14ac:dyDescent="0.25">
      <c r="B3" s="242" t="s">
        <v>261</v>
      </c>
      <c r="C3" s="243" t="s">
        <v>262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263</v>
      </c>
    </row>
    <row r="4" spans="1:16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424"/>
      <c r="P4" s="248"/>
    </row>
    <row r="5" spans="1:16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424"/>
      <c r="P5" s="248"/>
    </row>
    <row r="6" spans="1:16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/>
      <c r="E6" s="253">
        <v>8800</v>
      </c>
      <c r="F6" s="253">
        <v>8800</v>
      </c>
      <c r="G6" s="253">
        <v>8800</v>
      </c>
      <c r="H6" s="253">
        <v>8800</v>
      </c>
      <c r="I6" s="253">
        <v>8800</v>
      </c>
      <c r="J6" s="253">
        <v>8800</v>
      </c>
      <c r="K6" s="253">
        <v>8800</v>
      </c>
      <c r="L6" s="253">
        <v>8800</v>
      </c>
      <c r="M6" s="253">
        <v>8800</v>
      </c>
      <c r="N6" s="253">
        <v>8800</v>
      </c>
      <c r="O6" s="424"/>
      <c r="P6" s="248"/>
    </row>
    <row r="7" spans="1:16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/>
      <c r="E7" s="253">
        <v>6720</v>
      </c>
      <c r="F7" s="253">
        <v>6720</v>
      </c>
      <c r="G7" s="253">
        <v>6720</v>
      </c>
      <c r="H7" s="253">
        <v>6720</v>
      </c>
      <c r="I7" s="253">
        <v>6720</v>
      </c>
      <c r="J7" s="253">
        <v>6720</v>
      </c>
      <c r="K7" s="253">
        <v>6720</v>
      </c>
      <c r="L7" s="253">
        <v>6720</v>
      </c>
      <c r="M7" s="253">
        <v>6720</v>
      </c>
      <c r="N7" s="253">
        <v>6720</v>
      </c>
      <c r="O7" s="424"/>
      <c r="P7" s="248"/>
    </row>
    <row r="8" spans="1:16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/>
      <c r="E8" s="253">
        <v>13390</v>
      </c>
      <c r="F8" s="253">
        <v>13390</v>
      </c>
      <c r="G8" s="253">
        <v>13390</v>
      </c>
      <c r="H8" s="253">
        <v>13390</v>
      </c>
      <c r="I8" s="253">
        <v>13390</v>
      </c>
      <c r="J8" s="253">
        <v>13390</v>
      </c>
      <c r="K8" s="253">
        <v>13390</v>
      </c>
      <c r="L8" s="253">
        <v>13390</v>
      </c>
      <c r="M8" s="253">
        <v>13390</v>
      </c>
      <c r="N8" s="253">
        <v>13390</v>
      </c>
      <c r="O8" s="424"/>
      <c r="P8" s="248"/>
    </row>
    <row r="9" spans="1:16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/>
      <c r="E9" s="253">
        <v>240</v>
      </c>
      <c r="F9" s="253">
        <v>240</v>
      </c>
      <c r="G9" s="253">
        <v>240</v>
      </c>
      <c r="H9" s="253">
        <v>240</v>
      </c>
      <c r="I9" s="253">
        <v>240</v>
      </c>
      <c r="J9" s="253">
        <v>240</v>
      </c>
      <c r="K9" s="253">
        <v>240</v>
      </c>
      <c r="L9" s="253">
        <v>240</v>
      </c>
      <c r="M9" s="253">
        <v>240</v>
      </c>
      <c r="N9" s="253">
        <v>240</v>
      </c>
      <c r="O9" s="424"/>
      <c r="P9" s="248"/>
    </row>
    <row r="10" spans="1:16" ht="27.2" x14ac:dyDescent="0.25">
      <c r="A10" s="236">
        <f t="shared" si="1"/>
        <v>7</v>
      </c>
      <c r="B10" s="246" t="s">
        <v>270</v>
      </c>
      <c r="C10" s="253" t="s">
        <v>271</v>
      </c>
      <c r="D10" s="252"/>
      <c r="E10" s="253">
        <v>130</v>
      </c>
      <c r="F10" s="253">
        <v>130</v>
      </c>
      <c r="G10" s="253">
        <v>130</v>
      </c>
      <c r="H10" s="253">
        <v>130</v>
      </c>
      <c r="I10" s="253">
        <v>130</v>
      </c>
      <c r="J10" s="253">
        <v>130</v>
      </c>
      <c r="K10" s="253">
        <v>130</v>
      </c>
      <c r="L10" s="253">
        <v>130</v>
      </c>
      <c r="M10" s="253">
        <v>130</v>
      </c>
      <c r="N10" s="253">
        <v>130</v>
      </c>
      <c r="O10" s="424"/>
      <c r="P10" s="254"/>
    </row>
    <row r="11" spans="1:16" ht="18.7" customHeight="1" x14ac:dyDescent="0.25">
      <c r="A11" s="236">
        <f>A10+1</f>
        <v>8</v>
      </c>
      <c r="B11" s="246" t="s">
        <v>12</v>
      </c>
      <c r="C11" s="253" t="s">
        <v>13</v>
      </c>
      <c r="D11" s="252"/>
      <c r="E11" s="253">
        <v>2535</v>
      </c>
      <c r="F11" s="253">
        <v>2535</v>
      </c>
      <c r="G11" s="253">
        <v>2535</v>
      </c>
      <c r="H11" s="253">
        <v>2535</v>
      </c>
      <c r="I11" s="253">
        <v>2535</v>
      </c>
      <c r="J11" s="253">
        <v>2535</v>
      </c>
      <c r="K11" s="253">
        <v>2535</v>
      </c>
      <c r="L11" s="253">
        <v>2535</v>
      </c>
      <c r="M11" s="253">
        <v>2535</v>
      </c>
      <c r="N11" s="253">
        <v>2535</v>
      </c>
      <c r="O11" s="424"/>
      <c r="P11" s="254"/>
    </row>
    <row r="12" spans="1:16" ht="32.450000000000003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0.90830416032470829</v>
      </c>
      <c r="F12" s="255">
        <f t="shared" ref="F12:N12" si="2">(8760-F13-F14-F15)/8760</f>
        <v>0.88577435312024355</v>
      </c>
      <c r="G12" s="255">
        <f t="shared" si="2"/>
        <v>0.86468734145103998</v>
      </c>
      <c r="H12" s="255">
        <f t="shared" si="2"/>
        <v>0.87460193641129713</v>
      </c>
      <c r="I12" s="255">
        <f t="shared" si="2"/>
        <v>0.88129798748520216</v>
      </c>
      <c r="J12" s="255">
        <f t="shared" si="2"/>
        <v>0.8456720361914426</v>
      </c>
      <c r="K12" s="255">
        <f t="shared" si="2"/>
        <v>0.89713174361576187</v>
      </c>
      <c r="L12" s="255">
        <f t="shared" si="2"/>
        <v>0.85462476746152538</v>
      </c>
      <c r="M12" s="255">
        <f t="shared" si="2"/>
        <v>0.84219452900388969</v>
      </c>
      <c r="N12" s="255">
        <f t="shared" si="2"/>
        <v>0.86135781329274486</v>
      </c>
      <c r="O12" s="424"/>
    </row>
    <row r="13" spans="1:16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'БелАЗ ТО'!F7</f>
        <v>455.92000000000007</v>
      </c>
      <c r="F13" s="257">
        <f>'БелАЗ ТО'!G7</f>
        <v>448.92000000000007</v>
      </c>
      <c r="G13" s="257">
        <f>'БелАЗ ТО'!H7</f>
        <v>448.92000000000007</v>
      </c>
      <c r="H13" s="257">
        <f>'БелАЗ ТО'!I7</f>
        <v>448.92000000000007</v>
      </c>
      <c r="I13" s="257">
        <f>'БелАЗ ТО'!J7</f>
        <v>448.92000000000007</v>
      </c>
      <c r="J13" s="257">
        <f>'БелАЗ ТО'!K7</f>
        <v>448.92000000000007</v>
      </c>
      <c r="K13" s="257">
        <f>'БелАЗ ТО'!L7</f>
        <v>448.92000000000007</v>
      </c>
      <c r="L13" s="257">
        <f>'БелАЗ ТО'!M7</f>
        <v>448.92000000000007</v>
      </c>
      <c r="M13" s="257">
        <f>'БелАЗ ТО'!N7</f>
        <v>448.92000000000007</v>
      </c>
      <c r="N13" s="257">
        <f>'БелАЗ ТО'!O7</f>
        <v>448.92000000000007</v>
      </c>
      <c r="O13" s="424"/>
    </row>
    <row r="14" spans="1:16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'БелАЗ Рем'!F8</f>
        <v>120</v>
      </c>
      <c r="F14" s="257">
        <f>'БелАЗ Рем'!G8</f>
        <v>330</v>
      </c>
      <c r="G14" s="257">
        <f>'БелАЗ Рем'!H8</f>
        <v>520</v>
      </c>
      <c r="H14" s="257">
        <f>'БелАЗ Рем'!I8</f>
        <v>430.66666666666669</v>
      </c>
      <c r="I14" s="257">
        <f>'БелАЗ Рем'!J8</f>
        <v>370.33333333333331</v>
      </c>
      <c r="J14" s="257">
        <f>'БелАЗ Рем'!K8</f>
        <v>691.33333333333337</v>
      </c>
      <c r="K14" s="257">
        <f>'БелАЗ Рем'!L8</f>
        <v>227.66666666666666</v>
      </c>
      <c r="L14" s="257">
        <f>'БелАЗ Рем'!M8</f>
        <v>610.66666666666663</v>
      </c>
      <c r="M14" s="257">
        <f>'БелАЗ Рем'!N8</f>
        <v>722.66666666666663</v>
      </c>
      <c r="N14" s="257">
        <f>'БелАЗ Рем'!O8</f>
        <v>550</v>
      </c>
      <c r="O14" s="424"/>
    </row>
    <row r="15" spans="1:16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227.33555555555554</v>
      </c>
      <c r="F15" s="257">
        <f t="shared" ref="F15:N15" si="4">(8760-F13-F14)/12*20/60</f>
        <v>221.69666666666669</v>
      </c>
      <c r="G15" s="257">
        <f t="shared" si="4"/>
        <v>216.41888888888889</v>
      </c>
      <c r="H15" s="257">
        <f t="shared" si="4"/>
        <v>218.90037037037035</v>
      </c>
      <c r="I15" s="257">
        <f t="shared" si="4"/>
        <v>220.57629629629631</v>
      </c>
      <c r="J15" s="257">
        <f t="shared" si="4"/>
        <v>211.65962962962965</v>
      </c>
      <c r="K15" s="257">
        <f t="shared" si="4"/>
        <v>224.53925925925924</v>
      </c>
      <c r="L15" s="257">
        <f t="shared" si="4"/>
        <v>213.90037037037035</v>
      </c>
      <c r="M15" s="257">
        <f t="shared" si="4"/>
        <v>210.78925925925924</v>
      </c>
      <c r="N15" s="257">
        <f t="shared" si="4"/>
        <v>215.58555555555554</v>
      </c>
      <c r="O15" s="424"/>
    </row>
    <row r="16" spans="1:16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/>
      <c r="E16" s="259">
        <v>22</v>
      </c>
      <c r="F16" s="259">
        <v>22</v>
      </c>
      <c r="G16" s="259">
        <v>22</v>
      </c>
      <c r="H16" s="259">
        <v>22</v>
      </c>
      <c r="I16" s="259">
        <v>22</v>
      </c>
      <c r="J16" s="259">
        <v>22</v>
      </c>
      <c r="K16" s="259">
        <v>22</v>
      </c>
      <c r="L16" s="259">
        <v>22</v>
      </c>
      <c r="M16" s="259">
        <v>22</v>
      </c>
      <c r="N16" s="259">
        <v>22</v>
      </c>
      <c r="O16" s="424"/>
    </row>
    <row r="17" spans="1:19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/>
      <c r="E17" s="259">
        <v>17</v>
      </c>
      <c r="F17" s="259">
        <v>17</v>
      </c>
      <c r="G17" s="259">
        <v>17</v>
      </c>
      <c r="H17" s="259">
        <v>17</v>
      </c>
      <c r="I17" s="259">
        <v>17</v>
      </c>
      <c r="J17" s="259">
        <v>17</v>
      </c>
      <c r="K17" s="259">
        <v>17</v>
      </c>
      <c r="L17" s="259">
        <v>17</v>
      </c>
      <c r="M17" s="259">
        <v>17</v>
      </c>
      <c r="N17" s="259">
        <v>17</v>
      </c>
      <c r="O17" s="424"/>
      <c r="Q17" s="531" t="s">
        <v>523</v>
      </c>
      <c r="R17" s="531" t="s">
        <v>524</v>
      </c>
    </row>
    <row r="18" spans="1:19" ht="30.75" customHeight="1" x14ac:dyDescent="0.25">
      <c r="A18" s="236">
        <f t="shared" si="3"/>
        <v>15</v>
      </c>
      <c r="B18" s="246" t="s">
        <v>279</v>
      </c>
      <c r="C18" s="260" t="s">
        <v>280</v>
      </c>
      <c r="D18" s="260"/>
      <c r="E18" s="261">
        <f>SUM(E19:E23)</f>
        <v>148.04729000000003</v>
      </c>
      <c r="F18" s="261">
        <f t="shared" ref="F18:N18" si="5">SUM(F19:F23)</f>
        <v>317.60136</v>
      </c>
      <c r="G18" s="261">
        <f t="shared" si="5"/>
        <v>572.06805999999995</v>
      </c>
      <c r="H18" s="261">
        <f t="shared" si="5"/>
        <v>727.00655499999993</v>
      </c>
      <c r="I18" s="261">
        <f t="shared" si="5"/>
        <v>631.622885</v>
      </c>
      <c r="J18" s="261">
        <f t="shared" si="5"/>
        <v>688.61906999999997</v>
      </c>
      <c r="K18" s="261">
        <f t="shared" si="5"/>
        <v>180.49511500000003</v>
      </c>
      <c r="L18" s="261">
        <f t="shared" si="5"/>
        <v>847.1941149999999</v>
      </c>
      <c r="M18" s="261">
        <f t="shared" si="5"/>
        <v>961.75027</v>
      </c>
      <c r="N18" s="261">
        <f t="shared" si="5"/>
        <v>231.50896000000003</v>
      </c>
      <c r="O18" s="424"/>
      <c r="P18" s="262"/>
      <c r="Q18" s="528">
        <f>SUM(E18:N18)</f>
        <v>5305.9136800000006</v>
      </c>
      <c r="R18" s="528">
        <f>Q18/$N$4</f>
        <v>530.5913680000001</v>
      </c>
      <c r="S18" s="1050">
        <f>R18*'ФОТ, МТР, макро'!$AJ$7</f>
        <v>49901.322273348014</v>
      </c>
    </row>
    <row r="19" spans="1:19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'БелАЗ ТО'!F9/1000</f>
        <v>62.264750000000014</v>
      </c>
      <c r="F19" s="263">
        <f>'БелАЗ ТО'!G9/1000</f>
        <v>51.099770000000007</v>
      </c>
      <c r="G19" s="263">
        <f>'БелАЗ ТО'!H9/1000</f>
        <v>51.099770000000007</v>
      </c>
      <c r="H19" s="263">
        <f>'БелАЗ ТО'!I9/1000</f>
        <v>51.099770000000007</v>
      </c>
      <c r="I19" s="263">
        <f>'БелАЗ ТО'!J9/1000</f>
        <v>51.099770000000007</v>
      </c>
      <c r="J19" s="263">
        <f>'БелАЗ ТО'!K9/1000</f>
        <v>51.099770000000007</v>
      </c>
      <c r="K19" s="263">
        <f>'БелАЗ ТО'!L9/1000</f>
        <v>51.099770000000007</v>
      </c>
      <c r="L19" s="263">
        <f>'БелАЗ ТО'!M9/1000</f>
        <v>51.099770000000007</v>
      </c>
      <c r="M19" s="263">
        <f>'БелАЗ ТО'!N9/1000</f>
        <v>51.099770000000007</v>
      </c>
      <c r="N19" s="263">
        <f>'БелАЗ ТО'!O9/1000</f>
        <v>51.099770000000007</v>
      </c>
      <c r="O19" s="424"/>
      <c r="Q19" s="529">
        <f>SUM(E19:N19)</f>
        <v>522.16268000000025</v>
      </c>
      <c r="R19" s="529">
        <f t="shared" ref="R19:R23" si="6">Q19/$N$4</f>
        <v>52.216268000000028</v>
      </c>
    </row>
    <row r="20" spans="1:19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'БелАЗ Рем'!F10/1000</f>
        <v>16.5</v>
      </c>
      <c r="F20" s="263">
        <f>'БелАЗ Рем'!G10/1000</f>
        <v>183.7</v>
      </c>
      <c r="G20" s="263">
        <f>'БелАЗ Рем'!H10/1000</f>
        <v>158.5</v>
      </c>
      <c r="H20" s="263">
        <f>'БелАЗ Рем'!I10/1000</f>
        <v>50.7</v>
      </c>
      <c r="I20" s="263">
        <f>'БелАЗ Рем'!J10/1000</f>
        <v>163.5</v>
      </c>
      <c r="J20" s="263">
        <f>'БелАЗ Рем'!K10/1000</f>
        <v>188.7</v>
      </c>
      <c r="K20" s="263">
        <f>'БелАЗ Рем'!L10/1000</f>
        <v>35.5</v>
      </c>
      <c r="L20" s="263">
        <f>'БелАЗ Рем'!M10/1000</f>
        <v>198.7</v>
      </c>
      <c r="M20" s="263">
        <f>'БелАЗ Рем'!N10/1000</f>
        <v>173.5</v>
      </c>
      <c r="N20" s="263">
        <f>'БелАЗ Рем'!O10/1000</f>
        <v>70.7</v>
      </c>
      <c r="O20" s="424"/>
      <c r="Q20" s="529">
        <f t="shared" ref="Q20:Q23" si="7">SUM(E20:N20)</f>
        <v>1240</v>
      </c>
      <c r="R20" s="529">
        <f t="shared" si="6"/>
        <v>124</v>
      </c>
    </row>
    <row r="21" spans="1:19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'БелАЗ Рем'!F11/1000</f>
        <v>0</v>
      </c>
      <c r="F21" s="263">
        <f>'БелАЗ Рем'!G11/1000</f>
        <v>0</v>
      </c>
      <c r="G21" s="263">
        <f>'БелАЗ Рем'!H11/1000</f>
        <v>267.39999999999998</v>
      </c>
      <c r="H21" s="263">
        <f>'БелАЗ Рем'!I11/1000</f>
        <v>530</v>
      </c>
      <c r="I21" s="263">
        <f>'БелАЗ Рем'!J11/1000</f>
        <v>327</v>
      </c>
      <c r="J21" s="263">
        <f>'БелАЗ Рем'!K11/1000</f>
        <v>338.2</v>
      </c>
      <c r="K21" s="263">
        <f>'БелАЗ Рем'!L11/1000</f>
        <v>14.2</v>
      </c>
      <c r="L21" s="263">
        <f>'БелАЗ Рем'!M11/1000</f>
        <v>490</v>
      </c>
      <c r="M21" s="263">
        <f>'БелАЗ Рем'!N11/1000</f>
        <v>620.20000000000005</v>
      </c>
      <c r="N21" s="263">
        <f>'БелАЗ Рем'!O11/1000</f>
        <v>0</v>
      </c>
      <c r="O21" s="424"/>
      <c r="Q21" s="529">
        <f t="shared" si="7"/>
        <v>2587</v>
      </c>
      <c r="R21" s="529">
        <f t="shared" si="6"/>
        <v>258.7</v>
      </c>
    </row>
    <row r="22" spans="1:19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'БелАЗ ТО'!F10/1000</f>
        <v>60.181440000000009</v>
      </c>
      <c r="F22" s="263">
        <f>'БелАЗ ТО'!G10/1000</f>
        <v>59.25744000000001</v>
      </c>
      <c r="G22" s="263">
        <f>'БелАЗ ТО'!H10/1000</f>
        <v>59.25744000000001</v>
      </c>
      <c r="H22" s="263">
        <f>'БелАЗ ТО'!I10/1000</f>
        <v>59.25744000000001</v>
      </c>
      <c r="I22" s="263">
        <f>'БелАЗ ТО'!J10/1000</f>
        <v>59.25744000000001</v>
      </c>
      <c r="J22" s="263">
        <f>'БелАЗ ТО'!K10/1000</f>
        <v>59.25744000000001</v>
      </c>
      <c r="K22" s="263">
        <f>'БелАЗ ТО'!L10/1000</f>
        <v>59.25744000000001</v>
      </c>
      <c r="L22" s="263">
        <f>'БелАЗ ТО'!M10/1000</f>
        <v>59.25744000000001</v>
      </c>
      <c r="M22" s="263">
        <f>'БелАЗ ТО'!N10/1000</f>
        <v>59.25744000000001</v>
      </c>
      <c r="N22" s="263">
        <f>'БелАЗ ТО'!O10/1000</f>
        <v>59.25744000000001</v>
      </c>
      <c r="O22" s="424"/>
      <c r="Q22" s="529">
        <f t="shared" si="7"/>
        <v>593.49840000000006</v>
      </c>
      <c r="R22" s="529">
        <f t="shared" si="6"/>
        <v>59.349840000000007</v>
      </c>
    </row>
    <row r="23" spans="1:19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'БелАЗ Рем'!F12/1000</f>
        <v>9.1011000000000006</v>
      </c>
      <c r="F23" s="263">
        <f>'БелАЗ Рем'!G12/1000</f>
        <v>23.544150000000002</v>
      </c>
      <c r="G23" s="263">
        <f>'БелАЗ Рем'!H12/1000</f>
        <v>35.810850000000002</v>
      </c>
      <c r="H23" s="263">
        <f>'БелАЗ Рем'!I12/1000</f>
        <v>35.949345000000001</v>
      </c>
      <c r="I23" s="263">
        <f>'БелАЗ Рем'!J12/1000</f>
        <v>30.765674999999998</v>
      </c>
      <c r="J23" s="263">
        <f>'БелАЗ Рем'!K12/1000</f>
        <v>51.36186</v>
      </c>
      <c r="K23" s="263">
        <f>'БелАЗ Рем'!L12/1000</f>
        <v>20.437904999999997</v>
      </c>
      <c r="L23" s="263">
        <f>'БелАЗ Рем'!M12/1000</f>
        <v>48.136904999999999</v>
      </c>
      <c r="M23" s="263">
        <f>'БелАЗ Рем'!N12/1000</f>
        <v>57.693059999999988</v>
      </c>
      <c r="N23" s="263">
        <f>'БелАЗ Рем'!O12/1000</f>
        <v>50.451749999999997</v>
      </c>
      <c r="O23" s="424"/>
      <c r="Q23" s="529">
        <f t="shared" si="7"/>
        <v>363.25260000000003</v>
      </c>
      <c r="R23" s="529">
        <f t="shared" si="6"/>
        <v>36.32526</v>
      </c>
    </row>
    <row r="24" spans="1:19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424"/>
    </row>
    <row r="25" spans="1:19" ht="14.95" customHeight="1" x14ac:dyDescent="0.25">
      <c r="A25" s="236">
        <f t="shared" si="3"/>
        <v>22</v>
      </c>
      <c r="B25" s="266" t="s">
        <v>287</v>
      </c>
      <c r="C25" s="267" t="s">
        <v>288</v>
      </c>
      <c r="D25" s="268" t="s">
        <v>289</v>
      </c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424"/>
    </row>
    <row r="26" spans="1:19" ht="14.3" x14ac:dyDescent="0.25">
      <c r="A26" s="236">
        <f t="shared" si="3"/>
        <v>23</v>
      </c>
      <c r="B26" s="266" t="s">
        <v>290</v>
      </c>
      <c r="C26" s="260" t="s">
        <v>291</v>
      </c>
      <c r="D26" s="269" t="s">
        <v>292</v>
      </c>
      <c r="E26" s="270">
        <v>27000</v>
      </c>
      <c r="F26" s="270">
        <v>27000</v>
      </c>
      <c r="G26" s="270">
        <v>27000</v>
      </c>
      <c r="H26" s="270">
        <v>27000</v>
      </c>
      <c r="I26" s="270">
        <v>27000</v>
      </c>
      <c r="J26" s="270">
        <v>27000</v>
      </c>
      <c r="K26" s="270">
        <v>27000</v>
      </c>
      <c r="L26" s="270">
        <v>27000</v>
      </c>
      <c r="M26" s="270">
        <v>27000</v>
      </c>
      <c r="N26" s="270">
        <v>27000</v>
      </c>
      <c r="O26" s="424"/>
    </row>
    <row r="27" spans="1:19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424"/>
    </row>
    <row r="28" spans="1:19" x14ac:dyDescent="0.25">
      <c r="A28" s="236">
        <f t="shared" si="3"/>
        <v>25</v>
      </c>
      <c r="B28" s="266" t="s">
        <v>293</v>
      </c>
      <c r="C28" s="260" t="s">
        <v>145</v>
      </c>
      <c r="D28" s="271"/>
      <c r="E28" s="270">
        <v>110</v>
      </c>
      <c r="F28" s="270">
        <v>110</v>
      </c>
      <c r="G28" s="270">
        <v>110</v>
      </c>
      <c r="H28" s="270">
        <v>110</v>
      </c>
      <c r="I28" s="270">
        <v>110</v>
      </c>
      <c r="J28" s="270">
        <v>110</v>
      </c>
      <c r="K28" s="270">
        <v>110</v>
      </c>
      <c r="L28" s="270">
        <v>110</v>
      </c>
      <c r="M28" s="270">
        <v>110</v>
      </c>
      <c r="N28" s="270">
        <v>110</v>
      </c>
      <c r="O28" s="424"/>
    </row>
    <row r="29" spans="1:19" x14ac:dyDescent="0.25">
      <c r="A29" s="236">
        <f t="shared" si="3"/>
        <v>26</v>
      </c>
      <c r="B29" s="266" t="s">
        <v>294</v>
      </c>
      <c r="C29" s="260" t="s">
        <v>145</v>
      </c>
      <c r="D29" s="271"/>
      <c r="E29" s="270">
        <v>140</v>
      </c>
      <c r="F29" s="270">
        <v>140</v>
      </c>
      <c r="G29" s="270">
        <v>140</v>
      </c>
      <c r="H29" s="270">
        <v>140</v>
      </c>
      <c r="I29" s="270">
        <v>140</v>
      </c>
      <c r="J29" s="270">
        <v>140</v>
      </c>
      <c r="K29" s="270">
        <v>140</v>
      </c>
      <c r="L29" s="270">
        <v>140</v>
      </c>
      <c r="M29" s="270">
        <v>140</v>
      </c>
      <c r="N29" s="270">
        <v>140</v>
      </c>
      <c r="O29" s="424"/>
    </row>
    <row r="30" spans="1:19" x14ac:dyDescent="0.25">
      <c r="A30" s="236">
        <f t="shared" si="3"/>
        <v>27</v>
      </c>
      <c r="B30" s="266" t="s">
        <v>295</v>
      </c>
      <c r="C30" s="260" t="s">
        <v>145</v>
      </c>
      <c r="D30" s="271"/>
      <c r="E30" s="270">
        <v>180</v>
      </c>
      <c r="F30" s="270">
        <v>180</v>
      </c>
      <c r="G30" s="270">
        <v>180</v>
      </c>
      <c r="H30" s="270">
        <v>180</v>
      </c>
      <c r="I30" s="270">
        <v>180</v>
      </c>
      <c r="J30" s="270">
        <v>180</v>
      </c>
      <c r="K30" s="270">
        <v>180</v>
      </c>
      <c r="L30" s="270">
        <v>180</v>
      </c>
      <c r="M30" s="270">
        <v>180</v>
      </c>
      <c r="N30" s="270">
        <v>180</v>
      </c>
      <c r="O30" s="424"/>
    </row>
    <row r="31" spans="1:19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/>
      <c r="E31" s="270">
        <v>6</v>
      </c>
      <c r="F31" s="270"/>
      <c r="G31" s="270"/>
      <c r="H31" s="270"/>
      <c r="I31" s="270"/>
      <c r="J31" s="270"/>
      <c r="K31" s="270"/>
      <c r="L31" s="270"/>
      <c r="M31" s="270"/>
      <c r="N31" s="270"/>
      <c r="O31" s="431"/>
    </row>
    <row r="34" spans="5:15" ht="13.6" x14ac:dyDescent="0.25">
      <c r="E34" s="527">
        <f>E18/(365*24*E12)*1000</f>
        <v>18.606515646404802</v>
      </c>
      <c r="F34" s="527">
        <f t="shared" ref="F34:N34" si="8">F18/(365*24*F12)*1000</f>
        <v>40.931263008443537</v>
      </c>
      <c r="G34" s="527">
        <f t="shared" si="8"/>
        <v>75.523914747927847</v>
      </c>
      <c r="H34" s="527">
        <f t="shared" si="8"/>
        <v>94.890729613650919</v>
      </c>
      <c r="I34" s="527">
        <f t="shared" si="8"/>
        <v>81.814630338228952</v>
      </c>
      <c r="J34" s="527">
        <f t="shared" si="8"/>
        <v>92.955045824545579</v>
      </c>
      <c r="K34" s="527">
        <f t="shared" si="8"/>
        <v>22.967045062528989</v>
      </c>
      <c r="L34" s="527">
        <f t="shared" si="8"/>
        <v>113.16271262618679</v>
      </c>
      <c r="M34" s="527">
        <f t="shared" si="8"/>
        <v>130.36043316163466</v>
      </c>
      <c r="N34" s="527">
        <f t="shared" si="8"/>
        <v>30.681748121947685</v>
      </c>
      <c r="O34" s="532">
        <f>SUMPRODUCT(E34:N34,E12:N12)/SUM(E12:N12)</f>
        <v>69.495463930953562</v>
      </c>
    </row>
  </sheetData>
  <pageMargins left="0" right="0" top="0.31496062992125984" bottom="0.39370078740157483" header="0.15748031496062992" footer="0.15748031496062992"/>
  <pageSetup paperSize="9" scale="70" orientation="landscape" r:id="rId1"/>
  <headerFooter alignWithMargins="0">
    <oddFooter>&amp;R&amp;"Arial Cyr,полужирный курсив"&amp;12&amp;A,  стр.&amp;P из &amp;N</oddFooter>
  </headerFooter>
  <customProperties>
    <customPr name="_pios_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4BA7-6EC8-4ECE-85E9-4CAEFDA5B2D5}">
  <sheetPr>
    <tabColor theme="7" tint="0.79998168889431442"/>
    <pageSetUpPr fitToPage="1"/>
  </sheetPr>
  <dimension ref="A2:R71"/>
  <sheetViews>
    <sheetView showGridLines="0" zoomScale="85" zoomScaleNormal="85" workbookViewId="0">
      <pane xSplit="4" ySplit="4" topLeftCell="E5" activePane="bottomRight" state="frozen"/>
      <selection activeCell="N49" sqref="N49"/>
      <selection pane="topRight" activeCell="N49" sqref="N49"/>
      <selection pane="bottomLeft" activeCell="N49" sqref="N49"/>
      <selection pane="bottomRight" activeCell="F10" sqref="F10:O10"/>
    </sheetView>
  </sheetViews>
  <sheetFormatPr defaultRowHeight="14.3" x14ac:dyDescent="0.25"/>
  <cols>
    <col min="1" max="1" width="43.375" style="275" customWidth="1"/>
    <col min="2" max="2" width="33.375" style="275" customWidth="1"/>
    <col min="3" max="3" width="14.75" style="275" customWidth="1"/>
    <col min="4" max="4" width="14" style="275" customWidth="1"/>
    <col min="5" max="5" width="9.25" style="275" bestFit="1" customWidth="1"/>
    <col min="6" max="6" width="14.875" style="275" customWidth="1"/>
    <col min="7" max="7" width="12.125" style="275" customWidth="1"/>
    <col min="8" max="8" width="12.625" style="276" customWidth="1"/>
    <col min="9" max="9" width="14.25" style="275" customWidth="1"/>
    <col min="10" max="10" width="12" style="275" customWidth="1"/>
    <col min="11" max="12" width="12.125" style="275" customWidth="1"/>
    <col min="13" max="13" width="12.25" style="275" customWidth="1"/>
    <col min="14" max="14" width="11.625" style="275" customWidth="1"/>
    <col min="15" max="15" width="13" style="275" customWidth="1"/>
    <col min="16" max="16" width="19.25" style="275" customWidth="1"/>
    <col min="17" max="16384" width="9" style="275"/>
  </cols>
  <sheetData>
    <row r="2" spans="1:16" x14ac:dyDescent="0.25">
      <c r="A2" s="237" t="s">
        <v>259</v>
      </c>
    </row>
    <row r="3" spans="1:16" ht="14.95" thickBot="1" x14ac:dyDescent="0.3">
      <c r="A3" s="275" t="s">
        <v>298</v>
      </c>
      <c r="F3" s="277">
        <f>БелАЗ!E12</f>
        <v>0.90830416032470829</v>
      </c>
      <c r="G3" s="277">
        <f>БелАЗ!F12</f>
        <v>0.88577435312024355</v>
      </c>
      <c r="H3" s="277">
        <f>БелАЗ!G12</f>
        <v>0.86468734145103998</v>
      </c>
      <c r="I3" s="277">
        <f>БелАЗ!H12</f>
        <v>0.87460193641129713</v>
      </c>
      <c r="J3" s="277">
        <f>БелАЗ!I12</f>
        <v>0.88129798748520216</v>
      </c>
      <c r="K3" s="277">
        <f>БелАЗ!J12</f>
        <v>0.8456720361914426</v>
      </c>
      <c r="L3" s="277">
        <f>БелАЗ!K12</f>
        <v>0.89713174361576187</v>
      </c>
      <c r="M3" s="277">
        <f>БелАЗ!L12</f>
        <v>0.85462476746152538</v>
      </c>
      <c r="N3" s="277">
        <f>БелАЗ!M12</f>
        <v>0.84219452900388969</v>
      </c>
      <c r="O3" s="277">
        <f>БелАЗ!N12</f>
        <v>0.86135781329274486</v>
      </c>
    </row>
    <row r="4" spans="1:16" ht="22.1" customHeight="1" thickBot="1" x14ac:dyDescent="0.3">
      <c r="A4" s="278" t="s">
        <v>299</v>
      </c>
      <c r="B4" s="279" t="s">
        <v>8</v>
      </c>
      <c r="C4" s="280"/>
      <c r="D4" s="281"/>
      <c r="E4" s="282"/>
      <c r="F4" s="283">
        <f>D4+1</f>
        <v>1</v>
      </c>
      <c r="G4" s="283">
        <f>F4+1</f>
        <v>2</v>
      </c>
      <c r="H4" s="283">
        <f t="shared" ref="H4:O4" si="0">G4+1</f>
        <v>3</v>
      </c>
      <c r="I4" s="283">
        <f t="shared" si="0"/>
        <v>4</v>
      </c>
      <c r="J4" s="283">
        <f t="shared" si="0"/>
        <v>5</v>
      </c>
      <c r="K4" s="283">
        <f t="shared" si="0"/>
        <v>6</v>
      </c>
      <c r="L4" s="283">
        <f t="shared" si="0"/>
        <v>7</v>
      </c>
      <c r="M4" s="283">
        <f t="shared" si="0"/>
        <v>8</v>
      </c>
      <c r="N4" s="283">
        <f t="shared" si="0"/>
        <v>9</v>
      </c>
      <c r="O4" s="283">
        <f t="shared" si="0"/>
        <v>10</v>
      </c>
    </row>
    <row r="5" spans="1:16" x14ac:dyDescent="0.25">
      <c r="A5" s="284" t="s">
        <v>300</v>
      </c>
      <c r="B5" s="285" t="s">
        <v>301</v>
      </c>
      <c r="C5" s="286"/>
      <c r="D5" s="287"/>
      <c r="E5" s="288"/>
      <c r="F5" s="289">
        <v>0</v>
      </c>
      <c r="G5" s="289">
        <f>F6+1</f>
        <v>7001</v>
      </c>
      <c r="H5" s="289">
        <f t="shared" ref="H5:O5" si="1">G6+1</f>
        <v>14001</v>
      </c>
      <c r="I5" s="289">
        <f t="shared" si="1"/>
        <v>21001</v>
      </c>
      <c r="J5" s="289">
        <f t="shared" si="1"/>
        <v>28001</v>
      </c>
      <c r="K5" s="289">
        <f t="shared" si="1"/>
        <v>35001</v>
      </c>
      <c r="L5" s="289">
        <f t="shared" si="1"/>
        <v>42001</v>
      </c>
      <c r="M5" s="289">
        <f t="shared" si="1"/>
        <v>49001</v>
      </c>
      <c r="N5" s="289">
        <f t="shared" si="1"/>
        <v>56001</v>
      </c>
      <c r="O5" s="289">
        <f t="shared" si="1"/>
        <v>63001</v>
      </c>
    </row>
    <row r="6" spans="1:16" x14ac:dyDescent="0.25">
      <c r="A6" s="290" t="s">
        <v>302</v>
      </c>
      <c r="B6" s="291" t="s">
        <v>301</v>
      </c>
      <c r="C6" s="292"/>
      <c r="D6" s="293"/>
      <c r="E6" s="294">
        <v>7000</v>
      </c>
      <c r="F6" s="295">
        <f>E6</f>
        <v>7000</v>
      </c>
      <c r="G6" s="295">
        <f t="shared" ref="G6:O6" si="2">F6+$E6</f>
        <v>14000</v>
      </c>
      <c r="H6" s="295">
        <f t="shared" si="2"/>
        <v>21000</v>
      </c>
      <c r="I6" s="295">
        <f t="shared" si="2"/>
        <v>28000</v>
      </c>
      <c r="J6" s="295">
        <f t="shared" si="2"/>
        <v>35000</v>
      </c>
      <c r="K6" s="295">
        <f t="shared" si="2"/>
        <v>42000</v>
      </c>
      <c r="L6" s="295">
        <f t="shared" si="2"/>
        <v>49000</v>
      </c>
      <c r="M6" s="295">
        <f t="shared" si="2"/>
        <v>56000</v>
      </c>
      <c r="N6" s="295">
        <f t="shared" si="2"/>
        <v>63000</v>
      </c>
      <c r="O6" s="295">
        <f t="shared" si="2"/>
        <v>70000</v>
      </c>
    </row>
    <row r="7" spans="1:16" ht="21.75" customHeight="1" x14ac:dyDescent="0.25">
      <c r="A7" s="296" t="s">
        <v>303</v>
      </c>
      <c r="B7" s="297" t="s">
        <v>304</v>
      </c>
      <c r="C7" s="253"/>
      <c r="D7" s="298"/>
      <c r="E7" s="299"/>
      <c r="F7" s="257">
        <f>F13</f>
        <v>455.92000000000007</v>
      </c>
      <c r="G7" s="257">
        <f t="shared" ref="G7:O7" si="3">G13</f>
        <v>448.92000000000007</v>
      </c>
      <c r="H7" s="257">
        <f t="shared" si="3"/>
        <v>448.92000000000007</v>
      </c>
      <c r="I7" s="257">
        <f t="shared" si="3"/>
        <v>448.92000000000007</v>
      </c>
      <c r="J7" s="257">
        <f t="shared" si="3"/>
        <v>448.92000000000007</v>
      </c>
      <c r="K7" s="257">
        <f t="shared" si="3"/>
        <v>448.92000000000007</v>
      </c>
      <c r="L7" s="257">
        <f t="shared" si="3"/>
        <v>448.92000000000007</v>
      </c>
      <c r="M7" s="257">
        <f t="shared" si="3"/>
        <v>448.92000000000007</v>
      </c>
      <c r="N7" s="257">
        <f t="shared" si="3"/>
        <v>448.92000000000007</v>
      </c>
      <c r="O7" s="257">
        <f t="shared" si="3"/>
        <v>448.92000000000007</v>
      </c>
    </row>
    <row r="8" spans="1:16" ht="21.1" customHeight="1" x14ac:dyDescent="0.25">
      <c r="A8" s="300" t="s">
        <v>305</v>
      </c>
      <c r="B8" s="301" t="s">
        <v>306</v>
      </c>
      <c r="C8" s="260"/>
      <c r="D8" s="298"/>
      <c r="E8" s="299"/>
      <c r="F8" s="302">
        <f t="shared" ref="F8:O8" si="4">SUM(F9:F10)</f>
        <v>122446.19000000003</v>
      </c>
      <c r="G8" s="302">
        <f t="shared" si="4"/>
        <v>110357.21000000002</v>
      </c>
      <c r="H8" s="302">
        <f t="shared" si="4"/>
        <v>110357.21000000002</v>
      </c>
      <c r="I8" s="302">
        <f t="shared" si="4"/>
        <v>110357.21000000002</v>
      </c>
      <c r="J8" s="302">
        <f t="shared" si="4"/>
        <v>110357.21000000002</v>
      </c>
      <c r="K8" s="302">
        <f t="shared" si="4"/>
        <v>110357.21000000002</v>
      </c>
      <c r="L8" s="302">
        <f t="shared" si="4"/>
        <v>110357.21000000002</v>
      </c>
      <c r="M8" s="302">
        <f t="shared" si="4"/>
        <v>110357.21000000002</v>
      </c>
      <c r="N8" s="302">
        <f t="shared" si="4"/>
        <v>110357.21000000002</v>
      </c>
      <c r="O8" s="302">
        <f t="shared" si="4"/>
        <v>110357.21000000002</v>
      </c>
      <c r="P8" s="303"/>
    </row>
    <row r="9" spans="1:16" ht="20.25" customHeight="1" x14ac:dyDescent="0.25">
      <c r="A9" s="304" t="s">
        <v>307</v>
      </c>
      <c r="B9" s="305" t="s">
        <v>306</v>
      </c>
      <c r="C9" s="306"/>
      <c r="D9" s="307"/>
      <c r="E9" s="308"/>
      <c r="F9" s="263">
        <f>F23</f>
        <v>62264.750000000015</v>
      </c>
      <c r="G9" s="263">
        <f>G23</f>
        <v>51099.770000000004</v>
      </c>
      <c r="H9" s="263">
        <f t="shared" ref="H9:O9" si="5">H23</f>
        <v>51099.770000000004</v>
      </c>
      <c r="I9" s="263">
        <f t="shared" si="5"/>
        <v>51099.770000000004</v>
      </c>
      <c r="J9" s="263">
        <f t="shared" si="5"/>
        <v>51099.770000000004</v>
      </c>
      <c r="K9" s="263">
        <f t="shared" si="5"/>
        <v>51099.770000000004</v>
      </c>
      <c r="L9" s="263">
        <f t="shared" si="5"/>
        <v>51099.770000000004</v>
      </c>
      <c r="M9" s="263">
        <f t="shared" si="5"/>
        <v>51099.770000000004</v>
      </c>
      <c r="N9" s="263">
        <f t="shared" si="5"/>
        <v>51099.770000000004</v>
      </c>
      <c r="O9" s="263">
        <f t="shared" si="5"/>
        <v>51099.770000000004</v>
      </c>
    </row>
    <row r="10" spans="1:16" ht="23.3" customHeight="1" thickBot="1" x14ac:dyDescent="0.3">
      <c r="A10" s="309" t="s">
        <v>308</v>
      </c>
      <c r="B10" s="310" t="s">
        <v>306</v>
      </c>
      <c r="C10" s="311"/>
      <c r="D10" s="312"/>
      <c r="E10" s="313">
        <v>44</v>
      </c>
      <c r="F10" s="314">
        <f>SUMPRODUCT(F14:F20,$E$14:$E$20)*$E10</f>
        <v>60181.44000000001</v>
      </c>
      <c r="G10" s="314">
        <f t="shared" ref="G10:O10" si="6">SUMPRODUCT(G14:G20,$E$14:$E$20)*$E10</f>
        <v>59257.44000000001</v>
      </c>
      <c r="H10" s="314">
        <f t="shared" si="6"/>
        <v>59257.44000000001</v>
      </c>
      <c r="I10" s="314">
        <f t="shared" si="6"/>
        <v>59257.44000000001</v>
      </c>
      <c r="J10" s="314">
        <f t="shared" si="6"/>
        <v>59257.44000000001</v>
      </c>
      <c r="K10" s="314">
        <f t="shared" si="6"/>
        <v>59257.44000000001</v>
      </c>
      <c r="L10" s="314">
        <f t="shared" si="6"/>
        <v>59257.44000000001</v>
      </c>
      <c r="M10" s="314">
        <f t="shared" si="6"/>
        <v>59257.44000000001</v>
      </c>
      <c r="N10" s="314">
        <f t="shared" si="6"/>
        <v>59257.44000000001</v>
      </c>
      <c r="O10" s="314">
        <f t="shared" si="6"/>
        <v>59257.44000000001</v>
      </c>
    </row>
    <row r="11" spans="1:16" ht="14.95" thickBot="1" x14ac:dyDescent="0.3">
      <c r="A11" s="1069"/>
      <c r="B11" s="1070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</row>
    <row r="12" spans="1:16" ht="34.65" x14ac:dyDescent="0.25">
      <c r="A12" s="315" t="s">
        <v>309</v>
      </c>
      <c r="B12" s="316" t="s">
        <v>310</v>
      </c>
      <c r="C12" s="317" t="s">
        <v>311</v>
      </c>
      <c r="D12" s="318" t="s">
        <v>312</v>
      </c>
      <c r="E12" s="319" t="s">
        <v>313</v>
      </c>
      <c r="F12" s="320" t="s">
        <v>314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320" t="s">
        <v>314</v>
      </c>
      <c r="O12" s="320" t="s">
        <v>314</v>
      </c>
    </row>
    <row r="13" spans="1:16" x14ac:dyDescent="0.25">
      <c r="A13" s="321" t="s">
        <v>315</v>
      </c>
      <c r="B13" s="322"/>
      <c r="C13" s="323"/>
      <c r="D13" s="324"/>
      <c r="E13" s="325"/>
      <c r="F13" s="326">
        <f>SUM(F14:F20)</f>
        <v>455.92000000000007</v>
      </c>
      <c r="G13" s="326">
        <f t="shared" ref="G13:O13" si="7">SUM(G14:G20)</f>
        <v>448.92000000000007</v>
      </c>
      <c r="H13" s="326">
        <f t="shared" si="7"/>
        <v>448.92000000000007</v>
      </c>
      <c r="I13" s="326">
        <f t="shared" si="7"/>
        <v>448.92000000000007</v>
      </c>
      <c r="J13" s="326">
        <f t="shared" si="7"/>
        <v>448.92000000000007</v>
      </c>
      <c r="K13" s="326">
        <f t="shared" si="7"/>
        <v>448.92000000000007</v>
      </c>
      <c r="L13" s="326">
        <f t="shared" si="7"/>
        <v>448.92000000000007</v>
      </c>
      <c r="M13" s="326">
        <f t="shared" si="7"/>
        <v>448.92000000000007</v>
      </c>
      <c r="N13" s="326">
        <f t="shared" si="7"/>
        <v>448.92000000000007</v>
      </c>
      <c r="O13" s="326">
        <f t="shared" si="7"/>
        <v>448.92000000000007</v>
      </c>
    </row>
    <row r="14" spans="1:16" x14ac:dyDescent="0.25">
      <c r="A14" s="327" t="s">
        <v>316</v>
      </c>
      <c r="B14" s="328">
        <v>100</v>
      </c>
      <c r="C14" s="268">
        <v>7</v>
      </c>
      <c r="D14" s="329">
        <v>1</v>
      </c>
      <c r="E14" s="330">
        <v>3</v>
      </c>
      <c r="F14" s="268">
        <f t="shared" ref="F14:O20" si="8">$D14*$C14</f>
        <v>7</v>
      </c>
      <c r="G14" s="268"/>
      <c r="H14" s="268"/>
      <c r="I14" s="268"/>
      <c r="J14" s="268"/>
      <c r="K14" s="268"/>
      <c r="L14" s="268"/>
      <c r="M14" s="268"/>
      <c r="N14" s="268"/>
      <c r="O14" s="268"/>
    </row>
    <row r="15" spans="1:16" x14ac:dyDescent="0.25">
      <c r="A15" s="327" t="s">
        <v>317</v>
      </c>
      <c r="B15" s="328">
        <v>250</v>
      </c>
      <c r="C15" s="268">
        <v>7</v>
      </c>
      <c r="D15" s="329">
        <v>14</v>
      </c>
      <c r="E15" s="330">
        <v>3</v>
      </c>
      <c r="F15" s="268">
        <f t="shared" si="8"/>
        <v>98</v>
      </c>
      <c r="G15" s="268">
        <f t="shared" si="8"/>
        <v>98</v>
      </c>
      <c r="H15" s="268">
        <f>$D15*$C15</f>
        <v>98</v>
      </c>
      <c r="I15" s="268">
        <f t="shared" si="8"/>
        <v>98</v>
      </c>
      <c r="J15" s="268">
        <f t="shared" si="8"/>
        <v>98</v>
      </c>
      <c r="K15" s="268">
        <f t="shared" si="8"/>
        <v>98</v>
      </c>
      <c r="L15" s="268">
        <f t="shared" si="8"/>
        <v>98</v>
      </c>
      <c r="M15" s="268">
        <f t="shared" si="8"/>
        <v>98</v>
      </c>
      <c r="N15" s="268">
        <f t="shared" si="8"/>
        <v>98</v>
      </c>
      <c r="O15" s="268">
        <f t="shared" si="8"/>
        <v>98</v>
      </c>
      <c r="P15" s="331"/>
    </row>
    <row r="16" spans="1:16" x14ac:dyDescent="0.25">
      <c r="A16" s="327" t="s">
        <v>318</v>
      </c>
      <c r="B16" s="328">
        <v>500</v>
      </c>
      <c r="C16" s="268">
        <v>20.3</v>
      </c>
      <c r="D16" s="329">
        <v>3</v>
      </c>
      <c r="E16" s="330">
        <v>3</v>
      </c>
      <c r="F16" s="268">
        <f t="shared" si="8"/>
        <v>60.900000000000006</v>
      </c>
      <c r="G16" s="268">
        <f t="shared" si="8"/>
        <v>60.900000000000006</v>
      </c>
      <c r="H16" s="268">
        <f t="shared" si="8"/>
        <v>60.900000000000006</v>
      </c>
      <c r="I16" s="268">
        <f t="shared" si="8"/>
        <v>60.900000000000006</v>
      </c>
      <c r="J16" s="268">
        <f t="shared" si="8"/>
        <v>60.900000000000006</v>
      </c>
      <c r="K16" s="268">
        <f t="shared" si="8"/>
        <v>60.900000000000006</v>
      </c>
      <c r="L16" s="268">
        <f t="shared" si="8"/>
        <v>60.900000000000006</v>
      </c>
      <c r="M16" s="268">
        <f t="shared" si="8"/>
        <v>60.900000000000006</v>
      </c>
      <c r="N16" s="268">
        <f t="shared" si="8"/>
        <v>60.900000000000006</v>
      </c>
      <c r="O16" s="268">
        <f t="shared" si="8"/>
        <v>60.900000000000006</v>
      </c>
      <c r="P16" s="331"/>
    </row>
    <row r="17" spans="1:16" x14ac:dyDescent="0.25">
      <c r="A17" s="327" t="s">
        <v>319</v>
      </c>
      <c r="B17" s="328">
        <v>1000</v>
      </c>
      <c r="C17" s="268">
        <v>28.3</v>
      </c>
      <c r="D17" s="329">
        <v>6</v>
      </c>
      <c r="E17" s="330">
        <v>3</v>
      </c>
      <c r="F17" s="268">
        <f t="shared" si="8"/>
        <v>169.8</v>
      </c>
      <c r="G17" s="268">
        <f t="shared" si="8"/>
        <v>169.8</v>
      </c>
      <c r="H17" s="268">
        <f t="shared" si="8"/>
        <v>169.8</v>
      </c>
      <c r="I17" s="268">
        <f t="shared" si="8"/>
        <v>169.8</v>
      </c>
      <c r="J17" s="268">
        <f t="shared" si="8"/>
        <v>169.8</v>
      </c>
      <c r="K17" s="268">
        <f t="shared" si="8"/>
        <v>169.8</v>
      </c>
      <c r="L17" s="268">
        <f t="shared" si="8"/>
        <v>169.8</v>
      </c>
      <c r="M17" s="268">
        <f t="shared" si="8"/>
        <v>169.8</v>
      </c>
      <c r="N17" s="268">
        <f t="shared" si="8"/>
        <v>169.8</v>
      </c>
      <c r="O17" s="268">
        <f t="shared" si="8"/>
        <v>169.8</v>
      </c>
      <c r="P17" s="331"/>
    </row>
    <row r="18" spans="1:16" x14ac:dyDescent="0.25">
      <c r="A18" s="327" t="s">
        <v>320</v>
      </c>
      <c r="B18" s="328">
        <v>3500</v>
      </c>
      <c r="C18" s="268">
        <v>25.66</v>
      </c>
      <c r="D18" s="329">
        <v>2</v>
      </c>
      <c r="E18" s="330">
        <v>3</v>
      </c>
      <c r="F18" s="268">
        <f t="shared" si="8"/>
        <v>51.32</v>
      </c>
      <c r="G18" s="268">
        <f t="shared" si="8"/>
        <v>51.32</v>
      </c>
      <c r="H18" s="268">
        <f t="shared" si="8"/>
        <v>51.32</v>
      </c>
      <c r="I18" s="268">
        <f t="shared" si="8"/>
        <v>51.32</v>
      </c>
      <c r="J18" s="268">
        <f t="shared" si="8"/>
        <v>51.32</v>
      </c>
      <c r="K18" s="268">
        <f t="shared" si="8"/>
        <v>51.32</v>
      </c>
      <c r="L18" s="268">
        <f t="shared" si="8"/>
        <v>51.32</v>
      </c>
      <c r="M18" s="268">
        <f t="shared" si="8"/>
        <v>51.32</v>
      </c>
      <c r="N18" s="268">
        <f>$D18*$C18</f>
        <v>51.32</v>
      </c>
      <c r="O18" s="268">
        <f t="shared" si="8"/>
        <v>51.32</v>
      </c>
    </row>
    <row r="19" spans="1:16" x14ac:dyDescent="0.25">
      <c r="A19" s="327" t="s">
        <v>321</v>
      </c>
      <c r="B19" s="328">
        <v>2500</v>
      </c>
      <c r="C19" s="268">
        <v>20.3</v>
      </c>
      <c r="D19" s="329">
        <v>2</v>
      </c>
      <c r="E19" s="330">
        <v>3</v>
      </c>
      <c r="F19" s="268">
        <f t="shared" si="8"/>
        <v>40.6</v>
      </c>
      <c r="G19" s="268">
        <f t="shared" si="8"/>
        <v>40.6</v>
      </c>
      <c r="H19" s="268">
        <f t="shared" si="8"/>
        <v>40.6</v>
      </c>
      <c r="I19" s="268">
        <f t="shared" si="8"/>
        <v>40.6</v>
      </c>
      <c r="J19" s="268">
        <f t="shared" si="8"/>
        <v>40.6</v>
      </c>
      <c r="K19" s="268">
        <f t="shared" si="8"/>
        <v>40.6</v>
      </c>
      <c r="L19" s="268">
        <f t="shared" si="8"/>
        <v>40.6</v>
      </c>
      <c r="M19" s="268">
        <f t="shared" si="8"/>
        <v>40.6</v>
      </c>
      <c r="N19" s="268">
        <f t="shared" si="8"/>
        <v>40.6</v>
      </c>
      <c r="O19" s="268">
        <f t="shared" si="8"/>
        <v>40.6</v>
      </c>
    </row>
    <row r="20" spans="1:16" ht="14.95" thickBot="1" x14ac:dyDescent="0.3">
      <c r="A20" s="327" t="s">
        <v>322</v>
      </c>
      <c r="B20" s="328">
        <v>4000</v>
      </c>
      <c r="C20" s="332">
        <v>28.3</v>
      </c>
      <c r="D20" s="333">
        <v>1</v>
      </c>
      <c r="E20" s="334">
        <v>3</v>
      </c>
      <c r="F20" s="332">
        <f t="shared" si="8"/>
        <v>28.3</v>
      </c>
      <c r="G20" s="332">
        <f>$C20</f>
        <v>28.3</v>
      </c>
      <c r="H20" s="332">
        <f t="shared" si="8"/>
        <v>28.3</v>
      </c>
      <c r="I20" s="332">
        <f>$C20</f>
        <v>28.3</v>
      </c>
      <c r="J20" s="332">
        <f t="shared" si="8"/>
        <v>28.3</v>
      </c>
      <c r="K20" s="332">
        <f>$C20</f>
        <v>28.3</v>
      </c>
      <c r="L20" s="332">
        <f>$C20</f>
        <v>28.3</v>
      </c>
      <c r="M20" s="332">
        <f t="shared" si="8"/>
        <v>28.3</v>
      </c>
      <c r="N20" s="332">
        <f>$C20</f>
        <v>28.3</v>
      </c>
      <c r="O20" s="332">
        <f t="shared" si="8"/>
        <v>28.3</v>
      </c>
    </row>
    <row r="21" spans="1:16" ht="14.95" thickBot="1" x14ac:dyDescent="0.3">
      <c r="A21" s="1069"/>
      <c r="B21" s="1070"/>
      <c r="C21" s="1070"/>
      <c r="D21" s="1070"/>
      <c r="E21" s="1070"/>
      <c r="F21" s="1070"/>
      <c r="G21" s="1070"/>
      <c r="H21" s="1070"/>
      <c r="I21" s="1070"/>
      <c r="J21" s="1070"/>
      <c r="K21" s="1070"/>
      <c r="L21" s="1070"/>
      <c r="M21" s="1070"/>
      <c r="N21" s="1070"/>
      <c r="O21" s="1070"/>
    </row>
    <row r="22" spans="1:16" ht="27.2" x14ac:dyDescent="0.25">
      <c r="A22" s="335" t="s">
        <v>305</v>
      </c>
      <c r="B22" s="336" t="s">
        <v>323</v>
      </c>
      <c r="C22" s="337" t="s">
        <v>324</v>
      </c>
      <c r="D22" s="338" t="s">
        <v>325</v>
      </c>
      <c r="E22" s="339" t="s">
        <v>312</v>
      </c>
      <c r="F22" s="340" t="s">
        <v>292</v>
      </c>
      <c r="G22" s="340" t="s">
        <v>292</v>
      </c>
      <c r="H22" s="340" t="s">
        <v>292</v>
      </c>
      <c r="I22" s="340" t="s">
        <v>292</v>
      </c>
      <c r="J22" s="340" t="s">
        <v>292</v>
      </c>
      <c r="K22" s="340" t="s">
        <v>292</v>
      </c>
      <c r="L22" s="340" t="s">
        <v>292</v>
      </c>
      <c r="M22" s="340" t="s">
        <v>292</v>
      </c>
      <c r="N22" s="340" t="s">
        <v>292</v>
      </c>
      <c r="O22" s="340" t="s">
        <v>292</v>
      </c>
    </row>
    <row r="23" spans="1:16" x14ac:dyDescent="0.25">
      <c r="A23" s="341" t="s">
        <v>326</v>
      </c>
      <c r="B23" s="342"/>
      <c r="C23" s="343"/>
      <c r="D23" s="344"/>
      <c r="E23" s="345"/>
      <c r="F23" s="346">
        <f t="shared" ref="F23:O23" si="9">SUM(F24:F71)</f>
        <v>62264.750000000015</v>
      </c>
      <c r="G23" s="346">
        <f t="shared" si="9"/>
        <v>51099.770000000004</v>
      </c>
      <c r="H23" s="346">
        <f t="shared" si="9"/>
        <v>51099.770000000004</v>
      </c>
      <c r="I23" s="346">
        <f t="shared" si="9"/>
        <v>51099.770000000004</v>
      </c>
      <c r="J23" s="346">
        <f t="shared" si="9"/>
        <v>51099.770000000004</v>
      </c>
      <c r="K23" s="346">
        <f t="shared" si="9"/>
        <v>51099.770000000004</v>
      </c>
      <c r="L23" s="346">
        <f t="shared" si="9"/>
        <v>51099.770000000004</v>
      </c>
      <c r="M23" s="346">
        <f t="shared" si="9"/>
        <v>51099.770000000004</v>
      </c>
      <c r="N23" s="346">
        <f t="shared" si="9"/>
        <v>51099.770000000004</v>
      </c>
      <c r="O23" s="346">
        <f t="shared" si="9"/>
        <v>51099.770000000004</v>
      </c>
    </row>
    <row r="24" spans="1:16" x14ac:dyDescent="0.25">
      <c r="A24" s="347" t="s">
        <v>316</v>
      </c>
      <c r="B24" s="291"/>
      <c r="C24" s="348"/>
      <c r="D24" s="349">
        <f>VLOOKUP($A24,$A$14:$B$20,2,FALSE)</f>
        <v>100</v>
      </c>
      <c r="E24" s="294">
        <f>VLOOKUP($A24,$A$14:$D$20,4,)</f>
        <v>1</v>
      </c>
      <c r="F24" s="350">
        <f t="shared" ref="F24:O36" si="10">IF(F$14=0,0,F$14/$C$14*$D24*$C24)</f>
        <v>0</v>
      </c>
      <c r="G24" s="350">
        <f t="shared" si="10"/>
        <v>0</v>
      </c>
      <c r="H24" s="351">
        <f t="shared" si="10"/>
        <v>0</v>
      </c>
      <c r="I24" s="350">
        <f t="shared" si="10"/>
        <v>0</v>
      </c>
      <c r="J24" s="350">
        <f t="shared" si="10"/>
        <v>0</v>
      </c>
      <c r="K24" s="350">
        <f t="shared" si="10"/>
        <v>0</v>
      </c>
      <c r="L24" s="350">
        <f t="shared" si="10"/>
        <v>0</v>
      </c>
      <c r="M24" s="350">
        <f t="shared" si="10"/>
        <v>0</v>
      </c>
      <c r="N24" s="350">
        <f t="shared" si="10"/>
        <v>0</v>
      </c>
      <c r="O24" s="350">
        <f t="shared" si="10"/>
        <v>0</v>
      </c>
    </row>
    <row r="25" spans="1:16" x14ac:dyDescent="0.25">
      <c r="A25" s="352" t="s">
        <v>327</v>
      </c>
      <c r="B25" s="353">
        <v>1005008511</v>
      </c>
      <c r="C25" s="354">
        <v>80.260000000000005</v>
      </c>
      <c r="D25" s="355">
        <v>1</v>
      </c>
      <c r="E25" s="294"/>
      <c r="F25" s="351">
        <f t="shared" si="10"/>
        <v>80.260000000000005</v>
      </c>
      <c r="G25" s="351">
        <f t="shared" si="10"/>
        <v>0</v>
      </c>
      <c r="H25" s="351">
        <f t="shared" si="10"/>
        <v>0</v>
      </c>
      <c r="I25" s="351">
        <f t="shared" si="10"/>
        <v>0</v>
      </c>
      <c r="J25" s="351">
        <f t="shared" si="10"/>
        <v>0</v>
      </c>
      <c r="K25" s="351">
        <f t="shared" si="10"/>
        <v>0</v>
      </c>
      <c r="L25" s="351">
        <f t="shared" si="10"/>
        <v>0</v>
      </c>
      <c r="M25" s="351">
        <f t="shared" si="10"/>
        <v>0</v>
      </c>
      <c r="N25" s="351">
        <f t="shared" si="10"/>
        <v>0</v>
      </c>
      <c r="O25" s="351">
        <f t="shared" si="10"/>
        <v>0</v>
      </c>
    </row>
    <row r="26" spans="1:16" x14ac:dyDescent="0.25">
      <c r="A26" s="352" t="s">
        <v>328</v>
      </c>
      <c r="B26" s="353" t="s">
        <v>329</v>
      </c>
      <c r="C26" s="354">
        <v>5.83</v>
      </c>
      <c r="D26" s="355">
        <v>2</v>
      </c>
      <c r="E26" s="294"/>
      <c r="F26" s="351">
        <f t="shared" si="10"/>
        <v>11.66</v>
      </c>
      <c r="G26" s="351">
        <f t="shared" si="10"/>
        <v>0</v>
      </c>
      <c r="H26" s="351">
        <f t="shared" si="10"/>
        <v>0</v>
      </c>
      <c r="I26" s="351">
        <f t="shared" si="10"/>
        <v>0</v>
      </c>
      <c r="J26" s="351">
        <f t="shared" si="10"/>
        <v>0</v>
      </c>
      <c r="K26" s="351">
        <f t="shared" si="10"/>
        <v>0</v>
      </c>
      <c r="L26" s="351">
        <f t="shared" si="10"/>
        <v>0</v>
      </c>
      <c r="M26" s="351">
        <f t="shared" si="10"/>
        <v>0</v>
      </c>
      <c r="N26" s="351">
        <f t="shared" si="10"/>
        <v>0</v>
      </c>
      <c r="O26" s="351">
        <f t="shared" si="10"/>
        <v>0</v>
      </c>
    </row>
    <row r="27" spans="1:16" x14ac:dyDescent="0.25">
      <c r="A27" s="352" t="s">
        <v>330</v>
      </c>
      <c r="B27" s="353">
        <v>1013032300</v>
      </c>
      <c r="C27" s="354">
        <v>144.34</v>
      </c>
      <c r="D27" s="355">
        <v>5</v>
      </c>
      <c r="E27" s="294"/>
      <c r="F27" s="351">
        <f t="shared" si="10"/>
        <v>721.7</v>
      </c>
      <c r="G27" s="351">
        <f t="shared" si="10"/>
        <v>0</v>
      </c>
      <c r="H27" s="351">
        <f t="shared" si="10"/>
        <v>0</v>
      </c>
      <c r="I27" s="351">
        <f t="shared" si="10"/>
        <v>0</v>
      </c>
      <c r="J27" s="351">
        <f t="shared" si="10"/>
        <v>0</v>
      </c>
      <c r="K27" s="351">
        <f t="shared" si="10"/>
        <v>0</v>
      </c>
      <c r="L27" s="351">
        <f t="shared" si="10"/>
        <v>0</v>
      </c>
      <c r="M27" s="351">
        <f t="shared" si="10"/>
        <v>0</v>
      </c>
      <c r="N27" s="351">
        <f t="shared" si="10"/>
        <v>0</v>
      </c>
      <c r="O27" s="351">
        <f t="shared" si="10"/>
        <v>0</v>
      </c>
    </row>
    <row r="28" spans="1:16" ht="38.75" customHeight="1" x14ac:dyDescent="0.25">
      <c r="A28" s="356" t="s">
        <v>331</v>
      </c>
      <c r="B28" s="353" t="s">
        <v>332</v>
      </c>
      <c r="C28" s="354">
        <v>4.1500000000000004</v>
      </c>
      <c r="D28" s="355">
        <v>385</v>
      </c>
      <c r="E28" s="294"/>
      <c r="F28" s="351">
        <f t="shared" si="10"/>
        <v>1597.7500000000002</v>
      </c>
      <c r="G28" s="351">
        <f t="shared" si="10"/>
        <v>0</v>
      </c>
      <c r="H28" s="351">
        <f t="shared" si="10"/>
        <v>0</v>
      </c>
      <c r="I28" s="351">
        <f t="shared" si="10"/>
        <v>0</v>
      </c>
      <c r="J28" s="351">
        <f t="shared" si="10"/>
        <v>0</v>
      </c>
      <c r="K28" s="351">
        <f t="shared" si="10"/>
        <v>0</v>
      </c>
      <c r="L28" s="351">
        <f t="shared" si="10"/>
        <v>0</v>
      </c>
      <c r="M28" s="351">
        <f t="shared" si="10"/>
        <v>0</v>
      </c>
      <c r="N28" s="351">
        <f t="shared" si="10"/>
        <v>0</v>
      </c>
      <c r="O28" s="351">
        <f t="shared" si="10"/>
        <v>0</v>
      </c>
    </row>
    <row r="29" spans="1:16" x14ac:dyDescent="0.25">
      <c r="A29" s="352" t="s">
        <v>330</v>
      </c>
      <c r="B29" s="353" t="s">
        <v>333</v>
      </c>
      <c r="C29" s="354">
        <v>144</v>
      </c>
      <c r="D29" s="355">
        <v>5</v>
      </c>
      <c r="E29" s="294"/>
      <c r="F29" s="351">
        <f t="shared" si="10"/>
        <v>720</v>
      </c>
      <c r="G29" s="351">
        <f t="shared" si="10"/>
        <v>0</v>
      </c>
      <c r="H29" s="351">
        <f t="shared" si="10"/>
        <v>0</v>
      </c>
      <c r="I29" s="351">
        <f t="shared" si="10"/>
        <v>0</v>
      </c>
      <c r="J29" s="351">
        <f t="shared" si="10"/>
        <v>0</v>
      </c>
      <c r="K29" s="351">
        <f t="shared" si="10"/>
        <v>0</v>
      </c>
      <c r="L29" s="351">
        <f t="shared" si="10"/>
        <v>0</v>
      </c>
      <c r="M29" s="351">
        <f t="shared" si="10"/>
        <v>0</v>
      </c>
      <c r="N29" s="351">
        <f t="shared" si="10"/>
        <v>0</v>
      </c>
      <c r="O29" s="351">
        <f t="shared" si="10"/>
        <v>0</v>
      </c>
    </row>
    <row r="30" spans="1:16" x14ac:dyDescent="0.25">
      <c r="A30" s="356" t="s">
        <v>334</v>
      </c>
      <c r="B30" s="353" t="s">
        <v>335</v>
      </c>
      <c r="C30" s="354">
        <v>245.36</v>
      </c>
      <c r="D30" s="355">
        <v>1</v>
      </c>
      <c r="E30" s="294"/>
      <c r="F30" s="351">
        <f t="shared" si="10"/>
        <v>245.36</v>
      </c>
      <c r="G30" s="351">
        <f t="shared" si="10"/>
        <v>0</v>
      </c>
      <c r="H30" s="351">
        <f t="shared" si="10"/>
        <v>0</v>
      </c>
      <c r="I30" s="351">
        <f t="shared" si="10"/>
        <v>0</v>
      </c>
      <c r="J30" s="351">
        <f t="shared" si="10"/>
        <v>0</v>
      </c>
      <c r="K30" s="351">
        <f t="shared" si="10"/>
        <v>0</v>
      </c>
      <c r="L30" s="351">
        <f t="shared" si="10"/>
        <v>0</v>
      </c>
      <c r="M30" s="351">
        <f t="shared" si="10"/>
        <v>0</v>
      </c>
      <c r="N30" s="351">
        <f t="shared" si="10"/>
        <v>0</v>
      </c>
      <c r="O30" s="351">
        <f t="shared" si="10"/>
        <v>0</v>
      </c>
    </row>
    <row r="31" spans="1:16" x14ac:dyDescent="0.25">
      <c r="A31" s="356" t="s">
        <v>336</v>
      </c>
      <c r="B31" s="353" t="s">
        <v>337</v>
      </c>
      <c r="C31" s="354">
        <v>183.52</v>
      </c>
      <c r="D31" s="355">
        <v>3</v>
      </c>
      <c r="E31" s="294"/>
      <c r="F31" s="351">
        <f t="shared" si="10"/>
        <v>550.56000000000006</v>
      </c>
      <c r="G31" s="351">
        <f t="shared" si="10"/>
        <v>0</v>
      </c>
      <c r="H31" s="351">
        <f t="shared" si="10"/>
        <v>0</v>
      </c>
      <c r="I31" s="351">
        <f t="shared" si="10"/>
        <v>0</v>
      </c>
      <c r="J31" s="351">
        <f t="shared" si="10"/>
        <v>0</v>
      </c>
      <c r="K31" s="351">
        <f t="shared" si="10"/>
        <v>0</v>
      </c>
      <c r="L31" s="351">
        <f t="shared" si="10"/>
        <v>0</v>
      </c>
      <c r="M31" s="351">
        <f t="shared" si="10"/>
        <v>0</v>
      </c>
      <c r="N31" s="351">
        <f t="shared" si="10"/>
        <v>0</v>
      </c>
      <c r="O31" s="351">
        <f t="shared" si="10"/>
        <v>0</v>
      </c>
    </row>
    <row r="32" spans="1:16" x14ac:dyDescent="0.25">
      <c r="A32" s="352" t="s">
        <v>328</v>
      </c>
      <c r="B32" s="353" t="s">
        <v>338</v>
      </c>
      <c r="C32" s="354">
        <v>5.83</v>
      </c>
      <c r="D32" s="355">
        <v>1</v>
      </c>
      <c r="E32" s="294"/>
      <c r="F32" s="351">
        <f t="shared" si="10"/>
        <v>5.83</v>
      </c>
      <c r="G32" s="351">
        <f t="shared" si="10"/>
        <v>0</v>
      </c>
      <c r="H32" s="351">
        <f t="shared" si="10"/>
        <v>0</v>
      </c>
      <c r="I32" s="351">
        <f t="shared" si="10"/>
        <v>0</v>
      </c>
      <c r="J32" s="351">
        <f t="shared" si="10"/>
        <v>0</v>
      </c>
      <c r="K32" s="351">
        <f t="shared" si="10"/>
        <v>0</v>
      </c>
      <c r="L32" s="351">
        <f t="shared" si="10"/>
        <v>0</v>
      </c>
      <c r="M32" s="351">
        <f t="shared" si="10"/>
        <v>0</v>
      </c>
      <c r="N32" s="351">
        <f t="shared" si="10"/>
        <v>0</v>
      </c>
      <c r="O32" s="351">
        <f t="shared" si="10"/>
        <v>0</v>
      </c>
    </row>
    <row r="33" spans="1:15" x14ac:dyDescent="0.25">
      <c r="A33" s="352" t="s">
        <v>339</v>
      </c>
      <c r="B33" s="353" t="s">
        <v>340</v>
      </c>
      <c r="C33" s="354">
        <v>126.36</v>
      </c>
      <c r="D33" s="355">
        <v>1</v>
      </c>
      <c r="E33" s="294"/>
      <c r="F33" s="351">
        <f t="shared" si="10"/>
        <v>126.36</v>
      </c>
      <c r="G33" s="351">
        <f t="shared" si="10"/>
        <v>0</v>
      </c>
      <c r="H33" s="351">
        <f t="shared" si="10"/>
        <v>0</v>
      </c>
      <c r="I33" s="351">
        <f t="shared" si="10"/>
        <v>0</v>
      </c>
      <c r="J33" s="351">
        <f t="shared" si="10"/>
        <v>0</v>
      </c>
      <c r="K33" s="351">
        <f t="shared" si="10"/>
        <v>0</v>
      </c>
      <c r="L33" s="351">
        <f t="shared" si="10"/>
        <v>0</v>
      </c>
      <c r="M33" s="351">
        <f t="shared" si="10"/>
        <v>0</v>
      </c>
      <c r="N33" s="351">
        <f t="shared" si="10"/>
        <v>0</v>
      </c>
      <c r="O33" s="351">
        <f t="shared" si="10"/>
        <v>0</v>
      </c>
    </row>
    <row r="34" spans="1:15" x14ac:dyDescent="0.25">
      <c r="A34" s="352" t="s">
        <v>339</v>
      </c>
      <c r="B34" s="353" t="s">
        <v>341</v>
      </c>
      <c r="C34" s="354">
        <v>29.05</v>
      </c>
      <c r="D34" s="355">
        <v>1</v>
      </c>
      <c r="E34" s="294"/>
      <c r="F34" s="351">
        <f t="shared" si="10"/>
        <v>29.05</v>
      </c>
      <c r="G34" s="351">
        <f t="shared" si="10"/>
        <v>0</v>
      </c>
      <c r="H34" s="351">
        <f t="shared" si="10"/>
        <v>0</v>
      </c>
      <c r="I34" s="351">
        <f t="shared" si="10"/>
        <v>0</v>
      </c>
      <c r="J34" s="351">
        <f t="shared" si="10"/>
        <v>0</v>
      </c>
      <c r="K34" s="351">
        <f t="shared" si="10"/>
        <v>0</v>
      </c>
      <c r="L34" s="351">
        <f t="shared" si="10"/>
        <v>0</v>
      </c>
      <c r="M34" s="351">
        <f t="shared" si="10"/>
        <v>0</v>
      </c>
      <c r="N34" s="351">
        <f t="shared" si="10"/>
        <v>0</v>
      </c>
      <c r="O34" s="351">
        <f t="shared" si="10"/>
        <v>0</v>
      </c>
    </row>
    <row r="35" spans="1:15" x14ac:dyDescent="0.25">
      <c r="A35" s="357" t="s">
        <v>342</v>
      </c>
      <c r="B35" s="353" t="s">
        <v>343</v>
      </c>
      <c r="C35" s="354">
        <v>3.49</v>
      </c>
      <c r="D35" s="355">
        <v>790</v>
      </c>
      <c r="E35" s="358"/>
      <c r="F35" s="351">
        <f t="shared" ref="F35:F36" si="11">IF(F$18=0,0,F$18/$C$18*$D35*$C35)</f>
        <v>5514.2000000000007</v>
      </c>
      <c r="G35" s="351">
        <f t="shared" si="10"/>
        <v>0</v>
      </c>
      <c r="H35" s="351">
        <f t="shared" si="10"/>
        <v>0</v>
      </c>
      <c r="I35" s="351">
        <f t="shared" si="10"/>
        <v>0</v>
      </c>
      <c r="J35" s="351">
        <f t="shared" si="10"/>
        <v>0</v>
      </c>
      <c r="K35" s="351">
        <f t="shared" si="10"/>
        <v>0</v>
      </c>
      <c r="L35" s="351">
        <f t="shared" si="10"/>
        <v>0</v>
      </c>
      <c r="M35" s="351">
        <f t="shared" si="10"/>
        <v>0</v>
      </c>
      <c r="N35" s="351">
        <f t="shared" si="10"/>
        <v>0</v>
      </c>
      <c r="O35" s="351">
        <f t="shared" si="10"/>
        <v>0</v>
      </c>
    </row>
    <row r="36" spans="1:15" ht="28.55" x14ac:dyDescent="0.25">
      <c r="A36" s="359" t="s">
        <v>344</v>
      </c>
      <c r="B36" s="360" t="s">
        <v>345</v>
      </c>
      <c r="C36" s="354">
        <v>3.7</v>
      </c>
      <c r="D36" s="355">
        <v>210</v>
      </c>
      <c r="E36" s="358"/>
      <c r="F36" s="351">
        <f t="shared" si="11"/>
        <v>1554</v>
      </c>
      <c r="G36" s="351">
        <f t="shared" si="10"/>
        <v>0</v>
      </c>
      <c r="H36" s="351">
        <f t="shared" si="10"/>
        <v>0</v>
      </c>
      <c r="I36" s="351">
        <f t="shared" si="10"/>
        <v>0</v>
      </c>
      <c r="J36" s="351">
        <f t="shared" si="10"/>
        <v>0</v>
      </c>
      <c r="K36" s="351">
        <f t="shared" si="10"/>
        <v>0</v>
      </c>
      <c r="L36" s="351">
        <f t="shared" si="10"/>
        <v>0</v>
      </c>
      <c r="M36" s="351">
        <f t="shared" si="10"/>
        <v>0</v>
      </c>
      <c r="N36" s="351">
        <f t="shared" si="10"/>
        <v>0</v>
      </c>
      <c r="O36" s="351">
        <f t="shared" si="10"/>
        <v>0</v>
      </c>
    </row>
    <row r="37" spans="1:15" x14ac:dyDescent="0.25">
      <c r="A37" s="347" t="s">
        <v>317</v>
      </c>
      <c r="B37" s="291"/>
      <c r="C37" s="348"/>
      <c r="D37" s="349">
        <f>VLOOKUP($A37,$A$14:$B$20,2,FALSE)</f>
        <v>250</v>
      </c>
      <c r="E37" s="294">
        <f>VLOOKUP($A37,$A$14:$D$20,4,)</f>
        <v>14</v>
      </c>
      <c r="F37" s="295"/>
      <c r="G37" s="295"/>
      <c r="H37" s="295"/>
      <c r="I37" s="295"/>
      <c r="J37" s="295"/>
      <c r="K37" s="295"/>
      <c r="L37" s="295"/>
      <c r="M37" s="295"/>
      <c r="N37" s="295"/>
      <c r="O37" s="295"/>
    </row>
    <row r="38" spans="1:15" x14ac:dyDescent="0.25">
      <c r="A38" s="356" t="s">
        <v>346</v>
      </c>
      <c r="B38" s="353" t="s">
        <v>347</v>
      </c>
      <c r="C38" s="354">
        <v>1.1000000000000001</v>
      </c>
      <c r="D38" s="361">
        <v>7.5</v>
      </c>
      <c r="E38" s="358"/>
      <c r="F38" s="351">
        <f t="shared" ref="F38:O38" si="12">IF(F$14=0,0,F$14/$C$14*$D38*$C38)</f>
        <v>8.25</v>
      </c>
      <c r="G38" s="351">
        <f t="shared" si="12"/>
        <v>0</v>
      </c>
      <c r="H38" s="351">
        <f t="shared" si="12"/>
        <v>0</v>
      </c>
      <c r="I38" s="351">
        <f t="shared" si="12"/>
        <v>0</v>
      </c>
      <c r="J38" s="351">
        <f t="shared" si="12"/>
        <v>0</v>
      </c>
      <c r="K38" s="351">
        <f t="shared" si="12"/>
        <v>0</v>
      </c>
      <c r="L38" s="351">
        <f t="shared" si="12"/>
        <v>0</v>
      </c>
      <c r="M38" s="351">
        <f t="shared" si="12"/>
        <v>0</v>
      </c>
      <c r="N38" s="351">
        <f t="shared" si="12"/>
        <v>0</v>
      </c>
      <c r="O38" s="351">
        <f t="shared" si="12"/>
        <v>0</v>
      </c>
    </row>
    <row r="39" spans="1:15" x14ac:dyDescent="0.25">
      <c r="A39" s="347" t="s">
        <v>318</v>
      </c>
      <c r="B39" s="291"/>
      <c r="C39" s="348"/>
      <c r="D39" s="349">
        <f>VLOOKUP($A39,$A$14:$B$20,2,FALSE)</f>
        <v>500</v>
      </c>
      <c r="E39" s="294">
        <f>VLOOKUP($A39,$A$14:$D$20,4,FALSE)</f>
        <v>3</v>
      </c>
      <c r="F39" s="295"/>
      <c r="G39" s="295"/>
      <c r="H39" s="295"/>
      <c r="I39" s="295"/>
      <c r="J39" s="295"/>
      <c r="K39" s="295"/>
      <c r="L39" s="295"/>
      <c r="M39" s="295"/>
      <c r="N39" s="295"/>
      <c r="O39" s="295"/>
    </row>
    <row r="40" spans="1:15" x14ac:dyDescent="0.25">
      <c r="A40" s="352" t="s">
        <v>330</v>
      </c>
      <c r="B40" s="353">
        <v>1013032300</v>
      </c>
      <c r="C40" s="354">
        <v>144.34</v>
      </c>
      <c r="D40" s="355">
        <v>5</v>
      </c>
      <c r="E40" s="358"/>
      <c r="F40" s="351">
        <f t="shared" ref="F40:O50" si="13">IF(F$16=0,0,F$16/$C$16*$D40*$C40)</f>
        <v>2165.1</v>
      </c>
      <c r="G40" s="351">
        <f t="shared" si="13"/>
        <v>2165.1</v>
      </c>
      <c r="H40" s="351">
        <f t="shared" si="13"/>
        <v>2165.1</v>
      </c>
      <c r="I40" s="351">
        <f t="shared" si="13"/>
        <v>2165.1</v>
      </c>
      <c r="J40" s="351">
        <f t="shared" si="13"/>
        <v>2165.1</v>
      </c>
      <c r="K40" s="351">
        <f t="shared" si="13"/>
        <v>2165.1</v>
      </c>
      <c r="L40" s="351">
        <f t="shared" si="13"/>
        <v>2165.1</v>
      </c>
      <c r="M40" s="351">
        <f t="shared" si="13"/>
        <v>2165.1</v>
      </c>
      <c r="N40" s="351">
        <f t="shared" si="13"/>
        <v>2165.1</v>
      </c>
      <c r="O40" s="351">
        <f t="shared" si="13"/>
        <v>2165.1</v>
      </c>
    </row>
    <row r="41" spans="1:15" x14ac:dyDescent="0.25">
      <c r="A41" s="356" t="s">
        <v>331</v>
      </c>
      <c r="B41" s="353" t="s">
        <v>332</v>
      </c>
      <c r="C41" s="354">
        <v>4</v>
      </c>
      <c r="D41" s="355">
        <v>385</v>
      </c>
      <c r="E41" s="358"/>
      <c r="F41" s="351">
        <f t="shared" si="13"/>
        <v>4620</v>
      </c>
      <c r="G41" s="351">
        <f t="shared" si="13"/>
        <v>4620</v>
      </c>
      <c r="H41" s="351">
        <f t="shared" si="13"/>
        <v>4620</v>
      </c>
      <c r="I41" s="351">
        <f t="shared" si="13"/>
        <v>4620</v>
      </c>
      <c r="J41" s="351">
        <f t="shared" si="13"/>
        <v>4620</v>
      </c>
      <c r="K41" s="351">
        <f t="shared" si="13"/>
        <v>4620</v>
      </c>
      <c r="L41" s="351">
        <f t="shared" si="13"/>
        <v>4620</v>
      </c>
      <c r="M41" s="351">
        <f t="shared" si="13"/>
        <v>4620</v>
      </c>
      <c r="N41" s="351">
        <f t="shared" si="13"/>
        <v>4620</v>
      </c>
      <c r="O41" s="351">
        <f t="shared" si="13"/>
        <v>4620</v>
      </c>
    </row>
    <row r="42" spans="1:15" x14ac:dyDescent="0.25">
      <c r="A42" s="352" t="s">
        <v>330</v>
      </c>
      <c r="B42" s="353" t="s">
        <v>333</v>
      </c>
      <c r="C42" s="354">
        <v>144</v>
      </c>
      <c r="D42" s="355">
        <v>5</v>
      </c>
      <c r="E42" s="358"/>
      <c r="F42" s="351">
        <f t="shared" si="13"/>
        <v>2160</v>
      </c>
      <c r="G42" s="351">
        <f t="shared" si="13"/>
        <v>2160</v>
      </c>
      <c r="H42" s="351">
        <f t="shared" si="13"/>
        <v>2160</v>
      </c>
      <c r="I42" s="351">
        <f t="shared" si="13"/>
        <v>2160</v>
      </c>
      <c r="J42" s="351">
        <f t="shared" si="13"/>
        <v>2160</v>
      </c>
      <c r="K42" s="351">
        <f t="shared" si="13"/>
        <v>2160</v>
      </c>
      <c r="L42" s="351">
        <f t="shared" si="13"/>
        <v>2160</v>
      </c>
      <c r="M42" s="351">
        <f t="shared" si="13"/>
        <v>2160</v>
      </c>
      <c r="N42" s="351">
        <f t="shared" si="13"/>
        <v>2160</v>
      </c>
      <c r="O42" s="351">
        <f t="shared" si="13"/>
        <v>2160</v>
      </c>
    </row>
    <row r="43" spans="1:15" x14ac:dyDescent="0.25">
      <c r="A43" s="356" t="s">
        <v>334</v>
      </c>
      <c r="B43" s="353" t="s">
        <v>335</v>
      </c>
      <c r="C43" s="354">
        <v>245.36</v>
      </c>
      <c r="D43" s="355">
        <v>1</v>
      </c>
      <c r="E43" s="358"/>
      <c r="F43" s="351">
        <f t="shared" si="13"/>
        <v>736.08</v>
      </c>
      <c r="G43" s="351">
        <f t="shared" si="13"/>
        <v>736.08</v>
      </c>
      <c r="H43" s="351">
        <f t="shared" si="13"/>
        <v>736.08</v>
      </c>
      <c r="I43" s="351">
        <f t="shared" si="13"/>
        <v>736.08</v>
      </c>
      <c r="J43" s="351">
        <f t="shared" si="13"/>
        <v>736.08</v>
      </c>
      <c r="K43" s="351">
        <f t="shared" si="13"/>
        <v>736.08</v>
      </c>
      <c r="L43" s="351">
        <f t="shared" si="13"/>
        <v>736.08</v>
      </c>
      <c r="M43" s="351">
        <f t="shared" si="13"/>
        <v>736.08</v>
      </c>
      <c r="N43" s="351">
        <f t="shared" si="13"/>
        <v>736.08</v>
      </c>
      <c r="O43" s="351">
        <f t="shared" si="13"/>
        <v>736.08</v>
      </c>
    </row>
    <row r="44" spans="1:15" x14ac:dyDescent="0.25">
      <c r="A44" s="356" t="s">
        <v>336</v>
      </c>
      <c r="B44" s="353" t="s">
        <v>337</v>
      </c>
      <c r="C44" s="354">
        <v>183.52</v>
      </c>
      <c r="D44" s="355">
        <v>3</v>
      </c>
      <c r="E44" s="358"/>
      <c r="F44" s="351">
        <f t="shared" si="13"/>
        <v>1651.68</v>
      </c>
      <c r="G44" s="351">
        <f t="shared" si="13"/>
        <v>1651.68</v>
      </c>
      <c r="H44" s="351">
        <f t="shared" si="13"/>
        <v>1651.68</v>
      </c>
      <c r="I44" s="351">
        <f t="shared" si="13"/>
        <v>1651.68</v>
      </c>
      <c r="J44" s="351">
        <f t="shared" si="13"/>
        <v>1651.68</v>
      </c>
      <c r="K44" s="351">
        <f t="shared" si="13"/>
        <v>1651.68</v>
      </c>
      <c r="L44" s="351">
        <f t="shared" si="13"/>
        <v>1651.68</v>
      </c>
      <c r="M44" s="351">
        <f t="shared" si="13"/>
        <v>1651.68</v>
      </c>
      <c r="N44" s="351">
        <f t="shared" si="13"/>
        <v>1651.68</v>
      </c>
      <c r="O44" s="351">
        <f t="shared" si="13"/>
        <v>1651.68</v>
      </c>
    </row>
    <row r="45" spans="1:15" x14ac:dyDescent="0.25">
      <c r="A45" s="352" t="s">
        <v>348</v>
      </c>
      <c r="B45" s="353" t="s">
        <v>349</v>
      </c>
      <c r="C45" s="354">
        <v>98.51</v>
      </c>
      <c r="D45" s="355">
        <v>4</v>
      </c>
      <c r="E45" s="358"/>
      <c r="F45" s="351">
        <f t="shared" si="13"/>
        <v>1182.1200000000001</v>
      </c>
      <c r="G45" s="351">
        <f t="shared" si="13"/>
        <v>1182.1200000000001</v>
      </c>
      <c r="H45" s="351">
        <f t="shared" si="13"/>
        <v>1182.1200000000001</v>
      </c>
      <c r="I45" s="351">
        <f t="shared" si="13"/>
        <v>1182.1200000000001</v>
      </c>
      <c r="J45" s="351">
        <f t="shared" si="13"/>
        <v>1182.1200000000001</v>
      </c>
      <c r="K45" s="351">
        <f t="shared" si="13"/>
        <v>1182.1200000000001</v>
      </c>
      <c r="L45" s="351">
        <f t="shared" si="13"/>
        <v>1182.1200000000001</v>
      </c>
      <c r="M45" s="351">
        <f t="shared" si="13"/>
        <v>1182.1200000000001</v>
      </c>
      <c r="N45" s="351">
        <f t="shared" si="13"/>
        <v>1182.1200000000001</v>
      </c>
      <c r="O45" s="351">
        <f t="shared" si="13"/>
        <v>1182.1200000000001</v>
      </c>
    </row>
    <row r="46" spans="1:15" x14ac:dyDescent="0.25">
      <c r="A46" s="352" t="s">
        <v>328</v>
      </c>
      <c r="B46" s="353" t="s">
        <v>338</v>
      </c>
      <c r="C46" s="354">
        <v>6</v>
      </c>
      <c r="D46" s="355">
        <v>1</v>
      </c>
      <c r="E46" s="358"/>
      <c r="F46" s="351">
        <f t="shared" si="13"/>
        <v>18</v>
      </c>
      <c r="G46" s="351">
        <f t="shared" si="13"/>
        <v>18</v>
      </c>
      <c r="H46" s="351">
        <f t="shared" si="13"/>
        <v>18</v>
      </c>
      <c r="I46" s="351">
        <f t="shared" si="13"/>
        <v>18</v>
      </c>
      <c r="J46" s="351">
        <f t="shared" si="13"/>
        <v>18</v>
      </c>
      <c r="K46" s="351">
        <f t="shared" si="13"/>
        <v>18</v>
      </c>
      <c r="L46" s="351">
        <f t="shared" si="13"/>
        <v>18</v>
      </c>
      <c r="M46" s="351">
        <f t="shared" si="13"/>
        <v>18</v>
      </c>
      <c r="N46" s="351">
        <f t="shared" si="13"/>
        <v>18</v>
      </c>
      <c r="O46" s="351">
        <f t="shared" si="13"/>
        <v>18</v>
      </c>
    </row>
    <row r="47" spans="1:15" x14ac:dyDescent="0.25">
      <c r="A47" s="352" t="s">
        <v>339</v>
      </c>
      <c r="B47" s="353" t="s">
        <v>340</v>
      </c>
      <c r="C47" s="354">
        <v>126</v>
      </c>
      <c r="D47" s="355">
        <v>1</v>
      </c>
      <c r="E47" s="358"/>
      <c r="F47" s="351">
        <f t="shared" si="13"/>
        <v>378</v>
      </c>
      <c r="G47" s="351">
        <f t="shared" si="13"/>
        <v>378</v>
      </c>
      <c r="H47" s="351">
        <f t="shared" si="13"/>
        <v>378</v>
      </c>
      <c r="I47" s="351">
        <f t="shared" si="13"/>
        <v>378</v>
      </c>
      <c r="J47" s="351">
        <f t="shared" si="13"/>
        <v>378</v>
      </c>
      <c r="K47" s="351">
        <f t="shared" si="13"/>
        <v>378</v>
      </c>
      <c r="L47" s="351">
        <f t="shared" si="13"/>
        <v>378</v>
      </c>
      <c r="M47" s="351">
        <f t="shared" si="13"/>
        <v>378</v>
      </c>
      <c r="N47" s="351">
        <f t="shared" si="13"/>
        <v>378</v>
      </c>
      <c r="O47" s="351">
        <f t="shared" si="13"/>
        <v>378</v>
      </c>
    </row>
    <row r="48" spans="1:15" x14ac:dyDescent="0.25">
      <c r="A48" s="352" t="s">
        <v>339</v>
      </c>
      <c r="B48" s="353" t="s">
        <v>341</v>
      </c>
      <c r="C48" s="354">
        <v>29</v>
      </c>
      <c r="D48" s="355">
        <v>1</v>
      </c>
      <c r="E48" s="358"/>
      <c r="F48" s="351">
        <f t="shared" si="13"/>
        <v>87</v>
      </c>
      <c r="G48" s="351">
        <f t="shared" si="13"/>
        <v>87</v>
      </c>
      <c r="H48" s="351">
        <f t="shared" si="13"/>
        <v>87</v>
      </c>
      <c r="I48" s="351">
        <f t="shared" si="13"/>
        <v>87</v>
      </c>
      <c r="J48" s="351">
        <f t="shared" si="13"/>
        <v>87</v>
      </c>
      <c r="K48" s="351">
        <f t="shared" si="13"/>
        <v>87</v>
      </c>
      <c r="L48" s="351">
        <f t="shared" si="13"/>
        <v>87</v>
      </c>
      <c r="M48" s="351">
        <f t="shared" si="13"/>
        <v>87</v>
      </c>
      <c r="N48" s="351">
        <f t="shared" si="13"/>
        <v>87</v>
      </c>
      <c r="O48" s="351">
        <f t="shared" si="13"/>
        <v>87</v>
      </c>
    </row>
    <row r="49" spans="1:18" x14ac:dyDescent="0.25">
      <c r="A49" s="352" t="s">
        <v>350</v>
      </c>
      <c r="B49" s="353" t="s">
        <v>351</v>
      </c>
      <c r="C49" s="354">
        <v>25</v>
      </c>
      <c r="D49" s="355">
        <v>2</v>
      </c>
      <c r="E49" s="358"/>
      <c r="F49" s="351">
        <f t="shared" si="13"/>
        <v>150</v>
      </c>
      <c r="G49" s="351">
        <f t="shared" si="13"/>
        <v>150</v>
      </c>
      <c r="H49" s="351">
        <f t="shared" si="13"/>
        <v>150</v>
      </c>
      <c r="I49" s="351">
        <f t="shared" si="13"/>
        <v>150</v>
      </c>
      <c r="J49" s="351">
        <f t="shared" si="13"/>
        <v>150</v>
      </c>
      <c r="K49" s="351">
        <f t="shared" si="13"/>
        <v>150</v>
      </c>
      <c r="L49" s="351">
        <f t="shared" si="13"/>
        <v>150</v>
      </c>
      <c r="M49" s="351">
        <f t="shared" si="13"/>
        <v>150</v>
      </c>
      <c r="N49" s="351">
        <f t="shared" si="13"/>
        <v>150</v>
      </c>
      <c r="O49" s="351">
        <f t="shared" si="13"/>
        <v>150</v>
      </c>
    </row>
    <row r="50" spans="1:18" x14ac:dyDescent="0.25">
      <c r="A50" s="356" t="s">
        <v>346</v>
      </c>
      <c r="B50" s="353" t="s">
        <v>347</v>
      </c>
      <c r="C50" s="354">
        <v>1.1000000000000001</v>
      </c>
      <c r="D50" s="361">
        <v>7.5</v>
      </c>
      <c r="E50" s="358"/>
      <c r="F50" s="351">
        <f t="shared" si="13"/>
        <v>24.750000000000004</v>
      </c>
      <c r="G50" s="351">
        <f t="shared" si="13"/>
        <v>24.750000000000004</v>
      </c>
      <c r="H50" s="351">
        <f t="shared" si="13"/>
        <v>24.750000000000004</v>
      </c>
      <c r="I50" s="351">
        <f t="shared" si="13"/>
        <v>24.750000000000004</v>
      </c>
      <c r="J50" s="351">
        <f t="shared" si="13"/>
        <v>24.750000000000004</v>
      </c>
      <c r="K50" s="351">
        <f t="shared" si="13"/>
        <v>24.750000000000004</v>
      </c>
      <c r="L50" s="351">
        <f t="shared" si="13"/>
        <v>24.750000000000004</v>
      </c>
      <c r="M50" s="351">
        <f t="shared" si="13"/>
        <v>24.750000000000004</v>
      </c>
      <c r="N50" s="351">
        <f t="shared" si="13"/>
        <v>24.750000000000004</v>
      </c>
      <c r="O50" s="351">
        <f t="shared" si="13"/>
        <v>24.750000000000004</v>
      </c>
    </row>
    <row r="51" spans="1:18" x14ac:dyDescent="0.25">
      <c r="A51" s="347" t="s">
        <v>319</v>
      </c>
      <c r="B51" s="291"/>
      <c r="C51" s="348"/>
      <c r="D51" s="349">
        <f>VLOOKUP($A51,$A$14:$B$20,2,FALSE)</f>
        <v>1000</v>
      </c>
      <c r="E51" s="294">
        <f>VLOOKUP($A51,$A$14:$D$20,4,FALSE)</f>
        <v>6</v>
      </c>
      <c r="F51" s="295"/>
      <c r="G51" s="295"/>
      <c r="H51" s="295"/>
      <c r="I51" s="295"/>
      <c r="J51" s="295"/>
      <c r="K51" s="295"/>
      <c r="L51" s="295"/>
      <c r="M51" s="295"/>
      <c r="N51" s="295"/>
      <c r="O51" s="295"/>
    </row>
    <row r="52" spans="1:18" x14ac:dyDescent="0.25">
      <c r="A52" s="352" t="s">
        <v>327</v>
      </c>
      <c r="B52" s="353">
        <v>1005008511</v>
      </c>
      <c r="C52" s="354">
        <v>80.260000000000005</v>
      </c>
      <c r="D52" s="355">
        <v>1</v>
      </c>
      <c r="E52" s="358"/>
      <c r="F52" s="351">
        <f t="shared" ref="F52:O65" si="14">IF(F$17=0,0,F$17/$C$17*$D52*$C52)</f>
        <v>481.56000000000006</v>
      </c>
      <c r="G52" s="351">
        <f t="shared" si="14"/>
        <v>481.56000000000006</v>
      </c>
      <c r="H52" s="351">
        <f t="shared" si="14"/>
        <v>481.56000000000006</v>
      </c>
      <c r="I52" s="351">
        <f t="shared" si="14"/>
        <v>481.56000000000006</v>
      </c>
      <c r="J52" s="351">
        <f t="shared" si="14"/>
        <v>481.56000000000006</v>
      </c>
      <c r="K52" s="351">
        <f t="shared" si="14"/>
        <v>481.56000000000006</v>
      </c>
      <c r="L52" s="351">
        <f t="shared" si="14"/>
        <v>481.56000000000006</v>
      </c>
      <c r="M52" s="351">
        <f t="shared" si="14"/>
        <v>481.56000000000006</v>
      </c>
      <c r="N52" s="351">
        <f t="shared" si="14"/>
        <v>481.56000000000006</v>
      </c>
      <c r="O52" s="351">
        <f t="shared" si="14"/>
        <v>481.56000000000006</v>
      </c>
      <c r="R52" s="362"/>
    </row>
    <row r="53" spans="1:18" x14ac:dyDescent="0.25">
      <c r="A53" s="352" t="s">
        <v>352</v>
      </c>
      <c r="B53" s="353" t="s">
        <v>353</v>
      </c>
      <c r="C53" s="354">
        <v>84</v>
      </c>
      <c r="D53" s="355">
        <v>1</v>
      </c>
      <c r="E53" s="358"/>
      <c r="F53" s="351">
        <f t="shared" si="14"/>
        <v>504</v>
      </c>
      <c r="G53" s="351">
        <f t="shared" si="14"/>
        <v>504</v>
      </c>
      <c r="H53" s="351">
        <f t="shared" si="14"/>
        <v>504</v>
      </c>
      <c r="I53" s="351">
        <f t="shared" si="14"/>
        <v>504</v>
      </c>
      <c r="J53" s="351">
        <f t="shared" si="14"/>
        <v>504</v>
      </c>
      <c r="K53" s="351">
        <f t="shared" si="14"/>
        <v>504</v>
      </c>
      <c r="L53" s="351">
        <f t="shared" si="14"/>
        <v>504</v>
      </c>
      <c r="M53" s="351">
        <f t="shared" si="14"/>
        <v>504</v>
      </c>
      <c r="N53" s="351">
        <f t="shared" si="14"/>
        <v>504</v>
      </c>
      <c r="O53" s="351">
        <f t="shared" si="14"/>
        <v>504</v>
      </c>
      <c r="R53" s="362"/>
    </row>
    <row r="54" spans="1:18" x14ac:dyDescent="0.25">
      <c r="A54" s="352" t="s">
        <v>328</v>
      </c>
      <c r="B54" s="353" t="s">
        <v>329</v>
      </c>
      <c r="C54" s="354">
        <f>C26</f>
        <v>5.83</v>
      </c>
      <c r="D54" s="355">
        <v>2</v>
      </c>
      <c r="E54" s="358"/>
      <c r="F54" s="351">
        <f t="shared" si="14"/>
        <v>69.960000000000008</v>
      </c>
      <c r="G54" s="351">
        <f t="shared" si="14"/>
        <v>69.960000000000008</v>
      </c>
      <c r="H54" s="351">
        <f t="shared" si="14"/>
        <v>69.960000000000008</v>
      </c>
      <c r="I54" s="351">
        <f t="shared" si="14"/>
        <v>69.960000000000008</v>
      </c>
      <c r="J54" s="351">
        <f t="shared" si="14"/>
        <v>69.960000000000008</v>
      </c>
      <c r="K54" s="351">
        <f t="shared" si="14"/>
        <v>69.960000000000008</v>
      </c>
      <c r="L54" s="351">
        <f t="shared" si="14"/>
        <v>69.960000000000008</v>
      </c>
      <c r="M54" s="351">
        <f t="shared" si="14"/>
        <v>69.960000000000008</v>
      </c>
      <c r="N54" s="351">
        <f t="shared" si="14"/>
        <v>69.960000000000008</v>
      </c>
      <c r="O54" s="351">
        <f t="shared" si="14"/>
        <v>69.960000000000008</v>
      </c>
      <c r="R54" s="362"/>
    </row>
    <row r="55" spans="1:18" x14ac:dyDescent="0.25">
      <c r="A55" s="352" t="s">
        <v>330</v>
      </c>
      <c r="B55" s="353">
        <v>1013032300</v>
      </c>
      <c r="C55" s="354">
        <v>144.34</v>
      </c>
      <c r="D55" s="355">
        <v>5</v>
      </c>
      <c r="E55" s="358"/>
      <c r="F55" s="351">
        <f t="shared" si="14"/>
        <v>4330.2</v>
      </c>
      <c r="G55" s="351">
        <f t="shared" si="14"/>
        <v>4330.2</v>
      </c>
      <c r="H55" s="351">
        <f t="shared" si="14"/>
        <v>4330.2</v>
      </c>
      <c r="I55" s="351">
        <f t="shared" si="14"/>
        <v>4330.2</v>
      </c>
      <c r="J55" s="351">
        <f t="shared" si="14"/>
        <v>4330.2</v>
      </c>
      <c r="K55" s="351">
        <f t="shared" si="14"/>
        <v>4330.2</v>
      </c>
      <c r="L55" s="351">
        <f t="shared" si="14"/>
        <v>4330.2</v>
      </c>
      <c r="M55" s="351">
        <f t="shared" si="14"/>
        <v>4330.2</v>
      </c>
      <c r="N55" s="351">
        <f t="shared" si="14"/>
        <v>4330.2</v>
      </c>
      <c r="O55" s="351">
        <f t="shared" si="14"/>
        <v>4330.2</v>
      </c>
      <c r="R55" s="362"/>
    </row>
    <row r="56" spans="1:18" x14ac:dyDescent="0.25">
      <c r="A56" s="356" t="s">
        <v>331</v>
      </c>
      <c r="B56" s="353" t="s">
        <v>332</v>
      </c>
      <c r="C56" s="354">
        <v>4</v>
      </c>
      <c r="D56" s="355">
        <v>385</v>
      </c>
      <c r="E56" s="358"/>
      <c r="F56" s="351">
        <f t="shared" si="14"/>
        <v>9240</v>
      </c>
      <c r="G56" s="351">
        <f t="shared" si="14"/>
        <v>9240</v>
      </c>
      <c r="H56" s="351">
        <f t="shared" si="14"/>
        <v>9240</v>
      </c>
      <c r="I56" s="351">
        <f t="shared" si="14"/>
        <v>9240</v>
      </c>
      <c r="J56" s="351">
        <f t="shared" si="14"/>
        <v>9240</v>
      </c>
      <c r="K56" s="351">
        <f t="shared" si="14"/>
        <v>9240</v>
      </c>
      <c r="L56" s="351">
        <f t="shared" si="14"/>
        <v>9240</v>
      </c>
      <c r="M56" s="351">
        <f t="shared" si="14"/>
        <v>9240</v>
      </c>
      <c r="N56" s="351">
        <f t="shared" si="14"/>
        <v>9240</v>
      </c>
      <c r="O56" s="351">
        <f t="shared" si="14"/>
        <v>9240</v>
      </c>
      <c r="R56" s="362"/>
    </row>
    <row r="57" spans="1:18" x14ac:dyDescent="0.25">
      <c r="A57" s="352" t="s">
        <v>330</v>
      </c>
      <c r="B57" s="353" t="s">
        <v>333</v>
      </c>
      <c r="C57" s="354">
        <v>144</v>
      </c>
      <c r="D57" s="355">
        <v>5</v>
      </c>
      <c r="E57" s="358"/>
      <c r="F57" s="351">
        <f t="shared" si="14"/>
        <v>4320</v>
      </c>
      <c r="G57" s="351">
        <f t="shared" si="14"/>
        <v>4320</v>
      </c>
      <c r="H57" s="351">
        <f t="shared" si="14"/>
        <v>4320</v>
      </c>
      <c r="I57" s="351">
        <f t="shared" si="14"/>
        <v>4320</v>
      </c>
      <c r="J57" s="351">
        <f t="shared" si="14"/>
        <v>4320</v>
      </c>
      <c r="K57" s="351">
        <f t="shared" si="14"/>
        <v>4320</v>
      </c>
      <c r="L57" s="351">
        <f t="shared" si="14"/>
        <v>4320</v>
      </c>
      <c r="M57" s="351">
        <f t="shared" si="14"/>
        <v>4320</v>
      </c>
      <c r="N57" s="351">
        <f t="shared" si="14"/>
        <v>4320</v>
      </c>
      <c r="O57" s="351">
        <f t="shared" si="14"/>
        <v>4320</v>
      </c>
      <c r="R57" s="362"/>
    </row>
    <row r="58" spans="1:18" x14ac:dyDescent="0.25">
      <c r="A58" s="356" t="s">
        <v>334</v>
      </c>
      <c r="B58" s="353" t="s">
        <v>335</v>
      </c>
      <c r="C58" s="354">
        <v>245.36</v>
      </c>
      <c r="D58" s="355">
        <v>1</v>
      </c>
      <c r="E58" s="358"/>
      <c r="F58" s="351">
        <f t="shared" si="14"/>
        <v>1472.16</v>
      </c>
      <c r="G58" s="351">
        <f t="shared" si="14"/>
        <v>1472.16</v>
      </c>
      <c r="H58" s="351">
        <f t="shared" si="14"/>
        <v>1472.16</v>
      </c>
      <c r="I58" s="351">
        <f t="shared" si="14"/>
        <v>1472.16</v>
      </c>
      <c r="J58" s="351">
        <f t="shared" si="14"/>
        <v>1472.16</v>
      </c>
      <c r="K58" s="351">
        <f t="shared" si="14"/>
        <v>1472.16</v>
      </c>
      <c r="L58" s="351">
        <f t="shared" si="14"/>
        <v>1472.16</v>
      </c>
      <c r="M58" s="351">
        <f t="shared" si="14"/>
        <v>1472.16</v>
      </c>
      <c r="N58" s="351">
        <f t="shared" si="14"/>
        <v>1472.16</v>
      </c>
      <c r="O58" s="351">
        <f t="shared" si="14"/>
        <v>1472.16</v>
      </c>
      <c r="R58" s="362"/>
    </row>
    <row r="59" spans="1:18" x14ac:dyDescent="0.25">
      <c r="A59" s="356" t="s">
        <v>336</v>
      </c>
      <c r="B59" s="353" t="s">
        <v>337</v>
      </c>
      <c r="C59" s="354">
        <v>183.52</v>
      </c>
      <c r="D59" s="355">
        <v>3</v>
      </c>
      <c r="E59" s="358"/>
      <c r="F59" s="351">
        <f t="shared" si="14"/>
        <v>3303.36</v>
      </c>
      <c r="G59" s="351">
        <f t="shared" si="14"/>
        <v>3303.36</v>
      </c>
      <c r="H59" s="351">
        <f t="shared" si="14"/>
        <v>3303.36</v>
      </c>
      <c r="I59" s="351">
        <f t="shared" si="14"/>
        <v>3303.36</v>
      </c>
      <c r="J59" s="351">
        <f t="shared" si="14"/>
        <v>3303.36</v>
      </c>
      <c r="K59" s="351">
        <f t="shared" si="14"/>
        <v>3303.36</v>
      </c>
      <c r="L59" s="351">
        <f t="shared" si="14"/>
        <v>3303.36</v>
      </c>
      <c r="M59" s="351">
        <f t="shared" si="14"/>
        <v>3303.36</v>
      </c>
      <c r="N59" s="351">
        <f t="shared" si="14"/>
        <v>3303.36</v>
      </c>
      <c r="O59" s="351">
        <f t="shared" si="14"/>
        <v>3303.36</v>
      </c>
      <c r="R59" s="362"/>
    </row>
    <row r="60" spans="1:18" x14ac:dyDescent="0.25">
      <c r="A60" s="352" t="s">
        <v>348</v>
      </c>
      <c r="B60" s="353" t="s">
        <v>349</v>
      </c>
      <c r="C60" s="354">
        <v>99</v>
      </c>
      <c r="D60" s="355">
        <v>4</v>
      </c>
      <c r="E60" s="358"/>
      <c r="F60" s="351">
        <f t="shared" si="14"/>
        <v>2376</v>
      </c>
      <c r="G60" s="351">
        <f t="shared" si="14"/>
        <v>2376</v>
      </c>
      <c r="H60" s="351">
        <f t="shared" si="14"/>
        <v>2376</v>
      </c>
      <c r="I60" s="351">
        <f t="shared" si="14"/>
        <v>2376</v>
      </c>
      <c r="J60" s="351">
        <f t="shared" si="14"/>
        <v>2376</v>
      </c>
      <c r="K60" s="351">
        <f t="shared" si="14"/>
        <v>2376</v>
      </c>
      <c r="L60" s="351">
        <f t="shared" si="14"/>
        <v>2376</v>
      </c>
      <c r="M60" s="351">
        <f t="shared" si="14"/>
        <v>2376</v>
      </c>
      <c r="N60" s="351">
        <f t="shared" si="14"/>
        <v>2376</v>
      </c>
      <c r="O60" s="351">
        <f t="shared" si="14"/>
        <v>2376</v>
      </c>
      <c r="R60" s="362"/>
    </row>
    <row r="61" spans="1:18" x14ac:dyDescent="0.25">
      <c r="A61" s="352" t="s">
        <v>328</v>
      </c>
      <c r="B61" s="353" t="s">
        <v>338</v>
      </c>
      <c r="C61" s="354">
        <v>6</v>
      </c>
      <c r="D61" s="355">
        <v>1</v>
      </c>
      <c r="E61" s="358"/>
      <c r="F61" s="351">
        <f t="shared" si="14"/>
        <v>36</v>
      </c>
      <c r="G61" s="351">
        <f t="shared" si="14"/>
        <v>36</v>
      </c>
      <c r="H61" s="351">
        <f t="shared" si="14"/>
        <v>36</v>
      </c>
      <c r="I61" s="351">
        <f t="shared" si="14"/>
        <v>36</v>
      </c>
      <c r="J61" s="351">
        <f t="shared" si="14"/>
        <v>36</v>
      </c>
      <c r="K61" s="351">
        <f t="shared" si="14"/>
        <v>36</v>
      </c>
      <c r="L61" s="351">
        <f t="shared" si="14"/>
        <v>36</v>
      </c>
      <c r="M61" s="351">
        <f t="shared" si="14"/>
        <v>36</v>
      </c>
      <c r="N61" s="351">
        <f t="shared" si="14"/>
        <v>36</v>
      </c>
      <c r="O61" s="351">
        <f t="shared" si="14"/>
        <v>36</v>
      </c>
      <c r="R61" s="362"/>
    </row>
    <row r="62" spans="1:18" x14ac:dyDescent="0.25">
      <c r="A62" s="352" t="s">
        <v>339</v>
      </c>
      <c r="B62" s="353" t="s">
        <v>340</v>
      </c>
      <c r="C62" s="354">
        <v>126</v>
      </c>
      <c r="D62" s="355">
        <v>1</v>
      </c>
      <c r="E62" s="358"/>
      <c r="F62" s="351">
        <f t="shared" si="14"/>
        <v>756</v>
      </c>
      <c r="G62" s="351">
        <f t="shared" si="14"/>
        <v>756</v>
      </c>
      <c r="H62" s="351">
        <f t="shared" si="14"/>
        <v>756</v>
      </c>
      <c r="I62" s="351">
        <f t="shared" si="14"/>
        <v>756</v>
      </c>
      <c r="J62" s="351">
        <f t="shared" si="14"/>
        <v>756</v>
      </c>
      <c r="K62" s="351">
        <f t="shared" si="14"/>
        <v>756</v>
      </c>
      <c r="L62" s="351">
        <f t="shared" si="14"/>
        <v>756</v>
      </c>
      <c r="M62" s="351">
        <f t="shared" si="14"/>
        <v>756</v>
      </c>
      <c r="N62" s="351">
        <f t="shared" si="14"/>
        <v>756</v>
      </c>
      <c r="O62" s="351">
        <f t="shared" si="14"/>
        <v>756</v>
      </c>
      <c r="R62" s="362"/>
    </row>
    <row r="63" spans="1:18" x14ac:dyDescent="0.25">
      <c r="A63" s="352" t="s">
        <v>339</v>
      </c>
      <c r="B63" s="353" t="s">
        <v>341</v>
      </c>
      <c r="C63" s="354">
        <v>126</v>
      </c>
      <c r="D63" s="355">
        <v>1</v>
      </c>
      <c r="E63" s="358"/>
      <c r="F63" s="351">
        <f t="shared" si="14"/>
        <v>756</v>
      </c>
      <c r="G63" s="351">
        <f t="shared" si="14"/>
        <v>756</v>
      </c>
      <c r="H63" s="351">
        <f t="shared" si="14"/>
        <v>756</v>
      </c>
      <c r="I63" s="351">
        <f t="shared" si="14"/>
        <v>756</v>
      </c>
      <c r="J63" s="351">
        <f t="shared" si="14"/>
        <v>756</v>
      </c>
      <c r="K63" s="351">
        <f t="shared" si="14"/>
        <v>756</v>
      </c>
      <c r="L63" s="351">
        <f t="shared" si="14"/>
        <v>756</v>
      </c>
      <c r="M63" s="351">
        <f t="shared" si="14"/>
        <v>756</v>
      </c>
      <c r="N63" s="351">
        <f t="shared" si="14"/>
        <v>756</v>
      </c>
      <c r="O63" s="351">
        <f t="shared" si="14"/>
        <v>756</v>
      </c>
      <c r="R63" s="362"/>
    </row>
    <row r="64" spans="1:18" x14ac:dyDescent="0.25">
      <c r="A64" s="352" t="s">
        <v>350</v>
      </c>
      <c r="B64" s="353" t="s">
        <v>351</v>
      </c>
      <c r="C64" s="354">
        <v>25</v>
      </c>
      <c r="D64" s="355">
        <v>2</v>
      </c>
      <c r="E64" s="358"/>
      <c r="F64" s="351">
        <f t="shared" si="14"/>
        <v>300</v>
      </c>
      <c r="G64" s="351">
        <f t="shared" si="14"/>
        <v>300</v>
      </c>
      <c r="H64" s="351">
        <f t="shared" si="14"/>
        <v>300</v>
      </c>
      <c r="I64" s="351">
        <f t="shared" si="14"/>
        <v>300</v>
      </c>
      <c r="J64" s="351">
        <f t="shared" si="14"/>
        <v>300</v>
      </c>
      <c r="K64" s="351">
        <f t="shared" si="14"/>
        <v>300</v>
      </c>
      <c r="L64" s="351">
        <f t="shared" si="14"/>
        <v>300</v>
      </c>
      <c r="M64" s="351">
        <f t="shared" si="14"/>
        <v>300</v>
      </c>
      <c r="N64" s="351">
        <f t="shared" si="14"/>
        <v>300</v>
      </c>
      <c r="O64" s="351">
        <f t="shared" si="14"/>
        <v>300</v>
      </c>
      <c r="R64" s="362"/>
    </row>
    <row r="65" spans="1:18" x14ac:dyDescent="0.25">
      <c r="A65" s="356" t="s">
        <v>346</v>
      </c>
      <c r="B65" s="363" t="s">
        <v>347</v>
      </c>
      <c r="C65" s="354">
        <v>1.1000000000000001</v>
      </c>
      <c r="D65" s="361">
        <v>21</v>
      </c>
      <c r="E65" s="358"/>
      <c r="F65" s="351">
        <f t="shared" si="14"/>
        <v>138.60000000000002</v>
      </c>
      <c r="G65" s="351">
        <f t="shared" si="14"/>
        <v>138.60000000000002</v>
      </c>
      <c r="H65" s="351">
        <f t="shared" si="14"/>
        <v>138.60000000000002</v>
      </c>
      <c r="I65" s="351">
        <f t="shared" si="14"/>
        <v>138.60000000000002</v>
      </c>
      <c r="J65" s="351">
        <f t="shared" si="14"/>
        <v>138.60000000000002</v>
      </c>
      <c r="K65" s="351">
        <f t="shared" si="14"/>
        <v>138.60000000000002</v>
      </c>
      <c r="L65" s="351">
        <f t="shared" si="14"/>
        <v>138.60000000000002</v>
      </c>
      <c r="M65" s="351">
        <f t="shared" si="14"/>
        <v>138.60000000000002</v>
      </c>
      <c r="N65" s="351">
        <f t="shared" si="14"/>
        <v>138.60000000000002</v>
      </c>
      <c r="O65" s="351">
        <f t="shared" si="14"/>
        <v>138.60000000000002</v>
      </c>
      <c r="R65" s="362"/>
    </row>
    <row r="66" spans="1:18" x14ac:dyDescent="0.25">
      <c r="A66" s="347" t="s">
        <v>320</v>
      </c>
      <c r="B66" s="364"/>
      <c r="C66" s="348"/>
      <c r="D66" s="349">
        <f>VLOOKUP($A66,$A$14:$B$20,2,FALSE)</f>
        <v>3500</v>
      </c>
      <c r="E66" s="294">
        <f>VLOOKUP($A66,$A$14:$D$20,4,FALSE)</f>
        <v>2</v>
      </c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R66" s="362"/>
    </row>
    <row r="67" spans="1:18" x14ac:dyDescent="0.25">
      <c r="A67" s="357" t="s">
        <v>342</v>
      </c>
      <c r="B67" s="353" t="s">
        <v>343</v>
      </c>
      <c r="C67" s="354">
        <v>3.49</v>
      </c>
      <c r="D67" s="355">
        <v>790</v>
      </c>
      <c r="E67" s="358"/>
      <c r="F67" s="351">
        <f t="shared" ref="F67:O67" si="15">IF(F$18=0,0,F$18/$C$18*$D67*$C67)</f>
        <v>5514.2000000000007</v>
      </c>
      <c r="G67" s="351">
        <f t="shared" si="15"/>
        <v>5514.2000000000007</v>
      </c>
      <c r="H67" s="351">
        <f t="shared" si="15"/>
        <v>5514.2000000000007</v>
      </c>
      <c r="I67" s="351">
        <f t="shared" si="15"/>
        <v>5514.2000000000007</v>
      </c>
      <c r="J67" s="351">
        <f t="shared" si="15"/>
        <v>5514.2000000000007</v>
      </c>
      <c r="K67" s="351">
        <f t="shared" si="15"/>
        <v>5514.2000000000007</v>
      </c>
      <c r="L67" s="351">
        <f t="shared" si="15"/>
        <v>5514.2000000000007</v>
      </c>
      <c r="M67" s="351">
        <f t="shared" si="15"/>
        <v>5514.2000000000007</v>
      </c>
      <c r="N67" s="351">
        <f t="shared" si="15"/>
        <v>5514.2000000000007</v>
      </c>
      <c r="O67" s="351">
        <f t="shared" si="15"/>
        <v>5514.2000000000007</v>
      </c>
      <c r="R67" s="362"/>
    </row>
    <row r="68" spans="1:18" x14ac:dyDescent="0.25">
      <c r="A68" s="347" t="s">
        <v>321</v>
      </c>
      <c r="B68" s="364"/>
      <c r="C68" s="348"/>
      <c r="D68" s="349">
        <f>VLOOKUP($A68,$A$14:$B$20,2,FALSE)</f>
        <v>2500</v>
      </c>
      <c r="E68" s="294">
        <f>VLOOKUP($A68,$A$14:$D$20,4,FALSE)</f>
        <v>2</v>
      </c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R68" s="362"/>
    </row>
    <row r="69" spans="1:18" ht="28.55" x14ac:dyDescent="0.25">
      <c r="A69" s="357" t="s">
        <v>344</v>
      </c>
      <c r="B69" s="360" t="s">
        <v>345</v>
      </c>
      <c r="C69" s="354">
        <f>C36</f>
        <v>3.7</v>
      </c>
      <c r="D69" s="355">
        <v>210</v>
      </c>
      <c r="E69" s="358"/>
      <c r="F69" s="351">
        <f>IF(F$19=0,0,F$19/$C$19*$D69*$C69)</f>
        <v>1554</v>
      </c>
      <c r="G69" s="351">
        <f t="shared" ref="G69:O69" si="16">IF(G$19=0,0,G$19/$C$19*$D69*$C69)</f>
        <v>1554</v>
      </c>
      <c r="H69" s="351">
        <f t="shared" si="16"/>
        <v>1554</v>
      </c>
      <c r="I69" s="351">
        <f t="shared" si="16"/>
        <v>1554</v>
      </c>
      <c r="J69" s="351">
        <f t="shared" si="16"/>
        <v>1554</v>
      </c>
      <c r="K69" s="351">
        <f t="shared" si="16"/>
        <v>1554</v>
      </c>
      <c r="L69" s="351">
        <f t="shared" si="16"/>
        <v>1554</v>
      </c>
      <c r="M69" s="351">
        <f t="shared" si="16"/>
        <v>1554</v>
      </c>
      <c r="N69" s="351">
        <f t="shared" si="16"/>
        <v>1554</v>
      </c>
      <c r="O69" s="351">
        <f t="shared" si="16"/>
        <v>1554</v>
      </c>
      <c r="R69" s="362"/>
    </row>
    <row r="70" spans="1:18" x14ac:dyDescent="0.25">
      <c r="A70" s="347" t="s">
        <v>322</v>
      </c>
      <c r="B70" s="364"/>
      <c r="C70" s="348"/>
      <c r="D70" s="349">
        <f>VLOOKUP($A70,$A$14:$B$20,2,FALSE)</f>
        <v>4000</v>
      </c>
      <c r="E70" s="294">
        <f>VLOOKUP($A70,$A$14:$D$20,4,FALSE)</f>
        <v>1</v>
      </c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R70" s="362"/>
    </row>
    <row r="71" spans="1:18" ht="28.55" x14ac:dyDescent="0.25">
      <c r="A71" s="357" t="s">
        <v>344</v>
      </c>
      <c r="B71" s="360" t="s">
        <v>354</v>
      </c>
      <c r="C71" s="354">
        <v>3.7</v>
      </c>
      <c r="D71" s="355">
        <v>750</v>
      </c>
      <c r="E71" s="358"/>
      <c r="F71" s="351">
        <f>IF(F$20=0,0,F$20/$C$20*$D71*$C71)</f>
        <v>2775</v>
      </c>
      <c r="G71" s="351">
        <f t="shared" ref="G71:O71" si="17">IF(G$20=0,0,G$20/$C$20*$D71*$C71)</f>
        <v>2775</v>
      </c>
      <c r="H71" s="351">
        <f t="shared" si="17"/>
        <v>2775</v>
      </c>
      <c r="I71" s="351">
        <f t="shared" si="17"/>
        <v>2775</v>
      </c>
      <c r="J71" s="351">
        <f t="shared" si="17"/>
        <v>2775</v>
      </c>
      <c r="K71" s="351">
        <f t="shared" si="17"/>
        <v>2775</v>
      </c>
      <c r="L71" s="351">
        <f t="shared" si="17"/>
        <v>2775</v>
      </c>
      <c r="M71" s="351">
        <f t="shared" si="17"/>
        <v>2775</v>
      </c>
      <c r="N71" s="351">
        <f t="shared" si="17"/>
        <v>2775</v>
      </c>
      <c r="O71" s="351">
        <f t="shared" si="17"/>
        <v>2775</v>
      </c>
      <c r="R71" s="362"/>
    </row>
  </sheetData>
  <mergeCells count="2">
    <mergeCell ref="A11:O11"/>
    <mergeCell ref="A21:O21"/>
  </mergeCells>
  <pageMargins left="0" right="0" top="0.74803149606299213" bottom="0.74803149606299213" header="0.31496062992125984" footer="0.31496062992125984"/>
  <pageSetup paperSize="8" scale="66" orientation="landscape" r:id="rId1"/>
  <customProperties>
    <customPr name="_pios_i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EC93-B60F-4500-9F1D-6B3A0A6AD48B}">
  <sheetPr>
    <tabColor theme="7" tint="0.79998168889431442"/>
    <pageSetUpPr fitToPage="1"/>
  </sheetPr>
  <dimension ref="B2:Z82"/>
  <sheetViews>
    <sheetView showGridLines="0" zoomScale="85" zoomScaleNormal="85" zoomScaleSheetLayoutView="85" workbookViewId="0">
      <pane xSplit="2" ySplit="6" topLeftCell="C7" activePane="bottomRight" state="frozen"/>
      <selection activeCell="N49" sqref="N49"/>
      <selection pane="topRight" activeCell="N49" sqref="N49"/>
      <selection pane="bottomLeft" activeCell="N49" sqref="N49"/>
      <selection pane="bottomRight" activeCell="F12" sqref="F12"/>
    </sheetView>
  </sheetViews>
  <sheetFormatPr defaultRowHeight="14.3" x14ac:dyDescent="0.25"/>
  <cols>
    <col min="1" max="1" width="5.375" style="275" customWidth="1"/>
    <col min="2" max="2" width="58.75" style="275" customWidth="1"/>
    <col min="3" max="3" width="14.25" style="275" customWidth="1"/>
    <col min="4" max="4" width="17.375" style="275" customWidth="1"/>
    <col min="5" max="5" width="11.375" style="276" customWidth="1"/>
    <col min="6" max="15" width="11.125" style="276" customWidth="1"/>
    <col min="16" max="16" width="24.625" style="275" customWidth="1"/>
    <col min="17" max="17" width="9" style="275"/>
    <col min="18" max="18" width="18.125" style="275" customWidth="1"/>
    <col min="19" max="16384" width="9" style="275"/>
  </cols>
  <sheetData>
    <row r="2" spans="2:16" x14ac:dyDescent="0.25">
      <c r="B2" s="365" t="s">
        <v>259</v>
      </c>
    </row>
    <row r="3" spans="2:16" ht="14.95" thickBot="1" x14ac:dyDescent="0.3">
      <c r="B3" s="275" t="s">
        <v>298</v>
      </c>
      <c r="F3" s="277">
        <f>БелАЗ!E12</f>
        <v>0.90830416032470829</v>
      </c>
      <c r="G3" s="277">
        <f>БелАЗ!F12</f>
        <v>0.88577435312024355</v>
      </c>
      <c r="H3" s="277">
        <f>БелАЗ!G12</f>
        <v>0.86468734145103998</v>
      </c>
      <c r="I3" s="277">
        <f>БелАЗ!H12</f>
        <v>0.87460193641129713</v>
      </c>
      <c r="J3" s="277">
        <f>БелАЗ!I12</f>
        <v>0.88129798748520216</v>
      </c>
      <c r="K3" s="277">
        <f>БелАЗ!J12</f>
        <v>0.8456720361914426</v>
      </c>
      <c r="L3" s="277">
        <f>БелАЗ!K12</f>
        <v>0.89713174361576187</v>
      </c>
      <c r="M3" s="277">
        <f>БелАЗ!L12</f>
        <v>0.85462476746152538</v>
      </c>
      <c r="N3" s="277">
        <f>БелАЗ!M12</f>
        <v>0.84219452900388969</v>
      </c>
      <c r="O3" s="277">
        <f>БелАЗ!N12</f>
        <v>0.86135781329274486</v>
      </c>
    </row>
    <row r="4" spans="2:16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O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  <c r="N4" s="337">
        <f t="shared" si="0"/>
        <v>9</v>
      </c>
      <c r="O4" s="337">
        <f t="shared" si="0"/>
        <v>10</v>
      </c>
    </row>
    <row r="5" spans="2:16" x14ac:dyDescent="0.25">
      <c r="B5" s="369" t="s">
        <v>300</v>
      </c>
      <c r="C5" s="370" t="s">
        <v>301</v>
      </c>
      <c r="D5" s="292"/>
      <c r="E5" s="370"/>
      <c r="F5" s="295">
        <v>0</v>
      </c>
      <c r="G5" s="295">
        <f>F6+1</f>
        <v>7001</v>
      </c>
      <c r="H5" s="295">
        <f t="shared" ref="H5:O5" si="1">G6+1</f>
        <v>14001</v>
      </c>
      <c r="I5" s="295">
        <f t="shared" si="1"/>
        <v>21001</v>
      </c>
      <c r="J5" s="295">
        <f t="shared" si="1"/>
        <v>28001</v>
      </c>
      <c r="K5" s="295">
        <f t="shared" si="1"/>
        <v>35001</v>
      </c>
      <c r="L5" s="295">
        <f t="shared" si="1"/>
        <v>42001</v>
      </c>
      <c r="M5" s="295">
        <f t="shared" si="1"/>
        <v>49001</v>
      </c>
      <c r="N5" s="295">
        <f t="shared" si="1"/>
        <v>56001</v>
      </c>
      <c r="O5" s="295">
        <f t="shared" si="1"/>
        <v>63001</v>
      </c>
    </row>
    <row r="6" spans="2:16" ht="14.95" thickBot="1" x14ac:dyDescent="0.3">
      <c r="B6" s="371" t="s">
        <v>302</v>
      </c>
      <c r="C6" s="372" t="s">
        <v>301</v>
      </c>
      <c r="D6" s="373"/>
      <c r="E6" s="374">
        <f>'БелАЗ ТО'!E6</f>
        <v>7000</v>
      </c>
      <c r="F6" s="375">
        <f>E6</f>
        <v>7000</v>
      </c>
      <c r="G6" s="375">
        <f t="shared" ref="G6:O6" si="2">F6+$E6</f>
        <v>14000</v>
      </c>
      <c r="H6" s="375">
        <f t="shared" si="2"/>
        <v>21000</v>
      </c>
      <c r="I6" s="375">
        <f t="shared" si="2"/>
        <v>28000</v>
      </c>
      <c r="J6" s="375">
        <f t="shared" si="2"/>
        <v>35000</v>
      </c>
      <c r="K6" s="375">
        <f t="shared" si="2"/>
        <v>42000</v>
      </c>
      <c r="L6" s="375">
        <f t="shared" si="2"/>
        <v>49000</v>
      </c>
      <c r="M6" s="375">
        <f t="shared" si="2"/>
        <v>56000</v>
      </c>
      <c r="N6" s="375">
        <f t="shared" si="2"/>
        <v>63000</v>
      </c>
      <c r="O6" s="375">
        <f t="shared" si="2"/>
        <v>70000</v>
      </c>
    </row>
    <row r="7" spans="2:16" ht="14.95" thickBot="1" x14ac:dyDescent="0.3"/>
    <row r="8" spans="2:16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120</v>
      </c>
      <c r="G8" s="378">
        <f t="shared" ref="G8:O8" si="3">G16</f>
        <v>330</v>
      </c>
      <c r="H8" s="378">
        <f t="shared" si="3"/>
        <v>520</v>
      </c>
      <c r="I8" s="378">
        <f t="shared" si="3"/>
        <v>430.66666666666669</v>
      </c>
      <c r="J8" s="378">
        <f t="shared" si="3"/>
        <v>370.33333333333331</v>
      </c>
      <c r="K8" s="378">
        <f t="shared" si="3"/>
        <v>691.33333333333337</v>
      </c>
      <c r="L8" s="378">
        <f t="shared" si="3"/>
        <v>227.66666666666666</v>
      </c>
      <c r="M8" s="378">
        <f t="shared" si="3"/>
        <v>610.66666666666663</v>
      </c>
      <c r="N8" s="378">
        <f t="shared" si="3"/>
        <v>722.66666666666663</v>
      </c>
      <c r="O8" s="378">
        <f t="shared" si="3"/>
        <v>550</v>
      </c>
    </row>
    <row r="9" spans="2:16" ht="21.1" customHeight="1" x14ac:dyDescent="0.25">
      <c r="B9" s="379" t="s">
        <v>357</v>
      </c>
      <c r="C9" s="380" t="s">
        <v>358</v>
      </c>
      <c r="D9" s="253"/>
      <c r="E9" s="253"/>
      <c r="F9" s="302">
        <f>SUM(F10:F12)</f>
        <v>25601.1</v>
      </c>
      <c r="G9" s="302">
        <f t="shared" ref="G9:O9" si="4">SUM(G10:G12)</f>
        <v>207244.15</v>
      </c>
      <c r="H9" s="302">
        <f t="shared" si="4"/>
        <v>461710.85</v>
      </c>
      <c r="I9" s="302">
        <f t="shared" si="4"/>
        <v>616649.34499999997</v>
      </c>
      <c r="J9" s="302">
        <f t="shared" si="4"/>
        <v>521265.67499999999</v>
      </c>
      <c r="K9" s="302">
        <f t="shared" si="4"/>
        <v>578261.86</v>
      </c>
      <c r="L9" s="302">
        <f t="shared" si="4"/>
        <v>70137.904999999999</v>
      </c>
      <c r="M9" s="302">
        <f t="shared" si="4"/>
        <v>736836.90500000003</v>
      </c>
      <c r="N9" s="302">
        <f t="shared" si="4"/>
        <v>851393.05999999994</v>
      </c>
      <c r="O9" s="302">
        <f t="shared" si="4"/>
        <v>121151.75</v>
      </c>
      <c r="P9" s="303"/>
    </row>
    <row r="10" spans="2:16" ht="18.7" customHeight="1" x14ac:dyDescent="0.25">
      <c r="B10" s="381" t="s">
        <v>283</v>
      </c>
      <c r="C10" s="260" t="s">
        <v>358</v>
      </c>
      <c r="D10" s="260"/>
      <c r="E10" s="260"/>
      <c r="F10" s="263">
        <f>F54</f>
        <v>16500</v>
      </c>
      <c r="G10" s="263">
        <f t="shared" ref="G10:O10" si="5">G54</f>
        <v>183700</v>
      </c>
      <c r="H10" s="263">
        <f t="shared" si="5"/>
        <v>158500</v>
      </c>
      <c r="I10" s="263">
        <f t="shared" si="5"/>
        <v>50700</v>
      </c>
      <c r="J10" s="263">
        <f t="shared" si="5"/>
        <v>163500</v>
      </c>
      <c r="K10" s="263">
        <f t="shared" si="5"/>
        <v>188700</v>
      </c>
      <c r="L10" s="263">
        <f t="shared" si="5"/>
        <v>35500</v>
      </c>
      <c r="M10" s="263">
        <f t="shared" si="5"/>
        <v>198700</v>
      </c>
      <c r="N10" s="263">
        <f t="shared" si="5"/>
        <v>173500</v>
      </c>
      <c r="O10" s="263">
        <f t="shared" si="5"/>
        <v>70700</v>
      </c>
    </row>
    <row r="11" spans="2:16" ht="18.7" customHeight="1" x14ac:dyDescent="0.25">
      <c r="B11" s="381" t="s">
        <v>284</v>
      </c>
      <c r="C11" s="260" t="s">
        <v>358</v>
      </c>
      <c r="D11" s="260"/>
      <c r="E11" s="260"/>
      <c r="F11" s="263">
        <f>F59</f>
        <v>0</v>
      </c>
      <c r="G11" s="263">
        <f t="shared" ref="G11:O11" si="6">G59</f>
        <v>0</v>
      </c>
      <c r="H11" s="263">
        <f t="shared" si="6"/>
        <v>267400</v>
      </c>
      <c r="I11" s="263">
        <f t="shared" si="6"/>
        <v>530000</v>
      </c>
      <c r="J11" s="263">
        <f t="shared" si="6"/>
        <v>327000</v>
      </c>
      <c r="K11" s="263">
        <f t="shared" si="6"/>
        <v>338200</v>
      </c>
      <c r="L11" s="263">
        <f t="shared" si="6"/>
        <v>14200</v>
      </c>
      <c r="M11" s="263">
        <f t="shared" si="6"/>
        <v>490000</v>
      </c>
      <c r="N11" s="263">
        <f t="shared" si="6"/>
        <v>620200</v>
      </c>
      <c r="O11" s="263">
        <f t="shared" si="6"/>
        <v>0</v>
      </c>
    </row>
    <row r="12" spans="2:16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SUMPRODUCT($D30:$D50,F$30:F$50)</f>
        <v>9101.1</v>
      </c>
      <c r="G12" s="314">
        <f t="shared" ref="G12:O12" si="7">SUMPRODUCT($D30:$D50,G$30:G$50)</f>
        <v>23544.15</v>
      </c>
      <c r="H12" s="314">
        <f t="shared" si="7"/>
        <v>35810.85</v>
      </c>
      <c r="I12" s="314">
        <f t="shared" si="7"/>
        <v>35949.345000000001</v>
      </c>
      <c r="J12" s="314">
        <f t="shared" si="7"/>
        <v>30765.674999999999</v>
      </c>
      <c r="K12" s="314">
        <f t="shared" si="7"/>
        <v>51361.86</v>
      </c>
      <c r="L12" s="314">
        <f t="shared" si="7"/>
        <v>20437.904999999999</v>
      </c>
      <c r="M12" s="314">
        <f t="shared" si="7"/>
        <v>48136.904999999999</v>
      </c>
      <c r="N12" s="314">
        <f t="shared" si="7"/>
        <v>57693.05999999999</v>
      </c>
      <c r="O12" s="314">
        <f t="shared" si="7"/>
        <v>50451.75</v>
      </c>
    </row>
    <row r="13" spans="2:16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  <c r="N13" s="386"/>
      <c r="O13" s="386"/>
    </row>
    <row r="14" spans="2:16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</row>
    <row r="15" spans="2:16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O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  <c r="N15" s="389">
        <f t="shared" si="8"/>
        <v>9</v>
      </c>
      <c r="O15" s="389">
        <f t="shared" si="8"/>
        <v>10</v>
      </c>
    </row>
    <row r="16" spans="2:16" ht="16.5" customHeight="1" x14ac:dyDescent="0.25">
      <c r="B16" s="390" t="s">
        <v>362</v>
      </c>
      <c r="C16" s="246"/>
      <c r="D16" s="260"/>
      <c r="E16" s="260"/>
      <c r="F16" s="391">
        <f t="shared" ref="F16:O16" si="9">SUM(F17:F25)</f>
        <v>120</v>
      </c>
      <c r="G16" s="391">
        <f t="shared" si="9"/>
        <v>330</v>
      </c>
      <c r="H16" s="391">
        <f t="shared" si="9"/>
        <v>520</v>
      </c>
      <c r="I16" s="391">
        <f t="shared" si="9"/>
        <v>430.66666666666669</v>
      </c>
      <c r="J16" s="391">
        <f t="shared" si="9"/>
        <v>370.33333333333331</v>
      </c>
      <c r="K16" s="391">
        <f t="shared" si="9"/>
        <v>691.33333333333337</v>
      </c>
      <c r="L16" s="391">
        <f t="shared" si="9"/>
        <v>227.66666666666666</v>
      </c>
      <c r="M16" s="391">
        <f t="shared" si="9"/>
        <v>610.66666666666663</v>
      </c>
      <c r="N16" s="391">
        <f t="shared" si="9"/>
        <v>722.66666666666663</v>
      </c>
      <c r="O16" s="391">
        <f t="shared" si="9"/>
        <v>550</v>
      </c>
    </row>
    <row r="17" spans="2:26" ht="16.5" customHeight="1" x14ac:dyDescent="0.25">
      <c r="B17" s="392" t="s">
        <v>363</v>
      </c>
      <c r="C17" s="257" t="s">
        <v>304</v>
      </c>
      <c r="D17" s="271"/>
      <c r="E17" s="260"/>
      <c r="F17" s="393">
        <v>20</v>
      </c>
      <c r="G17" s="269">
        <v>30</v>
      </c>
      <c r="H17" s="394">
        <v>40</v>
      </c>
      <c r="I17" s="394">
        <v>55</v>
      </c>
      <c r="J17" s="394">
        <v>75</v>
      </c>
      <c r="K17" s="394">
        <v>90</v>
      </c>
      <c r="L17" s="394">
        <v>125</v>
      </c>
      <c r="M17" s="394">
        <v>135</v>
      </c>
      <c r="N17" s="394">
        <v>150</v>
      </c>
      <c r="O17" s="394">
        <v>350</v>
      </c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spans="2:26" ht="16.5" customHeight="1" x14ac:dyDescent="0.25">
      <c r="B18" s="392" t="s">
        <v>364</v>
      </c>
      <c r="C18" s="257" t="s">
        <v>304</v>
      </c>
      <c r="D18" s="271">
        <v>100</v>
      </c>
      <c r="E18" s="260"/>
      <c r="F18" s="393">
        <f>COUNTIFS($B$55:$B$58,$B18,F$55:F$58,"&gt;0")*$D18</f>
        <v>0</v>
      </c>
      <c r="G18" s="393">
        <f t="shared" ref="G18:N18" si="10">COUNTIFS($B$55:$B$58,$B18,G$55:G$58,"&gt;0")*$D18</f>
        <v>100</v>
      </c>
      <c r="H18" s="393">
        <f t="shared" si="10"/>
        <v>100</v>
      </c>
      <c r="I18" s="393">
        <f t="shared" si="10"/>
        <v>0</v>
      </c>
      <c r="J18" s="393">
        <f t="shared" si="10"/>
        <v>100</v>
      </c>
      <c r="K18" s="393">
        <f t="shared" si="10"/>
        <v>100</v>
      </c>
      <c r="L18" s="393">
        <f t="shared" si="10"/>
        <v>0</v>
      </c>
      <c r="M18" s="393">
        <f t="shared" si="10"/>
        <v>100</v>
      </c>
      <c r="N18" s="393">
        <f t="shared" si="10"/>
        <v>100</v>
      </c>
      <c r="O18" s="393">
        <f>COUNTIFS($B$55:$B$58,$B18,O$55:O$58,"&gt;0")*$D18</f>
        <v>0</v>
      </c>
    </row>
    <row r="19" spans="2:26" ht="16.5" customHeight="1" x14ac:dyDescent="0.25">
      <c r="B19" s="396" t="s">
        <v>365</v>
      </c>
      <c r="C19" s="257" t="s">
        <v>304</v>
      </c>
      <c r="D19" s="271">
        <v>100</v>
      </c>
      <c r="E19" s="260"/>
      <c r="F19" s="393">
        <f>COUNTIFS($B$55:$B$58,$B19,F$55:F$58,"&gt;0")*$D19</f>
        <v>100</v>
      </c>
      <c r="G19" s="393">
        <f t="shared" ref="G19:N20" si="11">COUNTIFS($B$55:$B$58,$B19,G$55:G$58,"&gt;0")*$D19</f>
        <v>100</v>
      </c>
      <c r="H19" s="393">
        <f t="shared" si="11"/>
        <v>100</v>
      </c>
      <c r="I19" s="393">
        <f t="shared" si="11"/>
        <v>100</v>
      </c>
      <c r="J19" s="393">
        <f t="shared" si="11"/>
        <v>100</v>
      </c>
      <c r="K19" s="393">
        <f t="shared" si="11"/>
        <v>100</v>
      </c>
      <c r="L19" s="393">
        <f t="shared" si="11"/>
        <v>100</v>
      </c>
      <c r="M19" s="393">
        <f t="shared" si="11"/>
        <v>100</v>
      </c>
      <c r="N19" s="393">
        <f t="shared" si="11"/>
        <v>100</v>
      </c>
      <c r="O19" s="393">
        <f>COUNTIFS($B$55:$B$58,$B19,O$55:O$58,"&gt;0")*$D19</f>
        <v>100</v>
      </c>
    </row>
    <row r="20" spans="2:26" ht="16.5" customHeight="1" x14ac:dyDescent="0.25">
      <c r="B20" s="396" t="s">
        <v>366</v>
      </c>
      <c r="C20" s="257" t="s">
        <v>304</v>
      </c>
      <c r="D20" s="271">
        <v>100</v>
      </c>
      <c r="E20" s="260"/>
      <c r="F20" s="393">
        <f>COUNTIFS($B$55:$B$58,$B20,F$55:F$58,"&gt;0")*$D20</f>
        <v>0</v>
      </c>
      <c r="G20" s="393">
        <f t="shared" si="11"/>
        <v>100</v>
      </c>
      <c r="H20" s="393">
        <f t="shared" si="11"/>
        <v>0</v>
      </c>
      <c r="I20" s="393">
        <f t="shared" si="11"/>
        <v>100</v>
      </c>
      <c r="J20" s="393">
        <f t="shared" si="11"/>
        <v>0</v>
      </c>
      <c r="K20" s="393">
        <f t="shared" si="11"/>
        <v>100</v>
      </c>
      <c r="L20" s="393">
        <f t="shared" si="11"/>
        <v>0</v>
      </c>
      <c r="M20" s="393">
        <f t="shared" si="11"/>
        <v>100</v>
      </c>
      <c r="N20" s="393">
        <f t="shared" si="11"/>
        <v>0</v>
      </c>
      <c r="O20" s="393">
        <f>COUNTIFS($B$55:$B$58,$B20,O$55:O$58,"&gt;0")*$D20</f>
        <v>100</v>
      </c>
    </row>
    <row r="21" spans="2:26" ht="16.5" customHeight="1" x14ac:dyDescent="0.25">
      <c r="B21" s="396" t="s">
        <v>367</v>
      </c>
      <c r="C21" s="257" t="s">
        <v>304</v>
      </c>
      <c r="D21" s="271">
        <v>168</v>
      </c>
      <c r="E21" s="268">
        <v>1</v>
      </c>
      <c r="F21" s="393">
        <f>COUNTIFS($B$61:$B$79,$B21,F$61:F$79,"&gt;0")*$D21</f>
        <v>0</v>
      </c>
      <c r="G21" s="393">
        <f t="shared" ref="F21:N24" si="12">COUNTIFS($B$61:$B$79,$B21,G$61:G$79,"&gt;0")*$D21</f>
        <v>0</v>
      </c>
      <c r="H21" s="393">
        <f t="shared" si="12"/>
        <v>0</v>
      </c>
      <c r="I21" s="393">
        <f t="shared" si="12"/>
        <v>168</v>
      </c>
      <c r="J21" s="393">
        <f t="shared" si="12"/>
        <v>0</v>
      </c>
      <c r="K21" s="393">
        <f t="shared" si="12"/>
        <v>0</v>
      </c>
      <c r="L21" s="393">
        <f t="shared" si="12"/>
        <v>0</v>
      </c>
      <c r="M21" s="393">
        <f t="shared" si="12"/>
        <v>168</v>
      </c>
      <c r="N21" s="393">
        <f t="shared" si="12"/>
        <v>0</v>
      </c>
      <c r="O21" s="393">
        <f>COUNTIFS($B$61:$B$79,$B21,O$61:O$79,"&gt;0")*$D21</f>
        <v>0</v>
      </c>
    </row>
    <row r="22" spans="2:26" ht="16.5" customHeight="1" x14ac:dyDescent="0.25">
      <c r="B22" s="396" t="s">
        <v>368</v>
      </c>
      <c r="C22" s="257" t="s">
        <v>304</v>
      </c>
      <c r="D22" s="271">
        <v>110</v>
      </c>
      <c r="E22" s="268">
        <v>1</v>
      </c>
      <c r="F22" s="393">
        <f t="shared" si="12"/>
        <v>0</v>
      </c>
      <c r="G22" s="393">
        <f t="shared" si="12"/>
        <v>0</v>
      </c>
      <c r="H22" s="393">
        <f>COUNTIFS($B$61:$B$79,$B22,H$61:H$79,"&gt;0")*$D22</f>
        <v>110</v>
      </c>
      <c r="I22" s="393">
        <f t="shared" si="12"/>
        <v>0</v>
      </c>
      <c r="J22" s="393">
        <f t="shared" si="12"/>
        <v>0</v>
      </c>
      <c r="K22" s="393">
        <f t="shared" si="12"/>
        <v>110</v>
      </c>
      <c r="L22" s="393">
        <f t="shared" si="12"/>
        <v>0</v>
      </c>
      <c r="M22" s="393">
        <f t="shared" si="12"/>
        <v>0</v>
      </c>
      <c r="N22" s="393">
        <f t="shared" si="12"/>
        <v>110</v>
      </c>
      <c r="O22" s="393">
        <f>COUNTIFS($B$61:$B$79,$B22,O$61:O$79,"&gt;0")*$D22</f>
        <v>0</v>
      </c>
    </row>
    <row r="23" spans="2:26" ht="16.5" customHeight="1" x14ac:dyDescent="0.25">
      <c r="B23" s="396" t="s">
        <v>369</v>
      </c>
      <c r="C23" s="257" t="s">
        <v>304</v>
      </c>
      <c r="D23" s="271">
        <v>150</v>
      </c>
      <c r="E23" s="268">
        <v>2</v>
      </c>
      <c r="F23" s="393">
        <f t="shared" si="12"/>
        <v>0</v>
      </c>
      <c r="G23" s="393">
        <f t="shared" si="12"/>
        <v>0</v>
      </c>
      <c r="H23" s="393">
        <f t="shared" si="12"/>
        <v>150</v>
      </c>
      <c r="I23" s="393">
        <f t="shared" si="12"/>
        <v>0</v>
      </c>
      <c r="J23" s="393">
        <f t="shared" si="12"/>
        <v>0</v>
      </c>
      <c r="K23" s="393">
        <f t="shared" si="12"/>
        <v>150</v>
      </c>
      <c r="L23" s="393">
        <f t="shared" si="12"/>
        <v>0</v>
      </c>
      <c r="M23" s="393">
        <f t="shared" si="12"/>
        <v>0</v>
      </c>
      <c r="N23" s="393">
        <f t="shared" si="12"/>
        <v>150</v>
      </c>
      <c r="O23" s="393">
        <f>COUNTIFS($B$61:$B$79,$B23,O$61:O$79,"&gt;0")*$D23</f>
        <v>0</v>
      </c>
    </row>
    <row r="24" spans="2:26" ht="16.5" customHeight="1" x14ac:dyDescent="0.25">
      <c r="B24" s="396" t="s">
        <v>370</v>
      </c>
      <c r="C24" s="257" t="s">
        <v>304</v>
      </c>
      <c r="D24" s="271">
        <v>40</v>
      </c>
      <c r="E24" s="268">
        <v>1</v>
      </c>
      <c r="F24" s="393">
        <f t="shared" si="12"/>
        <v>0</v>
      </c>
      <c r="G24" s="393">
        <f t="shared" si="12"/>
        <v>0</v>
      </c>
      <c r="H24" s="393">
        <f t="shared" si="12"/>
        <v>0</v>
      </c>
      <c r="I24" s="393">
        <f t="shared" si="12"/>
        <v>0</v>
      </c>
      <c r="J24" s="393">
        <f t="shared" si="12"/>
        <v>40</v>
      </c>
      <c r="K24" s="393">
        <f t="shared" si="12"/>
        <v>0</v>
      </c>
      <c r="L24" s="393">
        <f t="shared" si="12"/>
        <v>0</v>
      </c>
      <c r="M24" s="393">
        <f t="shared" si="12"/>
        <v>0</v>
      </c>
      <c r="N24" s="393">
        <f t="shared" si="12"/>
        <v>40</v>
      </c>
      <c r="O24" s="393">
        <f>COUNTIFS($B$61:$B$79,$B24,O$61:O$79,"&gt;0")*$D24</f>
        <v>0</v>
      </c>
    </row>
    <row r="25" spans="2:26" ht="16.5" customHeight="1" thickBot="1" x14ac:dyDescent="0.3">
      <c r="B25" s="397" t="s">
        <v>371</v>
      </c>
      <c r="C25" s="374" t="s">
        <v>304</v>
      </c>
      <c r="D25" s="398"/>
      <c r="E25" s="332"/>
      <c r="F25" s="399">
        <v>0</v>
      </c>
      <c r="G25" s="399">
        <v>0</v>
      </c>
      <c r="H25" s="399">
        <v>20</v>
      </c>
      <c r="I25" s="399">
        <v>7.666666666666667</v>
      </c>
      <c r="J25" s="399">
        <v>55.333333333333336</v>
      </c>
      <c r="K25" s="399">
        <v>41.333333333333336</v>
      </c>
      <c r="L25" s="399">
        <v>2.6666666666666665</v>
      </c>
      <c r="M25" s="399">
        <v>7.666666666666667</v>
      </c>
      <c r="N25" s="399">
        <v>72.666666666666671</v>
      </c>
      <c r="O25" s="399">
        <v>0</v>
      </c>
    </row>
    <row r="26" spans="2:26" ht="16.5" customHeight="1" x14ac:dyDescent="0.25">
      <c r="B26" s="384"/>
      <c r="C26" s="400"/>
      <c r="D26" s="385"/>
      <c r="E26" s="385"/>
      <c r="F26" s="386"/>
      <c r="G26" s="386"/>
      <c r="H26" s="386"/>
      <c r="I26" s="386"/>
      <c r="J26" s="386"/>
      <c r="K26" s="386"/>
      <c r="L26" s="386"/>
      <c r="M26" s="386"/>
      <c r="N26" s="386"/>
      <c r="O26" s="386"/>
    </row>
    <row r="27" spans="2:26" ht="16.5" customHeight="1" thickBot="1" x14ac:dyDescent="0.3">
      <c r="B27" s="401" t="s">
        <v>372</v>
      </c>
      <c r="C27" s="400"/>
      <c r="D27" s="402">
        <v>39.57</v>
      </c>
      <c r="E27" s="385"/>
      <c r="F27" s="386"/>
      <c r="G27" s="386"/>
      <c r="H27" s="386"/>
      <c r="I27" s="386"/>
      <c r="J27" s="386"/>
      <c r="K27" s="386"/>
      <c r="L27" s="386"/>
      <c r="M27" s="386"/>
      <c r="N27" s="386"/>
      <c r="O27" s="386"/>
    </row>
    <row r="28" spans="2:26" ht="24.8" customHeight="1" x14ac:dyDescent="0.25">
      <c r="B28" s="336" t="s">
        <v>361</v>
      </c>
      <c r="C28" s="367" t="s">
        <v>355</v>
      </c>
      <c r="D28" s="403" t="s">
        <v>373</v>
      </c>
      <c r="E28" s="388"/>
      <c r="F28" s="389">
        <f t="shared" ref="F28:O28" si="13">F15</f>
        <v>1</v>
      </c>
      <c r="G28" s="389">
        <f t="shared" si="13"/>
        <v>2</v>
      </c>
      <c r="H28" s="389">
        <f t="shared" si="13"/>
        <v>3</v>
      </c>
      <c r="I28" s="389">
        <f t="shared" si="13"/>
        <v>4</v>
      </c>
      <c r="J28" s="389">
        <f t="shared" si="13"/>
        <v>5</v>
      </c>
      <c r="K28" s="389">
        <f t="shared" si="13"/>
        <v>6</v>
      </c>
      <c r="L28" s="389">
        <f t="shared" si="13"/>
        <v>7</v>
      </c>
      <c r="M28" s="389">
        <f t="shared" si="13"/>
        <v>8</v>
      </c>
      <c r="N28" s="389">
        <f t="shared" si="13"/>
        <v>9</v>
      </c>
      <c r="O28" s="389">
        <f t="shared" si="13"/>
        <v>10</v>
      </c>
    </row>
    <row r="29" spans="2:26" ht="14.95" customHeight="1" x14ac:dyDescent="0.25">
      <c r="B29" s="390" t="s">
        <v>374</v>
      </c>
      <c r="C29" s="302" t="s">
        <v>375</v>
      </c>
      <c r="D29" s="260"/>
      <c r="E29" s="260"/>
      <c r="F29" s="391">
        <f t="shared" ref="F29:O29" si="14">SUM(F30:F50)</f>
        <v>230</v>
      </c>
      <c r="G29" s="391">
        <f t="shared" si="14"/>
        <v>595</v>
      </c>
      <c r="H29" s="391">
        <f t="shared" si="14"/>
        <v>905</v>
      </c>
      <c r="I29" s="391">
        <f t="shared" si="14"/>
        <v>908.5</v>
      </c>
      <c r="J29" s="391">
        <f t="shared" si="14"/>
        <v>777.5</v>
      </c>
      <c r="K29" s="391">
        <f t="shared" si="14"/>
        <v>1298</v>
      </c>
      <c r="L29" s="391">
        <f t="shared" si="14"/>
        <v>516.5</v>
      </c>
      <c r="M29" s="391">
        <f t="shared" si="14"/>
        <v>1216.5</v>
      </c>
      <c r="N29" s="391">
        <f t="shared" si="14"/>
        <v>1458</v>
      </c>
      <c r="O29" s="391">
        <f t="shared" si="14"/>
        <v>1275</v>
      </c>
      <c r="P29" s="429"/>
    </row>
    <row r="30" spans="2:26" ht="16.5" customHeight="1" x14ac:dyDescent="0.25">
      <c r="B30" s="404"/>
      <c r="C30" s="257" t="s">
        <v>375</v>
      </c>
      <c r="D30" s="405">
        <f>$D$27</f>
        <v>39.57</v>
      </c>
      <c r="E30" s="260"/>
      <c r="F30" s="394"/>
      <c r="G30" s="394"/>
      <c r="H30" s="394"/>
      <c r="I30" s="394"/>
      <c r="J30" s="394"/>
      <c r="K30" s="394"/>
      <c r="L30" s="394"/>
      <c r="M30" s="394"/>
      <c r="N30" s="394"/>
      <c r="O30" s="394"/>
    </row>
    <row r="31" spans="2:26" ht="16.5" customHeight="1" x14ac:dyDescent="0.25">
      <c r="B31" s="392" t="s">
        <v>363</v>
      </c>
      <c r="C31" s="406"/>
      <c r="D31" s="407">
        <f>$D$27</f>
        <v>39.57</v>
      </c>
      <c r="E31" s="253"/>
      <c r="F31" s="394">
        <f>IF(F17=0,0,F17*2.5)</f>
        <v>50</v>
      </c>
      <c r="G31" s="394">
        <f t="shared" ref="G31:O31" si="15">IF(G17=0,0,G17*2.5)</f>
        <v>75</v>
      </c>
      <c r="H31" s="394">
        <f t="shared" si="15"/>
        <v>100</v>
      </c>
      <c r="I31" s="394">
        <f t="shared" si="15"/>
        <v>137.5</v>
      </c>
      <c r="J31" s="394">
        <f t="shared" si="15"/>
        <v>187.5</v>
      </c>
      <c r="K31" s="394">
        <f t="shared" si="15"/>
        <v>225</v>
      </c>
      <c r="L31" s="394">
        <f t="shared" si="15"/>
        <v>312.5</v>
      </c>
      <c r="M31" s="394">
        <f t="shared" si="15"/>
        <v>337.5</v>
      </c>
      <c r="N31" s="394">
        <f t="shared" si="15"/>
        <v>375</v>
      </c>
      <c r="O31" s="394">
        <f t="shared" si="15"/>
        <v>875</v>
      </c>
    </row>
    <row r="32" spans="2:26" ht="16.5" customHeight="1" x14ac:dyDescent="0.25">
      <c r="B32" s="392" t="s">
        <v>376</v>
      </c>
      <c r="C32" s="406">
        <v>120</v>
      </c>
      <c r="D32" s="407">
        <f>$D$27</f>
        <v>39.57</v>
      </c>
      <c r="E32" s="253"/>
      <c r="F32" s="394">
        <f t="shared" ref="F32:O32" si="16">IF(F18=0,0,F18/F18*$C$32)</f>
        <v>0</v>
      </c>
      <c r="G32" s="394">
        <f t="shared" si="16"/>
        <v>120</v>
      </c>
      <c r="H32" s="394">
        <f t="shared" si="16"/>
        <v>120</v>
      </c>
      <c r="I32" s="394">
        <f t="shared" si="16"/>
        <v>0</v>
      </c>
      <c r="J32" s="394">
        <f t="shared" si="16"/>
        <v>120</v>
      </c>
      <c r="K32" s="394">
        <f t="shared" si="16"/>
        <v>120</v>
      </c>
      <c r="L32" s="394">
        <f t="shared" si="16"/>
        <v>0</v>
      </c>
      <c r="M32" s="394">
        <f t="shared" si="16"/>
        <v>120</v>
      </c>
      <c r="N32" s="394">
        <f t="shared" si="16"/>
        <v>120</v>
      </c>
      <c r="O32" s="394">
        <f t="shared" si="16"/>
        <v>0</v>
      </c>
    </row>
    <row r="33" spans="2:15" ht="16.5" customHeight="1" x14ac:dyDescent="0.25">
      <c r="B33" s="396" t="s">
        <v>365</v>
      </c>
      <c r="C33" s="406">
        <v>180</v>
      </c>
      <c r="D33" s="407">
        <f>$D$27</f>
        <v>39.57</v>
      </c>
      <c r="E33" s="260"/>
      <c r="F33" s="394">
        <f t="shared" ref="F33:O38" si="17">IF(F19=0,0,F19/F19*$C33)</f>
        <v>180</v>
      </c>
      <c r="G33" s="394">
        <f t="shared" si="17"/>
        <v>180</v>
      </c>
      <c r="H33" s="394">
        <f t="shared" si="17"/>
        <v>180</v>
      </c>
      <c r="I33" s="394">
        <f t="shared" si="17"/>
        <v>180</v>
      </c>
      <c r="J33" s="394">
        <f t="shared" si="17"/>
        <v>180</v>
      </c>
      <c r="K33" s="394">
        <f t="shared" si="17"/>
        <v>180</v>
      </c>
      <c r="L33" s="394">
        <f t="shared" si="17"/>
        <v>180</v>
      </c>
      <c r="M33" s="394">
        <f t="shared" si="17"/>
        <v>180</v>
      </c>
      <c r="N33" s="394">
        <f t="shared" si="17"/>
        <v>180</v>
      </c>
      <c r="O33" s="394">
        <f t="shared" si="17"/>
        <v>180</v>
      </c>
    </row>
    <row r="34" spans="2:15" ht="16.5" customHeight="1" x14ac:dyDescent="0.25">
      <c r="B34" s="396" t="s">
        <v>366</v>
      </c>
      <c r="C34" s="406">
        <v>220</v>
      </c>
      <c r="D34" s="407">
        <f>$D$27</f>
        <v>39.57</v>
      </c>
      <c r="E34" s="260"/>
      <c r="F34" s="394">
        <f t="shared" si="17"/>
        <v>0</v>
      </c>
      <c r="G34" s="394">
        <f t="shared" si="17"/>
        <v>220</v>
      </c>
      <c r="H34" s="394">
        <f t="shared" si="17"/>
        <v>0</v>
      </c>
      <c r="I34" s="394">
        <f t="shared" si="17"/>
        <v>220</v>
      </c>
      <c r="J34" s="394">
        <f t="shared" si="17"/>
        <v>0</v>
      </c>
      <c r="K34" s="394">
        <f t="shared" si="17"/>
        <v>220</v>
      </c>
      <c r="L34" s="394">
        <f t="shared" si="17"/>
        <v>0</v>
      </c>
      <c r="M34" s="394">
        <f t="shared" si="17"/>
        <v>220</v>
      </c>
      <c r="N34" s="394">
        <f t="shared" si="17"/>
        <v>0</v>
      </c>
      <c r="O34" s="394">
        <f t="shared" si="17"/>
        <v>220</v>
      </c>
    </row>
    <row r="35" spans="2:15" ht="16.5" customHeight="1" x14ac:dyDescent="0.25">
      <c r="B35" s="396" t="s">
        <v>367</v>
      </c>
      <c r="C35" s="406">
        <f>168*2</f>
        <v>336</v>
      </c>
      <c r="D35" s="407">
        <f t="shared" ref="D35:D50" si="18">$D$27</f>
        <v>39.57</v>
      </c>
      <c r="E35" s="268">
        <v>1</v>
      </c>
      <c r="F35" s="394">
        <f t="shared" si="17"/>
        <v>0</v>
      </c>
      <c r="G35" s="394">
        <f t="shared" si="17"/>
        <v>0</v>
      </c>
      <c r="H35" s="394">
        <f t="shared" si="17"/>
        <v>0</v>
      </c>
      <c r="I35" s="394">
        <f t="shared" si="17"/>
        <v>336</v>
      </c>
      <c r="J35" s="394">
        <f t="shared" si="17"/>
        <v>0</v>
      </c>
      <c r="K35" s="394">
        <f t="shared" si="17"/>
        <v>0</v>
      </c>
      <c r="L35" s="394">
        <f t="shared" si="17"/>
        <v>0</v>
      </c>
      <c r="M35" s="394">
        <f t="shared" si="17"/>
        <v>336</v>
      </c>
      <c r="N35" s="394">
        <f t="shared" si="17"/>
        <v>0</v>
      </c>
      <c r="O35" s="394">
        <f t="shared" si="17"/>
        <v>0</v>
      </c>
    </row>
    <row r="36" spans="2:15" ht="16.5" customHeight="1" x14ac:dyDescent="0.25">
      <c r="B36" s="396" t="s">
        <v>368</v>
      </c>
      <c r="C36" s="406">
        <v>220</v>
      </c>
      <c r="D36" s="407">
        <f t="shared" si="18"/>
        <v>39.57</v>
      </c>
      <c r="E36" s="268">
        <v>1</v>
      </c>
      <c r="F36" s="394">
        <f t="shared" si="17"/>
        <v>0</v>
      </c>
      <c r="G36" s="394">
        <f t="shared" si="17"/>
        <v>0</v>
      </c>
      <c r="H36" s="394">
        <f t="shared" si="17"/>
        <v>220</v>
      </c>
      <c r="I36" s="394">
        <f t="shared" si="17"/>
        <v>0</v>
      </c>
      <c r="J36" s="394">
        <f t="shared" si="17"/>
        <v>0</v>
      </c>
      <c r="K36" s="394">
        <f t="shared" si="17"/>
        <v>220</v>
      </c>
      <c r="L36" s="394">
        <f t="shared" si="17"/>
        <v>0</v>
      </c>
      <c r="M36" s="394">
        <f t="shared" si="17"/>
        <v>0</v>
      </c>
      <c r="N36" s="394">
        <f t="shared" si="17"/>
        <v>220</v>
      </c>
      <c r="O36" s="394">
        <f t="shared" si="17"/>
        <v>0</v>
      </c>
    </row>
    <row r="37" spans="2:15" ht="16.5" customHeight="1" x14ac:dyDescent="0.25">
      <c r="B37" s="396" t="s">
        <v>369</v>
      </c>
      <c r="C37" s="406">
        <f>150*1.5</f>
        <v>225</v>
      </c>
      <c r="D37" s="407">
        <f t="shared" si="18"/>
        <v>39.57</v>
      </c>
      <c r="E37" s="268">
        <v>2</v>
      </c>
      <c r="F37" s="394">
        <f t="shared" si="17"/>
        <v>0</v>
      </c>
      <c r="G37" s="269">
        <f t="shared" si="17"/>
        <v>0</v>
      </c>
      <c r="H37" s="269">
        <f t="shared" si="17"/>
        <v>225</v>
      </c>
      <c r="I37" s="269">
        <f t="shared" si="17"/>
        <v>0</v>
      </c>
      <c r="J37" s="269">
        <f t="shared" si="17"/>
        <v>0</v>
      </c>
      <c r="K37" s="269">
        <f t="shared" si="17"/>
        <v>225</v>
      </c>
      <c r="L37" s="269">
        <f t="shared" si="17"/>
        <v>0</v>
      </c>
      <c r="M37" s="269">
        <f t="shared" si="17"/>
        <v>0</v>
      </c>
      <c r="N37" s="269">
        <f t="shared" si="17"/>
        <v>225</v>
      </c>
      <c r="O37" s="269">
        <f t="shared" si="17"/>
        <v>0</v>
      </c>
    </row>
    <row r="38" spans="2:15" ht="16.5" customHeight="1" x14ac:dyDescent="0.25">
      <c r="B38" s="396" t="s">
        <v>370</v>
      </c>
      <c r="C38" s="406">
        <f>80*1.5</f>
        <v>120</v>
      </c>
      <c r="D38" s="407">
        <f t="shared" si="18"/>
        <v>39.57</v>
      </c>
      <c r="E38" s="268">
        <v>1</v>
      </c>
      <c r="F38" s="269">
        <f t="shared" si="17"/>
        <v>0</v>
      </c>
      <c r="G38" s="269">
        <f t="shared" si="17"/>
        <v>0</v>
      </c>
      <c r="H38" s="269">
        <f t="shared" si="17"/>
        <v>0</v>
      </c>
      <c r="I38" s="269">
        <f t="shared" si="17"/>
        <v>0</v>
      </c>
      <c r="J38" s="269">
        <f t="shared" si="17"/>
        <v>120</v>
      </c>
      <c r="K38" s="269">
        <f t="shared" si="17"/>
        <v>0</v>
      </c>
      <c r="L38" s="269">
        <f t="shared" si="17"/>
        <v>0</v>
      </c>
      <c r="M38" s="269">
        <f t="shared" si="17"/>
        <v>0</v>
      </c>
      <c r="N38" s="269">
        <f t="shared" si="17"/>
        <v>120</v>
      </c>
      <c r="O38" s="269">
        <f t="shared" si="17"/>
        <v>0</v>
      </c>
    </row>
    <row r="39" spans="2:15" ht="16.5" customHeight="1" x14ac:dyDescent="0.25">
      <c r="B39" s="408" t="s">
        <v>377</v>
      </c>
      <c r="C39" s="409">
        <v>105</v>
      </c>
      <c r="D39" s="407">
        <f t="shared" si="18"/>
        <v>39.57</v>
      </c>
      <c r="E39" s="410"/>
      <c r="F39" s="393">
        <f t="shared" ref="F39:O50" si="19">COUNTIFS($B$61:$B$79,$B39,F$61:F$79,"&gt;0")*$C39</f>
        <v>0</v>
      </c>
      <c r="G39" s="393">
        <f t="shared" si="19"/>
        <v>0</v>
      </c>
      <c r="H39" s="393">
        <f t="shared" si="19"/>
        <v>0</v>
      </c>
      <c r="I39" s="393">
        <f t="shared" si="19"/>
        <v>0</v>
      </c>
      <c r="J39" s="393">
        <f t="shared" si="19"/>
        <v>105</v>
      </c>
      <c r="K39" s="393">
        <f t="shared" si="19"/>
        <v>0</v>
      </c>
      <c r="L39" s="393">
        <f t="shared" si="19"/>
        <v>0</v>
      </c>
      <c r="M39" s="393">
        <f t="shared" si="19"/>
        <v>0</v>
      </c>
      <c r="N39" s="393">
        <f t="shared" si="19"/>
        <v>105</v>
      </c>
      <c r="O39" s="393">
        <f t="shared" si="19"/>
        <v>0</v>
      </c>
    </row>
    <row r="40" spans="2:15" ht="16.5" customHeight="1" x14ac:dyDescent="0.25">
      <c r="B40" s="408" t="s">
        <v>378</v>
      </c>
      <c r="C40" s="409">
        <v>23</v>
      </c>
      <c r="D40" s="407">
        <f t="shared" si="18"/>
        <v>39.57</v>
      </c>
      <c r="E40" s="410"/>
      <c r="F40" s="393">
        <f t="shared" si="19"/>
        <v>0</v>
      </c>
      <c r="G40" s="393">
        <f t="shared" si="19"/>
        <v>0</v>
      </c>
      <c r="H40" s="393">
        <f t="shared" si="19"/>
        <v>0</v>
      </c>
      <c r="I40" s="393">
        <f t="shared" si="19"/>
        <v>0</v>
      </c>
      <c r="J40" s="393">
        <f t="shared" si="19"/>
        <v>23</v>
      </c>
      <c r="K40" s="393">
        <f t="shared" si="19"/>
        <v>0</v>
      </c>
      <c r="L40" s="393">
        <f t="shared" si="19"/>
        <v>0</v>
      </c>
      <c r="M40" s="393">
        <f t="shared" si="19"/>
        <v>0</v>
      </c>
      <c r="N40" s="393">
        <f t="shared" si="19"/>
        <v>23</v>
      </c>
      <c r="O40" s="393">
        <f t="shared" si="19"/>
        <v>0</v>
      </c>
    </row>
    <row r="41" spans="2:15" ht="16.5" customHeight="1" x14ac:dyDescent="0.25">
      <c r="B41" s="408" t="s">
        <v>379</v>
      </c>
      <c r="C41" s="409">
        <v>72</v>
      </c>
      <c r="D41" s="407">
        <f t="shared" si="18"/>
        <v>39.57</v>
      </c>
      <c r="E41" s="410"/>
      <c r="F41" s="393">
        <f t="shared" si="19"/>
        <v>0</v>
      </c>
      <c r="G41" s="393">
        <f t="shared" si="19"/>
        <v>0</v>
      </c>
      <c r="H41" s="393">
        <f t="shared" si="19"/>
        <v>0</v>
      </c>
      <c r="I41" s="393">
        <f t="shared" si="19"/>
        <v>0</v>
      </c>
      <c r="J41" s="393">
        <f t="shared" si="19"/>
        <v>0</v>
      </c>
      <c r="K41" s="393">
        <f t="shared" si="19"/>
        <v>72</v>
      </c>
      <c r="L41" s="393">
        <f t="shared" si="19"/>
        <v>0</v>
      </c>
      <c r="M41" s="393">
        <f t="shared" si="19"/>
        <v>0</v>
      </c>
      <c r="N41" s="393">
        <f t="shared" si="19"/>
        <v>0</v>
      </c>
      <c r="O41" s="393">
        <f t="shared" si="19"/>
        <v>0</v>
      </c>
    </row>
    <row r="42" spans="2:15" ht="16.5" customHeight="1" x14ac:dyDescent="0.25">
      <c r="B42" s="408" t="s">
        <v>380</v>
      </c>
      <c r="C42" s="409">
        <v>12</v>
      </c>
      <c r="D42" s="407">
        <f t="shared" si="18"/>
        <v>39.57</v>
      </c>
      <c r="E42" s="410"/>
      <c r="F42" s="393">
        <f t="shared" si="19"/>
        <v>0</v>
      </c>
      <c r="G42" s="393">
        <f t="shared" si="19"/>
        <v>0</v>
      </c>
      <c r="H42" s="393">
        <f t="shared" si="19"/>
        <v>0</v>
      </c>
      <c r="I42" s="393">
        <f t="shared" si="19"/>
        <v>12</v>
      </c>
      <c r="J42" s="393">
        <f t="shared" si="19"/>
        <v>0</v>
      </c>
      <c r="K42" s="393">
        <f t="shared" si="19"/>
        <v>0</v>
      </c>
      <c r="L42" s="393">
        <f t="shared" si="19"/>
        <v>0</v>
      </c>
      <c r="M42" s="393">
        <f t="shared" si="19"/>
        <v>0</v>
      </c>
      <c r="N42" s="393">
        <f t="shared" si="19"/>
        <v>12</v>
      </c>
      <c r="O42" s="393">
        <f t="shared" si="19"/>
        <v>0</v>
      </c>
    </row>
    <row r="43" spans="2:15" ht="16.5" customHeight="1" x14ac:dyDescent="0.25">
      <c r="B43" s="408" t="s">
        <v>381</v>
      </c>
      <c r="C43" s="409">
        <v>12</v>
      </c>
      <c r="D43" s="407">
        <f t="shared" si="18"/>
        <v>39.57</v>
      </c>
      <c r="E43" s="410"/>
      <c r="F43" s="393">
        <f t="shared" si="19"/>
        <v>0</v>
      </c>
      <c r="G43" s="393">
        <f t="shared" si="19"/>
        <v>0</v>
      </c>
      <c r="H43" s="393">
        <f t="shared" si="19"/>
        <v>12</v>
      </c>
      <c r="I43" s="393">
        <f t="shared" si="19"/>
        <v>0</v>
      </c>
      <c r="J43" s="393">
        <f t="shared" si="19"/>
        <v>0</v>
      </c>
      <c r="K43" s="393">
        <f t="shared" si="19"/>
        <v>12</v>
      </c>
      <c r="L43" s="393">
        <f t="shared" si="19"/>
        <v>0</v>
      </c>
      <c r="M43" s="393">
        <f t="shared" si="19"/>
        <v>0</v>
      </c>
      <c r="N43" s="393">
        <f t="shared" si="19"/>
        <v>12</v>
      </c>
      <c r="O43" s="393">
        <f t="shared" si="19"/>
        <v>0</v>
      </c>
    </row>
    <row r="44" spans="2:15" ht="16.5" customHeight="1" x14ac:dyDescent="0.25">
      <c r="B44" s="408" t="s">
        <v>382</v>
      </c>
      <c r="C44" s="409">
        <v>24</v>
      </c>
      <c r="D44" s="407">
        <f t="shared" si="18"/>
        <v>39.57</v>
      </c>
      <c r="E44" s="410"/>
      <c r="F44" s="393">
        <f t="shared" si="19"/>
        <v>0</v>
      </c>
      <c r="G44" s="393">
        <f t="shared" si="19"/>
        <v>0</v>
      </c>
      <c r="H44" s="393">
        <f t="shared" si="19"/>
        <v>24</v>
      </c>
      <c r="I44" s="393">
        <f t="shared" si="19"/>
        <v>0</v>
      </c>
      <c r="J44" s="393">
        <f t="shared" si="19"/>
        <v>0</v>
      </c>
      <c r="K44" s="393">
        <f t="shared" si="19"/>
        <v>24</v>
      </c>
      <c r="L44" s="393">
        <f t="shared" si="19"/>
        <v>0</v>
      </c>
      <c r="M44" s="393">
        <f t="shared" si="19"/>
        <v>0</v>
      </c>
      <c r="N44" s="393">
        <f t="shared" si="19"/>
        <v>24</v>
      </c>
      <c r="O44" s="393">
        <f t="shared" si="19"/>
        <v>0</v>
      </c>
    </row>
    <row r="45" spans="2:15" ht="16.5" customHeight="1" x14ac:dyDescent="0.25">
      <c r="B45" s="408" t="s">
        <v>383</v>
      </c>
      <c r="C45" s="409">
        <v>8</v>
      </c>
      <c r="D45" s="407">
        <f t="shared" si="18"/>
        <v>39.57</v>
      </c>
      <c r="E45" s="410"/>
      <c r="F45" s="393">
        <f t="shared" si="19"/>
        <v>0</v>
      </c>
      <c r="G45" s="393">
        <f t="shared" si="19"/>
        <v>0</v>
      </c>
      <c r="H45" s="393">
        <f t="shared" si="19"/>
        <v>0</v>
      </c>
      <c r="I45" s="393">
        <f t="shared" si="19"/>
        <v>0</v>
      </c>
      <c r="J45" s="393">
        <f t="shared" si="19"/>
        <v>8</v>
      </c>
      <c r="K45" s="393">
        <f t="shared" si="19"/>
        <v>0</v>
      </c>
      <c r="L45" s="393">
        <f t="shared" si="19"/>
        <v>0</v>
      </c>
      <c r="M45" s="393">
        <f t="shared" si="19"/>
        <v>0</v>
      </c>
      <c r="N45" s="393">
        <f t="shared" si="19"/>
        <v>8</v>
      </c>
      <c r="O45" s="393">
        <f t="shared" si="19"/>
        <v>0</v>
      </c>
    </row>
    <row r="46" spans="2:15" ht="16.5" customHeight="1" x14ac:dyDescent="0.25">
      <c r="B46" s="408" t="s">
        <v>384</v>
      </c>
      <c r="C46" s="409">
        <v>8</v>
      </c>
      <c r="D46" s="407">
        <f t="shared" si="18"/>
        <v>39.57</v>
      </c>
      <c r="E46" s="410"/>
      <c r="F46" s="393">
        <f t="shared" si="19"/>
        <v>0</v>
      </c>
      <c r="G46" s="393">
        <f t="shared" si="19"/>
        <v>0</v>
      </c>
      <c r="H46" s="393">
        <f t="shared" si="19"/>
        <v>8</v>
      </c>
      <c r="I46" s="393">
        <f t="shared" si="19"/>
        <v>0</v>
      </c>
      <c r="J46" s="393">
        <f t="shared" si="19"/>
        <v>8</v>
      </c>
      <c r="K46" s="393">
        <f t="shared" si="19"/>
        <v>0</v>
      </c>
      <c r="L46" s="393">
        <f t="shared" si="19"/>
        <v>8</v>
      </c>
      <c r="M46" s="393">
        <f t="shared" si="19"/>
        <v>0</v>
      </c>
      <c r="N46" s="393">
        <f t="shared" si="19"/>
        <v>8</v>
      </c>
      <c r="O46" s="393">
        <f t="shared" si="19"/>
        <v>0</v>
      </c>
    </row>
    <row r="47" spans="2:15" ht="16.5" customHeight="1" x14ac:dyDescent="0.25">
      <c r="B47" s="408" t="s">
        <v>385</v>
      </c>
      <c r="C47" s="409">
        <v>6</v>
      </c>
      <c r="D47" s="407">
        <f t="shared" si="18"/>
        <v>39.57</v>
      </c>
      <c r="E47" s="410"/>
      <c r="F47" s="393">
        <f t="shared" si="19"/>
        <v>0</v>
      </c>
      <c r="G47" s="393">
        <f t="shared" si="19"/>
        <v>0</v>
      </c>
      <c r="H47" s="393">
        <f t="shared" si="19"/>
        <v>0</v>
      </c>
      <c r="I47" s="393">
        <f t="shared" si="19"/>
        <v>0</v>
      </c>
      <c r="J47" s="393">
        <f t="shared" si="19"/>
        <v>6</v>
      </c>
      <c r="K47" s="393">
        <f t="shared" si="19"/>
        <v>0</v>
      </c>
      <c r="L47" s="393">
        <f t="shared" si="19"/>
        <v>0</v>
      </c>
      <c r="M47" s="393">
        <f t="shared" si="19"/>
        <v>0</v>
      </c>
      <c r="N47" s="393">
        <f t="shared" si="19"/>
        <v>6</v>
      </c>
      <c r="O47" s="393">
        <f t="shared" si="19"/>
        <v>0</v>
      </c>
    </row>
    <row r="48" spans="2:15" ht="16.5" customHeight="1" x14ac:dyDescent="0.25">
      <c r="B48" s="408" t="s">
        <v>386</v>
      </c>
      <c r="C48" s="409">
        <v>4</v>
      </c>
      <c r="D48" s="407">
        <f t="shared" si="18"/>
        <v>39.57</v>
      </c>
      <c r="E48" s="410"/>
      <c r="F48" s="393">
        <f t="shared" si="19"/>
        <v>0</v>
      </c>
      <c r="G48" s="393">
        <f t="shared" si="19"/>
        <v>0</v>
      </c>
      <c r="H48" s="393">
        <f t="shared" si="19"/>
        <v>0</v>
      </c>
      <c r="I48" s="393">
        <f t="shared" si="19"/>
        <v>0</v>
      </c>
      <c r="J48" s="393">
        <f t="shared" si="19"/>
        <v>4</v>
      </c>
      <c r="K48" s="393">
        <f t="shared" si="19"/>
        <v>0</v>
      </c>
      <c r="L48" s="393">
        <f t="shared" si="19"/>
        <v>0</v>
      </c>
      <c r="M48" s="393">
        <f t="shared" si="19"/>
        <v>0</v>
      </c>
      <c r="N48" s="393">
        <f t="shared" si="19"/>
        <v>4</v>
      </c>
      <c r="O48" s="393">
        <f t="shared" si="19"/>
        <v>0</v>
      </c>
    </row>
    <row r="49" spans="2:22" ht="16.5" customHeight="1" x14ac:dyDescent="0.25">
      <c r="B49" s="408" t="s">
        <v>387</v>
      </c>
      <c r="C49" s="409">
        <v>16</v>
      </c>
      <c r="D49" s="407">
        <f t="shared" si="18"/>
        <v>39.57</v>
      </c>
      <c r="E49" s="410"/>
      <c r="F49" s="393">
        <f t="shared" si="19"/>
        <v>0</v>
      </c>
      <c r="G49" s="393">
        <f t="shared" si="19"/>
        <v>0</v>
      </c>
      <c r="H49" s="393">
        <f t="shared" si="19"/>
        <v>16</v>
      </c>
      <c r="I49" s="393">
        <f t="shared" si="19"/>
        <v>0</v>
      </c>
      <c r="J49" s="393">
        <f t="shared" si="19"/>
        <v>16</v>
      </c>
      <c r="K49" s="393">
        <f t="shared" si="19"/>
        <v>0</v>
      </c>
      <c r="L49" s="393">
        <f t="shared" si="19"/>
        <v>16</v>
      </c>
      <c r="M49" s="393">
        <f t="shared" si="19"/>
        <v>0</v>
      </c>
      <c r="N49" s="393">
        <f t="shared" si="19"/>
        <v>16</v>
      </c>
      <c r="O49" s="393">
        <f t="shared" si="19"/>
        <v>0</v>
      </c>
    </row>
    <row r="50" spans="2:22" ht="16.5" customHeight="1" thickBot="1" x14ac:dyDescent="0.3">
      <c r="B50" s="397" t="s">
        <v>388</v>
      </c>
      <c r="C50" s="398">
        <v>23</v>
      </c>
      <c r="D50" s="411">
        <f t="shared" si="18"/>
        <v>39.57</v>
      </c>
      <c r="E50" s="332"/>
      <c r="F50" s="399">
        <f t="shared" si="19"/>
        <v>0</v>
      </c>
      <c r="G50" s="399">
        <f t="shared" si="19"/>
        <v>0</v>
      </c>
      <c r="H50" s="399">
        <f t="shared" si="19"/>
        <v>0</v>
      </c>
      <c r="I50" s="399">
        <f t="shared" si="19"/>
        <v>23</v>
      </c>
      <c r="J50" s="399">
        <f t="shared" si="19"/>
        <v>0</v>
      </c>
      <c r="K50" s="399">
        <f t="shared" si="19"/>
        <v>0</v>
      </c>
      <c r="L50" s="399">
        <f t="shared" si="19"/>
        <v>0</v>
      </c>
      <c r="M50" s="399">
        <f t="shared" si="19"/>
        <v>23</v>
      </c>
      <c r="N50" s="399">
        <f t="shared" si="19"/>
        <v>0</v>
      </c>
      <c r="O50" s="399">
        <f t="shared" si="19"/>
        <v>0</v>
      </c>
    </row>
    <row r="51" spans="2:22" x14ac:dyDescent="0.25">
      <c r="B51" s="384"/>
      <c r="E51" s="412"/>
      <c r="F51" s="413"/>
      <c r="G51" s="413"/>
      <c r="H51" s="413"/>
      <c r="I51" s="413"/>
      <c r="J51" s="413"/>
      <c r="K51" s="413"/>
      <c r="L51" s="413"/>
      <c r="M51" s="413"/>
      <c r="N51" s="413"/>
      <c r="O51" s="413"/>
    </row>
    <row r="52" spans="2:22" ht="14.95" thickBot="1" x14ac:dyDescent="0.3">
      <c r="B52" s="387" t="s">
        <v>389</v>
      </c>
      <c r="F52" s="413"/>
    </row>
    <row r="53" spans="2:22" ht="43.5" customHeight="1" x14ac:dyDescent="0.25">
      <c r="B53" s="336" t="s">
        <v>390</v>
      </c>
      <c r="C53" s="337" t="s">
        <v>391</v>
      </c>
      <c r="D53" s="337" t="s">
        <v>392</v>
      </c>
      <c r="E53" s="337" t="s">
        <v>393</v>
      </c>
      <c r="F53" s="340" t="s">
        <v>292</v>
      </c>
      <c r="G53" s="340" t="s">
        <v>292</v>
      </c>
      <c r="H53" s="340" t="s">
        <v>292</v>
      </c>
      <c r="I53" s="340" t="s">
        <v>292</v>
      </c>
      <c r="J53" s="340" t="s">
        <v>292</v>
      </c>
      <c r="K53" s="340" t="s">
        <v>292</v>
      </c>
      <c r="L53" s="340" t="s">
        <v>292</v>
      </c>
      <c r="M53" s="340" t="s">
        <v>292</v>
      </c>
      <c r="N53" s="340" t="s">
        <v>292</v>
      </c>
      <c r="O53" s="340" t="s">
        <v>292</v>
      </c>
    </row>
    <row r="54" spans="2:22" ht="28.55" customHeight="1" x14ac:dyDescent="0.25">
      <c r="B54" s="379" t="s">
        <v>394</v>
      </c>
      <c r="C54" s="247"/>
      <c r="D54" s="247"/>
      <c r="E54" s="247"/>
      <c r="F54" s="346">
        <f t="shared" ref="F54:O54" si="20">SUM(F55:F58)</f>
        <v>16500</v>
      </c>
      <c r="G54" s="346">
        <f t="shared" si="20"/>
        <v>183700</v>
      </c>
      <c r="H54" s="346">
        <f t="shared" si="20"/>
        <v>158500</v>
      </c>
      <c r="I54" s="346">
        <f t="shared" si="20"/>
        <v>50700</v>
      </c>
      <c r="J54" s="346">
        <f t="shared" si="20"/>
        <v>163500</v>
      </c>
      <c r="K54" s="346">
        <f t="shared" si="20"/>
        <v>188700</v>
      </c>
      <c r="L54" s="346">
        <f t="shared" si="20"/>
        <v>35500</v>
      </c>
      <c r="M54" s="346">
        <f t="shared" si="20"/>
        <v>198700</v>
      </c>
      <c r="N54" s="346">
        <f t="shared" si="20"/>
        <v>173500</v>
      </c>
      <c r="O54" s="346">
        <f t="shared" si="20"/>
        <v>70700</v>
      </c>
    </row>
    <row r="55" spans="2:22" x14ac:dyDescent="0.25">
      <c r="B55" s="392" t="s">
        <v>363</v>
      </c>
      <c r="C55" s="354"/>
      <c r="D55" s="406"/>
      <c r="E55" s="258">
        <v>1</v>
      </c>
      <c r="F55" s="269">
        <v>1000</v>
      </c>
      <c r="G55" s="269">
        <v>5000</v>
      </c>
      <c r="H55" s="269">
        <v>5000</v>
      </c>
      <c r="I55" s="269">
        <v>10000</v>
      </c>
      <c r="J55" s="269">
        <v>10000</v>
      </c>
      <c r="K55" s="269">
        <v>10000</v>
      </c>
      <c r="L55" s="269">
        <v>20000</v>
      </c>
      <c r="M55" s="269">
        <v>20000</v>
      </c>
      <c r="N55" s="269">
        <v>20000</v>
      </c>
      <c r="O55" s="269">
        <v>30000</v>
      </c>
      <c r="P55" s="303"/>
    </row>
    <row r="56" spans="2:22" x14ac:dyDescent="0.25">
      <c r="B56" s="392" t="s">
        <v>364</v>
      </c>
      <c r="C56" s="354">
        <v>138000</v>
      </c>
      <c r="D56" s="406">
        <v>8000</v>
      </c>
      <c r="E56" s="258">
        <v>1</v>
      </c>
      <c r="F56" s="269"/>
      <c r="G56" s="269">
        <f t="shared" ref="G56:O58" si="21">$E56*$C56</f>
        <v>138000</v>
      </c>
      <c r="H56" s="269">
        <f t="shared" si="21"/>
        <v>138000</v>
      </c>
      <c r="I56" s="269"/>
      <c r="J56" s="269">
        <f t="shared" si="21"/>
        <v>138000</v>
      </c>
      <c r="K56" s="269">
        <f t="shared" si="21"/>
        <v>138000</v>
      </c>
      <c r="L56" s="269"/>
      <c r="M56" s="269">
        <f t="shared" si="21"/>
        <v>138000</v>
      </c>
      <c r="N56" s="269">
        <f t="shared" si="21"/>
        <v>138000</v>
      </c>
      <c r="O56" s="269"/>
    </row>
    <row r="57" spans="2:22" x14ac:dyDescent="0.25">
      <c r="B57" s="396" t="s">
        <v>365</v>
      </c>
      <c r="C57" s="354">
        <v>15500</v>
      </c>
      <c r="D57" s="406">
        <v>6000</v>
      </c>
      <c r="E57" s="258">
        <v>1</v>
      </c>
      <c r="F57" s="269">
        <f>$E57*$C57</f>
        <v>15500</v>
      </c>
      <c r="G57" s="269">
        <f t="shared" si="21"/>
        <v>15500</v>
      </c>
      <c r="H57" s="269">
        <f t="shared" si="21"/>
        <v>15500</v>
      </c>
      <c r="I57" s="269">
        <f t="shared" si="21"/>
        <v>15500</v>
      </c>
      <c r="J57" s="269">
        <f t="shared" si="21"/>
        <v>15500</v>
      </c>
      <c r="K57" s="269">
        <f t="shared" si="21"/>
        <v>15500</v>
      </c>
      <c r="L57" s="269">
        <f t="shared" si="21"/>
        <v>15500</v>
      </c>
      <c r="M57" s="269">
        <f t="shared" si="21"/>
        <v>15500</v>
      </c>
      <c r="N57" s="269">
        <f t="shared" si="21"/>
        <v>15500</v>
      </c>
      <c r="O57" s="269">
        <f t="shared" si="21"/>
        <v>15500</v>
      </c>
    </row>
    <row r="58" spans="2:22" ht="14.95" thickBot="1" x14ac:dyDescent="0.3">
      <c r="B58" s="396" t="s">
        <v>366</v>
      </c>
      <c r="C58" s="354">
        <v>25200</v>
      </c>
      <c r="D58" s="406">
        <v>12000</v>
      </c>
      <c r="E58" s="258">
        <v>1</v>
      </c>
      <c r="F58" s="269"/>
      <c r="G58" s="269">
        <f t="shared" si="21"/>
        <v>25200</v>
      </c>
      <c r="H58" s="269"/>
      <c r="I58" s="269">
        <f t="shared" si="21"/>
        <v>25200</v>
      </c>
      <c r="J58" s="269"/>
      <c r="K58" s="269">
        <f t="shared" si="21"/>
        <v>25200</v>
      </c>
      <c r="L58" s="269"/>
      <c r="M58" s="269">
        <f t="shared" si="21"/>
        <v>25200</v>
      </c>
      <c r="N58" s="269"/>
      <c r="O58" s="269">
        <f t="shared" si="21"/>
        <v>25200</v>
      </c>
    </row>
    <row r="59" spans="2:22" ht="47.25" customHeight="1" x14ac:dyDescent="0.25">
      <c r="B59" s="336" t="s">
        <v>284</v>
      </c>
      <c r="C59" s="337" t="s">
        <v>391</v>
      </c>
      <c r="D59" s="337" t="s">
        <v>392</v>
      </c>
      <c r="E59" s="337" t="s">
        <v>393</v>
      </c>
      <c r="F59" s="414">
        <f>SUM(F60:F79)</f>
        <v>0</v>
      </c>
      <c r="G59" s="414">
        <f t="shared" ref="G59:O59" si="22">SUM(G60:G79)</f>
        <v>0</v>
      </c>
      <c r="H59" s="414">
        <f t="shared" si="22"/>
        <v>267400</v>
      </c>
      <c r="I59" s="414">
        <f t="shared" si="22"/>
        <v>530000</v>
      </c>
      <c r="J59" s="414">
        <f t="shared" si="22"/>
        <v>327000</v>
      </c>
      <c r="K59" s="414">
        <f t="shared" si="22"/>
        <v>338200</v>
      </c>
      <c r="L59" s="414">
        <f t="shared" si="22"/>
        <v>14200</v>
      </c>
      <c r="M59" s="414">
        <f t="shared" si="22"/>
        <v>490000</v>
      </c>
      <c r="N59" s="414">
        <f t="shared" si="22"/>
        <v>620200</v>
      </c>
      <c r="O59" s="414">
        <f t="shared" si="22"/>
        <v>0</v>
      </c>
    </row>
    <row r="60" spans="2:22" x14ac:dyDescent="0.25">
      <c r="B60" s="364" t="s">
        <v>395</v>
      </c>
      <c r="C60" s="292"/>
      <c r="D60" s="2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</row>
    <row r="61" spans="2:22" x14ac:dyDescent="0.25">
      <c r="B61" s="396" t="s">
        <v>367</v>
      </c>
      <c r="C61" s="354">
        <v>470000</v>
      </c>
      <c r="D61" s="269">
        <v>25000</v>
      </c>
      <c r="E61" s="268">
        <v>1</v>
      </c>
      <c r="F61" s="415"/>
      <c r="G61" s="415"/>
      <c r="H61" s="295"/>
      <c r="I61" s="295">
        <f>C61</f>
        <v>470000</v>
      </c>
      <c r="J61" s="295"/>
      <c r="K61" s="295"/>
      <c r="L61" s="295"/>
      <c r="M61" s="295">
        <f>C61</f>
        <v>470000</v>
      </c>
      <c r="N61" s="295"/>
      <c r="O61" s="295"/>
      <c r="S61" s="416"/>
    </row>
    <row r="62" spans="2:22" x14ac:dyDescent="0.25">
      <c r="B62" s="417" t="s">
        <v>377</v>
      </c>
      <c r="C62" s="354">
        <v>71000</v>
      </c>
      <c r="D62" s="269">
        <v>30000</v>
      </c>
      <c r="E62" s="268">
        <v>2</v>
      </c>
      <c r="F62" s="415"/>
      <c r="G62" s="415"/>
      <c r="H62" s="415"/>
      <c r="I62" s="295"/>
      <c r="J62" s="295">
        <f>C62*E62</f>
        <v>142000</v>
      </c>
      <c r="K62" s="295"/>
      <c r="L62" s="295"/>
      <c r="M62" s="295"/>
      <c r="N62" s="295">
        <f>C62*E62</f>
        <v>142000</v>
      </c>
      <c r="O62" s="415"/>
      <c r="S62" s="416"/>
    </row>
    <row r="63" spans="2:22" x14ac:dyDescent="0.25">
      <c r="B63" s="417" t="s">
        <v>378</v>
      </c>
      <c r="C63" s="354">
        <v>22200</v>
      </c>
      <c r="D63" s="269">
        <v>30000</v>
      </c>
      <c r="E63" s="268">
        <v>4</v>
      </c>
      <c r="F63" s="415"/>
      <c r="G63" s="415"/>
      <c r="H63" s="415"/>
      <c r="I63" s="295"/>
      <c r="J63" s="295">
        <v>88800</v>
      </c>
      <c r="K63" s="295"/>
      <c r="L63" s="295"/>
      <c r="M63" s="295"/>
      <c r="N63" s="295">
        <v>88800</v>
      </c>
      <c r="O63" s="415"/>
      <c r="S63" s="416"/>
      <c r="T63" s="416"/>
      <c r="U63" s="416"/>
      <c r="V63" s="416"/>
    </row>
    <row r="64" spans="2:22" x14ac:dyDescent="0.25">
      <c r="B64" s="417" t="s">
        <v>379</v>
      </c>
      <c r="C64" s="354">
        <v>85000</v>
      </c>
      <c r="D64" s="269">
        <v>40000</v>
      </c>
      <c r="E64" s="268">
        <v>1</v>
      </c>
      <c r="F64" s="415"/>
      <c r="G64" s="415"/>
      <c r="H64" s="415"/>
      <c r="I64" s="295"/>
      <c r="J64" s="295"/>
      <c r="K64" s="295">
        <v>85000</v>
      </c>
      <c r="L64" s="295"/>
      <c r="M64" s="295"/>
      <c r="N64" s="295"/>
      <c r="O64" s="415"/>
      <c r="S64" s="416"/>
      <c r="U64" s="416"/>
    </row>
    <row r="65" spans="2:22" x14ac:dyDescent="0.25">
      <c r="B65" s="417" t="s">
        <v>380</v>
      </c>
      <c r="C65" s="354">
        <v>20000</v>
      </c>
      <c r="D65" s="269">
        <v>30000</v>
      </c>
      <c r="E65" s="268">
        <v>2</v>
      </c>
      <c r="F65" s="415"/>
      <c r="G65" s="415"/>
      <c r="H65" s="415"/>
      <c r="I65" s="295">
        <v>40000</v>
      </c>
      <c r="J65" s="295"/>
      <c r="K65" s="295"/>
      <c r="L65" s="295"/>
      <c r="M65" s="295"/>
      <c r="N65" s="295">
        <v>40000</v>
      </c>
      <c r="O65" s="415"/>
      <c r="S65" s="416"/>
      <c r="U65" s="416"/>
    </row>
    <row r="66" spans="2:22" x14ac:dyDescent="0.25">
      <c r="B66" s="417" t="s">
        <v>381</v>
      </c>
      <c r="C66" s="354">
        <v>15100</v>
      </c>
      <c r="D66" s="269">
        <v>20000</v>
      </c>
      <c r="E66" s="268">
        <v>2</v>
      </c>
      <c r="F66" s="415"/>
      <c r="G66" s="415"/>
      <c r="H66" s="415">
        <v>30200</v>
      </c>
      <c r="I66" s="295"/>
      <c r="J66" s="295"/>
      <c r="K66" s="295">
        <v>30200</v>
      </c>
      <c r="L66" s="295"/>
      <c r="M66" s="295"/>
      <c r="N66" s="295">
        <v>30200</v>
      </c>
      <c r="O66" s="415"/>
      <c r="S66" s="416"/>
      <c r="T66" s="416"/>
      <c r="U66" s="416"/>
      <c r="V66" s="416"/>
    </row>
    <row r="67" spans="2:22" x14ac:dyDescent="0.25">
      <c r="B67" s="417" t="s">
        <v>382</v>
      </c>
      <c r="C67" s="354">
        <v>10000</v>
      </c>
      <c r="D67" s="269">
        <v>20000</v>
      </c>
      <c r="E67" s="268">
        <v>2</v>
      </c>
      <c r="F67" s="415"/>
      <c r="G67" s="415"/>
      <c r="H67" s="415">
        <v>20000</v>
      </c>
      <c r="I67" s="415"/>
      <c r="J67" s="415"/>
      <c r="K67" s="415">
        <v>20000</v>
      </c>
      <c r="L67" s="415"/>
      <c r="M67" s="415"/>
      <c r="N67" s="415">
        <v>20000</v>
      </c>
      <c r="O67" s="415"/>
      <c r="S67" s="416"/>
      <c r="T67" s="416"/>
      <c r="U67" s="416"/>
    </row>
    <row r="68" spans="2:22" x14ac:dyDescent="0.25">
      <c r="B68" s="417" t="s">
        <v>383</v>
      </c>
      <c r="C68" s="354">
        <v>2000</v>
      </c>
      <c r="D68" s="269">
        <v>30000</v>
      </c>
      <c r="E68" s="268">
        <v>4</v>
      </c>
      <c r="F68" s="415"/>
      <c r="G68" s="415"/>
      <c r="H68" s="415"/>
      <c r="I68" s="415"/>
      <c r="J68" s="415">
        <v>8000</v>
      </c>
      <c r="K68" s="415"/>
      <c r="L68" s="415"/>
      <c r="M68" s="415"/>
      <c r="N68" s="415">
        <v>8000</v>
      </c>
      <c r="O68" s="415"/>
      <c r="S68" s="416"/>
      <c r="U68" s="416"/>
    </row>
    <row r="69" spans="2:22" x14ac:dyDescent="0.25">
      <c r="B69" s="417" t="s">
        <v>384</v>
      </c>
      <c r="C69" s="354">
        <v>10000</v>
      </c>
      <c r="D69" s="269">
        <v>15000</v>
      </c>
      <c r="E69" s="268">
        <v>1</v>
      </c>
      <c r="F69" s="415"/>
      <c r="G69" s="415"/>
      <c r="H69" s="415">
        <v>10000</v>
      </c>
      <c r="I69" s="415"/>
      <c r="J69" s="415">
        <v>10000</v>
      </c>
      <c r="K69" s="415"/>
      <c r="L69" s="415">
        <v>10000</v>
      </c>
      <c r="M69" s="415"/>
      <c r="N69" s="415">
        <v>10000</v>
      </c>
      <c r="O69" s="415"/>
      <c r="S69" s="416"/>
      <c r="U69" s="416"/>
      <c r="V69" s="416"/>
    </row>
    <row r="70" spans="2:22" x14ac:dyDescent="0.25">
      <c r="B70" s="364" t="s">
        <v>396</v>
      </c>
      <c r="C70" s="418"/>
      <c r="D70" s="418"/>
      <c r="E70" s="268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S70" s="416"/>
      <c r="U70" s="416"/>
    </row>
    <row r="71" spans="2:22" x14ac:dyDescent="0.25">
      <c r="B71" s="396" t="s">
        <v>368</v>
      </c>
      <c r="C71" s="354">
        <v>53000</v>
      </c>
      <c r="D71" s="269">
        <v>20000</v>
      </c>
      <c r="E71" s="268">
        <v>1</v>
      </c>
      <c r="F71" s="415"/>
      <c r="G71" s="415"/>
      <c r="H71" s="415">
        <v>53000</v>
      </c>
      <c r="I71" s="415"/>
      <c r="J71" s="415"/>
      <c r="K71" s="415">
        <v>53000</v>
      </c>
      <c r="L71" s="415"/>
      <c r="M71" s="415"/>
      <c r="N71" s="415">
        <v>53000</v>
      </c>
      <c r="O71" s="415"/>
      <c r="S71" s="416"/>
      <c r="U71" s="416"/>
      <c r="V71" s="416"/>
    </row>
    <row r="72" spans="2:22" x14ac:dyDescent="0.25">
      <c r="B72" s="396" t="s">
        <v>369</v>
      </c>
      <c r="C72" s="354">
        <v>75000</v>
      </c>
      <c r="D72" s="269">
        <v>20000</v>
      </c>
      <c r="E72" s="268">
        <v>2</v>
      </c>
      <c r="F72" s="415"/>
      <c r="G72" s="415"/>
      <c r="H72" s="415">
        <v>150000</v>
      </c>
      <c r="I72" s="415"/>
      <c r="J72" s="415"/>
      <c r="K72" s="415">
        <v>150000</v>
      </c>
      <c r="L72" s="415"/>
      <c r="M72" s="415"/>
      <c r="N72" s="415">
        <v>150000</v>
      </c>
      <c r="O72" s="415"/>
      <c r="S72" s="416"/>
      <c r="U72" s="416"/>
      <c r="V72" s="416"/>
    </row>
    <row r="73" spans="2:22" x14ac:dyDescent="0.25">
      <c r="B73" s="364" t="s">
        <v>397</v>
      </c>
      <c r="C73" s="418"/>
      <c r="D73" s="418"/>
      <c r="E73" s="268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S73" s="416"/>
      <c r="U73" s="416"/>
    </row>
    <row r="74" spans="2:22" x14ac:dyDescent="0.25">
      <c r="B74" s="392" t="s">
        <v>385</v>
      </c>
      <c r="C74" s="354">
        <v>10000</v>
      </c>
      <c r="D74" s="269">
        <v>30000</v>
      </c>
      <c r="E74" s="268">
        <v>1</v>
      </c>
      <c r="F74" s="415"/>
      <c r="G74" s="415"/>
      <c r="H74" s="415"/>
      <c r="I74" s="415"/>
      <c r="J74" s="415">
        <v>10000</v>
      </c>
      <c r="K74" s="415"/>
      <c r="L74" s="415"/>
      <c r="M74" s="415"/>
      <c r="N74" s="415">
        <v>10000</v>
      </c>
      <c r="O74" s="415"/>
      <c r="S74" s="416"/>
      <c r="U74" s="416"/>
    </row>
    <row r="75" spans="2:22" x14ac:dyDescent="0.25">
      <c r="B75" s="417" t="s">
        <v>386</v>
      </c>
      <c r="C75" s="354">
        <v>850</v>
      </c>
      <c r="D75" s="269">
        <v>30000</v>
      </c>
      <c r="E75" s="268">
        <v>1</v>
      </c>
      <c r="F75" s="415"/>
      <c r="G75" s="415"/>
      <c r="H75" s="415"/>
      <c r="I75" s="415"/>
      <c r="J75" s="415">
        <v>4000</v>
      </c>
      <c r="K75" s="415"/>
      <c r="L75" s="415"/>
      <c r="M75" s="415"/>
      <c r="N75" s="415">
        <v>4000</v>
      </c>
      <c r="O75" s="415"/>
      <c r="S75" s="416"/>
      <c r="U75" s="416"/>
      <c r="V75" s="416"/>
    </row>
    <row r="76" spans="2:22" x14ac:dyDescent="0.25">
      <c r="B76" s="392" t="s">
        <v>387</v>
      </c>
      <c r="C76" s="354">
        <v>1400</v>
      </c>
      <c r="D76" s="269">
        <v>20000</v>
      </c>
      <c r="E76" s="268">
        <v>3</v>
      </c>
      <c r="F76" s="415"/>
      <c r="G76" s="415"/>
      <c r="H76" s="415">
        <v>4200</v>
      </c>
      <c r="I76" s="415"/>
      <c r="J76" s="415">
        <v>4200</v>
      </c>
      <c r="K76" s="415"/>
      <c r="L76" s="415">
        <v>4200</v>
      </c>
      <c r="M76" s="415"/>
      <c r="N76" s="415">
        <v>4200</v>
      </c>
      <c r="O76" s="415"/>
      <c r="S76" s="416"/>
      <c r="U76" s="416"/>
      <c r="V76" s="416"/>
    </row>
    <row r="77" spans="2:22" x14ac:dyDescent="0.25">
      <c r="B77" s="364" t="s">
        <v>398</v>
      </c>
      <c r="C77" s="418"/>
      <c r="D77" s="269"/>
      <c r="E77" s="268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S77" s="416"/>
      <c r="U77" s="416"/>
    </row>
    <row r="78" spans="2:22" x14ac:dyDescent="0.25">
      <c r="B78" s="396" t="s">
        <v>370</v>
      </c>
      <c r="C78" s="354">
        <v>60000</v>
      </c>
      <c r="D78" s="269">
        <v>30000</v>
      </c>
      <c r="E78" s="268">
        <v>1</v>
      </c>
      <c r="F78" s="415"/>
      <c r="G78" s="415"/>
      <c r="H78" s="415"/>
      <c r="I78" s="415"/>
      <c r="J78" s="415">
        <f>C78</f>
        <v>60000</v>
      </c>
      <c r="K78" s="415"/>
      <c r="L78" s="415"/>
      <c r="M78" s="415"/>
      <c r="N78" s="415">
        <f>J78</f>
        <v>60000</v>
      </c>
      <c r="O78" s="415"/>
      <c r="S78" s="416"/>
      <c r="U78" s="416"/>
    </row>
    <row r="79" spans="2:22" x14ac:dyDescent="0.25">
      <c r="B79" s="417" t="s">
        <v>388</v>
      </c>
      <c r="C79" s="354">
        <v>20000</v>
      </c>
      <c r="D79" s="269">
        <v>25000</v>
      </c>
      <c r="E79" s="268">
        <v>1</v>
      </c>
      <c r="F79" s="415"/>
      <c r="G79" s="415"/>
      <c r="H79" s="415"/>
      <c r="I79" s="415">
        <v>20000</v>
      </c>
      <c r="J79" s="415"/>
      <c r="K79" s="415"/>
      <c r="L79" s="415"/>
      <c r="M79" s="415">
        <v>20000</v>
      </c>
      <c r="N79" s="415"/>
      <c r="O79" s="415"/>
      <c r="S79" s="416"/>
      <c r="U79" s="416"/>
    </row>
    <row r="80" spans="2:22" x14ac:dyDescent="0.25">
      <c r="B80" s="420"/>
      <c r="C80" s="348"/>
      <c r="D80" s="295"/>
      <c r="E80" s="370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U80" s="416"/>
      <c r="V80" s="416"/>
    </row>
    <row r="81" spans="2:15" ht="14.95" thickBot="1" x14ac:dyDescent="0.3">
      <c r="B81" s="421"/>
      <c r="C81" s="422"/>
      <c r="D81" s="375"/>
      <c r="E81" s="372"/>
      <c r="F81" s="423"/>
      <c r="G81" s="423"/>
      <c r="H81" s="423"/>
      <c r="I81" s="423"/>
      <c r="J81" s="423"/>
      <c r="K81" s="423"/>
      <c r="L81" s="423"/>
      <c r="M81" s="423"/>
      <c r="N81" s="423"/>
      <c r="O81" s="423"/>
    </row>
    <row r="82" spans="2:15" x14ac:dyDescent="0.25">
      <c r="F82" s="413"/>
      <c r="G82" s="413"/>
      <c r="H82" s="413"/>
      <c r="I82" s="413"/>
      <c r="J82" s="413"/>
      <c r="K82" s="413"/>
      <c r="L82" s="413"/>
      <c r="M82" s="413"/>
      <c r="N82" s="413"/>
      <c r="O82" s="413"/>
    </row>
  </sheetData>
  <printOptions horizontalCentered="1"/>
  <pageMargins left="0.25" right="0.25" top="0.75" bottom="0.75" header="0.3" footer="0.3"/>
  <pageSetup paperSize="8" scale="61" fitToWidth="0" orientation="landscape" r:id="rId1"/>
  <customProperties>
    <customPr name="_pios_id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8D3E-1335-4337-A956-3C2730B1B938}">
  <sheetPr>
    <tabColor theme="9" tint="0.79998168889431442"/>
  </sheetPr>
  <dimension ref="A2:Q34"/>
  <sheetViews>
    <sheetView showGridLines="0" zoomScale="85" zoomScaleNormal="85" zoomScaleSheetLayoutView="100" workbookViewId="0">
      <selection activeCell="Q18" sqref="Q18"/>
    </sheetView>
  </sheetViews>
  <sheetFormatPr defaultColWidth="9.125" defaultRowHeight="12.9" x14ac:dyDescent="0.25"/>
  <cols>
    <col min="1" max="1" width="6" style="236" customWidth="1"/>
    <col min="2" max="2" width="43.625" style="274" customWidth="1"/>
    <col min="3" max="3" width="17" style="238" customWidth="1"/>
    <col min="4" max="4" width="17.75" style="238" customWidth="1"/>
    <col min="5" max="5" width="8.75" style="239" customWidth="1"/>
    <col min="6" max="12" width="8.25" style="239" customWidth="1"/>
    <col min="13" max="13" width="63.25" style="236" customWidth="1"/>
    <col min="14" max="14" width="14" style="236" bestFit="1" customWidth="1"/>
    <col min="15" max="16384" width="9.125" style="236"/>
  </cols>
  <sheetData>
    <row r="2" spans="1:14" ht="14.3" x14ac:dyDescent="0.25">
      <c r="B2" s="237" t="s">
        <v>259</v>
      </c>
    </row>
    <row r="3" spans="1:14" s="241" customFormat="1" ht="27" customHeight="1" x14ac:dyDescent="0.25">
      <c r="B3" s="242" t="s">
        <v>261</v>
      </c>
      <c r="C3" s="243" t="s">
        <v>419</v>
      </c>
      <c r="D3" s="244"/>
      <c r="E3" s="244"/>
      <c r="F3" s="244"/>
      <c r="G3" s="244"/>
      <c r="H3" s="244"/>
      <c r="I3" s="244"/>
      <c r="J3" s="244"/>
      <c r="K3" s="244"/>
      <c r="L3" s="244"/>
      <c r="M3" s="245" t="s">
        <v>263</v>
      </c>
    </row>
    <row r="4" spans="1:14" s="249" customFormat="1" ht="29.25" customHeight="1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L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469" t="s">
        <v>420</v>
      </c>
      <c r="N4" s="248"/>
    </row>
    <row r="5" spans="1:14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469"/>
      <c r="N5" s="248"/>
    </row>
    <row r="6" spans="1:14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>
        <v>7822</v>
      </c>
      <c r="E6" s="247"/>
      <c r="F6" s="247"/>
      <c r="G6" s="247"/>
      <c r="H6" s="247"/>
      <c r="I6" s="247"/>
      <c r="J6" s="247"/>
      <c r="K6" s="247"/>
      <c r="L6" s="247"/>
      <c r="M6" s="469"/>
      <c r="N6" s="248"/>
    </row>
    <row r="7" spans="1:14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>
        <v>7427</v>
      </c>
      <c r="E7" s="247"/>
      <c r="F7" s="247"/>
      <c r="G7" s="247"/>
      <c r="H7" s="247"/>
      <c r="I7" s="247"/>
      <c r="J7" s="247"/>
      <c r="K7" s="247"/>
      <c r="L7" s="247"/>
      <c r="M7" s="469"/>
      <c r="N7" s="248"/>
    </row>
    <row r="8" spans="1:14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>
        <v>14380</v>
      </c>
      <c r="E8" s="247"/>
      <c r="F8" s="247"/>
      <c r="G8" s="247"/>
      <c r="H8" s="247"/>
      <c r="I8" s="247"/>
      <c r="J8" s="247"/>
      <c r="K8" s="247"/>
      <c r="L8" s="247"/>
      <c r="M8" s="469"/>
      <c r="N8" s="248"/>
    </row>
    <row r="9" spans="1:14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>
        <v>230</v>
      </c>
      <c r="E9" s="247"/>
      <c r="F9" s="247"/>
      <c r="G9" s="247"/>
      <c r="H9" s="247"/>
      <c r="I9" s="247"/>
      <c r="J9" s="247"/>
      <c r="K9" s="247"/>
      <c r="L9" s="247"/>
      <c r="M9" s="469" t="s">
        <v>421</v>
      </c>
      <c r="N9" s="248"/>
    </row>
    <row r="10" spans="1:14" ht="27.2" x14ac:dyDescent="0.25">
      <c r="A10" s="236">
        <f t="shared" si="1"/>
        <v>7</v>
      </c>
      <c r="B10" s="246" t="s">
        <v>270</v>
      </c>
      <c r="C10" s="253" t="s">
        <v>271</v>
      </c>
      <c r="D10" s="252">
        <v>148</v>
      </c>
      <c r="E10" s="253"/>
      <c r="F10" s="253"/>
      <c r="G10" s="253"/>
      <c r="H10" s="253"/>
      <c r="I10" s="253"/>
      <c r="J10" s="253"/>
      <c r="K10" s="253"/>
      <c r="L10" s="253"/>
      <c r="M10" s="469" t="s">
        <v>422</v>
      </c>
      <c r="N10" s="254"/>
    </row>
    <row r="11" spans="1:14" ht="18.7" customHeight="1" x14ac:dyDescent="0.25">
      <c r="A11" s="236">
        <f>A10+1</f>
        <v>8</v>
      </c>
      <c r="B11" s="246" t="s">
        <v>12</v>
      </c>
      <c r="C11" s="253" t="s">
        <v>13</v>
      </c>
      <c r="D11" s="252">
        <v>2500</v>
      </c>
      <c r="E11" s="253"/>
      <c r="F11" s="253"/>
      <c r="G11" s="253"/>
      <c r="H11" s="253"/>
      <c r="I11" s="253"/>
      <c r="J11" s="253"/>
      <c r="K11" s="253"/>
      <c r="L11" s="253"/>
      <c r="M11" s="469"/>
      <c r="N11" s="254"/>
    </row>
    <row r="12" spans="1:14" ht="19.55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0.90962709284627086</v>
      </c>
      <c r="F12" s="255">
        <f>(8760-F13-F14-F15)/8760</f>
        <v>0.88376775748351089</v>
      </c>
      <c r="G12" s="255">
        <f>(8760-G13-G14-G15)/8760</f>
        <v>0.77400431253170976</v>
      </c>
      <c r="H12" s="255">
        <f t="shared" ref="H12:L12" si="2">(8760-H13-H14-H15)/8760</f>
        <v>0.88376775748351089</v>
      </c>
      <c r="I12" s="255">
        <f t="shared" si="2"/>
        <v>0.90962709284627086</v>
      </c>
      <c r="J12" s="255">
        <f t="shared" si="2"/>
        <v>0.74814497716894979</v>
      </c>
      <c r="K12" s="255">
        <f t="shared" si="2"/>
        <v>0.90962709284627086</v>
      </c>
      <c r="L12" s="255">
        <f t="shared" si="2"/>
        <v>0.88376775748351089</v>
      </c>
      <c r="M12" s="469"/>
    </row>
    <row r="13" spans="1:14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'TZCO ТО'!G7</f>
        <v>548</v>
      </c>
      <c r="F13" s="257">
        <f>'TZCO ТО'!H7</f>
        <v>548</v>
      </c>
      <c r="G13" s="257">
        <f>'TZCO ТО'!I7</f>
        <v>548</v>
      </c>
      <c r="H13" s="257">
        <f>'TZCO ТО'!J7</f>
        <v>548</v>
      </c>
      <c r="I13" s="257">
        <f>'TZCO ТО'!K7</f>
        <v>548</v>
      </c>
      <c r="J13" s="257">
        <f>'TZCO ТО'!L7</f>
        <v>548</v>
      </c>
      <c r="K13" s="257">
        <f>'TZCO ТО'!M7</f>
        <v>548</v>
      </c>
      <c r="L13" s="257">
        <f>'TZCO ТО'!N7</f>
        <v>548</v>
      </c>
      <c r="M13" s="424"/>
    </row>
    <row r="14" spans="1:14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'TZCO Рем'!F8</f>
        <v>16</v>
      </c>
      <c r="F14" s="257">
        <f>'TZCO Рем'!G8</f>
        <v>249</v>
      </c>
      <c r="G14" s="257">
        <f>'TZCO Рем'!H8</f>
        <v>1238</v>
      </c>
      <c r="H14" s="257">
        <f>'TZCO Рем'!I8</f>
        <v>249</v>
      </c>
      <c r="I14" s="257">
        <f>'TZCO Рем'!J8</f>
        <v>16</v>
      </c>
      <c r="J14" s="257">
        <f>'TZCO Рем'!K8</f>
        <v>1471</v>
      </c>
      <c r="K14" s="257">
        <f>'TZCO Рем'!L8</f>
        <v>16</v>
      </c>
      <c r="L14" s="257">
        <f>'TZCO Рем'!M8</f>
        <v>249</v>
      </c>
      <c r="M14" s="424"/>
    </row>
    <row r="15" spans="1:14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227.66666666666666</v>
      </c>
      <c r="F15" s="257">
        <f t="shared" ref="F15:L15" si="4">(8760-F13-F14)/12*20/60</f>
        <v>221.19444444444446</v>
      </c>
      <c r="G15" s="257">
        <f t="shared" si="4"/>
        <v>193.7222222222222</v>
      </c>
      <c r="H15" s="257">
        <f t="shared" si="4"/>
        <v>221.19444444444446</v>
      </c>
      <c r="I15" s="257">
        <f t="shared" si="4"/>
        <v>227.66666666666666</v>
      </c>
      <c r="J15" s="257">
        <f t="shared" si="4"/>
        <v>187.25</v>
      </c>
      <c r="K15" s="257">
        <f t="shared" si="4"/>
        <v>227.66666666666666</v>
      </c>
      <c r="L15" s="257">
        <f t="shared" si="4"/>
        <v>221.19444444444446</v>
      </c>
      <c r="M15" s="424"/>
    </row>
    <row r="16" spans="1:14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>
        <v>23</v>
      </c>
      <c r="E16" s="259"/>
      <c r="F16" s="259"/>
      <c r="G16" s="259"/>
      <c r="H16" s="259"/>
      <c r="I16" s="259"/>
      <c r="J16" s="259"/>
      <c r="K16" s="259"/>
      <c r="L16" s="259"/>
      <c r="M16" s="469"/>
    </row>
    <row r="17" spans="1:17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>
        <v>17</v>
      </c>
      <c r="E17" s="259"/>
      <c r="F17" s="259"/>
      <c r="G17" s="259"/>
      <c r="H17" s="259"/>
      <c r="I17" s="259"/>
      <c r="J17" s="259"/>
      <c r="K17" s="259"/>
      <c r="L17" s="259"/>
      <c r="M17" s="469"/>
      <c r="O17" s="531" t="s">
        <v>523</v>
      </c>
      <c r="P17" s="531" t="s">
        <v>524</v>
      </c>
    </row>
    <row r="18" spans="1:17" ht="30.75" customHeight="1" x14ac:dyDescent="0.25">
      <c r="A18" s="236">
        <f t="shared" si="3"/>
        <v>15</v>
      </c>
      <c r="B18" s="246" t="s">
        <v>423</v>
      </c>
      <c r="C18" s="260" t="s">
        <v>280</v>
      </c>
      <c r="D18" s="260"/>
      <c r="E18" s="261">
        <f>SUM(E19:E23)</f>
        <v>299.33592441558437</v>
      </c>
      <c r="F18" s="261">
        <f t="shared" ref="F18:L18" si="5">SUM(F19:F23)</f>
        <v>629.57257441558431</v>
      </c>
      <c r="G18" s="261">
        <f t="shared" si="5"/>
        <v>1881.2034744155847</v>
      </c>
      <c r="H18" s="261">
        <f t="shared" si="5"/>
        <v>629.57257441558431</v>
      </c>
      <c r="I18" s="261">
        <f t="shared" si="5"/>
        <v>299.33592441558437</v>
      </c>
      <c r="J18" s="261">
        <f t="shared" si="5"/>
        <v>2211.4401244155847</v>
      </c>
      <c r="K18" s="261">
        <f t="shared" si="5"/>
        <v>299.33592441558437</v>
      </c>
      <c r="L18" s="261">
        <f t="shared" si="5"/>
        <v>629.57257441558431</v>
      </c>
      <c r="M18" s="469"/>
      <c r="O18" s="528">
        <f>SUM(E18:L18)</f>
        <v>6879.369095324676</v>
      </c>
      <c r="P18" s="528">
        <f>O18/$L$4</f>
        <v>859.9211369155845</v>
      </c>
      <c r="Q18" s="1050">
        <f>P18*'ФОТ, МТР, макро'!$AJ$7</f>
        <v>80874.293045205355</v>
      </c>
    </row>
    <row r="19" spans="1:17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'TZCO ТО'!G9/1000</f>
        <v>217.03172441558436</v>
      </c>
      <c r="F19" s="263">
        <f>'TZCO ТО'!H9/1000</f>
        <v>217.03172441558436</v>
      </c>
      <c r="G19" s="263">
        <f>'TZCO ТО'!I9/1000</f>
        <v>217.03172441558436</v>
      </c>
      <c r="H19" s="263">
        <f>'TZCO ТО'!J9/1000</f>
        <v>217.03172441558436</v>
      </c>
      <c r="I19" s="263">
        <f>'TZCO ТО'!K9/1000</f>
        <v>217.03172441558436</v>
      </c>
      <c r="J19" s="263">
        <f>'TZCO ТО'!L9/1000</f>
        <v>217.03172441558436</v>
      </c>
      <c r="K19" s="263">
        <f>'TZCO ТО'!M9/1000</f>
        <v>217.03172441558436</v>
      </c>
      <c r="L19" s="263">
        <f>'TZCO ТО'!N9/1000</f>
        <v>217.03172441558436</v>
      </c>
      <c r="M19" s="424"/>
      <c r="O19" s="529">
        <f>SUM(E19:L19)</f>
        <v>1736.2537953246751</v>
      </c>
      <c r="P19" s="529">
        <f t="shared" ref="P19:P23" si="6">O19/$L$4</f>
        <v>217.03172441558439</v>
      </c>
    </row>
    <row r="20" spans="1:17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'TZCO Рем'!F10/1000</f>
        <v>7.5</v>
      </c>
      <c r="F20" s="263">
        <f>'TZCO Рем'!G10/1000</f>
        <v>7.5</v>
      </c>
      <c r="G20" s="263">
        <f>'TZCO Рем'!H10/1000</f>
        <v>7.5</v>
      </c>
      <c r="H20" s="263">
        <f>'TZCO Рем'!I10/1000</f>
        <v>7.5</v>
      </c>
      <c r="I20" s="263">
        <f>'TZCO Рем'!J10/1000</f>
        <v>7.5</v>
      </c>
      <c r="J20" s="263">
        <f>'TZCO Рем'!K10/1000</f>
        <v>7.5</v>
      </c>
      <c r="K20" s="263">
        <f>'TZCO Рем'!L10/1000</f>
        <v>7.5</v>
      </c>
      <c r="L20" s="263">
        <f>'TZCO Рем'!M10/1000</f>
        <v>7.5</v>
      </c>
      <c r="M20" s="424"/>
      <c r="O20" s="529">
        <f t="shared" ref="O20:O23" si="7">SUM(E20:L20)</f>
        <v>60</v>
      </c>
      <c r="P20" s="529">
        <f t="shared" si="6"/>
        <v>7.5</v>
      </c>
    </row>
    <row r="21" spans="1:17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'TZCO Рем'!F11/1000</f>
        <v>22.180199999999999</v>
      </c>
      <c r="F21" s="263">
        <f>'TZCO Рем'!G11/1000</f>
        <v>117.30164999999998</v>
      </c>
      <c r="G21" s="263">
        <f>'TZCO Рем'!H11/1000</f>
        <v>1471.5217500000003</v>
      </c>
      <c r="H21" s="263">
        <f>'TZCO Рем'!I11/1000</f>
        <v>117.30164999999998</v>
      </c>
      <c r="I21" s="263">
        <f>'TZCO Рем'!J11/1000</f>
        <v>22.180199999999999</v>
      </c>
      <c r="J21" s="263">
        <f>'TZCO Рем'!K11/1000</f>
        <v>1566.6432000000002</v>
      </c>
      <c r="K21" s="263">
        <f>'TZCO Рем'!L11/1000</f>
        <v>22.180199999999999</v>
      </c>
      <c r="L21" s="263">
        <f>'TZCO Рем'!M11/1000</f>
        <v>117.30164999999998</v>
      </c>
      <c r="M21" s="424"/>
      <c r="O21" s="529">
        <f t="shared" si="7"/>
        <v>3456.6105000000002</v>
      </c>
      <c r="P21" s="529">
        <f t="shared" si="6"/>
        <v>432.07631250000003</v>
      </c>
    </row>
    <row r="22" spans="1:17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'TZCO ТО'!G10/1000</f>
        <v>50.415999999999997</v>
      </c>
      <c r="F22" s="263">
        <f>'TZCO ТО'!H10/1000</f>
        <v>50.415999999999997</v>
      </c>
      <c r="G22" s="263">
        <f>'TZCO ТО'!I10/1000</f>
        <v>50.415999999999997</v>
      </c>
      <c r="H22" s="263">
        <f>'TZCO ТО'!J10/1000</f>
        <v>50.415999999999997</v>
      </c>
      <c r="I22" s="263">
        <f>'TZCO ТО'!K10/1000</f>
        <v>50.415999999999997</v>
      </c>
      <c r="J22" s="263">
        <f>'TZCO ТО'!L10/1000</f>
        <v>50.415999999999997</v>
      </c>
      <c r="K22" s="263">
        <f>'TZCO ТО'!M10/1000</f>
        <v>50.415999999999997</v>
      </c>
      <c r="L22" s="263">
        <f>'TZCO ТО'!N10/1000</f>
        <v>50.415999999999997</v>
      </c>
      <c r="M22" s="424"/>
      <c r="O22" s="529">
        <f t="shared" si="7"/>
        <v>403.32799999999997</v>
      </c>
      <c r="P22" s="529">
        <f t="shared" si="6"/>
        <v>50.415999999999997</v>
      </c>
    </row>
    <row r="23" spans="1:17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'TZCO Рем'!F12/1000</f>
        <v>2.2080000000000002</v>
      </c>
      <c r="F23" s="263">
        <f>'TZCO Рем'!G12/1000</f>
        <v>237.32319999999999</v>
      </c>
      <c r="G23" s="263">
        <f>'TZCO Рем'!H12/1000</f>
        <v>134.73400000000001</v>
      </c>
      <c r="H23" s="263">
        <f>'TZCO Рем'!I12/1000</f>
        <v>237.32319999999999</v>
      </c>
      <c r="I23" s="263">
        <f>'TZCO Рем'!J12/1000</f>
        <v>2.2080000000000002</v>
      </c>
      <c r="J23" s="263">
        <f>'TZCO Рем'!K12/1000</f>
        <v>369.84919999999994</v>
      </c>
      <c r="K23" s="263">
        <f>'TZCO Рем'!L12/1000</f>
        <v>2.2080000000000002</v>
      </c>
      <c r="L23" s="263">
        <f>'TZCO Рем'!M12/1000</f>
        <v>237.32319999999999</v>
      </c>
      <c r="M23" s="424" t="s">
        <v>424</v>
      </c>
      <c r="O23" s="529">
        <f t="shared" si="7"/>
        <v>1223.1767999999997</v>
      </c>
      <c r="P23" s="529">
        <f t="shared" si="6"/>
        <v>152.89709999999997</v>
      </c>
    </row>
    <row r="24" spans="1:17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469"/>
    </row>
    <row r="25" spans="1:17" ht="14.95" customHeight="1" x14ac:dyDescent="0.25">
      <c r="A25" s="236">
        <f t="shared" si="3"/>
        <v>22</v>
      </c>
      <c r="B25" s="266" t="s">
        <v>287</v>
      </c>
      <c r="C25" s="260"/>
      <c r="D25" s="268" t="s">
        <v>425</v>
      </c>
      <c r="E25" s="267"/>
      <c r="F25" s="265"/>
      <c r="G25" s="265"/>
      <c r="H25" s="265"/>
      <c r="I25" s="265"/>
      <c r="J25" s="265"/>
      <c r="K25" s="265"/>
      <c r="L25" s="265"/>
      <c r="M25" s="469" t="s">
        <v>426</v>
      </c>
    </row>
    <row r="26" spans="1:17" ht="14.3" x14ac:dyDescent="0.25">
      <c r="A26" s="236">
        <f t="shared" si="3"/>
        <v>23</v>
      </c>
      <c r="B26" s="266" t="s">
        <v>290</v>
      </c>
      <c r="C26" s="260"/>
      <c r="D26" s="470">
        <v>30000</v>
      </c>
      <c r="E26" s="270"/>
      <c r="F26" s="270"/>
      <c r="G26" s="270"/>
      <c r="H26" s="270"/>
      <c r="I26" s="270"/>
      <c r="J26" s="270"/>
      <c r="K26" s="270"/>
      <c r="L26" s="270"/>
      <c r="M26" s="469" t="s">
        <v>426</v>
      </c>
    </row>
    <row r="27" spans="1:17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469" t="s">
        <v>426</v>
      </c>
    </row>
    <row r="28" spans="1:17" x14ac:dyDescent="0.25">
      <c r="A28" s="236">
        <f t="shared" si="3"/>
        <v>25</v>
      </c>
      <c r="B28" s="266" t="s">
        <v>293</v>
      </c>
      <c r="C28" s="260" t="s">
        <v>145</v>
      </c>
      <c r="D28" s="471">
        <v>105.65</v>
      </c>
      <c r="E28" s="270"/>
      <c r="F28" s="270"/>
      <c r="G28" s="270"/>
      <c r="H28" s="270"/>
      <c r="I28" s="270"/>
      <c r="J28" s="270"/>
      <c r="K28" s="270"/>
      <c r="L28" s="270"/>
      <c r="M28" s="469"/>
    </row>
    <row r="29" spans="1:17" x14ac:dyDescent="0.25">
      <c r="A29" s="236">
        <f t="shared" si="3"/>
        <v>26</v>
      </c>
      <c r="B29" s="266" t="s">
        <v>294</v>
      </c>
      <c r="C29" s="260" t="s">
        <v>145</v>
      </c>
      <c r="D29" s="471">
        <v>140.9</v>
      </c>
      <c r="E29" s="270"/>
      <c r="F29" s="270"/>
      <c r="G29" s="270"/>
      <c r="H29" s="270"/>
      <c r="I29" s="270"/>
      <c r="J29" s="270"/>
      <c r="K29" s="270"/>
      <c r="L29" s="270"/>
      <c r="M29" s="469"/>
    </row>
    <row r="30" spans="1:17" x14ac:dyDescent="0.25">
      <c r="A30" s="236">
        <f t="shared" si="3"/>
        <v>27</v>
      </c>
      <c r="B30" s="266" t="s">
        <v>295</v>
      </c>
      <c r="C30" s="260" t="s">
        <v>145</v>
      </c>
      <c r="D30" s="471">
        <v>194.9</v>
      </c>
      <c r="E30" s="270"/>
      <c r="F30" s="270"/>
      <c r="G30" s="270"/>
      <c r="H30" s="270"/>
      <c r="I30" s="270"/>
      <c r="J30" s="270"/>
      <c r="K30" s="270"/>
      <c r="L30" s="270"/>
      <c r="M30" s="469"/>
    </row>
    <row r="31" spans="1:17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472" t="s">
        <v>427</v>
      </c>
      <c r="E31" s="270"/>
      <c r="F31" s="270"/>
      <c r="G31" s="270"/>
      <c r="H31" s="270"/>
      <c r="I31" s="270"/>
      <c r="J31" s="270"/>
      <c r="K31" s="270"/>
      <c r="L31" s="270"/>
      <c r="M31" s="473"/>
    </row>
    <row r="34" spans="5:13" ht="13.6" x14ac:dyDescent="0.25">
      <c r="E34" s="527">
        <f>E18/(365*24*E12)*1000</f>
        <v>37.565688067214104</v>
      </c>
      <c r="F34" s="527">
        <f t="shared" ref="F34:L34" si="8">F18/(365*24*F12)*1000</f>
        <v>81.321155626777539</v>
      </c>
      <c r="G34" s="527">
        <f t="shared" si="8"/>
        <v>277.4522720265519</v>
      </c>
      <c r="H34" s="527">
        <f t="shared" si="8"/>
        <v>81.321155626777539</v>
      </c>
      <c r="I34" s="527">
        <f t="shared" si="8"/>
        <v>37.565688067214104</v>
      </c>
      <c r="J34" s="527">
        <f t="shared" si="8"/>
        <v>337.43126063941787</v>
      </c>
      <c r="K34" s="527">
        <f t="shared" si="8"/>
        <v>37.565688067214104</v>
      </c>
      <c r="L34" s="527">
        <f t="shared" si="8"/>
        <v>81.321155626777539</v>
      </c>
      <c r="M34" s="532">
        <f>SUMPRODUCT(E34:L34,E12:L12)/SUM(E12:L12)</f>
        <v>113.77544536352323</v>
      </c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  <customProperties>
    <customPr name="_pios_id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8B3B-C29D-4815-84F1-834B4F0D779B}">
  <sheetPr>
    <tabColor theme="9" tint="0.79998168889431442"/>
  </sheetPr>
  <dimension ref="B2:Q54"/>
  <sheetViews>
    <sheetView showGridLines="0" zoomScale="85" zoomScaleNormal="85" workbookViewId="0">
      <pane xSplit="5" ySplit="4" topLeftCell="F5" activePane="bottomRight" state="frozen"/>
      <selection activeCell="N49" sqref="N49"/>
      <selection pane="topRight" activeCell="N49" sqref="N49"/>
      <selection pane="bottomLeft" activeCell="N49" sqref="N49"/>
      <selection pane="bottomRight" activeCell="G10" sqref="G10"/>
    </sheetView>
  </sheetViews>
  <sheetFormatPr defaultRowHeight="14.3" x14ac:dyDescent="0.25"/>
  <cols>
    <col min="1" max="1" width="5.625" style="275" customWidth="1"/>
    <col min="2" max="2" width="70.625" style="275" customWidth="1"/>
    <col min="3" max="3" width="24.75" style="275" customWidth="1"/>
    <col min="4" max="4" width="14.75" style="275" customWidth="1"/>
    <col min="5" max="5" width="14" style="275" customWidth="1"/>
    <col min="6" max="6" width="9.25" style="275" bestFit="1" customWidth="1"/>
    <col min="7" max="14" width="10" style="275" customWidth="1"/>
    <col min="15" max="15" width="11.875" style="275" customWidth="1"/>
    <col min="16" max="16" width="9" style="275"/>
    <col min="17" max="17" width="10.375" style="275" customWidth="1"/>
    <col min="18" max="16384" width="9" style="275"/>
  </cols>
  <sheetData>
    <row r="2" spans="2:17" x14ac:dyDescent="0.25">
      <c r="B2" s="237" t="s">
        <v>259</v>
      </c>
    </row>
    <row r="3" spans="2:17" ht="14.95" thickBot="1" x14ac:dyDescent="0.3">
      <c r="B3" s="275" t="s">
        <v>298</v>
      </c>
      <c r="G3" s="277">
        <f>TZCO!E12</f>
        <v>0.90962709284627086</v>
      </c>
      <c r="H3" s="277">
        <f>TZCO!F12</f>
        <v>0.88376775748351089</v>
      </c>
      <c r="I3" s="277">
        <f>TZCO!G12</f>
        <v>0.77400431253170976</v>
      </c>
      <c r="J3" s="277">
        <f>TZCO!H12</f>
        <v>0.88376775748351089</v>
      </c>
      <c r="K3" s="277">
        <f>TZCO!I12</f>
        <v>0.90962709284627086</v>
      </c>
      <c r="L3" s="277">
        <f>TZCO!J12</f>
        <v>0.74814497716894979</v>
      </c>
      <c r="M3" s="277">
        <f>TZCO!K12</f>
        <v>0.90962709284627086</v>
      </c>
      <c r="N3" s="277">
        <f>TZCO!L12</f>
        <v>0.88376775748351089</v>
      </c>
    </row>
    <row r="4" spans="2:17" ht="22.1" customHeight="1" thickBot="1" x14ac:dyDescent="0.3">
      <c r="B4" s="278" t="s">
        <v>299</v>
      </c>
      <c r="C4" s="279" t="s">
        <v>8</v>
      </c>
      <c r="D4" s="280"/>
      <c r="E4" s="281"/>
      <c r="F4" s="282"/>
      <c r="G4" s="283">
        <f>E4+1</f>
        <v>1</v>
      </c>
      <c r="H4" s="283">
        <f>G4+1</f>
        <v>2</v>
      </c>
      <c r="I4" s="283">
        <f t="shared" ref="I4:N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</row>
    <row r="5" spans="2:17" x14ac:dyDescent="0.25">
      <c r="B5" s="284" t="s">
        <v>300</v>
      </c>
      <c r="C5" s="285" t="s">
        <v>301</v>
      </c>
      <c r="D5" s="286"/>
      <c r="E5" s="287"/>
      <c r="F5" s="288"/>
      <c r="G5" s="474">
        <v>0</v>
      </c>
      <c r="H5" s="475">
        <f>G6+1</f>
        <v>7001</v>
      </c>
      <c r="I5" s="475">
        <f t="shared" ref="I5:N5" si="1">H6+1</f>
        <v>14001</v>
      </c>
      <c r="J5" s="475">
        <f t="shared" si="1"/>
        <v>21001</v>
      </c>
      <c r="K5" s="475">
        <f t="shared" si="1"/>
        <v>28001</v>
      </c>
      <c r="L5" s="475">
        <f t="shared" si="1"/>
        <v>35001</v>
      </c>
      <c r="M5" s="475">
        <f t="shared" si="1"/>
        <v>42001</v>
      </c>
      <c r="N5" s="475">
        <f t="shared" si="1"/>
        <v>49001</v>
      </c>
    </row>
    <row r="6" spans="2:17" x14ac:dyDescent="0.25">
      <c r="B6" s="290" t="s">
        <v>302</v>
      </c>
      <c r="C6" s="291" t="s">
        <v>301</v>
      </c>
      <c r="D6" s="292"/>
      <c r="E6" s="293"/>
      <c r="F6" s="294">
        <v>7000</v>
      </c>
      <c r="G6" s="476">
        <f>F6</f>
        <v>7000</v>
      </c>
      <c r="H6" s="476">
        <f t="shared" ref="H6:N6" si="2">G6+$F6</f>
        <v>14000</v>
      </c>
      <c r="I6" s="476">
        <f t="shared" si="2"/>
        <v>21000</v>
      </c>
      <c r="J6" s="476">
        <f t="shared" si="2"/>
        <v>28000</v>
      </c>
      <c r="K6" s="476">
        <f t="shared" si="2"/>
        <v>35000</v>
      </c>
      <c r="L6" s="476">
        <f t="shared" si="2"/>
        <v>42000</v>
      </c>
      <c r="M6" s="476">
        <f t="shared" si="2"/>
        <v>49000</v>
      </c>
      <c r="N6" s="476">
        <f t="shared" si="2"/>
        <v>56000</v>
      </c>
    </row>
    <row r="7" spans="2:17" ht="21.75" customHeight="1" x14ac:dyDescent="0.25">
      <c r="B7" s="296" t="s">
        <v>303</v>
      </c>
      <c r="C7" s="297" t="s">
        <v>304</v>
      </c>
      <c r="D7" s="253"/>
      <c r="E7" s="298"/>
      <c r="F7" s="299"/>
      <c r="G7" s="257">
        <f>G13</f>
        <v>548</v>
      </c>
      <c r="H7" s="257">
        <f t="shared" ref="H7:N7" si="3">H13</f>
        <v>548</v>
      </c>
      <c r="I7" s="257">
        <f t="shared" si="3"/>
        <v>548</v>
      </c>
      <c r="J7" s="257">
        <f t="shared" si="3"/>
        <v>548</v>
      </c>
      <c r="K7" s="257">
        <f t="shared" si="3"/>
        <v>548</v>
      </c>
      <c r="L7" s="257">
        <f t="shared" si="3"/>
        <v>548</v>
      </c>
      <c r="M7" s="257">
        <f t="shared" si="3"/>
        <v>548</v>
      </c>
      <c r="N7" s="257">
        <f t="shared" si="3"/>
        <v>548</v>
      </c>
    </row>
    <row r="8" spans="2:17" ht="21.1" customHeight="1" x14ac:dyDescent="0.25">
      <c r="B8" s="300" t="s">
        <v>305</v>
      </c>
      <c r="C8" s="301" t="s">
        <v>306</v>
      </c>
      <c r="D8" s="260"/>
      <c r="E8" s="298"/>
      <c r="F8" s="299"/>
      <c r="G8" s="302">
        <f t="shared" ref="G8:N8" si="4">SUM(G9:G10)</f>
        <v>267447.72441558435</v>
      </c>
      <c r="H8" s="302">
        <f t="shared" si="4"/>
        <v>267447.72441558435</v>
      </c>
      <c r="I8" s="302">
        <f t="shared" si="4"/>
        <v>267447.72441558435</v>
      </c>
      <c r="J8" s="302">
        <f t="shared" si="4"/>
        <v>267447.72441558435</v>
      </c>
      <c r="K8" s="302">
        <f t="shared" si="4"/>
        <v>267447.72441558435</v>
      </c>
      <c r="L8" s="302">
        <f t="shared" si="4"/>
        <v>267447.72441558435</v>
      </c>
      <c r="M8" s="302">
        <f t="shared" si="4"/>
        <v>267447.72441558435</v>
      </c>
      <c r="N8" s="302">
        <f t="shared" si="4"/>
        <v>267447.72441558435</v>
      </c>
    </row>
    <row r="9" spans="2:17" ht="20.25" customHeight="1" x14ac:dyDescent="0.25">
      <c r="B9" s="304" t="s">
        <v>307</v>
      </c>
      <c r="C9" s="305" t="s">
        <v>306</v>
      </c>
      <c r="D9" s="306"/>
      <c r="E9" s="307"/>
      <c r="F9" s="308"/>
      <c r="G9" s="263">
        <f t="shared" ref="G9:N9" si="5">G21</f>
        <v>217031.72441558435</v>
      </c>
      <c r="H9" s="263">
        <f t="shared" si="5"/>
        <v>217031.72441558435</v>
      </c>
      <c r="I9" s="263">
        <f t="shared" si="5"/>
        <v>217031.72441558435</v>
      </c>
      <c r="J9" s="263">
        <f t="shared" si="5"/>
        <v>217031.72441558435</v>
      </c>
      <c r="K9" s="263">
        <f t="shared" si="5"/>
        <v>217031.72441558435</v>
      </c>
      <c r="L9" s="263">
        <f t="shared" si="5"/>
        <v>217031.72441558435</v>
      </c>
      <c r="M9" s="263">
        <f t="shared" si="5"/>
        <v>217031.72441558435</v>
      </c>
      <c r="N9" s="263">
        <f t="shared" si="5"/>
        <v>217031.72441558435</v>
      </c>
    </row>
    <row r="10" spans="2:17" ht="23.3" customHeight="1" thickBot="1" x14ac:dyDescent="0.3">
      <c r="B10" s="309" t="s">
        <v>308</v>
      </c>
      <c r="C10" s="310" t="s">
        <v>306</v>
      </c>
      <c r="D10" s="311"/>
      <c r="E10" s="312"/>
      <c r="F10" s="313">
        <v>46</v>
      </c>
      <c r="G10" s="314">
        <f>SUMPRODUCT(G14:G18,$F$14:$F$18)*$F10</f>
        <v>50416</v>
      </c>
      <c r="H10" s="314">
        <f>SUMPRODUCT(H14:H18,$F$14:$F$18)*$F10</f>
        <v>50416</v>
      </c>
      <c r="I10" s="314">
        <f t="shared" ref="I10:N10" si="6">SUMPRODUCT(I14:I18,$F$14:$F$18)*$F10</f>
        <v>50416</v>
      </c>
      <c r="J10" s="314">
        <f t="shared" si="6"/>
        <v>50416</v>
      </c>
      <c r="K10" s="314">
        <f t="shared" si="6"/>
        <v>50416</v>
      </c>
      <c r="L10" s="314">
        <f t="shared" si="6"/>
        <v>50416</v>
      </c>
      <c r="M10" s="314">
        <f t="shared" si="6"/>
        <v>50416</v>
      </c>
      <c r="N10" s="314">
        <f t="shared" si="6"/>
        <v>50416</v>
      </c>
    </row>
    <row r="11" spans="2:17" ht="14.95" thickBot="1" x14ac:dyDescent="0.3">
      <c r="B11" s="1069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</row>
    <row r="12" spans="2:17" ht="34.65" x14ac:dyDescent="0.25">
      <c r="B12" s="315" t="s">
        <v>309</v>
      </c>
      <c r="C12" s="316" t="s">
        <v>310</v>
      </c>
      <c r="D12" s="317" t="s">
        <v>311</v>
      </c>
      <c r="E12" s="318" t="s">
        <v>312</v>
      </c>
      <c r="F12" s="319" t="s">
        <v>313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477" t="s">
        <v>314</v>
      </c>
      <c r="O12" s="1071" t="s">
        <v>428</v>
      </c>
      <c r="P12" s="1072"/>
      <c r="Q12" s="1073"/>
    </row>
    <row r="13" spans="2:17" ht="42.8" customHeight="1" x14ac:dyDescent="0.25">
      <c r="B13" s="321" t="s">
        <v>315</v>
      </c>
      <c r="C13" s="322"/>
      <c r="D13" s="323"/>
      <c r="E13" s="324"/>
      <c r="F13" s="325"/>
      <c r="G13" s="326">
        <f t="shared" ref="G13:N13" si="7">SUM(G14:G18)</f>
        <v>548</v>
      </c>
      <c r="H13" s="326">
        <f t="shared" si="7"/>
        <v>548</v>
      </c>
      <c r="I13" s="326">
        <f t="shared" si="7"/>
        <v>548</v>
      </c>
      <c r="J13" s="326">
        <f t="shared" si="7"/>
        <v>548</v>
      </c>
      <c r="K13" s="326">
        <f t="shared" si="7"/>
        <v>548</v>
      </c>
      <c r="L13" s="326">
        <f t="shared" si="7"/>
        <v>548</v>
      </c>
      <c r="M13" s="326">
        <f t="shared" si="7"/>
        <v>548</v>
      </c>
      <c r="N13" s="478">
        <f t="shared" si="7"/>
        <v>548</v>
      </c>
      <c r="O13" s="479" t="s">
        <v>429</v>
      </c>
      <c r="P13" s="480" t="s">
        <v>430</v>
      </c>
      <c r="Q13" s="481" t="s">
        <v>431</v>
      </c>
    </row>
    <row r="14" spans="2:17" x14ac:dyDescent="0.25">
      <c r="B14" s="327" t="s">
        <v>432</v>
      </c>
      <c r="C14" s="328">
        <v>250</v>
      </c>
      <c r="D14" s="268">
        <v>7</v>
      </c>
      <c r="E14" s="329">
        <v>28</v>
      </c>
      <c r="F14" s="330">
        <v>2</v>
      </c>
      <c r="G14" s="268">
        <f>$E14*$D14</f>
        <v>196</v>
      </c>
      <c r="H14" s="268">
        <f t="shared" ref="H14:N18" si="8">$E14*$D14</f>
        <v>196</v>
      </c>
      <c r="I14" s="268">
        <f>$E14*$D14</f>
        <v>196</v>
      </c>
      <c r="J14" s="268">
        <f t="shared" si="8"/>
        <v>196</v>
      </c>
      <c r="K14" s="268">
        <f t="shared" si="8"/>
        <v>196</v>
      </c>
      <c r="L14" s="268">
        <f t="shared" si="8"/>
        <v>196</v>
      </c>
      <c r="M14" s="268">
        <f t="shared" si="8"/>
        <v>196</v>
      </c>
      <c r="N14" s="482">
        <f t="shared" si="8"/>
        <v>196</v>
      </c>
      <c r="O14" s="483">
        <v>15.3</v>
      </c>
      <c r="P14" s="484">
        <v>4</v>
      </c>
      <c r="Q14" s="485">
        <v>7</v>
      </c>
    </row>
    <row r="15" spans="2:17" x14ac:dyDescent="0.25">
      <c r="B15" s="327" t="s">
        <v>433</v>
      </c>
      <c r="C15" s="328">
        <v>500</v>
      </c>
      <c r="D15" s="268">
        <v>14</v>
      </c>
      <c r="E15" s="329">
        <v>14</v>
      </c>
      <c r="F15" s="330">
        <v>2</v>
      </c>
      <c r="G15" s="268">
        <f>$E15*$D15</f>
        <v>196</v>
      </c>
      <c r="H15" s="268">
        <f t="shared" si="8"/>
        <v>196</v>
      </c>
      <c r="I15" s="268">
        <f t="shared" si="8"/>
        <v>196</v>
      </c>
      <c r="J15" s="268">
        <f t="shared" si="8"/>
        <v>196</v>
      </c>
      <c r="K15" s="268">
        <f t="shared" si="8"/>
        <v>196</v>
      </c>
      <c r="L15" s="268">
        <f t="shared" si="8"/>
        <v>196</v>
      </c>
      <c r="M15" s="268">
        <f t="shared" si="8"/>
        <v>196</v>
      </c>
      <c r="N15" s="482">
        <f t="shared" si="8"/>
        <v>196</v>
      </c>
      <c r="O15" s="483">
        <v>27.999999999999996</v>
      </c>
      <c r="P15" s="484">
        <v>10</v>
      </c>
      <c r="Q15" s="485">
        <v>14</v>
      </c>
    </row>
    <row r="16" spans="2:17" x14ac:dyDescent="0.25">
      <c r="B16" s="327" t="s">
        <v>434</v>
      </c>
      <c r="C16" s="328">
        <v>1000</v>
      </c>
      <c r="D16" s="268">
        <v>17</v>
      </c>
      <c r="E16" s="329">
        <v>7</v>
      </c>
      <c r="F16" s="330">
        <v>2</v>
      </c>
      <c r="G16" s="268">
        <f>$E16*$D16</f>
        <v>119</v>
      </c>
      <c r="H16" s="268">
        <f t="shared" si="8"/>
        <v>119</v>
      </c>
      <c r="I16" s="268">
        <f t="shared" si="8"/>
        <v>119</v>
      </c>
      <c r="J16" s="268">
        <f t="shared" si="8"/>
        <v>119</v>
      </c>
      <c r="K16" s="268">
        <f t="shared" si="8"/>
        <v>119</v>
      </c>
      <c r="L16" s="268">
        <f t="shared" si="8"/>
        <v>119</v>
      </c>
      <c r="M16" s="268">
        <f t="shared" si="8"/>
        <v>119</v>
      </c>
      <c r="N16" s="482">
        <f t="shared" si="8"/>
        <v>119</v>
      </c>
      <c r="O16" s="483">
        <v>35.200000000000003</v>
      </c>
      <c r="P16" s="484">
        <v>12</v>
      </c>
      <c r="Q16" s="485">
        <v>17</v>
      </c>
    </row>
    <row r="17" spans="2:17" x14ac:dyDescent="0.25">
      <c r="B17" s="327" t="s">
        <v>435</v>
      </c>
      <c r="C17" s="328">
        <v>2500</v>
      </c>
      <c r="D17" s="268">
        <v>17</v>
      </c>
      <c r="E17" s="329">
        <v>1</v>
      </c>
      <c r="F17" s="330">
        <v>2</v>
      </c>
      <c r="G17" s="268">
        <f>$E17*$D17</f>
        <v>17</v>
      </c>
      <c r="H17" s="268">
        <f t="shared" si="8"/>
        <v>17</v>
      </c>
      <c r="I17" s="268">
        <f t="shared" si="8"/>
        <v>17</v>
      </c>
      <c r="J17" s="268">
        <f t="shared" si="8"/>
        <v>17</v>
      </c>
      <c r="K17" s="268">
        <f t="shared" si="8"/>
        <v>17</v>
      </c>
      <c r="L17" s="268">
        <f t="shared" si="8"/>
        <v>17</v>
      </c>
      <c r="M17" s="268">
        <f t="shared" si="8"/>
        <v>17</v>
      </c>
      <c r="N17" s="482">
        <f t="shared" si="8"/>
        <v>17</v>
      </c>
      <c r="O17" s="483">
        <v>35.200000000000003</v>
      </c>
      <c r="P17" s="484">
        <v>12</v>
      </c>
      <c r="Q17" s="485">
        <v>17</v>
      </c>
    </row>
    <row r="18" spans="2:17" ht="14.95" thickBot="1" x14ac:dyDescent="0.3">
      <c r="B18" s="327" t="s">
        <v>436</v>
      </c>
      <c r="C18" s="328">
        <v>5000</v>
      </c>
      <c r="D18" s="268">
        <v>20</v>
      </c>
      <c r="E18" s="329">
        <v>1</v>
      </c>
      <c r="F18" s="330">
        <v>2</v>
      </c>
      <c r="G18" s="268">
        <f>$E18*$D18</f>
        <v>20</v>
      </c>
      <c r="H18" s="268">
        <f t="shared" si="8"/>
        <v>20</v>
      </c>
      <c r="I18" s="268">
        <f t="shared" si="8"/>
        <v>20</v>
      </c>
      <c r="J18" s="268">
        <f t="shared" si="8"/>
        <v>20</v>
      </c>
      <c r="K18" s="268">
        <f t="shared" si="8"/>
        <v>20</v>
      </c>
      <c r="L18" s="268">
        <f t="shared" si="8"/>
        <v>20</v>
      </c>
      <c r="M18" s="268">
        <f t="shared" si="8"/>
        <v>20</v>
      </c>
      <c r="N18" s="482">
        <f t="shared" si="8"/>
        <v>20</v>
      </c>
      <c r="O18" s="486">
        <v>39</v>
      </c>
      <c r="P18" s="487">
        <v>14</v>
      </c>
      <c r="Q18" s="488">
        <v>20</v>
      </c>
    </row>
    <row r="19" spans="2:17" ht="14.95" thickBot="1" x14ac:dyDescent="0.3">
      <c r="B19" s="1069"/>
      <c r="C19" s="1070"/>
      <c r="D19" s="1070"/>
      <c r="E19" s="1070"/>
      <c r="F19" s="1070"/>
      <c r="G19" s="1070"/>
      <c r="H19" s="1070"/>
      <c r="I19" s="1070"/>
      <c r="J19" s="1070"/>
      <c r="K19" s="1070"/>
      <c r="L19" s="1070"/>
      <c r="M19" s="1070"/>
      <c r="N19" s="1070"/>
    </row>
    <row r="20" spans="2:17" ht="27.2" x14ac:dyDescent="0.25">
      <c r="B20" s="335" t="s">
        <v>305</v>
      </c>
      <c r="C20" s="336" t="s">
        <v>323</v>
      </c>
      <c r="D20" s="337" t="s">
        <v>324</v>
      </c>
      <c r="E20" s="338" t="s">
        <v>325</v>
      </c>
      <c r="F20" s="339" t="s">
        <v>312</v>
      </c>
      <c r="G20" s="340" t="s">
        <v>292</v>
      </c>
      <c r="H20" s="340" t="s">
        <v>292</v>
      </c>
      <c r="I20" s="340" t="s">
        <v>292</v>
      </c>
      <c r="J20" s="340" t="s">
        <v>292</v>
      </c>
      <c r="K20" s="340" t="s">
        <v>292</v>
      </c>
      <c r="L20" s="340" t="s">
        <v>292</v>
      </c>
      <c r="M20" s="340" t="s">
        <v>292</v>
      </c>
      <c r="N20" s="340" t="s">
        <v>292</v>
      </c>
    </row>
    <row r="21" spans="2:17" x14ac:dyDescent="0.25">
      <c r="B21" s="341" t="s">
        <v>326</v>
      </c>
      <c r="C21" s="342"/>
      <c r="D21" s="343"/>
      <c r="E21" s="344"/>
      <c r="F21" s="345"/>
      <c r="G21" s="346">
        <f t="shared" ref="G21:N21" si="9">SUM(G22:G54)</f>
        <v>217031.72441558435</v>
      </c>
      <c r="H21" s="346">
        <f t="shared" si="9"/>
        <v>217031.72441558435</v>
      </c>
      <c r="I21" s="346">
        <f t="shared" si="9"/>
        <v>217031.72441558435</v>
      </c>
      <c r="J21" s="346">
        <f t="shared" si="9"/>
        <v>217031.72441558435</v>
      </c>
      <c r="K21" s="346">
        <f t="shared" si="9"/>
        <v>217031.72441558435</v>
      </c>
      <c r="L21" s="346">
        <f t="shared" si="9"/>
        <v>217031.72441558435</v>
      </c>
      <c r="M21" s="346">
        <f t="shared" si="9"/>
        <v>217031.72441558435</v>
      </c>
      <c r="N21" s="346">
        <f t="shared" si="9"/>
        <v>217031.72441558435</v>
      </c>
    </row>
    <row r="22" spans="2:17" x14ac:dyDescent="0.25">
      <c r="B22" s="347" t="s">
        <v>432</v>
      </c>
      <c r="C22" s="364"/>
      <c r="D22" s="348"/>
      <c r="E22" s="349">
        <f>VLOOKUP($B22,$B$14:$C$18,2,FALSE)</f>
        <v>250</v>
      </c>
      <c r="F22" s="294">
        <f>VLOOKUP($B22,$B$14:$E$18,4,FALSE)</f>
        <v>28</v>
      </c>
      <c r="G22" s="476"/>
      <c r="H22" s="476"/>
      <c r="I22" s="476"/>
      <c r="J22" s="476"/>
      <c r="K22" s="476"/>
      <c r="L22" s="476"/>
      <c r="M22" s="476"/>
      <c r="N22" s="476"/>
    </row>
    <row r="23" spans="2:17" x14ac:dyDescent="0.25">
      <c r="B23" s="352" t="s">
        <v>437</v>
      </c>
      <c r="C23" s="489" t="s">
        <v>438</v>
      </c>
      <c r="D23" s="354">
        <v>6.6233766233766236</v>
      </c>
      <c r="E23" s="490">
        <v>280</v>
      </c>
      <c r="F23" s="491"/>
      <c r="G23" s="492">
        <f>IF(G$14=0,0,G$14/$D$14*$E23*$D23)</f>
        <v>51927.272727272728</v>
      </c>
      <c r="H23" s="492">
        <f t="shared" ref="H23:N24" si="10">IF(H$14=0,0,H$14/$D$14*$E23*$D23)</f>
        <v>51927.272727272728</v>
      </c>
      <c r="I23" s="492">
        <f t="shared" si="10"/>
        <v>51927.272727272728</v>
      </c>
      <c r="J23" s="492">
        <f t="shared" si="10"/>
        <v>51927.272727272728</v>
      </c>
      <c r="K23" s="492">
        <f t="shared" si="10"/>
        <v>51927.272727272728</v>
      </c>
      <c r="L23" s="492">
        <f t="shared" si="10"/>
        <v>51927.272727272728</v>
      </c>
      <c r="M23" s="492">
        <f t="shared" si="10"/>
        <v>51927.272727272728</v>
      </c>
      <c r="N23" s="492">
        <f t="shared" si="10"/>
        <v>51927.272727272728</v>
      </c>
    </row>
    <row r="24" spans="2:17" x14ac:dyDescent="0.25">
      <c r="B24" s="352" t="s">
        <v>439</v>
      </c>
      <c r="C24" s="489" t="s">
        <v>440</v>
      </c>
      <c r="D24" s="354">
        <v>7.2727272727272725</v>
      </c>
      <c r="E24" s="490">
        <v>30</v>
      </c>
      <c r="F24" s="491"/>
      <c r="G24" s="492">
        <f>IF(G$14=0,0,G$14/$D$14*$E24*$D24)</f>
        <v>6109.090909090909</v>
      </c>
      <c r="H24" s="492">
        <f t="shared" si="10"/>
        <v>6109.090909090909</v>
      </c>
      <c r="I24" s="492">
        <f t="shared" si="10"/>
        <v>6109.090909090909</v>
      </c>
      <c r="J24" s="492">
        <f t="shared" si="10"/>
        <v>6109.090909090909</v>
      </c>
      <c r="K24" s="492">
        <f t="shared" si="10"/>
        <v>6109.090909090909</v>
      </c>
      <c r="L24" s="492">
        <f t="shared" si="10"/>
        <v>6109.090909090909</v>
      </c>
      <c r="M24" s="492">
        <f t="shared" si="10"/>
        <v>6109.090909090909</v>
      </c>
      <c r="N24" s="492">
        <f t="shared" si="10"/>
        <v>6109.090909090909</v>
      </c>
    </row>
    <row r="25" spans="2:17" x14ac:dyDescent="0.25">
      <c r="B25" s="347" t="s">
        <v>433</v>
      </c>
      <c r="C25" s="364"/>
      <c r="D25" s="348"/>
      <c r="E25" s="349">
        <f>VLOOKUP($B25,$B$14:$C$18,2,FALSE)</f>
        <v>500</v>
      </c>
      <c r="F25" s="294">
        <f>VLOOKUP($B25,$B$14:$E$18,4,FALSE)</f>
        <v>14</v>
      </c>
      <c r="G25" s="476"/>
      <c r="H25" s="476"/>
      <c r="I25" s="476"/>
      <c r="J25" s="476"/>
      <c r="K25" s="476"/>
      <c r="L25" s="476"/>
      <c r="M25" s="476"/>
      <c r="N25" s="476"/>
    </row>
    <row r="26" spans="2:17" x14ac:dyDescent="0.25">
      <c r="B26" s="352" t="s">
        <v>441</v>
      </c>
      <c r="C26" s="353" t="s">
        <v>442</v>
      </c>
      <c r="D26" s="354">
        <v>198.15</v>
      </c>
      <c r="E26" s="490">
        <v>2</v>
      </c>
      <c r="F26" s="491"/>
      <c r="G26" s="492">
        <f>IF(G$15=0,0,G$15/$D$15*$E26*$D26)</f>
        <v>5548.2</v>
      </c>
      <c r="H26" s="492">
        <f t="shared" ref="H26:N33" si="11">IF(H$15=0,0,H$15/$D$15*$E26*$D26)</f>
        <v>5548.2</v>
      </c>
      <c r="I26" s="492">
        <f t="shared" si="11"/>
        <v>5548.2</v>
      </c>
      <c r="J26" s="492">
        <f t="shared" si="11"/>
        <v>5548.2</v>
      </c>
      <c r="K26" s="492">
        <f t="shared" si="11"/>
        <v>5548.2</v>
      </c>
      <c r="L26" s="492">
        <f t="shared" si="11"/>
        <v>5548.2</v>
      </c>
      <c r="M26" s="492">
        <f t="shared" si="11"/>
        <v>5548.2</v>
      </c>
      <c r="N26" s="492">
        <f t="shared" si="11"/>
        <v>5548.2</v>
      </c>
    </row>
    <row r="27" spans="2:17" x14ac:dyDescent="0.25">
      <c r="B27" s="352" t="s">
        <v>443</v>
      </c>
      <c r="C27" s="353" t="s">
        <v>444</v>
      </c>
      <c r="D27" s="354">
        <v>21</v>
      </c>
      <c r="E27" s="490">
        <v>2</v>
      </c>
      <c r="F27" s="491"/>
      <c r="G27" s="492">
        <f t="shared" ref="G27:N33" si="12">IF(G$15=0,0,G$15/$D$15*$E27*$D27)</f>
        <v>588</v>
      </c>
      <c r="H27" s="492">
        <f t="shared" si="12"/>
        <v>588</v>
      </c>
      <c r="I27" s="492">
        <f t="shared" si="12"/>
        <v>588</v>
      </c>
      <c r="J27" s="492">
        <f t="shared" si="12"/>
        <v>588</v>
      </c>
      <c r="K27" s="492">
        <f t="shared" si="12"/>
        <v>588</v>
      </c>
      <c r="L27" s="492">
        <f t="shared" si="12"/>
        <v>588</v>
      </c>
      <c r="M27" s="492">
        <f t="shared" si="12"/>
        <v>588</v>
      </c>
      <c r="N27" s="492">
        <f t="shared" si="12"/>
        <v>588</v>
      </c>
    </row>
    <row r="28" spans="2:17" x14ac:dyDescent="0.25">
      <c r="B28" s="352" t="s">
        <v>445</v>
      </c>
      <c r="C28" s="353" t="s">
        <v>446</v>
      </c>
      <c r="D28" s="354">
        <v>74.55</v>
      </c>
      <c r="E28" s="490">
        <v>4</v>
      </c>
      <c r="F28" s="491"/>
      <c r="G28" s="492">
        <f t="shared" si="12"/>
        <v>4174.8</v>
      </c>
      <c r="H28" s="492">
        <f t="shared" si="12"/>
        <v>4174.8</v>
      </c>
      <c r="I28" s="492">
        <f t="shared" si="12"/>
        <v>4174.8</v>
      </c>
      <c r="J28" s="492">
        <f t="shared" si="12"/>
        <v>4174.8</v>
      </c>
      <c r="K28" s="492">
        <f t="shared" si="12"/>
        <v>4174.8</v>
      </c>
      <c r="L28" s="492">
        <f t="shared" si="12"/>
        <v>4174.8</v>
      </c>
      <c r="M28" s="492">
        <f t="shared" si="12"/>
        <v>4174.8</v>
      </c>
      <c r="N28" s="492">
        <f t="shared" si="12"/>
        <v>4174.8</v>
      </c>
    </row>
    <row r="29" spans="2:17" x14ac:dyDescent="0.25">
      <c r="B29" s="352" t="s">
        <v>447</v>
      </c>
      <c r="C29" s="353" t="s">
        <v>448</v>
      </c>
      <c r="D29" s="354">
        <v>256.64999999999998</v>
      </c>
      <c r="E29" s="490">
        <v>2</v>
      </c>
      <c r="F29" s="491"/>
      <c r="G29" s="492">
        <f t="shared" si="12"/>
        <v>7186.1999999999989</v>
      </c>
      <c r="H29" s="492">
        <f t="shared" si="12"/>
        <v>7186.1999999999989</v>
      </c>
      <c r="I29" s="492">
        <f t="shared" si="12"/>
        <v>7186.1999999999989</v>
      </c>
      <c r="J29" s="492">
        <f t="shared" si="12"/>
        <v>7186.1999999999989</v>
      </c>
      <c r="K29" s="492">
        <f t="shared" si="12"/>
        <v>7186.1999999999989</v>
      </c>
      <c r="L29" s="492">
        <f t="shared" si="12"/>
        <v>7186.1999999999989</v>
      </c>
      <c r="M29" s="492">
        <f t="shared" si="12"/>
        <v>7186.1999999999989</v>
      </c>
      <c r="N29" s="492">
        <f t="shared" si="12"/>
        <v>7186.1999999999989</v>
      </c>
    </row>
    <row r="30" spans="2:17" x14ac:dyDescent="0.25">
      <c r="B30" s="352" t="s">
        <v>449</v>
      </c>
      <c r="C30" s="353" t="s">
        <v>450</v>
      </c>
      <c r="D30" s="354">
        <v>1726.35</v>
      </c>
      <c r="E30" s="490">
        <v>2</v>
      </c>
      <c r="F30" s="491"/>
      <c r="G30" s="492">
        <f t="shared" si="12"/>
        <v>48337.799999999996</v>
      </c>
      <c r="H30" s="492">
        <f t="shared" si="12"/>
        <v>48337.799999999996</v>
      </c>
      <c r="I30" s="492">
        <f t="shared" si="12"/>
        <v>48337.799999999996</v>
      </c>
      <c r="J30" s="492">
        <f t="shared" si="12"/>
        <v>48337.799999999996</v>
      </c>
      <c r="K30" s="492">
        <f t="shared" si="12"/>
        <v>48337.799999999996</v>
      </c>
      <c r="L30" s="492">
        <f t="shared" si="12"/>
        <v>48337.799999999996</v>
      </c>
      <c r="M30" s="492">
        <f t="shared" si="12"/>
        <v>48337.799999999996</v>
      </c>
      <c r="N30" s="492">
        <f t="shared" si="12"/>
        <v>48337.799999999996</v>
      </c>
    </row>
    <row r="31" spans="2:17" x14ac:dyDescent="0.25">
      <c r="B31" s="352" t="s">
        <v>451</v>
      </c>
      <c r="C31" s="353" t="s">
        <v>452</v>
      </c>
      <c r="D31" s="354">
        <v>998.69999999999993</v>
      </c>
      <c r="E31" s="490">
        <v>1</v>
      </c>
      <c r="F31" s="491"/>
      <c r="G31" s="492">
        <f t="shared" si="12"/>
        <v>13981.8</v>
      </c>
      <c r="H31" s="492">
        <f t="shared" si="12"/>
        <v>13981.8</v>
      </c>
      <c r="I31" s="492">
        <f t="shared" si="12"/>
        <v>13981.8</v>
      </c>
      <c r="J31" s="492">
        <f t="shared" si="12"/>
        <v>13981.8</v>
      </c>
      <c r="K31" s="492">
        <f t="shared" si="12"/>
        <v>13981.8</v>
      </c>
      <c r="L31" s="492">
        <f t="shared" si="12"/>
        <v>13981.8</v>
      </c>
      <c r="M31" s="492">
        <f t="shared" si="12"/>
        <v>13981.8</v>
      </c>
      <c r="N31" s="492">
        <f t="shared" si="12"/>
        <v>13981.8</v>
      </c>
    </row>
    <row r="32" spans="2:17" x14ac:dyDescent="0.25">
      <c r="B32" s="352" t="s">
        <v>453</v>
      </c>
      <c r="C32" s="353" t="s">
        <v>454</v>
      </c>
      <c r="D32" s="354">
        <v>2.6999999999999997</v>
      </c>
      <c r="E32" s="490">
        <v>1</v>
      </c>
      <c r="F32" s="491"/>
      <c r="G32" s="492">
        <f t="shared" si="12"/>
        <v>37.799999999999997</v>
      </c>
      <c r="H32" s="492">
        <f t="shared" si="11"/>
        <v>37.799999999999997</v>
      </c>
      <c r="I32" s="492">
        <f t="shared" si="11"/>
        <v>37.799999999999997</v>
      </c>
      <c r="J32" s="492">
        <f t="shared" si="11"/>
        <v>37.799999999999997</v>
      </c>
      <c r="K32" s="492">
        <f t="shared" si="11"/>
        <v>37.799999999999997</v>
      </c>
      <c r="L32" s="492">
        <f t="shared" si="11"/>
        <v>37.799999999999997</v>
      </c>
      <c r="M32" s="492">
        <f t="shared" si="11"/>
        <v>37.799999999999997</v>
      </c>
      <c r="N32" s="492">
        <f t="shared" si="11"/>
        <v>37.799999999999997</v>
      </c>
    </row>
    <row r="33" spans="2:14" x14ac:dyDescent="0.25">
      <c r="B33" s="352" t="s">
        <v>455</v>
      </c>
      <c r="C33" s="353" t="s">
        <v>456</v>
      </c>
      <c r="D33" s="354">
        <v>6.45</v>
      </c>
      <c r="E33" s="490">
        <v>2</v>
      </c>
      <c r="F33" s="491"/>
      <c r="G33" s="492">
        <f t="shared" si="12"/>
        <v>180.6</v>
      </c>
      <c r="H33" s="492">
        <f t="shared" si="11"/>
        <v>180.6</v>
      </c>
      <c r="I33" s="492">
        <f t="shared" si="11"/>
        <v>180.6</v>
      </c>
      <c r="J33" s="492">
        <f t="shared" si="11"/>
        <v>180.6</v>
      </c>
      <c r="K33" s="492">
        <f t="shared" si="11"/>
        <v>180.6</v>
      </c>
      <c r="L33" s="492">
        <f t="shared" si="11"/>
        <v>180.6</v>
      </c>
      <c r="M33" s="492">
        <f t="shared" si="11"/>
        <v>180.6</v>
      </c>
      <c r="N33" s="492">
        <f t="shared" si="11"/>
        <v>180.6</v>
      </c>
    </row>
    <row r="34" spans="2:14" x14ac:dyDescent="0.25">
      <c r="B34" s="347" t="s">
        <v>434</v>
      </c>
      <c r="C34" s="364"/>
      <c r="D34" s="348"/>
      <c r="E34" s="349">
        <f>VLOOKUP($B34,$B$14:$C$18,2,FALSE)</f>
        <v>1000</v>
      </c>
      <c r="F34" s="294">
        <f>VLOOKUP($B34,$B$14:$E$18,4,FALSE)</f>
        <v>7</v>
      </c>
      <c r="G34" s="476"/>
      <c r="H34" s="476"/>
      <c r="I34" s="476"/>
      <c r="J34" s="476"/>
      <c r="K34" s="476"/>
      <c r="L34" s="476"/>
      <c r="M34" s="476"/>
      <c r="N34" s="476"/>
    </row>
    <row r="35" spans="2:14" x14ac:dyDescent="0.25">
      <c r="B35" s="352" t="s">
        <v>457</v>
      </c>
      <c r="C35" s="353" t="s">
        <v>458</v>
      </c>
      <c r="D35" s="354">
        <v>23.099999999999998</v>
      </c>
      <c r="E35" s="490">
        <v>1</v>
      </c>
      <c r="F35" s="491"/>
      <c r="G35" s="492">
        <f>IF(G$16=0,0,G$16/$D$16*$E35*$D35)</f>
        <v>161.69999999999999</v>
      </c>
      <c r="H35" s="492">
        <f t="shared" ref="H35:N37" si="13">IF(H$16=0,0,H$16/$D$16*$E35*$D35)</f>
        <v>161.69999999999999</v>
      </c>
      <c r="I35" s="492">
        <f t="shared" si="13"/>
        <v>161.69999999999999</v>
      </c>
      <c r="J35" s="492">
        <f t="shared" si="13"/>
        <v>161.69999999999999</v>
      </c>
      <c r="K35" s="492">
        <f t="shared" si="13"/>
        <v>161.69999999999999</v>
      </c>
      <c r="L35" s="492">
        <f t="shared" si="13"/>
        <v>161.69999999999999</v>
      </c>
      <c r="M35" s="492">
        <f t="shared" si="13"/>
        <v>161.69999999999999</v>
      </c>
      <c r="N35" s="492">
        <f t="shared" si="13"/>
        <v>161.69999999999999</v>
      </c>
    </row>
    <row r="36" spans="2:14" x14ac:dyDescent="0.25">
      <c r="B36" s="352" t="s">
        <v>459</v>
      </c>
      <c r="C36" s="353" t="s">
        <v>460</v>
      </c>
      <c r="D36" s="354">
        <v>90.3</v>
      </c>
      <c r="E36" s="490">
        <v>1</v>
      </c>
      <c r="F36" s="491"/>
      <c r="G36" s="492">
        <f t="shared" ref="G36:N42" si="14">IF(G$16=0,0,G$16/$D$16*$E36*$D36)</f>
        <v>632.1</v>
      </c>
      <c r="H36" s="492">
        <f t="shared" si="14"/>
        <v>632.1</v>
      </c>
      <c r="I36" s="492">
        <f t="shared" si="14"/>
        <v>632.1</v>
      </c>
      <c r="J36" s="492">
        <f t="shared" si="14"/>
        <v>632.1</v>
      </c>
      <c r="K36" s="492">
        <f t="shared" si="14"/>
        <v>632.1</v>
      </c>
      <c r="L36" s="492">
        <f t="shared" si="14"/>
        <v>632.1</v>
      </c>
      <c r="M36" s="492">
        <f t="shared" si="14"/>
        <v>632.1</v>
      </c>
      <c r="N36" s="492">
        <f t="shared" si="14"/>
        <v>632.1</v>
      </c>
    </row>
    <row r="37" spans="2:14" x14ac:dyDescent="0.25">
      <c r="B37" s="352" t="s">
        <v>461</v>
      </c>
      <c r="C37" s="353" t="s">
        <v>462</v>
      </c>
      <c r="D37" s="354">
        <v>26.49</v>
      </c>
      <c r="E37" s="490">
        <v>1</v>
      </c>
      <c r="F37" s="491"/>
      <c r="G37" s="492">
        <f t="shared" si="14"/>
        <v>185.42999999999998</v>
      </c>
      <c r="H37" s="492">
        <f t="shared" si="13"/>
        <v>185.42999999999998</v>
      </c>
      <c r="I37" s="492">
        <f t="shared" si="13"/>
        <v>185.42999999999998</v>
      </c>
      <c r="J37" s="492">
        <f t="shared" si="13"/>
        <v>185.42999999999998</v>
      </c>
      <c r="K37" s="492">
        <f t="shared" si="13"/>
        <v>185.42999999999998</v>
      </c>
      <c r="L37" s="492">
        <f t="shared" si="13"/>
        <v>185.42999999999998</v>
      </c>
      <c r="M37" s="492">
        <f t="shared" si="13"/>
        <v>185.42999999999998</v>
      </c>
      <c r="N37" s="492">
        <f t="shared" si="13"/>
        <v>185.42999999999998</v>
      </c>
    </row>
    <row r="38" spans="2:14" x14ac:dyDescent="0.25">
      <c r="B38" s="352" t="s">
        <v>461</v>
      </c>
      <c r="C38" s="353" t="s">
        <v>463</v>
      </c>
      <c r="D38" s="354">
        <v>51.53</v>
      </c>
      <c r="E38" s="490">
        <v>1</v>
      </c>
      <c r="F38" s="491"/>
      <c r="G38" s="492">
        <f t="shared" si="14"/>
        <v>360.71000000000004</v>
      </c>
      <c r="H38" s="492">
        <f t="shared" si="14"/>
        <v>360.71000000000004</v>
      </c>
      <c r="I38" s="492">
        <f t="shared" si="14"/>
        <v>360.71000000000004</v>
      </c>
      <c r="J38" s="492">
        <f t="shared" si="14"/>
        <v>360.71000000000004</v>
      </c>
      <c r="K38" s="492">
        <f t="shared" si="14"/>
        <v>360.71000000000004</v>
      </c>
      <c r="L38" s="492">
        <f t="shared" si="14"/>
        <v>360.71000000000004</v>
      </c>
      <c r="M38" s="492">
        <f t="shared" si="14"/>
        <v>360.71000000000004</v>
      </c>
      <c r="N38" s="492">
        <f t="shared" si="14"/>
        <v>360.71000000000004</v>
      </c>
    </row>
    <row r="39" spans="2:14" x14ac:dyDescent="0.25">
      <c r="B39" s="352" t="s">
        <v>464</v>
      </c>
      <c r="C39" s="353" t="s">
        <v>465</v>
      </c>
      <c r="D39" s="354">
        <v>434.25</v>
      </c>
      <c r="E39" s="490">
        <v>4</v>
      </c>
      <c r="F39" s="491"/>
      <c r="G39" s="492">
        <f t="shared" si="14"/>
        <v>12159</v>
      </c>
      <c r="H39" s="492">
        <f t="shared" si="14"/>
        <v>12159</v>
      </c>
      <c r="I39" s="492">
        <f t="shared" si="14"/>
        <v>12159</v>
      </c>
      <c r="J39" s="492">
        <f t="shared" si="14"/>
        <v>12159</v>
      </c>
      <c r="K39" s="492">
        <f t="shared" si="14"/>
        <v>12159</v>
      </c>
      <c r="L39" s="492">
        <f t="shared" si="14"/>
        <v>12159</v>
      </c>
      <c r="M39" s="492">
        <f t="shared" si="14"/>
        <v>12159</v>
      </c>
      <c r="N39" s="492">
        <f t="shared" si="14"/>
        <v>12159</v>
      </c>
    </row>
    <row r="40" spans="2:14" x14ac:dyDescent="0.25">
      <c r="B40" s="352" t="s">
        <v>466</v>
      </c>
      <c r="C40" s="353" t="s">
        <v>467</v>
      </c>
      <c r="D40" s="354">
        <v>207</v>
      </c>
      <c r="E40" s="490">
        <v>4</v>
      </c>
      <c r="F40" s="491"/>
      <c r="G40" s="492">
        <f t="shared" si="14"/>
        <v>5796</v>
      </c>
      <c r="H40" s="492">
        <f t="shared" si="14"/>
        <v>5796</v>
      </c>
      <c r="I40" s="492">
        <f t="shared" si="14"/>
        <v>5796</v>
      </c>
      <c r="J40" s="492">
        <f t="shared" si="14"/>
        <v>5796</v>
      </c>
      <c r="K40" s="492">
        <f t="shared" si="14"/>
        <v>5796</v>
      </c>
      <c r="L40" s="492">
        <f t="shared" si="14"/>
        <v>5796</v>
      </c>
      <c r="M40" s="492">
        <f t="shared" si="14"/>
        <v>5796</v>
      </c>
      <c r="N40" s="492">
        <f t="shared" si="14"/>
        <v>5796</v>
      </c>
    </row>
    <row r="41" spans="2:14" x14ac:dyDescent="0.25">
      <c r="B41" s="352" t="s">
        <v>468</v>
      </c>
      <c r="C41" s="353" t="s">
        <v>469</v>
      </c>
      <c r="D41" s="354">
        <v>6.2337662337662341</v>
      </c>
      <c r="E41" s="490">
        <v>947</v>
      </c>
      <c r="F41" s="491"/>
      <c r="G41" s="492">
        <f t="shared" si="14"/>
        <v>41323.636363636368</v>
      </c>
      <c r="H41" s="492">
        <f t="shared" si="14"/>
        <v>41323.636363636368</v>
      </c>
      <c r="I41" s="492">
        <f t="shared" si="14"/>
        <v>41323.636363636368</v>
      </c>
      <c r="J41" s="492">
        <f t="shared" si="14"/>
        <v>41323.636363636368</v>
      </c>
      <c r="K41" s="492">
        <f t="shared" si="14"/>
        <v>41323.636363636368</v>
      </c>
      <c r="L41" s="492">
        <f t="shared" si="14"/>
        <v>41323.636363636368</v>
      </c>
      <c r="M41" s="492">
        <f t="shared" si="14"/>
        <v>41323.636363636368</v>
      </c>
      <c r="N41" s="492">
        <f t="shared" si="14"/>
        <v>41323.636363636368</v>
      </c>
    </row>
    <row r="42" spans="2:14" x14ac:dyDescent="0.25">
      <c r="B42" s="352" t="s">
        <v>470</v>
      </c>
      <c r="C42" s="353" t="s">
        <v>471</v>
      </c>
      <c r="D42" s="354">
        <v>3.5064935064935066</v>
      </c>
      <c r="E42" s="490">
        <v>598</v>
      </c>
      <c r="F42" s="491"/>
      <c r="G42" s="492">
        <f t="shared" si="14"/>
        <v>14678.181818181818</v>
      </c>
      <c r="H42" s="492">
        <f t="shared" si="14"/>
        <v>14678.181818181818</v>
      </c>
      <c r="I42" s="492">
        <f t="shared" si="14"/>
        <v>14678.181818181818</v>
      </c>
      <c r="J42" s="492">
        <f t="shared" si="14"/>
        <v>14678.181818181818</v>
      </c>
      <c r="K42" s="492">
        <f t="shared" si="14"/>
        <v>14678.181818181818</v>
      </c>
      <c r="L42" s="492">
        <f t="shared" si="14"/>
        <v>14678.181818181818</v>
      </c>
      <c r="M42" s="492">
        <f t="shared" si="14"/>
        <v>14678.181818181818</v>
      </c>
      <c r="N42" s="492">
        <f t="shared" si="14"/>
        <v>14678.181818181818</v>
      </c>
    </row>
    <row r="43" spans="2:14" x14ac:dyDescent="0.25">
      <c r="B43" s="347" t="s">
        <v>435</v>
      </c>
      <c r="C43" s="364"/>
      <c r="D43" s="348"/>
      <c r="E43" s="349">
        <f>VLOOKUP($B43,$B$14:$C$18,2,FALSE)</f>
        <v>2500</v>
      </c>
      <c r="F43" s="294">
        <f>VLOOKUP($B43,$B$14:$E$18,4,FALSE)</f>
        <v>1</v>
      </c>
      <c r="G43" s="476"/>
      <c r="H43" s="476"/>
      <c r="I43" s="476"/>
      <c r="J43" s="476"/>
      <c r="K43" s="476"/>
      <c r="L43" s="476"/>
      <c r="M43" s="476"/>
      <c r="N43" s="476"/>
    </row>
    <row r="44" spans="2:14" x14ac:dyDescent="0.25">
      <c r="B44" s="352" t="s">
        <v>472</v>
      </c>
      <c r="C44" s="489" t="s">
        <v>473</v>
      </c>
      <c r="D44" s="354">
        <v>303</v>
      </c>
      <c r="E44" s="490">
        <v>1</v>
      </c>
      <c r="F44" s="491"/>
      <c r="G44" s="492">
        <f>IF(G$17=0,0,G$17/$D$17*$E44*$D44)</f>
        <v>303</v>
      </c>
      <c r="H44" s="492">
        <f t="shared" ref="H44:N47" si="15">IF(H$17=0,0,H$17/$D$17*$E44*$D44)</f>
        <v>303</v>
      </c>
      <c r="I44" s="492">
        <f t="shared" si="15"/>
        <v>303</v>
      </c>
      <c r="J44" s="492">
        <f t="shared" si="15"/>
        <v>303</v>
      </c>
      <c r="K44" s="492">
        <f t="shared" si="15"/>
        <v>303</v>
      </c>
      <c r="L44" s="492">
        <f t="shared" si="15"/>
        <v>303</v>
      </c>
      <c r="M44" s="492">
        <f t="shared" si="15"/>
        <v>303</v>
      </c>
      <c r="N44" s="492">
        <f t="shared" si="15"/>
        <v>303</v>
      </c>
    </row>
    <row r="45" spans="2:14" x14ac:dyDescent="0.25">
      <c r="B45" s="352" t="s">
        <v>474</v>
      </c>
      <c r="C45" s="489" t="s">
        <v>475</v>
      </c>
      <c r="D45" s="354">
        <v>4.3766233766233764</v>
      </c>
      <c r="E45" s="490">
        <v>60</v>
      </c>
      <c r="F45" s="491"/>
      <c r="G45" s="492">
        <f t="shared" ref="G45:N47" si="16">IF(G$17=0,0,G$17/$D$17*$E45*$D45)</f>
        <v>262.59740259740261</v>
      </c>
      <c r="H45" s="492">
        <f t="shared" si="16"/>
        <v>262.59740259740261</v>
      </c>
      <c r="I45" s="492">
        <f t="shared" si="16"/>
        <v>262.59740259740261</v>
      </c>
      <c r="J45" s="492">
        <f t="shared" si="16"/>
        <v>262.59740259740261</v>
      </c>
      <c r="K45" s="492">
        <f t="shared" si="16"/>
        <v>262.59740259740261</v>
      </c>
      <c r="L45" s="492">
        <f t="shared" si="16"/>
        <v>262.59740259740261</v>
      </c>
      <c r="M45" s="492">
        <f t="shared" si="16"/>
        <v>262.59740259740261</v>
      </c>
      <c r="N45" s="492">
        <f t="shared" si="16"/>
        <v>262.59740259740261</v>
      </c>
    </row>
    <row r="46" spans="2:14" x14ac:dyDescent="0.25">
      <c r="B46" s="352" t="s">
        <v>476</v>
      </c>
      <c r="C46" s="489"/>
      <c r="D46" s="354">
        <v>16.688311688311689</v>
      </c>
      <c r="E46" s="490">
        <v>74</v>
      </c>
      <c r="F46" s="491"/>
      <c r="G46" s="492">
        <f t="shared" si="16"/>
        <v>1234.9350649350649</v>
      </c>
      <c r="H46" s="492">
        <f t="shared" si="15"/>
        <v>1234.9350649350649</v>
      </c>
      <c r="I46" s="492">
        <f t="shared" si="15"/>
        <v>1234.9350649350649</v>
      </c>
      <c r="J46" s="492">
        <f t="shared" si="15"/>
        <v>1234.9350649350649</v>
      </c>
      <c r="K46" s="492">
        <f t="shared" si="15"/>
        <v>1234.9350649350649</v>
      </c>
      <c r="L46" s="492">
        <f t="shared" si="15"/>
        <v>1234.9350649350649</v>
      </c>
      <c r="M46" s="492">
        <f t="shared" si="15"/>
        <v>1234.9350649350649</v>
      </c>
      <c r="N46" s="492">
        <f t="shared" si="15"/>
        <v>1234.9350649350649</v>
      </c>
    </row>
    <row r="47" spans="2:14" x14ac:dyDescent="0.25">
      <c r="B47" s="352" t="s">
        <v>477</v>
      </c>
      <c r="C47" s="363"/>
      <c r="D47" s="354">
        <v>15.584415584415584</v>
      </c>
      <c r="E47" s="490">
        <v>2</v>
      </c>
      <c r="F47" s="491"/>
      <c r="G47" s="492">
        <f t="shared" si="16"/>
        <v>31.168831168831169</v>
      </c>
      <c r="H47" s="492">
        <f t="shared" si="15"/>
        <v>31.168831168831169</v>
      </c>
      <c r="I47" s="492">
        <f t="shared" si="15"/>
        <v>31.168831168831169</v>
      </c>
      <c r="J47" s="492">
        <f t="shared" si="15"/>
        <v>31.168831168831169</v>
      </c>
      <c r="K47" s="492">
        <f t="shared" si="15"/>
        <v>31.168831168831169</v>
      </c>
      <c r="L47" s="492">
        <f t="shared" si="15"/>
        <v>31.168831168831169</v>
      </c>
      <c r="M47" s="492">
        <f t="shared" si="15"/>
        <v>31.168831168831169</v>
      </c>
      <c r="N47" s="492">
        <f t="shared" si="15"/>
        <v>31.168831168831169</v>
      </c>
    </row>
    <row r="48" spans="2:14" x14ac:dyDescent="0.25">
      <c r="B48" s="347" t="s">
        <v>436</v>
      </c>
      <c r="C48" s="364"/>
      <c r="D48" s="348"/>
      <c r="E48" s="349">
        <f>VLOOKUP($B48,$B$14:$C$18,2,FALSE)</f>
        <v>5000</v>
      </c>
      <c r="F48" s="294">
        <f>VLOOKUP($B48,$B$14:$E$18,4,FALSE)</f>
        <v>1</v>
      </c>
      <c r="G48" s="476"/>
      <c r="H48" s="476"/>
      <c r="I48" s="476"/>
      <c r="J48" s="476"/>
      <c r="K48" s="476"/>
      <c r="L48" s="476"/>
      <c r="M48" s="476"/>
      <c r="N48" s="476"/>
    </row>
    <row r="49" spans="2:14" x14ac:dyDescent="0.25">
      <c r="B49" s="352" t="s">
        <v>472</v>
      </c>
      <c r="C49" s="489" t="s">
        <v>473</v>
      </c>
      <c r="D49" s="354">
        <v>303</v>
      </c>
      <c r="E49" s="490">
        <v>1</v>
      </c>
      <c r="F49" s="491"/>
      <c r="G49" s="492">
        <f>IF(G$18=0,0,G$18/$D$18*$E49*$D49)</f>
        <v>303</v>
      </c>
      <c r="H49" s="492">
        <f t="shared" ref="H49:N54" si="17">IF(H$18=0,0,H$18/$D$18*$E49*$D49)</f>
        <v>303</v>
      </c>
      <c r="I49" s="492">
        <f t="shared" si="17"/>
        <v>303</v>
      </c>
      <c r="J49" s="492">
        <f t="shared" si="17"/>
        <v>303</v>
      </c>
      <c r="K49" s="492">
        <f t="shared" si="17"/>
        <v>303</v>
      </c>
      <c r="L49" s="492">
        <f t="shared" si="17"/>
        <v>303</v>
      </c>
      <c r="M49" s="492">
        <f t="shared" si="17"/>
        <v>303</v>
      </c>
      <c r="N49" s="492">
        <f t="shared" si="17"/>
        <v>303</v>
      </c>
    </row>
    <row r="50" spans="2:14" x14ac:dyDescent="0.25">
      <c r="B50" s="352" t="s">
        <v>474</v>
      </c>
      <c r="C50" s="489" t="s">
        <v>475</v>
      </c>
      <c r="D50" s="354">
        <v>4.3766233766233764</v>
      </c>
      <c r="E50" s="490">
        <v>60</v>
      </c>
      <c r="F50" s="491"/>
      <c r="G50" s="492">
        <f t="shared" ref="G50:N54" si="18">IF(G$18=0,0,G$18/$D$18*$E50*$D50)</f>
        <v>262.59740259740261</v>
      </c>
      <c r="H50" s="492">
        <f t="shared" si="18"/>
        <v>262.59740259740261</v>
      </c>
      <c r="I50" s="492">
        <f t="shared" si="18"/>
        <v>262.59740259740261</v>
      </c>
      <c r="J50" s="492">
        <f t="shared" si="18"/>
        <v>262.59740259740261</v>
      </c>
      <c r="K50" s="492">
        <f t="shared" si="18"/>
        <v>262.59740259740261</v>
      </c>
      <c r="L50" s="492">
        <f t="shared" si="18"/>
        <v>262.59740259740261</v>
      </c>
      <c r="M50" s="492">
        <f t="shared" si="18"/>
        <v>262.59740259740261</v>
      </c>
      <c r="N50" s="492">
        <f t="shared" si="18"/>
        <v>262.59740259740261</v>
      </c>
    </row>
    <row r="51" spans="2:14" x14ac:dyDescent="0.25">
      <c r="B51" s="352" t="s">
        <v>476</v>
      </c>
      <c r="C51" s="489"/>
      <c r="D51" s="354">
        <v>16.688311688311689</v>
      </c>
      <c r="E51" s="490">
        <v>74</v>
      </c>
      <c r="F51" s="491"/>
      <c r="G51" s="492">
        <f t="shared" si="18"/>
        <v>1234.9350649350649</v>
      </c>
      <c r="H51" s="492">
        <f t="shared" si="17"/>
        <v>1234.9350649350649</v>
      </c>
      <c r="I51" s="492">
        <f t="shared" si="17"/>
        <v>1234.9350649350649</v>
      </c>
      <c r="J51" s="492">
        <f t="shared" si="17"/>
        <v>1234.9350649350649</v>
      </c>
      <c r="K51" s="492">
        <f t="shared" si="17"/>
        <v>1234.9350649350649</v>
      </c>
      <c r="L51" s="492">
        <f t="shared" si="17"/>
        <v>1234.9350649350649</v>
      </c>
      <c r="M51" s="492">
        <f t="shared" si="17"/>
        <v>1234.9350649350649</v>
      </c>
      <c r="N51" s="492">
        <f t="shared" si="17"/>
        <v>1234.9350649350649</v>
      </c>
    </row>
    <row r="52" spans="2:14" x14ac:dyDescent="0.25">
      <c r="B52" s="352" t="s">
        <v>477</v>
      </c>
      <c r="C52" s="363"/>
      <c r="D52" s="354">
        <v>15.584415584415584</v>
      </c>
      <c r="E52" s="490">
        <v>2</v>
      </c>
      <c r="F52" s="491"/>
      <c r="G52" s="492">
        <f t="shared" si="18"/>
        <v>31.168831168831169</v>
      </c>
      <c r="H52" s="492">
        <f t="shared" si="17"/>
        <v>31.168831168831169</v>
      </c>
      <c r="I52" s="492">
        <f t="shared" si="17"/>
        <v>31.168831168831169</v>
      </c>
      <c r="J52" s="492">
        <f t="shared" si="17"/>
        <v>31.168831168831169</v>
      </c>
      <c r="K52" s="492">
        <f t="shared" si="17"/>
        <v>31.168831168831169</v>
      </c>
      <c r="L52" s="492">
        <f t="shared" si="17"/>
        <v>31.168831168831169</v>
      </c>
      <c r="M52" s="492">
        <f t="shared" si="17"/>
        <v>31.168831168831169</v>
      </c>
      <c r="N52" s="492">
        <f t="shared" si="17"/>
        <v>31.168831168831169</v>
      </c>
    </row>
    <row r="53" spans="2:14" x14ac:dyDescent="0.25">
      <c r="B53" s="352"/>
      <c r="C53" s="363"/>
      <c r="D53" s="354"/>
      <c r="E53" s="490"/>
      <c r="F53" s="491"/>
      <c r="G53" s="492">
        <f t="shared" si="18"/>
        <v>0</v>
      </c>
      <c r="H53" s="492">
        <f t="shared" si="17"/>
        <v>0</v>
      </c>
      <c r="I53" s="492">
        <f t="shared" si="17"/>
        <v>0</v>
      </c>
      <c r="J53" s="492">
        <f t="shared" si="17"/>
        <v>0</v>
      </c>
      <c r="K53" s="492">
        <f t="shared" si="17"/>
        <v>0</v>
      </c>
      <c r="L53" s="492">
        <f t="shared" si="17"/>
        <v>0</v>
      </c>
      <c r="M53" s="492">
        <f t="shared" si="17"/>
        <v>0</v>
      </c>
      <c r="N53" s="492">
        <f t="shared" si="17"/>
        <v>0</v>
      </c>
    </row>
    <row r="54" spans="2:14" x14ac:dyDescent="0.25">
      <c r="B54" s="352"/>
      <c r="C54" s="363"/>
      <c r="D54" s="354"/>
      <c r="E54" s="490"/>
      <c r="F54" s="491"/>
      <c r="G54" s="492">
        <f t="shared" si="18"/>
        <v>0</v>
      </c>
      <c r="H54" s="492">
        <f t="shared" si="17"/>
        <v>0</v>
      </c>
      <c r="I54" s="492">
        <f t="shared" si="17"/>
        <v>0</v>
      </c>
      <c r="J54" s="492">
        <f t="shared" si="17"/>
        <v>0</v>
      </c>
      <c r="K54" s="492">
        <f t="shared" si="17"/>
        <v>0</v>
      </c>
      <c r="L54" s="492">
        <f t="shared" si="17"/>
        <v>0</v>
      </c>
      <c r="M54" s="492">
        <f t="shared" si="17"/>
        <v>0</v>
      </c>
      <c r="N54" s="492">
        <f t="shared" si="17"/>
        <v>0</v>
      </c>
    </row>
  </sheetData>
  <mergeCells count="3">
    <mergeCell ref="B11:N11"/>
    <mergeCell ref="O12:Q12"/>
    <mergeCell ref="B19:N19"/>
  </mergeCells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45B8-2D71-48E3-9DE9-14887EC979F1}">
  <sheetPr>
    <tabColor theme="9" tint="0.79998168889431442"/>
  </sheetPr>
  <dimension ref="B2:AA73"/>
  <sheetViews>
    <sheetView showGridLines="0" zoomScale="85" zoomScaleNormal="85" zoomScaleSheetLayoutView="85" workbookViewId="0">
      <pane xSplit="2" ySplit="6" topLeftCell="C7" activePane="bottomRight" state="frozen"/>
      <selection activeCell="N49" sqref="N49"/>
      <selection pane="topRight" activeCell="N49" sqref="N49"/>
      <selection pane="bottomLeft" activeCell="N49" sqref="N49"/>
      <selection pane="bottomRight" activeCell="N49" sqref="N49"/>
    </sheetView>
  </sheetViews>
  <sheetFormatPr defaultRowHeight="14.3" x14ac:dyDescent="0.25"/>
  <cols>
    <col min="1" max="1" width="5.375" style="275" customWidth="1"/>
    <col min="2" max="2" width="58.75" style="275" customWidth="1"/>
    <col min="3" max="3" width="14.25" style="275" customWidth="1"/>
    <col min="4" max="4" width="17.375" style="275" customWidth="1"/>
    <col min="5" max="5" width="11.375" style="275" customWidth="1"/>
    <col min="6" max="14" width="11.125" style="275" customWidth="1"/>
    <col min="15" max="15" width="11.375" style="275" customWidth="1"/>
    <col min="16" max="16" width="9" style="275"/>
    <col min="17" max="17" width="12.125" style="275" customWidth="1"/>
    <col min="18" max="16384" width="9" style="275"/>
  </cols>
  <sheetData>
    <row r="2" spans="2:13" x14ac:dyDescent="0.25">
      <c r="B2" s="365" t="s">
        <v>259</v>
      </c>
    </row>
    <row r="3" spans="2:13" ht="14.95" thickBot="1" x14ac:dyDescent="0.3">
      <c r="B3" s="275" t="s">
        <v>298</v>
      </c>
      <c r="F3" s="277">
        <f>TZCO!E12</f>
        <v>0.90962709284627086</v>
      </c>
      <c r="G3" s="277">
        <f>TZCO!F12</f>
        <v>0.88376775748351089</v>
      </c>
      <c r="H3" s="277">
        <f>TZCO!G12</f>
        <v>0.77400431253170976</v>
      </c>
      <c r="I3" s="277">
        <f>TZCO!H12</f>
        <v>0.88376775748351089</v>
      </c>
      <c r="J3" s="277">
        <f>TZCO!I12</f>
        <v>0.90962709284627086</v>
      </c>
      <c r="K3" s="277">
        <f>TZCO!J12</f>
        <v>0.74814497716894979</v>
      </c>
      <c r="L3" s="277">
        <f>TZCO!K12</f>
        <v>0.90962709284627086</v>
      </c>
      <c r="M3" s="277">
        <f>TZCO!L12</f>
        <v>0.88376775748351089</v>
      </c>
    </row>
    <row r="4" spans="2:13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M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</row>
    <row r="5" spans="2:13" x14ac:dyDescent="0.25">
      <c r="B5" s="369" t="s">
        <v>300</v>
      </c>
      <c r="C5" s="370" t="s">
        <v>301</v>
      </c>
      <c r="D5" s="292"/>
      <c r="E5" s="370"/>
      <c r="F5" s="476">
        <v>0</v>
      </c>
      <c r="G5" s="476">
        <f>F6+1</f>
        <v>7001</v>
      </c>
      <c r="H5" s="476">
        <f t="shared" ref="H5:M5" si="1">G6+1</f>
        <v>14001</v>
      </c>
      <c r="I5" s="476">
        <f t="shared" si="1"/>
        <v>21001</v>
      </c>
      <c r="J5" s="476">
        <f t="shared" si="1"/>
        <v>28001</v>
      </c>
      <c r="K5" s="476">
        <f t="shared" si="1"/>
        <v>35001</v>
      </c>
      <c r="L5" s="476">
        <f t="shared" si="1"/>
        <v>42001</v>
      </c>
      <c r="M5" s="476">
        <f t="shared" si="1"/>
        <v>49001</v>
      </c>
    </row>
    <row r="6" spans="2:13" ht="14.95" thickBot="1" x14ac:dyDescent="0.3">
      <c r="B6" s="371" t="s">
        <v>302</v>
      </c>
      <c r="C6" s="372" t="s">
        <v>301</v>
      </c>
      <c r="D6" s="373"/>
      <c r="E6" s="374">
        <f>'TZCO ТО'!F6</f>
        <v>7000</v>
      </c>
      <c r="F6" s="493">
        <f>E6</f>
        <v>7000</v>
      </c>
      <c r="G6" s="493">
        <f t="shared" ref="G6:M6" si="2">F6+$E6</f>
        <v>14000</v>
      </c>
      <c r="H6" s="493">
        <f t="shared" si="2"/>
        <v>21000</v>
      </c>
      <c r="I6" s="493">
        <f t="shared" si="2"/>
        <v>28000</v>
      </c>
      <c r="J6" s="493">
        <f t="shared" si="2"/>
        <v>35000</v>
      </c>
      <c r="K6" s="493">
        <f t="shared" si="2"/>
        <v>42000</v>
      </c>
      <c r="L6" s="493">
        <f t="shared" si="2"/>
        <v>49000</v>
      </c>
      <c r="M6" s="493">
        <f t="shared" si="2"/>
        <v>56000</v>
      </c>
    </row>
    <row r="7" spans="2:13" ht="14.95" thickBot="1" x14ac:dyDescent="0.3"/>
    <row r="8" spans="2:13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16</v>
      </c>
      <c r="G8" s="378">
        <f t="shared" ref="G8:M8" si="3">G16</f>
        <v>249</v>
      </c>
      <c r="H8" s="378">
        <f t="shared" si="3"/>
        <v>1238</v>
      </c>
      <c r="I8" s="378">
        <f t="shared" si="3"/>
        <v>249</v>
      </c>
      <c r="J8" s="378">
        <f t="shared" si="3"/>
        <v>16</v>
      </c>
      <c r="K8" s="378">
        <f t="shared" si="3"/>
        <v>1471</v>
      </c>
      <c r="L8" s="378">
        <f t="shared" si="3"/>
        <v>16</v>
      </c>
      <c r="M8" s="378">
        <f t="shared" si="3"/>
        <v>249</v>
      </c>
    </row>
    <row r="9" spans="2:13" ht="21.1" customHeight="1" x14ac:dyDescent="0.25">
      <c r="B9" s="390" t="s">
        <v>357</v>
      </c>
      <c r="C9" s="380" t="s">
        <v>358</v>
      </c>
      <c r="D9" s="253"/>
      <c r="E9" s="253"/>
      <c r="F9" s="302">
        <f>SUM(F10:F12)</f>
        <v>31888.2</v>
      </c>
      <c r="G9" s="302">
        <f t="shared" ref="G9:M9" si="4">SUM(G10:G12)</f>
        <v>362124.85</v>
      </c>
      <c r="H9" s="302">
        <f t="shared" si="4"/>
        <v>1613755.7500000002</v>
      </c>
      <c r="I9" s="302">
        <f t="shared" si="4"/>
        <v>362124.85</v>
      </c>
      <c r="J9" s="302">
        <f t="shared" si="4"/>
        <v>31888.2</v>
      </c>
      <c r="K9" s="302">
        <f t="shared" si="4"/>
        <v>1943992.4000000001</v>
      </c>
      <c r="L9" s="302">
        <f t="shared" si="4"/>
        <v>31888.2</v>
      </c>
      <c r="M9" s="302">
        <f t="shared" si="4"/>
        <v>362124.85</v>
      </c>
    </row>
    <row r="10" spans="2:13" ht="18.7" customHeight="1" x14ac:dyDescent="0.25">
      <c r="B10" s="381" t="s">
        <v>283</v>
      </c>
      <c r="C10" s="260" t="s">
        <v>358</v>
      </c>
      <c r="D10" s="260"/>
      <c r="E10" s="260"/>
      <c r="F10" s="263">
        <f t="shared" ref="F10:M10" si="5">F30</f>
        <v>7500</v>
      </c>
      <c r="G10" s="263">
        <f t="shared" si="5"/>
        <v>7500</v>
      </c>
      <c r="H10" s="263">
        <f t="shared" si="5"/>
        <v>7500</v>
      </c>
      <c r="I10" s="263">
        <f t="shared" si="5"/>
        <v>7500</v>
      </c>
      <c r="J10" s="263">
        <f t="shared" si="5"/>
        <v>7500</v>
      </c>
      <c r="K10" s="263">
        <f t="shared" si="5"/>
        <v>7500</v>
      </c>
      <c r="L10" s="263">
        <f t="shared" si="5"/>
        <v>7500</v>
      </c>
      <c r="M10" s="263">
        <f t="shared" si="5"/>
        <v>7500</v>
      </c>
    </row>
    <row r="11" spans="2:13" ht="18.7" customHeight="1" x14ac:dyDescent="0.25">
      <c r="B11" s="381" t="s">
        <v>284</v>
      </c>
      <c r="C11" s="260" t="s">
        <v>358</v>
      </c>
      <c r="D11" s="260"/>
      <c r="E11" s="260"/>
      <c r="F11" s="263">
        <f t="shared" ref="F11:M11" si="6">F36</f>
        <v>22180.2</v>
      </c>
      <c r="G11" s="263">
        <f t="shared" si="6"/>
        <v>117301.64999999998</v>
      </c>
      <c r="H11" s="263">
        <f t="shared" si="6"/>
        <v>1471521.7500000002</v>
      </c>
      <c r="I11" s="263">
        <f t="shared" si="6"/>
        <v>117301.64999999998</v>
      </c>
      <c r="J11" s="263">
        <f t="shared" si="6"/>
        <v>22180.2</v>
      </c>
      <c r="K11" s="263">
        <f t="shared" si="6"/>
        <v>1566643.2000000002</v>
      </c>
      <c r="L11" s="263">
        <f t="shared" si="6"/>
        <v>22180.2</v>
      </c>
      <c r="M11" s="263">
        <f t="shared" si="6"/>
        <v>117301.64999999998</v>
      </c>
    </row>
    <row r="12" spans="2:13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SUMPRODUCT($D24:$D26,F$24:F$26)</f>
        <v>2208</v>
      </c>
      <c r="G12" s="314">
        <f t="shared" ref="G12:M12" si="7">SUMPRODUCT($D24:$D26,G$24:G$26)</f>
        <v>237323.19999999998</v>
      </c>
      <c r="H12" s="314">
        <f t="shared" si="7"/>
        <v>134734</v>
      </c>
      <c r="I12" s="314">
        <f t="shared" si="7"/>
        <v>237323.19999999998</v>
      </c>
      <c r="J12" s="314">
        <f t="shared" si="7"/>
        <v>2208</v>
      </c>
      <c r="K12" s="314">
        <f t="shared" si="7"/>
        <v>369849.19999999995</v>
      </c>
      <c r="L12" s="314">
        <f t="shared" si="7"/>
        <v>2208</v>
      </c>
      <c r="M12" s="314">
        <f t="shared" si="7"/>
        <v>237323.19999999998</v>
      </c>
    </row>
    <row r="13" spans="2:13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</row>
    <row r="14" spans="2:13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</row>
    <row r="15" spans="2:13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M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</row>
    <row r="16" spans="2:13" ht="16.5" customHeight="1" x14ac:dyDescent="0.25">
      <c r="B16" s="390" t="s">
        <v>362</v>
      </c>
      <c r="C16" s="246"/>
      <c r="D16" s="260"/>
      <c r="E16" s="260"/>
      <c r="F16" s="391">
        <f t="shared" ref="F16:M16" si="9">SUM(F17:F19)</f>
        <v>16</v>
      </c>
      <c r="G16" s="391">
        <f t="shared" si="9"/>
        <v>249</v>
      </c>
      <c r="H16" s="391">
        <f t="shared" si="9"/>
        <v>1238</v>
      </c>
      <c r="I16" s="391">
        <f t="shared" si="9"/>
        <v>249</v>
      </c>
      <c r="J16" s="391">
        <f t="shared" si="9"/>
        <v>16</v>
      </c>
      <c r="K16" s="391">
        <f t="shared" si="9"/>
        <v>1471</v>
      </c>
      <c r="L16" s="391">
        <f t="shared" si="9"/>
        <v>16</v>
      </c>
      <c r="M16" s="391">
        <f t="shared" si="9"/>
        <v>249</v>
      </c>
    </row>
    <row r="17" spans="2:27" ht="16.5" customHeight="1" x14ac:dyDescent="0.25">
      <c r="B17" s="396" t="s">
        <v>478</v>
      </c>
      <c r="C17" s="406" t="s">
        <v>304</v>
      </c>
      <c r="D17" s="271"/>
      <c r="E17" s="271"/>
      <c r="F17" s="394">
        <f>$E42*$P42+$E52*$P52</f>
        <v>16</v>
      </c>
      <c r="G17" s="394">
        <f t="shared" ref="G17:M17" si="10">$E42*$P42+$E52*$P52</f>
        <v>16</v>
      </c>
      <c r="H17" s="394">
        <f t="shared" si="10"/>
        <v>16</v>
      </c>
      <c r="I17" s="394">
        <f t="shared" si="10"/>
        <v>16</v>
      </c>
      <c r="J17" s="394">
        <f t="shared" si="10"/>
        <v>16</v>
      </c>
      <c r="K17" s="394">
        <f t="shared" si="10"/>
        <v>16</v>
      </c>
      <c r="L17" s="394">
        <f t="shared" si="10"/>
        <v>16</v>
      </c>
      <c r="M17" s="394">
        <f t="shared" si="10"/>
        <v>16</v>
      </c>
    </row>
    <row r="18" spans="2:27" ht="16.5" customHeight="1" x14ac:dyDescent="0.25">
      <c r="B18" s="396" t="s">
        <v>479</v>
      </c>
      <c r="C18" s="406" t="s">
        <v>304</v>
      </c>
      <c r="D18" s="271"/>
      <c r="E18" s="271"/>
      <c r="F18" s="394"/>
      <c r="G18" s="394">
        <f>$E44*$P44+$E47*$P47+$E48*$P48+$E50*$P50+$E54*$P54+$E55*$P55+$E58*$P58+$E60*$P60+$E66*$P66+$E69*$P69</f>
        <v>233</v>
      </c>
      <c r="H18" s="394"/>
      <c r="I18" s="394">
        <f>$E44*$P44+$E47*$P47+$E48*$P48+$E50*$P50+$E54*$P54+$E55*$P55+$E58*$P58+$E60*$P60+$E66*$P66+$E69*$P69</f>
        <v>233</v>
      </c>
      <c r="J18" s="394"/>
      <c r="K18" s="394">
        <f>$E44*$P44+$E47*$P47+$E48*$P48+$E50*$P50+$E54*$P54+$E55*$P55+$E58*$P58+$E60*$P60+$E66*$P66+$E69*$P69</f>
        <v>233</v>
      </c>
      <c r="L18" s="394"/>
      <c r="M18" s="394">
        <f>$E44*$P44+$E47*$P47+$E48*$P48+$E50*$P50+$E54*$P54+$E55*$P55+$E58*$P58+$E60*$P60+$E66*$P66+$E69*$P69</f>
        <v>233</v>
      </c>
    </row>
    <row r="19" spans="2:27" ht="16.5" customHeight="1" x14ac:dyDescent="0.25">
      <c r="B19" s="396" t="s">
        <v>480</v>
      </c>
      <c r="C19" s="406" t="s">
        <v>304</v>
      </c>
      <c r="D19" s="271"/>
      <c r="E19" s="271"/>
      <c r="F19" s="394"/>
      <c r="G19" s="394"/>
      <c r="H19" s="394">
        <f>$E38*$P38+$E40*$P40+$E41*$P41+$E43*$P43+$E45*$P45+$E46*$P46+$E51*$P51+$E53*$P53+$E56*$P56+$E57*$P57+$E61*$P61+$E62*$P62+$E63*$P63+$E64*$P64+$E65*$P65+$E67*$P67+$E68*$P68+$E71*$P71+$E72*$P72</f>
        <v>1222</v>
      </c>
      <c r="I19" s="394"/>
      <c r="J19" s="394"/>
      <c r="K19" s="394">
        <f>$E38*$P38+$E40*$P40+$E41*$P41+$E43*$P43+$E45*$P45+$E46*$P46+$E51*$P51+$E53*$P53+$E56*$P56+$E57*$P57+$E61*$P61+$E62*$P62+$E63*$P63+$E64*$P64+$E65*$P65+$E67*$P67+$E68*$P68+$E71*$P71+$E72*$P72</f>
        <v>1222</v>
      </c>
      <c r="L19" s="394"/>
      <c r="M19" s="394"/>
    </row>
    <row r="20" spans="2:27" ht="16.5" customHeight="1" x14ac:dyDescent="0.25">
      <c r="B20" s="384"/>
      <c r="C20" s="400"/>
      <c r="D20" s="385"/>
      <c r="E20" s="385"/>
      <c r="F20" s="386"/>
      <c r="G20" s="386"/>
      <c r="H20" s="386"/>
      <c r="I20" s="386"/>
      <c r="J20" s="386"/>
      <c r="K20" s="386"/>
      <c r="L20" s="386"/>
      <c r="M20" s="386"/>
    </row>
    <row r="21" spans="2:27" ht="16.5" customHeight="1" thickBot="1" x14ac:dyDescent="0.3">
      <c r="B21" s="401" t="s">
        <v>372</v>
      </c>
      <c r="C21" s="400"/>
      <c r="D21" s="402">
        <f>'TZCO ТО'!F10</f>
        <v>46</v>
      </c>
      <c r="E21" s="385"/>
      <c r="F21" s="386"/>
      <c r="G21" s="386"/>
      <c r="H21" s="386"/>
      <c r="I21" s="386"/>
      <c r="J21" s="386"/>
      <c r="K21" s="386"/>
      <c r="L21" s="386"/>
      <c r="M21" s="386"/>
    </row>
    <row r="22" spans="2:27" ht="24.8" customHeight="1" x14ac:dyDescent="0.25">
      <c r="B22" s="336" t="s">
        <v>361</v>
      </c>
      <c r="C22" s="367" t="s">
        <v>355</v>
      </c>
      <c r="D22" s="403" t="s">
        <v>373</v>
      </c>
      <c r="E22" s="388"/>
      <c r="F22" s="389">
        <f t="shared" ref="F22:M22" si="11">F15</f>
        <v>1</v>
      </c>
      <c r="G22" s="389">
        <f t="shared" si="11"/>
        <v>2</v>
      </c>
      <c r="H22" s="389">
        <f t="shared" si="11"/>
        <v>3</v>
      </c>
      <c r="I22" s="389">
        <f t="shared" si="11"/>
        <v>4</v>
      </c>
      <c r="J22" s="389">
        <f t="shared" si="11"/>
        <v>5</v>
      </c>
      <c r="K22" s="389">
        <f t="shared" si="11"/>
        <v>6</v>
      </c>
      <c r="L22" s="389">
        <f t="shared" si="11"/>
        <v>7</v>
      </c>
      <c r="M22" s="389">
        <f t="shared" si="11"/>
        <v>8</v>
      </c>
    </row>
    <row r="23" spans="2:27" ht="14.95" customHeight="1" x14ac:dyDescent="0.25">
      <c r="B23" s="390" t="s">
        <v>374</v>
      </c>
      <c r="C23" s="302" t="s">
        <v>375</v>
      </c>
      <c r="D23" s="260"/>
      <c r="E23" s="260"/>
      <c r="F23" s="391">
        <f t="shared" ref="F23:M23" si="12">SUM(F24:F26)</f>
        <v>48</v>
      </c>
      <c r="G23" s="391">
        <f t="shared" si="12"/>
        <v>5159.2</v>
      </c>
      <c r="H23" s="391">
        <f t="shared" si="12"/>
        <v>2929</v>
      </c>
      <c r="I23" s="391">
        <f t="shared" si="12"/>
        <v>5159.2</v>
      </c>
      <c r="J23" s="391">
        <f t="shared" si="12"/>
        <v>48</v>
      </c>
      <c r="K23" s="391">
        <f t="shared" si="12"/>
        <v>8040.2</v>
      </c>
      <c r="L23" s="391">
        <f t="shared" si="12"/>
        <v>48</v>
      </c>
      <c r="M23" s="391">
        <f t="shared" si="12"/>
        <v>5159.2</v>
      </c>
    </row>
    <row r="24" spans="2:27" ht="16.5" customHeight="1" x14ac:dyDescent="0.25">
      <c r="B24" s="396" t="str">
        <f>B17</f>
        <v>ремонт-1</v>
      </c>
      <c r="C24" s="406" t="s">
        <v>375</v>
      </c>
      <c r="D24" s="407">
        <f>$D$21</f>
        <v>46</v>
      </c>
      <c r="E24" s="271"/>
      <c r="F24" s="394">
        <f>$E42*$N42+$E52*$N52</f>
        <v>48</v>
      </c>
      <c r="G24" s="394">
        <f t="shared" ref="G24:M24" si="13">$E42*$N42+$E52*$N52</f>
        <v>48</v>
      </c>
      <c r="H24" s="394">
        <f t="shared" si="13"/>
        <v>48</v>
      </c>
      <c r="I24" s="394">
        <f t="shared" si="13"/>
        <v>48</v>
      </c>
      <c r="J24" s="394">
        <f t="shared" si="13"/>
        <v>48</v>
      </c>
      <c r="K24" s="394">
        <f t="shared" si="13"/>
        <v>48</v>
      </c>
      <c r="L24" s="394">
        <f t="shared" si="13"/>
        <v>48</v>
      </c>
      <c r="M24" s="394">
        <f t="shared" si="13"/>
        <v>48</v>
      </c>
    </row>
    <row r="25" spans="2:27" ht="16.5" customHeight="1" x14ac:dyDescent="0.25">
      <c r="B25" s="396" t="str">
        <f>B18</f>
        <v>ремонт-2</v>
      </c>
      <c r="C25" s="406" t="s">
        <v>375</v>
      </c>
      <c r="D25" s="407">
        <f>$D$21</f>
        <v>46</v>
      </c>
      <c r="E25" s="271"/>
      <c r="F25" s="394"/>
      <c r="G25" s="394">
        <f>$E44*$N44+$E47*$N47+$E48*$N48+$E50*$N50+$E54*$N54+$E55*$N55+$E58*$N58+$E60*$N60+$E66*$N66+$E69*$G69</f>
        <v>5111.2</v>
      </c>
      <c r="H25" s="394"/>
      <c r="I25" s="394">
        <f>$E44*$N44+$E47*$N47+$E48*$N48+$E50*$N50+$E54*$N54+$E55*$N55+$E58*$N58+$E60*$N60+$E66*$N66+$E69*$G69</f>
        <v>5111.2</v>
      </c>
      <c r="J25" s="394"/>
      <c r="K25" s="394">
        <f>$E44*$N44+$E47*$N47+$E48*$N48+$E50*$N50+$E54*$N54+$E55*$N55+$E58*$N58+$E60*$N60+$E66*$N66+$E69*$G69</f>
        <v>5111.2</v>
      </c>
      <c r="L25" s="394"/>
      <c r="M25" s="394">
        <f>$E44*$N44+$E47*$N47+$E48*$N48+$E50*$N50+$E54*$N54+$E55*$N55+$E58*$N58+$E60*$N60+$E66*$N66+$E69*$G69</f>
        <v>5111.2</v>
      </c>
      <c r="AA25" s="275" t="s">
        <v>481</v>
      </c>
    </row>
    <row r="26" spans="2:27" ht="16.5" customHeight="1" x14ac:dyDescent="0.25">
      <c r="B26" s="396" t="str">
        <f>B19</f>
        <v>ремонт-3</v>
      </c>
      <c r="C26" s="406" t="s">
        <v>375</v>
      </c>
      <c r="D26" s="407">
        <f>$D$21</f>
        <v>46</v>
      </c>
      <c r="E26" s="271"/>
      <c r="F26" s="394"/>
      <c r="G26" s="394"/>
      <c r="H26" s="394">
        <f>$E40*$N40+$E41*$N41+$E43*$N43+$E45*$N45+$E46*$N46+$E51*$N51+$E53*$N53+$E56*$N56+$E57*$N57+$E61*$N61+$E62*$N62+$E63*$N63+$E64*$N64+$E65*$N65+$E67*$N67+$E68*$N68+$E69*$N69+$E71*$N71+$E72*$N72</f>
        <v>2881</v>
      </c>
      <c r="I26" s="394"/>
      <c r="J26" s="394"/>
      <c r="K26" s="394">
        <f>$E40*$N40+$E41*$N41+$E43*$N43+$E45*$N45+$E46*$N46+$E51*$N51+$E53*$N53+$E56*$N56+$E57*$N57+$E61*$N61+$E62*$N62+$E63*$N63+$E64*$N64+$E65*$N65+$E67*$N67+$E68*$N68+$E69*$N69+$E71*$N71+$E72*$N72</f>
        <v>2881</v>
      </c>
      <c r="L26" s="394"/>
      <c r="M26" s="394"/>
    </row>
    <row r="27" spans="2:27" x14ac:dyDescent="0.25">
      <c r="B27" s="384"/>
      <c r="E27" s="412"/>
      <c r="F27" s="303"/>
      <c r="G27" s="303"/>
      <c r="H27" s="303"/>
      <c r="I27" s="303"/>
      <c r="J27" s="303"/>
      <c r="K27" s="303"/>
      <c r="L27" s="303"/>
      <c r="M27" s="303"/>
    </row>
    <row r="28" spans="2:27" ht="14.95" thickBot="1" x14ac:dyDescent="0.3">
      <c r="B28" s="387" t="s">
        <v>389</v>
      </c>
      <c r="F28" s="303"/>
    </row>
    <row r="29" spans="2:27" ht="43.5" customHeight="1" x14ac:dyDescent="0.25">
      <c r="B29" s="336" t="s">
        <v>390</v>
      </c>
      <c r="C29" s="337" t="s">
        <v>391</v>
      </c>
      <c r="D29" s="337" t="s">
        <v>392</v>
      </c>
      <c r="E29" s="337" t="s">
        <v>393</v>
      </c>
      <c r="F29" s="340" t="s">
        <v>292</v>
      </c>
      <c r="G29" s="340" t="s">
        <v>292</v>
      </c>
      <c r="H29" s="340" t="s">
        <v>292</v>
      </c>
      <c r="I29" s="340" t="s">
        <v>292</v>
      </c>
      <c r="J29" s="340" t="s">
        <v>292</v>
      </c>
      <c r="K29" s="340" t="s">
        <v>292</v>
      </c>
      <c r="L29" s="340" t="s">
        <v>292</v>
      </c>
      <c r="M29" s="494" t="s">
        <v>292</v>
      </c>
    </row>
    <row r="30" spans="2:27" ht="28.55" customHeight="1" x14ac:dyDescent="0.25">
      <c r="B30" s="379" t="s">
        <v>394</v>
      </c>
      <c r="C30" s="247"/>
      <c r="D30" s="247"/>
      <c r="E30" s="247"/>
      <c r="F30" s="346">
        <f>SUM(F31:F35)</f>
        <v>7500</v>
      </c>
      <c r="G30" s="346">
        <f t="shared" ref="G30:M30" si="14">SUM(G31:G35)</f>
        <v>7500</v>
      </c>
      <c r="H30" s="346">
        <f t="shared" si="14"/>
        <v>7500</v>
      </c>
      <c r="I30" s="346">
        <f t="shared" si="14"/>
        <v>7500</v>
      </c>
      <c r="J30" s="346">
        <f t="shared" si="14"/>
        <v>7500</v>
      </c>
      <c r="K30" s="346">
        <f t="shared" si="14"/>
        <v>7500</v>
      </c>
      <c r="L30" s="346">
        <f t="shared" si="14"/>
        <v>7500</v>
      </c>
      <c r="M30" s="495">
        <f t="shared" si="14"/>
        <v>7500</v>
      </c>
    </row>
    <row r="31" spans="2:27" x14ac:dyDescent="0.25">
      <c r="B31" s="496" t="s">
        <v>482</v>
      </c>
      <c r="C31" s="354">
        <v>500</v>
      </c>
      <c r="D31" s="497">
        <v>500</v>
      </c>
      <c r="E31" s="258">
        <v>5</v>
      </c>
      <c r="F31" s="476">
        <f>$E31*$C31</f>
        <v>2500</v>
      </c>
      <c r="G31" s="476">
        <f t="shared" ref="G31:M31" si="15">$E31*$C31</f>
        <v>2500</v>
      </c>
      <c r="H31" s="476">
        <f t="shared" si="15"/>
        <v>2500</v>
      </c>
      <c r="I31" s="476">
        <f t="shared" si="15"/>
        <v>2500</v>
      </c>
      <c r="J31" s="476">
        <f t="shared" si="15"/>
        <v>2500</v>
      </c>
      <c r="K31" s="476">
        <f t="shared" si="15"/>
        <v>2500</v>
      </c>
      <c r="L31" s="476">
        <f t="shared" si="15"/>
        <v>2500</v>
      </c>
      <c r="M31" s="498">
        <f t="shared" si="15"/>
        <v>2500</v>
      </c>
    </row>
    <row r="32" spans="2:27" x14ac:dyDescent="0.25">
      <c r="B32" s="496" t="s">
        <v>483</v>
      </c>
      <c r="C32" s="354">
        <v>500</v>
      </c>
      <c r="D32" s="497">
        <v>1000</v>
      </c>
      <c r="E32" s="258">
        <v>4</v>
      </c>
      <c r="F32" s="476">
        <f t="shared" ref="F32:M35" si="16">$E32*$C32</f>
        <v>2000</v>
      </c>
      <c r="G32" s="476">
        <f t="shared" si="16"/>
        <v>2000</v>
      </c>
      <c r="H32" s="476">
        <f t="shared" si="16"/>
        <v>2000</v>
      </c>
      <c r="I32" s="476">
        <f t="shared" si="16"/>
        <v>2000</v>
      </c>
      <c r="J32" s="476">
        <f t="shared" si="16"/>
        <v>2000</v>
      </c>
      <c r="K32" s="476">
        <f t="shared" si="16"/>
        <v>2000</v>
      </c>
      <c r="L32" s="476">
        <f t="shared" si="16"/>
        <v>2000</v>
      </c>
      <c r="M32" s="498">
        <f t="shared" si="16"/>
        <v>2000</v>
      </c>
    </row>
    <row r="33" spans="2:16" x14ac:dyDescent="0.25">
      <c r="B33" s="496" t="s">
        <v>484</v>
      </c>
      <c r="C33" s="354">
        <v>500</v>
      </c>
      <c r="D33" s="497">
        <v>2000</v>
      </c>
      <c r="E33" s="258">
        <v>3</v>
      </c>
      <c r="F33" s="476">
        <f t="shared" si="16"/>
        <v>1500</v>
      </c>
      <c r="G33" s="476">
        <f t="shared" si="16"/>
        <v>1500</v>
      </c>
      <c r="H33" s="476">
        <f t="shared" si="16"/>
        <v>1500</v>
      </c>
      <c r="I33" s="476">
        <f t="shared" si="16"/>
        <v>1500</v>
      </c>
      <c r="J33" s="476">
        <f t="shared" si="16"/>
        <v>1500</v>
      </c>
      <c r="K33" s="476">
        <f t="shared" si="16"/>
        <v>1500</v>
      </c>
      <c r="L33" s="476">
        <f t="shared" si="16"/>
        <v>1500</v>
      </c>
      <c r="M33" s="498">
        <f t="shared" si="16"/>
        <v>1500</v>
      </c>
    </row>
    <row r="34" spans="2:16" x14ac:dyDescent="0.25">
      <c r="B34" s="496" t="s">
        <v>485</v>
      </c>
      <c r="C34" s="354">
        <v>500</v>
      </c>
      <c r="D34" s="497">
        <v>4000</v>
      </c>
      <c r="E34" s="258">
        <v>2</v>
      </c>
      <c r="F34" s="476">
        <f t="shared" si="16"/>
        <v>1000</v>
      </c>
      <c r="G34" s="476">
        <f t="shared" si="16"/>
        <v>1000</v>
      </c>
      <c r="H34" s="476">
        <f t="shared" si="16"/>
        <v>1000</v>
      </c>
      <c r="I34" s="476">
        <f t="shared" si="16"/>
        <v>1000</v>
      </c>
      <c r="J34" s="476">
        <f t="shared" si="16"/>
        <v>1000</v>
      </c>
      <c r="K34" s="476">
        <f t="shared" si="16"/>
        <v>1000</v>
      </c>
      <c r="L34" s="476">
        <f t="shared" si="16"/>
        <v>1000</v>
      </c>
      <c r="M34" s="498">
        <f t="shared" si="16"/>
        <v>1000</v>
      </c>
    </row>
    <row r="35" spans="2:16" ht="14.95" thickBot="1" x14ac:dyDescent="0.3">
      <c r="B35" s="496" t="s">
        <v>486</v>
      </c>
      <c r="C35" s="354">
        <v>500</v>
      </c>
      <c r="D35" s="497">
        <v>6000</v>
      </c>
      <c r="E35" s="258">
        <v>1</v>
      </c>
      <c r="F35" s="476">
        <f t="shared" si="16"/>
        <v>500</v>
      </c>
      <c r="G35" s="476">
        <f t="shared" si="16"/>
        <v>500</v>
      </c>
      <c r="H35" s="476">
        <f t="shared" si="16"/>
        <v>500</v>
      </c>
      <c r="I35" s="476">
        <f t="shared" si="16"/>
        <v>500</v>
      </c>
      <c r="J35" s="476">
        <f t="shared" si="16"/>
        <v>500</v>
      </c>
      <c r="K35" s="476">
        <f t="shared" si="16"/>
        <v>500</v>
      </c>
      <c r="L35" s="476">
        <f t="shared" si="16"/>
        <v>500</v>
      </c>
      <c r="M35" s="498">
        <f t="shared" si="16"/>
        <v>500</v>
      </c>
    </row>
    <row r="36" spans="2:16" ht="47.25" customHeight="1" x14ac:dyDescent="0.25">
      <c r="B36" s="379" t="s">
        <v>284</v>
      </c>
      <c r="C36" s="247" t="s">
        <v>391</v>
      </c>
      <c r="D36" s="247" t="s">
        <v>392</v>
      </c>
      <c r="E36" s="247" t="s">
        <v>393</v>
      </c>
      <c r="F36" s="346">
        <f>SUM(F37:F73)</f>
        <v>22180.2</v>
      </c>
      <c r="G36" s="346">
        <f t="shared" ref="G36:M36" si="17">SUM(G37:G73)</f>
        <v>117301.64999999998</v>
      </c>
      <c r="H36" s="346">
        <f t="shared" si="17"/>
        <v>1471521.7500000002</v>
      </c>
      <c r="I36" s="346">
        <f t="shared" si="17"/>
        <v>117301.64999999998</v>
      </c>
      <c r="J36" s="346">
        <f t="shared" si="17"/>
        <v>22180.2</v>
      </c>
      <c r="K36" s="346">
        <f t="shared" si="17"/>
        <v>1566643.2000000002</v>
      </c>
      <c r="L36" s="346">
        <f t="shared" si="17"/>
        <v>22180.2</v>
      </c>
      <c r="M36" s="499">
        <f t="shared" si="17"/>
        <v>117301.64999999998</v>
      </c>
      <c r="N36" s="1071" t="s">
        <v>428</v>
      </c>
      <c r="O36" s="1072"/>
      <c r="P36" s="1073"/>
    </row>
    <row r="37" spans="2:16" ht="46.55" customHeight="1" x14ac:dyDescent="0.25">
      <c r="B37" s="364" t="s">
        <v>395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500"/>
      <c r="N37" s="479" t="s">
        <v>429</v>
      </c>
      <c r="O37" s="480" t="s">
        <v>430</v>
      </c>
      <c r="P37" s="481" t="s">
        <v>431</v>
      </c>
    </row>
    <row r="38" spans="2:16" x14ac:dyDescent="0.25">
      <c r="B38" s="420" t="s">
        <v>487</v>
      </c>
      <c r="C38" s="354">
        <v>244341.15</v>
      </c>
      <c r="D38" s="269">
        <v>20000</v>
      </c>
      <c r="E38" s="268">
        <v>1</v>
      </c>
      <c r="F38" s="501"/>
      <c r="G38" s="501"/>
      <c r="H38" s="501">
        <f>$C38*$E38</f>
        <v>244341.15</v>
      </c>
      <c r="I38" s="501"/>
      <c r="J38" s="501"/>
      <c r="K38" s="501">
        <f>$C38*$E38</f>
        <v>244341.15</v>
      </c>
      <c r="L38" s="501"/>
      <c r="M38" s="502"/>
      <c r="N38" s="503">
        <v>520</v>
      </c>
      <c r="O38" s="504">
        <v>40</v>
      </c>
      <c r="P38" s="505">
        <v>240</v>
      </c>
    </row>
    <row r="39" spans="2:16" x14ac:dyDescent="0.25">
      <c r="B39" s="364" t="s">
        <v>396</v>
      </c>
      <c r="C39" s="292"/>
      <c r="D39" s="292"/>
      <c r="E39" s="370"/>
      <c r="F39" s="292"/>
      <c r="G39" s="292"/>
      <c r="H39" s="292"/>
      <c r="I39" s="292"/>
      <c r="J39" s="292"/>
      <c r="K39" s="292"/>
      <c r="L39" s="292"/>
      <c r="M39" s="500"/>
      <c r="N39" s="506"/>
      <c r="O39" s="507"/>
      <c r="P39" s="508"/>
    </row>
    <row r="40" spans="2:16" x14ac:dyDescent="0.25">
      <c r="B40" s="420" t="s">
        <v>488</v>
      </c>
      <c r="C40" s="354">
        <v>22050</v>
      </c>
      <c r="D40" s="269">
        <v>22500</v>
      </c>
      <c r="E40" s="268">
        <v>1</v>
      </c>
      <c r="F40" s="501"/>
      <c r="G40" s="501"/>
      <c r="H40" s="501">
        <f t="shared" ref="H40:H41" si="18">$C40*$E40</f>
        <v>22050</v>
      </c>
      <c r="I40" s="501"/>
      <c r="J40" s="501"/>
      <c r="K40" s="501">
        <f t="shared" ref="F40:M72" si="19">$C40*$E40</f>
        <v>22050</v>
      </c>
      <c r="L40" s="501"/>
      <c r="M40" s="502"/>
      <c r="N40" s="503">
        <v>552</v>
      </c>
      <c r="O40" s="504">
        <v>307</v>
      </c>
      <c r="P40" s="505">
        <v>149</v>
      </c>
    </row>
    <row r="41" spans="2:16" x14ac:dyDescent="0.25">
      <c r="B41" s="420" t="s">
        <v>489</v>
      </c>
      <c r="C41" s="354">
        <v>9750</v>
      </c>
      <c r="D41" s="269">
        <v>22000</v>
      </c>
      <c r="E41" s="268">
        <v>1</v>
      </c>
      <c r="F41" s="501"/>
      <c r="G41" s="501"/>
      <c r="H41" s="501">
        <f t="shared" si="18"/>
        <v>9750</v>
      </c>
      <c r="I41" s="501"/>
      <c r="J41" s="501"/>
      <c r="K41" s="501">
        <f t="shared" si="19"/>
        <v>9750</v>
      </c>
      <c r="L41" s="501"/>
      <c r="M41" s="502"/>
      <c r="N41" s="503">
        <v>56</v>
      </c>
      <c r="O41" s="504">
        <v>28</v>
      </c>
      <c r="P41" s="505">
        <v>21</v>
      </c>
    </row>
    <row r="42" spans="2:16" x14ac:dyDescent="0.25">
      <c r="B42" s="420" t="s">
        <v>490</v>
      </c>
      <c r="C42" s="354">
        <v>11002.65</v>
      </c>
      <c r="D42" s="269">
        <v>6500</v>
      </c>
      <c r="E42" s="268">
        <v>2</v>
      </c>
      <c r="F42" s="501">
        <f t="shared" si="19"/>
        <v>22005.3</v>
      </c>
      <c r="G42" s="501">
        <f t="shared" si="19"/>
        <v>22005.3</v>
      </c>
      <c r="H42" s="501">
        <f t="shared" si="19"/>
        <v>22005.3</v>
      </c>
      <c r="I42" s="501">
        <f t="shared" si="19"/>
        <v>22005.3</v>
      </c>
      <c r="J42" s="501">
        <f t="shared" si="19"/>
        <v>22005.3</v>
      </c>
      <c r="K42" s="501">
        <f t="shared" si="19"/>
        <v>22005.3</v>
      </c>
      <c r="L42" s="501">
        <f t="shared" si="19"/>
        <v>22005.3</v>
      </c>
      <c r="M42" s="502">
        <f t="shared" si="19"/>
        <v>22005.3</v>
      </c>
      <c r="N42" s="503">
        <v>16</v>
      </c>
      <c r="O42" s="504">
        <v>8</v>
      </c>
      <c r="P42" s="505">
        <v>5</v>
      </c>
    </row>
    <row r="43" spans="2:16" x14ac:dyDescent="0.25">
      <c r="B43" s="420" t="s">
        <v>491</v>
      </c>
      <c r="C43" s="354">
        <v>310336.64999999997</v>
      </c>
      <c r="D43" s="269">
        <v>22500</v>
      </c>
      <c r="E43" s="268">
        <v>2</v>
      </c>
      <c r="F43" s="501"/>
      <c r="G43" s="501"/>
      <c r="H43" s="501">
        <f>$C43*$E43</f>
        <v>620673.29999999993</v>
      </c>
      <c r="I43" s="501"/>
      <c r="J43" s="501"/>
      <c r="K43" s="501">
        <f>$C43*$E43</f>
        <v>620673.29999999993</v>
      </c>
      <c r="L43" s="501"/>
      <c r="M43" s="502"/>
      <c r="N43" s="503">
        <v>126</v>
      </c>
      <c r="O43" s="504">
        <v>75</v>
      </c>
      <c r="P43" s="505">
        <v>80</v>
      </c>
    </row>
    <row r="44" spans="2:16" x14ac:dyDescent="0.25">
      <c r="B44" s="420" t="s">
        <v>492</v>
      </c>
      <c r="C44" s="354">
        <v>42736.799999999996</v>
      </c>
      <c r="D44" s="269">
        <v>13000</v>
      </c>
      <c r="E44" s="268">
        <v>1</v>
      </c>
      <c r="F44" s="501"/>
      <c r="G44" s="501">
        <f t="shared" si="19"/>
        <v>42736.799999999996</v>
      </c>
      <c r="H44" s="501"/>
      <c r="I44" s="501">
        <f t="shared" si="19"/>
        <v>42736.799999999996</v>
      </c>
      <c r="J44" s="501"/>
      <c r="K44" s="501">
        <f t="shared" si="19"/>
        <v>42736.799999999996</v>
      </c>
      <c r="L44" s="501"/>
      <c r="M44" s="502">
        <f t="shared" si="19"/>
        <v>42736.799999999996</v>
      </c>
      <c r="N44" s="503">
        <v>88</v>
      </c>
      <c r="O44" s="504">
        <v>37</v>
      </c>
      <c r="P44" s="505">
        <v>30</v>
      </c>
    </row>
    <row r="45" spans="2:16" x14ac:dyDescent="0.25">
      <c r="B45" s="420" t="s">
        <v>493</v>
      </c>
      <c r="C45" s="354">
        <v>4223.55</v>
      </c>
      <c r="D45" s="269">
        <v>22000</v>
      </c>
      <c r="E45" s="268">
        <v>1</v>
      </c>
      <c r="F45" s="501"/>
      <c r="G45" s="501"/>
      <c r="H45" s="501">
        <f t="shared" ref="H45:H46" si="20">$C45*$E45</f>
        <v>4223.55</v>
      </c>
      <c r="I45" s="501"/>
      <c r="J45" s="501"/>
      <c r="K45" s="501">
        <f t="shared" si="19"/>
        <v>4223.55</v>
      </c>
      <c r="L45" s="501"/>
      <c r="M45" s="502"/>
      <c r="N45" s="503">
        <v>15</v>
      </c>
      <c r="O45" s="504">
        <v>0</v>
      </c>
      <c r="P45" s="505">
        <v>6</v>
      </c>
    </row>
    <row r="46" spans="2:16" x14ac:dyDescent="0.25">
      <c r="B46" s="420" t="s">
        <v>494</v>
      </c>
      <c r="C46" s="354">
        <v>7967.25</v>
      </c>
      <c r="D46" s="269">
        <v>20000</v>
      </c>
      <c r="E46" s="268">
        <v>1</v>
      </c>
      <c r="F46" s="501"/>
      <c r="G46" s="501"/>
      <c r="H46" s="501">
        <f t="shared" si="20"/>
        <v>7967.25</v>
      </c>
      <c r="I46" s="501"/>
      <c r="J46" s="501"/>
      <c r="K46" s="501">
        <f t="shared" si="19"/>
        <v>7967.25</v>
      </c>
      <c r="L46" s="501"/>
      <c r="M46" s="502"/>
      <c r="N46" s="503">
        <v>7</v>
      </c>
      <c r="O46" s="504">
        <v>4</v>
      </c>
      <c r="P46" s="505">
        <v>3</v>
      </c>
    </row>
    <row r="47" spans="2:16" x14ac:dyDescent="0.25">
      <c r="B47" s="420" t="s">
        <v>495</v>
      </c>
      <c r="C47" s="354">
        <v>2158.9499999999998</v>
      </c>
      <c r="D47" s="269">
        <v>12000</v>
      </c>
      <c r="E47" s="268">
        <v>1</v>
      </c>
      <c r="F47" s="501"/>
      <c r="G47" s="501">
        <f t="shared" si="19"/>
        <v>2158.9499999999998</v>
      </c>
      <c r="H47" s="501"/>
      <c r="I47" s="501">
        <f t="shared" si="19"/>
        <v>2158.9499999999998</v>
      </c>
      <c r="J47" s="501"/>
      <c r="K47" s="501">
        <f t="shared" si="19"/>
        <v>2158.9499999999998</v>
      </c>
      <c r="L47" s="501"/>
      <c r="M47" s="502">
        <f t="shared" si="19"/>
        <v>2158.9499999999998</v>
      </c>
      <c r="N47" s="503">
        <v>11</v>
      </c>
      <c r="O47" s="504">
        <v>0</v>
      </c>
      <c r="P47" s="505">
        <v>4</v>
      </c>
    </row>
    <row r="48" spans="2:16" x14ac:dyDescent="0.25">
      <c r="B48" s="420" t="s">
        <v>496</v>
      </c>
      <c r="C48" s="354">
        <v>1932.6</v>
      </c>
      <c r="D48" s="269">
        <v>12000</v>
      </c>
      <c r="E48" s="268">
        <v>2</v>
      </c>
      <c r="F48" s="501"/>
      <c r="G48" s="501">
        <f t="shared" si="19"/>
        <v>3865.2</v>
      </c>
      <c r="H48" s="501"/>
      <c r="I48" s="501">
        <f t="shared" si="19"/>
        <v>3865.2</v>
      </c>
      <c r="J48" s="501"/>
      <c r="K48" s="501">
        <f t="shared" si="19"/>
        <v>3865.2</v>
      </c>
      <c r="L48" s="501"/>
      <c r="M48" s="502">
        <f t="shared" si="19"/>
        <v>3865.2</v>
      </c>
      <c r="N48" s="503">
        <v>19</v>
      </c>
      <c r="O48" s="504">
        <v>0</v>
      </c>
      <c r="P48" s="505">
        <v>7</v>
      </c>
    </row>
    <row r="49" spans="2:16" x14ac:dyDescent="0.25">
      <c r="B49" s="364" t="s">
        <v>397</v>
      </c>
      <c r="C49" s="292"/>
      <c r="D49" s="292"/>
      <c r="E49" s="370"/>
      <c r="F49" s="292"/>
      <c r="G49" s="292"/>
      <c r="H49" s="292"/>
      <c r="I49" s="292"/>
      <c r="J49" s="292"/>
      <c r="K49" s="292"/>
      <c r="L49" s="292"/>
      <c r="M49" s="500"/>
      <c r="N49" s="506"/>
      <c r="O49" s="507"/>
      <c r="P49" s="508"/>
    </row>
    <row r="50" spans="2:16" x14ac:dyDescent="0.25">
      <c r="B50" s="509" t="s">
        <v>497</v>
      </c>
      <c r="C50" s="354">
        <v>1677.1499999999999</v>
      </c>
      <c r="D50" s="269">
        <v>14000</v>
      </c>
      <c r="E50" s="268">
        <v>2</v>
      </c>
      <c r="F50" s="501"/>
      <c r="G50" s="501">
        <f t="shared" si="19"/>
        <v>3354.2999999999997</v>
      </c>
      <c r="H50" s="501"/>
      <c r="I50" s="501">
        <f t="shared" si="19"/>
        <v>3354.2999999999997</v>
      </c>
      <c r="J50" s="501"/>
      <c r="K50" s="501">
        <f t="shared" si="19"/>
        <v>3354.2999999999997</v>
      </c>
      <c r="L50" s="501"/>
      <c r="M50" s="502">
        <f t="shared" si="19"/>
        <v>3354.2999999999997</v>
      </c>
      <c r="N50" s="503">
        <v>22</v>
      </c>
      <c r="O50" s="504">
        <v>1</v>
      </c>
      <c r="P50" s="505">
        <v>11</v>
      </c>
    </row>
    <row r="51" spans="2:16" x14ac:dyDescent="0.25">
      <c r="B51" s="509" t="s">
        <v>498</v>
      </c>
      <c r="C51" s="354">
        <v>9171.2999999999993</v>
      </c>
      <c r="D51" s="269">
        <v>22000</v>
      </c>
      <c r="E51" s="268">
        <v>2</v>
      </c>
      <c r="F51" s="501"/>
      <c r="G51" s="501"/>
      <c r="H51" s="501">
        <f>$C51*$E51</f>
        <v>18342.599999999999</v>
      </c>
      <c r="I51" s="501"/>
      <c r="J51" s="501"/>
      <c r="K51" s="501">
        <f>$C51*$E51</f>
        <v>18342.599999999999</v>
      </c>
      <c r="L51" s="501"/>
      <c r="M51" s="502"/>
      <c r="N51" s="503">
        <v>38</v>
      </c>
      <c r="O51" s="504">
        <v>3</v>
      </c>
      <c r="P51" s="505">
        <v>10</v>
      </c>
    </row>
    <row r="52" spans="2:16" x14ac:dyDescent="0.25">
      <c r="B52" s="509" t="s">
        <v>499</v>
      </c>
      <c r="C52" s="354">
        <v>87.45</v>
      </c>
      <c r="D52" s="269">
        <v>6500</v>
      </c>
      <c r="E52" s="268">
        <v>2</v>
      </c>
      <c r="F52" s="501">
        <f t="shared" si="19"/>
        <v>174.9</v>
      </c>
      <c r="G52" s="501">
        <f t="shared" si="19"/>
        <v>174.9</v>
      </c>
      <c r="H52" s="501">
        <f t="shared" si="19"/>
        <v>174.9</v>
      </c>
      <c r="I52" s="501">
        <f t="shared" si="19"/>
        <v>174.9</v>
      </c>
      <c r="J52" s="501">
        <f t="shared" si="19"/>
        <v>174.9</v>
      </c>
      <c r="K52" s="501">
        <f t="shared" si="19"/>
        <v>174.9</v>
      </c>
      <c r="L52" s="501">
        <f t="shared" si="19"/>
        <v>174.9</v>
      </c>
      <c r="M52" s="502">
        <f t="shared" si="19"/>
        <v>174.9</v>
      </c>
      <c r="N52" s="503">
        <v>8</v>
      </c>
      <c r="O52" s="504">
        <v>2</v>
      </c>
      <c r="P52" s="505">
        <v>3</v>
      </c>
    </row>
    <row r="53" spans="2:16" x14ac:dyDescent="0.25">
      <c r="B53" s="509" t="s">
        <v>500</v>
      </c>
      <c r="C53" s="354">
        <v>78030.3</v>
      </c>
      <c r="D53" s="269">
        <v>20500</v>
      </c>
      <c r="E53" s="268">
        <v>2</v>
      </c>
      <c r="F53" s="501"/>
      <c r="G53" s="501"/>
      <c r="H53" s="501">
        <f>$C53*$E53</f>
        <v>156060.6</v>
      </c>
      <c r="I53" s="501"/>
      <c r="J53" s="501"/>
      <c r="K53" s="501">
        <f>$C53*$E53</f>
        <v>156060.6</v>
      </c>
      <c r="L53" s="501"/>
      <c r="M53" s="502"/>
      <c r="N53" s="503">
        <v>53</v>
      </c>
      <c r="O53" s="504">
        <v>27</v>
      </c>
      <c r="P53" s="505">
        <v>21</v>
      </c>
    </row>
    <row r="54" spans="2:16" x14ac:dyDescent="0.25">
      <c r="B54" s="509" t="s">
        <v>501</v>
      </c>
      <c r="C54" s="354">
        <v>10677.75</v>
      </c>
      <c r="D54" s="269">
        <v>14000</v>
      </c>
      <c r="E54" s="268">
        <v>2</v>
      </c>
      <c r="F54" s="501"/>
      <c r="G54" s="501">
        <f t="shared" si="19"/>
        <v>21355.5</v>
      </c>
      <c r="H54" s="501"/>
      <c r="I54" s="501">
        <f t="shared" si="19"/>
        <v>21355.5</v>
      </c>
      <c r="J54" s="501"/>
      <c r="K54" s="501">
        <f t="shared" si="19"/>
        <v>21355.5</v>
      </c>
      <c r="L54" s="501"/>
      <c r="M54" s="502">
        <f t="shared" si="19"/>
        <v>21355.5</v>
      </c>
      <c r="N54" s="503">
        <v>28</v>
      </c>
      <c r="O54" s="504">
        <v>19</v>
      </c>
      <c r="P54" s="505">
        <v>11</v>
      </c>
    </row>
    <row r="55" spans="2:16" x14ac:dyDescent="0.25">
      <c r="B55" s="420" t="s">
        <v>502</v>
      </c>
      <c r="C55" s="354">
        <v>8146.0499999999993</v>
      </c>
      <c r="D55" s="269">
        <v>11000</v>
      </c>
      <c r="E55" s="268">
        <v>1</v>
      </c>
      <c r="F55" s="501"/>
      <c r="G55" s="501">
        <f t="shared" si="19"/>
        <v>8146.0499999999993</v>
      </c>
      <c r="H55" s="501"/>
      <c r="I55" s="501">
        <f t="shared" si="19"/>
        <v>8146.0499999999993</v>
      </c>
      <c r="J55" s="501"/>
      <c r="K55" s="501">
        <f t="shared" si="19"/>
        <v>8146.0499999999993</v>
      </c>
      <c r="L55" s="501"/>
      <c r="M55" s="502">
        <f t="shared" si="19"/>
        <v>8146.0499999999993</v>
      </c>
      <c r="N55" s="503">
        <v>8</v>
      </c>
      <c r="O55" s="504">
        <v>4</v>
      </c>
      <c r="P55" s="505">
        <v>6</v>
      </c>
    </row>
    <row r="56" spans="2:16" x14ac:dyDescent="0.25">
      <c r="B56" s="420" t="s">
        <v>503</v>
      </c>
      <c r="C56" s="354">
        <v>10096.049999999999</v>
      </c>
      <c r="D56" s="269">
        <v>18000</v>
      </c>
      <c r="E56" s="268">
        <v>1</v>
      </c>
      <c r="F56" s="501"/>
      <c r="G56" s="501"/>
      <c r="H56" s="501">
        <f t="shared" si="19"/>
        <v>10096.049999999999</v>
      </c>
      <c r="I56" s="501"/>
      <c r="J56" s="501"/>
      <c r="K56" s="501">
        <f t="shared" si="19"/>
        <v>10096.049999999999</v>
      </c>
      <c r="L56" s="501"/>
      <c r="M56" s="502"/>
      <c r="N56" s="503">
        <v>12</v>
      </c>
      <c r="O56" s="504">
        <v>6</v>
      </c>
      <c r="P56" s="505">
        <v>6</v>
      </c>
    </row>
    <row r="57" spans="2:16" x14ac:dyDescent="0.25">
      <c r="B57" s="420" t="s">
        <v>504</v>
      </c>
      <c r="C57" s="354">
        <v>13463.55</v>
      </c>
      <c r="D57" s="269">
        <v>20000</v>
      </c>
      <c r="E57" s="268">
        <v>1</v>
      </c>
      <c r="F57" s="501"/>
      <c r="G57" s="501"/>
      <c r="H57" s="501">
        <f>$C57*$E57</f>
        <v>13463.55</v>
      </c>
      <c r="I57" s="501"/>
      <c r="J57" s="501"/>
      <c r="K57" s="501">
        <f>$C57*$E57</f>
        <v>13463.55</v>
      </c>
      <c r="L57" s="501"/>
      <c r="M57" s="502"/>
      <c r="N57" s="503">
        <v>27</v>
      </c>
      <c r="O57" s="504">
        <v>5</v>
      </c>
      <c r="P57" s="505">
        <v>8</v>
      </c>
    </row>
    <row r="58" spans="2:16" x14ac:dyDescent="0.25">
      <c r="B58" s="420" t="s">
        <v>505</v>
      </c>
      <c r="C58" s="354">
        <v>999.75</v>
      </c>
      <c r="D58" s="269">
        <v>10000</v>
      </c>
      <c r="E58" s="268">
        <v>1</v>
      </c>
      <c r="F58" s="501"/>
      <c r="G58" s="501">
        <f t="shared" si="19"/>
        <v>999.75</v>
      </c>
      <c r="H58" s="501"/>
      <c r="I58" s="501">
        <f t="shared" si="19"/>
        <v>999.75</v>
      </c>
      <c r="J58" s="501"/>
      <c r="K58" s="501">
        <f t="shared" si="19"/>
        <v>999.75</v>
      </c>
      <c r="L58" s="501"/>
      <c r="M58" s="502">
        <f t="shared" si="19"/>
        <v>999.75</v>
      </c>
      <c r="N58" s="503">
        <v>5</v>
      </c>
      <c r="O58" s="504">
        <v>3</v>
      </c>
      <c r="P58" s="505">
        <v>3</v>
      </c>
    </row>
    <row r="59" spans="2:16" x14ac:dyDescent="0.25">
      <c r="B59" s="364" t="s">
        <v>506</v>
      </c>
      <c r="C59" s="292"/>
      <c r="D59" s="292"/>
      <c r="E59" s="370"/>
      <c r="F59" s="292"/>
      <c r="G59" s="292"/>
      <c r="H59" s="292"/>
      <c r="I59" s="292"/>
      <c r="J59" s="292"/>
      <c r="K59" s="292"/>
      <c r="L59" s="292"/>
      <c r="M59" s="500"/>
      <c r="N59" s="506"/>
      <c r="O59" s="507"/>
      <c r="P59" s="508"/>
    </row>
    <row r="60" spans="2:16" x14ac:dyDescent="0.25">
      <c r="B60" s="420" t="s">
        <v>507</v>
      </c>
      <c r="C60" s="354">
        <v>3076.35</v>
      </c>
      <c r="D60" s="269">
        <v>12000</v>
      </c>
      <c r="E60" s="268">
        <v>2</v>
      </c>
      <c r="F60" s="501"/>
      <c r="G60" s="501">
        <f t="shared" si="19"/>
        <v>6152.7</v>
      </c>
      <c r="H60" s="501"/>
      <c r="I60" s="501">
        <f t="shared" si="19"/>
        <v>6152.7</v>
      </c>
      <c r="J60" s="501"/>
      <c r="K60" s="501">
        <f t="shared" si="19"/>
        <v>6152.7</v>
      </c>
      <c r="L60" s="501"/>
      <c r="M60" s="502">
        <f t="shared" si="19"/>
        <v>6152.7</v>
      </c>
      <c r="N60" s="503">
        <v>63</v>
      </c>
      <c r="O60" s="504">
        <v>29</v>
      </c>
      <c r="P60" s="505">
        <v>18</v>
      </c>
    </row>
    <row r="61" spans="2:16" x14ac:dyDescent="0.25">
      <c r="B61" s="420" t="s">
        <v>508</v>
      </c>
      <c r="C61" s="354">
        <v>1230.45</v>
      </c>
      <c r="D61" s="269">
        <v>6000</v>
      </c>
      <c r="E61" s="268">
        <v>16</v>
      </c>
      <c r="F61" s="501"/>
      <c r="G61" s="501"/>
      <c r="H61" s="501">
        <f t="shared" si="19"/>
        <v>19687.2</v>
      </c>
      <c r="I61" s="501"/>
      <c r="J61" s="501"/>
      <c r="K61" s="501">
        <f t="shared" si="19"/>
        <v>19687.2</v>
      </c>
      <c r="L61" s="501"/>
      <c r="M61" s="502"/>
      <c r="N61" s="503">
        <v>35</v>
      </c>
      <c r="O61" s="504">
        <v>15</v>
      </c>
      <c r="P61" s="505">
        <v>9</v>
      </c>
    </row>
    <row r="62" spans="2:16" x14ac:dyDescent="0.25">
      <c r="B62" s="420" t="s">
        <v>509</v>
      </c>
      <c r="C62" s="354">
        <v>100027.34999999999</v>
      </c>
      <c r="D62" s="269">
        <v>19500</v>
      </c>
      <c r="E62" s="268">
        <v>2</v>
      </c>
      <c r="F62" s="501"/>
      <c r="G62" s="501"/>
      <c r="H62" s="501">
        <f>$C62*$E62</f>
        <v>200054.69999999998</v>
      </c>
      <c r="I62" s="501"/>
      <c r="J62" s="501"/>
      <c r="K62" s="501">
        <f>$C62*$E62</f>
        <v>200054.69999999998</v>
      </c>
      <c r="L62" s="501"/>
      <c r="M62" s="502"/>
      <c r="N62" s="503">
        <v>32</v>
      </c>
      <c r="O62" s="504">
        <v>19</v>
      </c>
      <c r="P62" s="505">
        <v>21</v>
      </c>
    </row>
    <row r="63" spans="2:16" x14ac:dyDescent="0.25">
      <c r="B63" s="420" t="s">
        <v>510</v>
      </c>
      <c r="C63" s="354">
        <v>37496.400000000001</v>
      </c>
      <c r="D63" s="269">
        <v>22000</v>
      </c>
      <c r="E63" s="268">
        <v>2</v>
      </c>
      <c r="F63" s="501"/>
      <c r="G63" s="501"/>
      <c r="H63" s="501">
        <f t="shared" si="19"/>
        <v>74992.800000000003</v>
      </c>
      <c r="I63" s="501"/>
      <c r="J63" s="501"/>
      <c r="K63" s="501">
        <f t="shared" si="19"/>
        <v>74992.800000000003</v>
      </c>
      <c r="L63" s="501"/>
      <c r="M63" s="502"/>
      <c r="N63" s="503">
        <v>71</v>
      </c>
      <c r="O63" s="504">
        <v>42</v>
      </c>
      <c r="P63" s="505">
        <v>26</v>
      </c>
    </row>
    <row r="64" spans="2:16" x14ac:dyDescent="0.25">
      <c r="B64" s="420" t="s">
        <v>511</v>
      </c>
      <c r="C64" s="354">
        <v>1627.2</v>
      </c>
      <c r="D64" s="269">
        <v>20000</v>
      </c>
      <c r="E64" s="268">
        <v>4</v>
      </c>
      <c r="F64" s="501"/>
      <c r="G64" s="501"/>
      <c r="H64" s="501">
        <f t="shared" si="19"/>
        <v>6508.8</v>
      </c>
      <c r="I64" s="501"/>
      <c r="J64" s="501"/>
      <c r="K64" s="501">
        <f t="shared" si="19"/>
        <v>6508.8</v>
      </c>
      <c r="L64" s="501"/>
      <c r="M64" s="502"/>
      <c r="N64" s="503">
        <v>45</v>
      </c>
      <c r="O64" s="504">
        <v>29</v>
      </c>
      <c r="P64" s="505">
        <v>18</v>
      </c>
    </row>
    <row r="65" spans="2:16" x14ac:dyDescent="0.25">
      <c r="B65" s="420" t="s">
        <v>512</v>
      </c>
      <c r="C65" s="354">
        <v>380.25</v>
      </c>
      <c r="D65" s="269">
        <v>6000</v>
      </c>
      <c r="E65" s="268">
        <v>8</v>
      </c>
      <c r="F65" s="501"/>
      <c r="G65" s="501"/>
      <c r="H65" s="501">
        <f t="shared" si="19"/>
        <v>3042</v>
      </c>
      <c r="I65" s="501"/>
      <c r="J65" s="501"/>
      <c r="K65" s="501">
        <f t="shared" si="19"/>
        <v>3042</v>
      </c>
      <c r="L65" s="501"/>
      <c r="M65" s="502"/>
      <c r="N65" s="503">
        <v>35</v>
      </c>
      <c r="O65" s="504">
        <v>15</v>
      </c>
      <c r="P65" s="505">
        <v>9</v>
      </c>
    </row>
    <row r="66" spans="2:16" x14ac:dyDescent="0.25">
      <c r="B66" s="420" t="s">
        <v>513</v>
      </c>
      <c r="C66" s="354">
        <v>1392.75</v>
      </c>
      <c r="D66" s="269">
        <v>12000</v>
      </c>
      <c r="E66" s="268">
        <v>4</v>
      </c>
      <c r="F66" s="501"/>
      <c r="G66" s="501">
        <f t="shared" si="19"/>
        <v>5571</v>
      </c>
      <c r="H66" s="501"/>
      <c r="I66" s="501">
        <f t="shared" si="19"/>
        <v>5571</v>
      </c>
      <c r="J66" s="501"/>
      <c r="K66" s="501">
        <f t="shared" si="19"/>
        <v>5571</v>
      </c>
      <c r="L66" s="501"/>
      <c r="M66" s="502">
        <f t="shared" si="19"/>
        <v>5571</v>
      </c>
      <c r="N66" s="503">
        <v>12</v>
      </c>
      <c r="O66" s="504">
        <v>6</v>
      </c>
      <c r="P66" s="505">
        <v>6</v>
      </c>
    </row>
    <row r="67" spans="2:16" x14ac:dyDescent="0.25">
      <c r="B67" s="420" t="s">
        <v>514</v>
      </c>
      <c r="C67" s="354">
        <v>28460.399999999998</v>
      </c>
      <c r="D67" s="269">
        <v>18000</v>
      </c>
      <c r="E67" s="268">
        <v>1</v>
      </c>
      <c r="F67" s="501"/>
      <c r="G67" s="501"/>
      <c r="H67" s="501">
        <f t="shared" si="19"/>
        <v>28460.399999999998</v>
      </c>
      <c r="I67" s="501"/>
      <c r="J67" s="501"/>
      <c r="K67" s="501">
        <f t="shared" si="19"/>
        <v>28460.399999999998</v>
      </c>
      <c r="L67" s="501"/>
      <c r="M67" s="502"/>
      <c r="N67" s="510">
        <v>165</v>
      </c>
      <c r="O67" s="511">
        <v>75</v>
      </c>
      <c r="P67" s="512">
        <v>80</v>
      </c>
    </row>
    <row r="68" spans="2:16" x14ac:dyDescent="0.25">
      <c r="B68" s="420" t="s">
        <v>515</v>
      </c>
      <c r="C68" s="354">
        <v>376.8</v>
      </c>
      <c r="D68" s="269">
        <v>6000</v>
      </c>
      <c r="E68" s="268">
        <v>6</v>
      </c>
      <c r="F68" s="501"/>
      <c r="G68" s="501"/>
      <c r="H68" s="501">
        <f t="shared" si="19"/>
        <v>2260.8000000000002</v>
      </c>
      <c r="I68" s="501"/>
      <c r="J68" s="501"/>
      <c r="K68" s="501">
        <f t="shared" si="19"/>
        <v>2260.8000000000002</v>
      </c>
      <c r="L68" s="501"/>
      <c r="M68" s="502"/>
      <c r="N68" s="513">
        <v>24</v>
      </c>
      <c r="O68" s="514">
        <v>12</v>
      </c>
      <c r="P68" s="515">
        <v>12</v>
      </c>
    </row>
    <row r="69" spans="2:16" x14ac:dyDescent="0.25">
      <c r="B69" s="420" t="s">
        <v>516</v>
      </c>
      <c r="C69" s="354">
        <v>130.19999999999999</v>
      </c>
      <c r="D69" s="269">
        <v>12000</v>
      </c>
      <c r="E69" s="268">
        <v>6</v>
      </c>
      <c r="F69" s="501"/>
      <c r="G69" s="501">
        <f t="shared" si="19"/>
        <v>781.19999999999993</v>
      </c>
      <c r="H69" s="501"/>
      <c r="I69" s="501">
        <f t="shared" si="19"/>
        <v>781.19999999999993</v>
      </c>
      <c r="J69" s="501"/>
      <c r="K69" s="501">
        <f t="shared" si="19"/>
        <v>781.19999999999993</v>
      </c>
      <c r="L69" s="501"/>
      <c r="M69" s="502">
        <f t="shared" si="19"/>
        <v>781.19999999999993</v>
      </c>
      <c r="N69" s="516">
        <v>24</v>
      </c>
      <c r="O69" s="514">
        <v>12</v>
      </c>
      <c r="P69" s="515">
        <v>12</v>
      </c>
    </row>
    <row r="70" spans="2:16" x14ac:dyDescent="0.25">
      <c r="B70" s="364" t="s">
        <v>398</v>
      </c>
      <c r="C70" s="292"/>
      <c r="D70" s="292"/>
      <c r="E70" s="370"/>
      <c r="F70" s="292"/>
      <c r="G70" s="292"/>
      <c r="H70" s="292"/>
      <c r="I70" s="292"/>
      <c r="J70" s="292"/>
      <c r="K70" s="292"/>
      <c r="L70" s="292"/>
      <c r="M70" s="500"/>
      <c r="N70" s="369"/>
      <c r="O70" s="292"/>
      <c r="P70" s="293"/>
    </row>
    <row r="71" spans="2:16" x14ac:dyDescent="0.25">
      <c r="B71" s="420" t="s">
        <v>517</v>
      </c>
      <c r="C71" s="354">
        <v>1049.8499999999999</v>
      </c>
      <c r="D71" s="269">
        <v>22000</v>
      </c>
      <c r="E71" s="268">
        <v>1</v>
      </c>
      <c r="F71" s="501"/>
      <c r="G71" s="501"/>
      <c r="H71" s="501">
        <f t="shared" si="19"/>
        <v>1049.8499999999999</v>
      </c>
      <c r="I71" s="501"/>
      <c r="J71" s="501"/>
      <c r="K71" s="501">
        <f t="shared" si="19"/>
        <v>1049.8499999999999</v>
      </c>
      <c r="L71" s="501"/>
      <c r="M71" s="502"/>
      <c r="N71" s="503">
        <v>9</v>
      </c>
      <c r="O71" s="504">
        <v>4</v>
      </c>
      <c r="P71" s="505">
        <v>3</v>
      </c>
    </row>
    <row r="72" spans="2:16" x14ac:dyDescent="0.25">
      <c r="B72" s="420" t="s">
        <v>518</v>
      </c>
      <c r="C72" s="354">
        <v>6316.95</v>
      </c>
      <c r="D72" s="269">
        <v>20000</v>
      </c>
      <c r="E72" s="268">
        <v>1</v>
      </c>
      <c r="F72" s="501"/>
      <c r="G72" s="501"/>
      <c r="H72" s="501">
        <f t="shared" si="19"/>
        <v>6316.95</v>
      </c>
      <c r="I72" s="501"/>
      <c r="J72" s="501"/>
      <c r="K72" s="501">
        <f t="shared" si="19"/>
        <v>6316.95</v>
      </c>
      <c r="L72" s="501"/>
      <c r="M72" s="502"/>
      <c r="N72" s="503">
        <v>90</v>
      </c>
      <c r="O72" s="504">
        <v>43</v>
      </c>
      <c r="P72" s="505">
        <v>30</v>
      </c>
    </row>
    <row r="73" spans="2:16" ht="14.95" thickBot="1" x14ac:dyDescent="0.3">
      <c r="B73" s="420" t="s">
        <v>519</v>
      </c>
      <c r="C73" s="354">
        <v>0</v>
      </c>
      <c r="D73" s="269">
        <v>0</v>
      </c>
      <c r="E73" s="268">
        <v>0</v>
      </c>
      <c r="F73" s="501"/>
      <c r="G73" s="501"/>
      <c r="H73" s="501"/>
      <c r="I73" s="501"/>
      <c r="J73" s="501"/>
      <c r="K73" s="501"/>
      <c r="L73" s="501"/>
      <c r="M73" s="502"/>
      <c r="N73" s="517"/>
      <c r="O73" s="518"/>
      <c r="P73" s="519"/>
    </row>
  </sheetData>
  <autoFilter ref="B2:M84" xr:uid="{00000000-0009-0000-0000-000002000000}"/>
  <mergeCells count="1">
    <mergeCell ref="N36:P36"/>
  </mergeCells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  <customProperties>
    <customPr name="_pios_id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7B89-1530-4661-ACEC-E1CBEE010958}">
  <sheetPr>
    <tabColor theme="5" tint="0.79998168889431442"/>
  </sheetPr>
  <dimension ref="A2:U34"/>
  <sheetViews>
    <sheetView showGridLines="0" zoomScale="85" zoomScaleNormal="85" zoomScaleSheetLayoutView="100" workbookViewId="0">
      <selection activeCell="U18" sqref="U18"/>
    </sheetView>
  </sheetViews>
  <sheetFormatPr defaultColWidth="9.125" defaultRowHeight="12.9" x14ac:dyDescent="0.25"/>
  <cols>
    <col min="1" max="1" width="6" style="236" customWidth="1"/>
    <col min="2" max="2" width="43.5" style="274" customWidth="1"/>
    <col min="3" max="3" width="17" style="238" customWidth="1"/>
    <col min="4" max="4" width="17.625" style="238" customWidth="1"/>
    <col min="5" max="5" width="8.625" style="239" customWidth="1"/>
    <col min="6" max="16" width="8.375" style="239" customWidth="1"/>
    <col min="17" max="17" width="63.375" style="236" customWidth="1"/>
    <col min="18" max="18" width="14" style="236" bestFit="1" customWidth="1"/>
    <col min="19" max="16384" width="9.125" style="236"/>
  </cols>
  <sheetData>
    <row r="2" spans="1:19" ht="14.3" x14ac:dyDescent="0.25">
      <c r="B2" s="237" t="s">
        <v>259</v>
      </c>
    </row>
    <row r="3" spans="1:19" s="241" customFormat="1" ht="27" customHeight="1" x14ac:dyDescent="0.25">
      <c r="B3" s="242" t="s">
        <v>261</v>
      </c>
      <c r="C3" s="550" t="s">
        <v>161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5" t="s">
        <v>263</v>
      </c>
    </row>
    <row r="4" spans="1:19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247">
        <f>N4+1</f>
        <v>11</v>
      </c>
      <c r="P4" s="247">
        <f>O4+1</f>
        <v>12</v>
      </c>
      <c r="Q4" s="469" t="s">
        <v>547</v>
      </c>
      <c r="R4" s="248"/>
    </row>
    <row r="5" spans="1:19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469"/>
      <c r="R5" s="248"/>
    </row>
    <row r="6" spans="1:19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8">
        <v>8970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469"/>
      <c r="R6" s="248"/>
    </row>
    <row r="7" spans="1:19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8">
        <v>7050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469"/>
      <c r="R7" s="248"/>
    </row>
    <row r="8" spans="1:19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8">
        <v>14900</v>
      </c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469"/>
      <c r="R8" s="248"/>
    </row>
    <row r="9" spans="1:19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>
        <v>220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469" t="s">
        <v>421</v>
      </c>
      <c r="R9" s="248"/>
    </row>
    <row r="10" spans="1:19" ht="27.2" x14ac:dyDescent="0.25">
      <c r="A10" s="236">
        <f t="shared" si="1"/>
        <v>7</v>
      </c>
      <c r="B10" s="246" t="s">
        <v>270</v>
      </c>
      <c r="C10" s="253" t="s">
        <v>271</v>
      </c>
      <c r="D10" s="252">
        <v>147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469" t="s">
        <v>548</v>
      </c>
      <c r="R10" s="254"/>
    </row>
    <row r="11" spans="1:19" ht="18.7" customHeight="1" x14ac:dyDescent="0.25">
      <c r="A11" s="236">
        <f>A10+1</f>
        <v>8</v>
      </c>
      <c r="B11" s="246" t="s">
        <v>12</v>
      </c>
      <c r="C11" s="253" t="s">
        <v>13</v>
      </c>
      <c r="D11" s="258" t="s">
        <v>549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469"/>
      <c r="R11" s="254"/>
      <c r="S11" s="587">
        <v>2843</v>
      </c>
    </row>
    <row r="12" spans="1:19" ht="19.55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0.93570839675291717</v>
      </c>
      <c r="F12" s="255">
        <f>(8760-F13-F14-F15)/8760</f>
        <v>0.90263508371385082</v>
      </c>
      <c r="G12" s="255">
        <f>(8760-G13-G14-G15)/8760</f>
        <v>0.86578830542871643</v>
      </c>
      <c r="H12" s="255">
        <f t="shared" ref="H12:P12" si="2">(8760-H13-H14-H15)/8760</f>
        <v>0.90352295788939629</v>
      </c>
      <c r="I12" s="255">
        <f t="shared" si="2"/>
        <v>0.85025050735667174</v>
      </c>
      <c r="J12" s="255">
        <f t="shared" si="2"/>
        <v>0.90352295788939629</v>
      </c>
      <c r="K12" s="255">
        <f t="shared" si="2"/>
        <v>0.86578830542871643</v>
      </c>
      <c r="L12" s="255">
        <f t="shared" si="2"/>
        <v>0.90352295788939629</v>
      </c>
      <c r="M12" s="255">
        <f t="shared" si="2"/>
        <v>0.85025050735667174</v>
      </c>
      <c r="N12" s="255">
        <f t="shared" si="2"/>
        <v>0.88465563165905625</v>
      </c>
      <c r="O12" s="255">
        <f t="shared" si="2"/>
        <v>0.8635686199898529</v>
      </c>
      <c r="P12" s="255">
        <f t="shared" si="2"/>
        <v>0.8713375190258752</v>
      </c>
      <c r="Q12" s="424"/>
    </row>
    <row r="13" spans="1:19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'SANY ТО'!G7</f>
        <v>187</v>
      </c>
      <c r="F13" s="257">
        <f>'SANY ТО'!H7</f>
        <v>187</v>
      </c>
      <c r="G13" s="257">
        <f>'SANY ТО'!I7</f>
        <v>187</v>
      </c>
      <c r="H13" s="257">
        <f>'SANY ТО'!J7</f>
        <v>187</v>
      </c>
      <c r="I13" s="257">
        <f>'SANY ТО'!K7</f>
        <v>187</v>
      </c>
      <c r="J13" s="257">
        <f>'SANY ТО'!L7</f>
        <v>187</v>
      </c>
      <c r="K13" s="257">
        <f>'SANY ТО'!M7</f>
        <v>187</v>
      </c>
      <c r="L13" s="257">
        <f>'SANY ТО'!N7</f>
        <v>187</v>
      </c>
      <c r="M13" s="257">
        <f>'SANY ТО'!O7</f>
        <v>187</v>
      </c>
      <c r="N13" s="257">
        <f>'SANY ТО'!P7</f>
        <v>187</v>
      </c>
      <c r="O13" s="257">
        <f>'SANY ТО'!Q7</f>
        <v>187</v>
      </c>
      <c r="P13" s="257">
        <f>'SANY ТО'!R7</f>
        <v>187</v>
      </c>
      <c r="Q13" s="424"/>
    </row>
    <row r="14" spans="1:19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'SANY Рем'!F8</f>
        <v>142</v>
      </c>
      <c r="F14" s="257">
        <f>'SANY Рем'!G8</f>
        <v>440</v>
      </c>
      <c r="G14" s="257">
        <f>'SANY Рем'!H8</f>
        <v>772</v>
      </c>
      <c r="H14" s="257">
        <f>'SANY Рем'!I8</f>
        <v>432</v>
      </c>
      <c r="I14" s="257">
        <f>'SANY Рем'!J8</f>
        <v>912</v>
      </c>
      <c r="J14" s="257">
        <f>'SANY Рем'!K8</f>
        <v>432</v>
      </c>
      <c r="K14" s="257">
        <f>'SANY Рем'!L8</f>
        <v>772</v>
      </c>
      <c r="L14" s="257">
        <f>'SANY Рем'!M8</f>
        <v>432</v>
      </c>
      <c r="M14" s="257">
        <f>'SANY Рем'!N8</f>
        <v>912</v>
      </c>
      <c r="N14" s="257">
        <f>'SANY Рем'!O8</f>
        <v>602</v>
      </c>
      <c r="O14" s="257">
        <f>'SANY Рем'!P8</f>
        <v>792</v>
      </c>
      <c r="P14" s="257">
        <f>'SANY Рем'!Q8</f>
        <v>722</v>
      </c>
      <c r="Q14" s="424"/>
    </row>
    <row r="15" spans="1:19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234.19444444444446</v>
      </c>
      <c r="F15" s="257">
        <f t="shared" ref="F15:P15" si="4">(8760-F13-F14)/12*20/60</f>
        <v>225.91666666666666</v>
      </c>
      <c r="G15" s="257">
        <f t="shared" si="4"/>
        <v>216.69444444444446</v>
      </c>
      <c r="H15" s="257">
        <f t="shared" si="4"/>
        <v>226.13888888888886</v>
      </c>
      <c r="I15" s="257">
        <f t="shared" si="4"/>
        <v>212.80555555555554</v>
      </c>
      <c r="J15" s="257">
        <f t="shared" si="4"/>
        <v>226.13888888888886</v>
      </c>
      <c r="K15" s="257">
        <f t="shared" si="4"/>
        <v>216.69444444444446</v>
      </c>
      <c r="L15" s="257">
        <f t="shared" si="4"/>
        <v>226.13888888888886</v>
      </c>
      <c r="M15" s="257">
        <f t="shared" si="4"/>
        <v>212.80555555555554</v>
      </c>
      <c r="N15" s="257">
        <f t="shared" si="4"/>
        <v>221.41666666666666</v>
      </c>
      <c r="O15" s="257">
        <f t="shared" si="4"/>
        <v>216.13888888888886</v>
      </c>
      <c r="P15" s="257">
        <f t="shared" si="4"/>
        <v>218.08333333333334</v>
      </c>
      <c r="Q15" s="424"/>
    </row>
    <row r="16" spans="1:19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>
        <v>23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424"/>
    </row>
    <row r="17" spans="1:21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>
        <v>22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424"/>
      <c r="S17" s="531" t="s">
        <v>523</v>
      </c>
      <c r="T17" s="531" t="s">
        <v>524</v>
      </c>
    </row>
    <row r="18" spans="1:21" ht="30.75" customHeight="1" x14ac:dyDescent="0.25">
      <c r="A18" s="236">
        <f t="shared" si="3"/>
        <v>15</v>
      </c>
      <c r="B18" s="246" t="s">
        <v>423</v>
      </c>
      <c r="C18" s="260" t="s">
        <v>280</v>
      </c>
      <c r="D18" s="260"/>
      <c r="E18" s="261">
        <f>SUM(E19:E23)</f>
        <v>135.34770774674286</v>
      </c>
      <c r="F18" s="261">
        <f t="shared" ref="F18:P18" si="5">SUM(F19:F23)</f>
        <v>211.26697940950632</v>
      </c>
      <c r="G18" s="261">
        <f t="shared" si="5"/>
        <v>597.96064217297226</v>
      </c>
      <c r="H18" s="261">
        <f t="shared" si="5"/>
        <v>305.14197940950635</v>
      </c>
      <c r="I18" s="261">
        <f t="shared" si="5"/>
        <v>973.93700774674278</v>
      </c>
      <c r="J18" s="261">
        <f t="shared" si="5"/>
        <v>741.25919955002144</v>
      </c>
      <c r="K18" s="261">
        <f t="shared" si="5"/>
        <v>267.37570774674282</v>
      </c>
      <c r="L18" s="261">
        <f t="shared" si="5"/>
        <v>268.93297940950634</v>
      </c>
      <c r="M18" s="261">
        <f t="shared" si="5"/>
        <v>1349.3409421729723</v>
      </c>
      <c r="N18" s="261">
        <f t="shared" si="5"/>
        <v>196.00097940950633</v>
      </c>
      <c r="O18" s="261">
        <f t="shared" si="5"/>
        <v>258.79770774674284</v>
      </c>
      <c r="P18" s="261">
        <f t="shared" si="5"/>
        <v>282.98870774674282</v>
      </c>
      <c r="Q18" s="424"/>
      <c r="S18" s="528">
        <f>SUM(E18:P18)</f>
        <v>5588.3505402677065</v>
      </c>
      <c r="T18" s="528">
        <f>S18/$P$4</f>
        <v>465.69587835564221</v>
      </c>
      <c r="U18" s="1050">
        <f>T18*'ФОТ, МТР, макро'!$AJ$7</f>
        <v>43797.99881553062</v>
      </c>
    </row>
    <row r="19" spans="1:21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'SANY ТО'!G9/1000</f>
        <v>93.68070774674284</v>
      </c>
      <c r="F19" s="263">
        <f>'SANY ТО'!H9/1000</f>
        <v>93.68070774674284</v>
      </c>
      <c r="G19" s="263">
        <f>'SANY ТО'!I9/1000</f>
        <v>93.68070774674284</v>
      </c>
      <c r="H19" s="263">
        <f>'SANY ТО'!J9/1000</f>
        <v>93.68070774674284</v>
      </c>
      <c r="I19" s="263">
        <f>'SANY ТО'!K9/1000</f>
        <v>93.68070774674284</v>
      </c>
      <c r="J19" s="263">
        <f>'SANY ТО'!L9/1000</f>
        <v>93.68070774674284</v>
      </c>
      <c r="K19" s="263">
        <f>'SANY ТО'!M9/1000</f>
        <v>93.68070774674284</v>
      </c>
      <c r="L19" s="263">
        <f>'SANY ТО'!N9/1000</f>
        <v>93.68070774674284</v>
      </c>
      <c r="M19" s="263">
        <f>'SANY ТО'!O9/1000</f>
        <v>93.68070774674284</v>
      </c>
      <c r="N19" s="263">
        <f>'SANY ТО'!P9/1000</f>
        <v>93.68070774674284</v>
      </c>
      <c r="O19" s="263">
        <f>'SANY ТО'!Q9/1000</f>
        <v>93.68070774674284</v>
      </c>
      <c r="P19" s="263">
        <f>'SANY ТО'!R9/1000</f>
        <v>93.68070774674284</v>
      </c>
      <c r="Q19" s="424"/>
      <c r="S19" s="529">
        <f t="shared" ref="S19:S23" si="6">SUM(E19:P19)</f>
        <v>1124.1684929609144</v>
      </c>
      <c r="T19" s="529">
        <f t="shared" ref="T19:T23" si="7">S19/$P$4</f>
        <v>93.680707746742868</v>
      </c>
    </row>
    <row r="20" spans="1:21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'SANY Рем'!F10/1000</f>
        <v>17.931000000000001</v>
      </c>
      <c r="F20" s="263">
        <f>'SANY Рем'!G10/1000</f>
        <v>17.931000000000001</v>
      </c>
      <c r="G20" s="263">
        <f>'SANY Рем'!H10/1000</f>
        <v>17.931000000000001</v>
      </c>
      <c r="H20" s="263">
        <f>'SANY Рем'!I10/1000</f>
        <v>17.931000000000001</v>
      </c>
      <c r="I20" s="263">
        <f>'SANY Рем'!J10/1000</f>
        <v>17.931000000000001</v>
      </c>
      <c r="J20" s="263">
        <f>'SANY Рем'!K10/1000</f>
        <v>17.931000000000001</v>
      </c>
      <c r="K20" s="263">
        <f>'SANY Рем'!L10/1000</f>
        <v>17.931000000000001</v>
      </c>
      <c r="L20" s="263">
        <f>'SANY Рем'!M10/1000</f>
        <v>17.931000000000001</v>
      </c>
      <c r="M20" s="263">
        <f>'SANY Рем'!N10/1000</f>
        <v>17.931000000000001</v>
      </c>
      <c r="N20" s="263">
        <f>'SANY Рем'!O10/1000</f>
        <v>17.931000000000001</v>
      </c>
      <c r="O20" s="263">
        <f>'SANY Рем'!P10/1000</f>
        <v>17.931000000000001</v>
      </c>
      <c r="P20" s="263">
        <f>'SANY Рем'!Q10/1000</f>
        <v>17.931000000000001</v>
      </c>
      <c r="Q20" s="424"/>
      <c r="S20" s="529">
        <f t="shared" si="6"/>
        <v>215.17200000000005</v>
      </c>
      <c r="T20" s="529">
        <f t="shared" si="7"/>
        <v>17.931000000000004</v>
      </c>
    </row>
    <row r="21" spans="1:21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'SANY Рем'!F11/1000</f>
        <v>0</v>
      </c>
      <c r="F21" s="263">
        <f>'SANY Рем'!G11/1000</f>
        <v>62.211271662763465</v>
      </c>
      <c r="G21" s="263">
        <f>'SANY Рем'!H11/1000</f>
        <v>433.6329344262295</v>
      </c>
      <c r="H21" s="263">
        <f>'SANY Рем'!I11/1000</f>
        <v>156.45427166276346</v>
      </c>
      <c r="I21" s="263">
        <f>'SANY Рем'!J11/1000</f>
        <v>803.16930000000002</v>
      </c>
      <c r="J21" s="263">
        <f>'SANY Рем'!K11/1000</f>
        <v>592.57149180327872</v>
      </c>
      <c r="K21" s="263">
        <f>'SANY Рем'!L11/1000</f>
        <v>103.048</v>
      </c>
      <c r="L21" s="263">
        <f>'SANY Рем'!M11/1000</f>
        <v>120.24527166276347</v>
      </c>
      <c r="M21" s="263">
        <f>'SANY Рем'!N11/1000</f>
        <v>1178.5732344262294</v>
      </c>
      <c r="N21" s="263">
        <f>'SANY Рем'!O11/1000</f>
        <v>39.493271662763462</v>
      </c>
      <c r="O21" s="263">
        <f>'SANY Рем'!P11/1000</f>
        <v>93.55</v>
      </c>
      <c r="P21" s="263">
        <f>'SANY Рем'!Q11/1000</f>
        <v>120.961</v>
      </c>
      <c r="Q21" s="424"/>
      <c r="S21" s="529">
        <f t="shared" si="6"/>
        <v>3703.9100473067915</v>
      </c>
      <c r="T21" s="529">
        <f t="shared" si="7"/>
        <v>308.65917060889927</v>
      </c>
    </row>
    <row r="22" spans="1:21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'SANY ТО'!G10/1000</f>
        <v>17.204000000000001</v>
      </c>
      <c r="F22" s="263">
        <f>'SANY ТО'!H10/1000</f>
        <v>17.204000000000001</v>
      </c>
      <c r="G22" s="263">
        <f>'SANY ТО'!I10/1000</f>
        <v>17.204000000000001</v>
      </c>
      <c r="H22" s="263">
        <f>'SANY ТО'!J10/1000</f>
        <v>17.204000000000001</v>
      </c>
      <c r="I22" s="263">
        <f>'SANY ТО'!K10/1000</f>
        <v>17.204000000000001</v>
      </c>
      <c r="J22" s="263">
        <f>'SANY ТО'!L10/1000</f>
        <v>17.204000000000001</v>
      </c>
      <c r="K22" s="263">
        <f>'SANY ТО'!M10/1000</f>
        <v>17.204000000000001</v>
      </c>
      <c r="L22" s="263">
        <f>'SANY ТО'!N10/1000</f>
        <v>17.204000000000001</v>
      </c>
      <c r="M22" s="263">
        <f>'SANY ТО'!O10/1000</f>
        <v>17.204000000000001</v>
      </c>
      <c r="N22" s="263">
        <f>'SANY ТО'!P10/1000</f>
        <v>17.204000000000001</v>
      </c>
      <c r="O22" s="263">
        <f>'SANY ТО'!Q10/1000</f>
        <v>17.204000000000001</v>
      </c>
      <c r="P22" s="263">
        <f>'SANY ТО'!R10/1000</f>
        <v>17.204000000000001</v>
      </c>
      <c r="Q22" s="424"/>
      <c r="S22" s="529">
        <f t="shared" si="6"/>
        <v>206.44800000000006</v>
      </c>
      <c r="T22" s="529">
        <f t="shared" si="7"/>
        <v>17.204000000000004</v>
      </c>
    </row>
    <row r="23" spans="1:21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'SANY Рем'!F12/1000</f>
        <v>6.532</v>
      </c>
      <c r="F23" s="263">
        <f>'SANY Рем'!G12/1000</f>
        <v>20.239999999999998</v>
      </c>
      <c r="G23" s="263">
        <f>'SANY Рем'!H12/1000</f>
        <v>35.512</v>
      </c>
      <c r="H23" s="263">
        <f>'SANY Рем'!I12/1000</f>
        <v>19.872</v>
      </c>
      <c r="I23" s="263">
        <f>'SANY Рем'!J12/1000</f>
        <v>41.951999999999998</v>
      </c>
      <c r="J23" s="263">
        <f>'SANY Рем'!K12/1000</f>
        <v>19.872</v>
      </c>
      <c r="K23" s="263">
        <f>'SANY Рем'!L12/1000</f>
        <v>35.512</v>
      </c>
      <c r="L23" s="263">
        <f>'SANY Рем'!M12/1000</f>
        <v>19.872</v>
      </c>
      <c r="M23" s="263">
        <f>'SANY Рем'!N12/1000</f>
        <v>41.951999999999998</v>
      </c>
      <c r="N23" s="263">
        <f>'SANY Рем'!O12/1000</f>
        <v>27.692</v>
      </c>
      <c r="O23" s="263">
        <f>'SANY Рем'!P12/1000</f>
        <v>36.432000000000002</v>
      </c>
      <c r="P23" s="263">
        <f>'SANY Рем'!Q12/1000</f>
        <v>33.212000000000003</v>
      </c>
      <c r="Q23" s="424" t="s">
        <v>424</v>
      </c>
      <c r="S23" s="529">
        <f t="shared" si="6"/>
        <v>338.65200000000004</v>
      </c>
      <c r="T23" s="529">
        <f t="shared" si="7"/>
        <v>28.221000000000004</v>
      </c>
    </row>
    <row r="24" spans="1:21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469"/>
    </row>
    <row r="25" spans="1:21" ht="14.95" customHeight="1" x14ac:dyDescent="0.25">
      <c r="A25" s="236">
        <f t="shared" si="3"/>
        <v>22</v>
      </c>
      <c r="B25" s="266" t="s">
        <v>287</v>
      </c>
      <c r="C25" s="260"/>
      <c r="D25" s="268" t="s">
        <v>550</v>
      </c>
      <c r="E25" s="267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469" t="s">
        <v>426</v>
      </c>
    </row>
    <row r="26" spans="1:21" ht="14.3" x14ac:dyDescent="0.25">
      <c r="A26" s="236">
        <f t="shared" si="3"/>
        <v>23</v>
      </c>
      <c r="B26" s="266" t="s">
        <v>290</v>
      </c>
      <c r="C26" s="260"/>
      <c r="D26" s="269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469" t="s">
        <v>426</v>
      </c>
    </row>
    <row r="27" spans="1:21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469" t="s">
        <v>426</v>
      </c>
    </row>
    <row r="28" spans="1:21" x14ac:dyDescent="0.25">
      <c r="A28" s="236">
        <f t="shared" si="3"/>
        <v>25</v>
      </c>
      <c r="B28" s="266" t="s">
        <v>293</v>
      </c>
      <c r="C28" s="260" t="s">
        <v>145</v>
      </c>
      <c r="D28" s="271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469"/>
    </row>
    <row r="29" spans="1:21" x14ac:dyDescent="0.25">
      <c r="A29" s="236">
        <f t="shared" si="3"/>
        <v>26</v>
      </c>
      <c r="B29" s="266" t="s">
        <v>294</v>
      </c>
      <c r="C29" s="260" t="s">
        <v>145</v>
      </c>
      <c r="D29" s="271">
        <v>198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469"/>
    </row>
    <row r="30" spans="1:21" x14ac:dyDescent="0.25">
      <c r="A30" s="236">
        <f t="shared" si="3"/>
        <v>27</v>
      </c>
      <c r="B30" s="266" t="s">
        <v>295</v>
      </c>
      <c r="C30" s="260" t="s">
        <v>145</v>
      </c>
      <c r="D30" s="271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9"/>
    </row>
    <row r="31" spans="1:21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>
        <v>5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473"/>
    </row>
    <row r="34" spans="5:17" ht="13.6" x14ac:dyDescent="0.25">
      <c r="E34" s="527">
        <f>E18/(365*24*E12)*1000</f>
        <v>16.512250635859985</v>
      </c>
      <c r="F34" s="527">
        <f t="shared" ref="F34:P34" si="8">F18/(365*24*F12)*1000</f>
        <v>26.718698982073835</v>
      </c>
      <c r="G34" s="527">
        <f t="shared" si="8"/>
        <v>78.841844885186887</v>
      </c>
      <c r="H34" s="527">
        <f t="shared" si="8"/>
        <v>38.553042829916393</v>
      </c>
      <c r="I34" s="527">
        <f t="shared" si="8"/>
        <v>130.76149058825868</v>
      </c>
      <c r="J34" s="527">
        <f t="shared" si="8"/>
        <v>93.654100702970041</v>
      </c>
      <c r="K34" s="527">
        <f t="shared" si="8"/>
        <v>35.253815367563654</v>
      </c>
      <c r="L34" s="527">
        <f t="shared" si="8"/>
        <v>33.978231030734129</v>
      </c>
      <c r="M34" s="527">
        <f t="shared" si="8"/>
        <v>181.16349569517968</v>
      </c>
      <c r="N34" s="527">
        <f t="shared" si="8"/>
        <v>25.291808730728274</v>
      </c>
      <c r="O34" s="527">
        <f t="shared" si="8"/>
        <v>34.210503530147584</v>
      </c>
      <c r="P34" s="527">
        <f t="shared" si="8"/>
        <v>37.074780205916412</v>
      </c>
      <c r="Q34" s="532">
        <f>SUMPRODUCT(E34:P34,E12:P12)/SUM(E12:P12)</f>
        <v>60.179844824434838</v>
      </c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  <customProperties>
    <customPr name="_pios_id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A2E0-FC3F-4E51-8B33-48868A872875}">
  <sheetPr>
    <tabColor theme="5" tint="0.79998168889431442"/>
  </sheetPr>
  <dimension ref="B2:T97"/>
  <sheetViews>
    <sheetView showGridLines="0" zoomScale="85" zoomScaleNormal="85" workbookViewId="0">
      <pane xSplit="5" ySplit="4" topLeftCell="F5" activePane="bottomRight" state="frozen"/>
      <selection activeCell="N49" sqref="N49"/>
      <selection pane="topRight" activeCell="N49" sqref="N49"/>
      <selection pane="bottomLeft" activeCell="N49" sqref="N49"/>
      <selection pane="bottomRight" activeCell="G10" sqref="G10"/>
    </sheetView>
  </sheetViews>
  <sheetFormatPr defaultColWidth="8.75" defaultRowHeight="14.3" x14ac:dyDescent="0.25"/>
  <cols>
    <col min="1" max="1" width="5.5" style="275" customWidth="1"/>
    <col min="2" max="2" width="34.625" style="275" customWidth="1"/>
    <col min="3" max="3" width="20.75" style="275" customWidth="1"/>
    <col min="4" max="4" width="14.625" style="275" customWidth="1"/>
    <col min="5" max="5" width="14" style="275" customWidth="1"/>
    <col min="6" max="6" width="9.375" style="275" bestFit="1" customWidth="1"/>
    <col min="7" max="18" width="10" style="275" customWidth="1"/>
    <col min="19" max="19" width="5.5" style="275" customWidth="1"/>
    <col min="20" max="16384" width="8.75" style="275"/>
  </cols>
  <sheetData>
    <row r="2" spans="2:20" x14ac:dyDescent="0.25">
      <c r="B2" s="237" t="s">
        <v>259</v>
      </c>
    </row>
    <row r="3" spans="2:20" ht="14.95" thickBot="1" x14ac:dyDescent="0.3">
      <c r="B3" s="275" t="s">
        <v>298</v>
      </c>
      <c r="G3" s="277">
        <f>SANY!E12</f>
        <v>0.93570839675291717</v>
      </c>
      <c r="H3" s="277">
        <f>SANY!F12</f>
        <v>0.90263508371385082</v>
      </c>
      <c r="I3" s="277">
        <f>SANY!G12</f>
        <v>0.86578830542871643</v>
      </c>
      <c r="J3" s="277">
        <f>SANY!H12</f>
        <v>0.90352295788939629</v>
      </c>
      <c r="K3" s="277">
        <f>SANY!I12</f>
        <v>0.85025050735667174</v>
      </c>
      <c r="L3" s="277">
        <f>SANY!J12</f>
        <v>0.90352295788939629</v>
      </c>
      <c r="M3" s="277">
        <f>SANY!K12</f>
        <v>0.86578830542871643</v>
      </c>
      <c r="N3" s="277">
        <f>SANY!L12</f>
        <v>0.90352295788939629</v>
      </c>
      <c r="O3" s="277">
        <f>SANY!M12</f>
        <v>0.85025050735667174</v>
      </c>
      <c r="P3" s="277">
        <f>SANY!N12</f>
        <v>0.88465563165905625</v>
      </c>
      <c r="Q3" s="277">
        <f>SANY!O12</f>
        <v>0.8635686199898529</v>
      </c>
      <c r="R3" s="277">
        <f>SANY!P12</f>
        <v>0.8713375190258752</v>
      </c>
    </row>
    <row r="4" spans="2:20" ht="22.25" customHeight="1" thickBot="1" x14ac:dyDescent="0.3">
      <c r="B4" s="278" t="s">
        <v>299</v>
      </c>
      <c r="C4" s="279" t="s">
        <v>8</v>
      </c>
      <c r="D4" s="280"/>
      <c r="E4" s="281"/>
      <c r="F4" s="282"/>
      <c r="G4" s="283">
        <f>E4+1</f>
        <v>1</v>
      </c>
      <c r="H4" s="283">
        <f>G4+1</f>
        <v>2</v>
      </c>
      <c r="I4" s="283">
        <f t="shared" ref="I4:P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  <c r="O4" s="283">
        <f t="shared" si="0"/>
        <v>9</v>
      </c>
      <c r="P4" s="283">
        <f t="shared" si="0"/>
        <v>10</v>
      </c>
      <c r="Q4" s="283">
        <f>P4+1</f>
        <v>11</v>
      </c>
      <c r="R4" s="283">
        <f>Q4+1</f>
        <v>12</v>
      </c>
    </row>
    <row r="5" spans="2:20" x14ac:dyDescent="0.25">
      <c r="B5" s="284" t="s">
        <v>300</v>
      </c>
      <c r="C5" s="285" t="s">
        <v>301</v>
      </c>
      <c r="D5" s="286"/>
      <c r="E5" s="287"/>
      <c r="F5" s="288"/>
      <c r="G5" s="475">
        <v>0</v>
      </c>
      <c r="H5" s="475">
        <f>G6+1</f>
        <v>7001</v>
      </c>
      <c r="I5" s="475">
        <f t="shared" ref="I5:R5" si="1">H6+1</f>
        <v>14001</v>
      </c>
      <c r="J5" s="475">
        <f t="shared" si="1"/>
        <v>21001</v>
      </c>
      <c r="K5" s="475">
        <f t="shared" si="1"/>
        <v>28001</v>
      </c>
      <c r="L5" s="475">
        <f t="shared" si="1"/>
        <v>35001</v>
      </c>
      <c r="M5" s="475">
        <f t="shared" si="1"/>
        <v>42001</v>
      </c>
      <c r="N5" s="475">
        <f t="shared" si="1"/>
        <v>49001</v>
      </c>
      <c r="O5" s="475">
        <f t="shared" si="1"/>
        <v>56001</v>
      </c>
      <c r="P5" s="475">
        <f t="shared" si="1"/>
        <v>63001</v>
      </c>
      <c r="Q5" s="475">
        <f t="shared" si="1"/>
        <v>70001</v>
      </c>
      <c r="R5" s="475">
        <f t="shared" si="1"/>
        <v>77001</v>
      </c>
    </row>
    <row r="6" spans="2:20" x14ac:dyDescent="0.25">
      <c r="B6" s="290" t="s">
        <v>302</v>
      </c>
      <c r="C6" s="291" t="s">
        <v>301</v>
      </c>
      <c r="D6" s="292"/>
      <c r="E6" s="293"/>
      <c r="F6" s="294">
        <v>7000</v>
      </c>
      <c r="G6" s="476">
        <f>F6</f>
        <v>7000</v>
      </c>
      <c r="H6" s="476">
        <f t="shared" ref="H6:R6" si="2">G6+$F6</f>
        <v>14000</v>
      </c>
      <c r="I6" s="476">
        <f t="shared" si="2"/>
        <v>21000</v>
      </c>
      <c r="J6" s="476">
        <f t="shared" si="2"/>
        <v>28000</v>
      </c>
      <c r="K6" s="476">
        <f t="shared" si="2"/>
        <v>35000</v>
      </c>
      <c r="L6" s="476">
        <f t="shared" si="2"/>
        <v>42000</v>
      </c>
      <c r="M6" s="476">
        <f t="shared" si="2"/>
        <v>49000</v>
      </c>
      <c r="N6" s="476">
        <f t="shared" si="2"/>
        <v>56000</v>
      </c>
      <c r="O6" s="476">
        <f t="shared" si="2"/>
        <v>63000</v>
      </c>
      <c r="P6" s="476">
        <f t="shared" si="2"/>
        <v>70000</v>
      </c>
      <c r="Q6" s="476">
        <f t="shared" si="2"/>
        <v>77000</v>
      </c>
      <c r="R6" s="476">
        <f t="shared" si="2"/>
        <v>84000</v>
      </c>
    </row>
    <row r="7" spans="2:20" ht="21.75" customHeight="1" x14ac:dyDescent="0.25">
      <c r="B7" s="296" t="s">
        <v>303</v>
      </c>
      <c r="C7" s="297" t="s">
        <v>304</v>
      </c>
      <c r="D7" s="253"/>
      <c r="E7" s="298"/>
      <c r="F7" s="299"/>
      <c r="G7" s="257">
        <f>G13</f>
        <v>187</v>
      </c>
      <c r="H7" s="257">
        <f t="shared" ref="H7:R7" si="3">H13</f>
        <v>187</v>
      </c>
      <c r="I7" s="257">
        <f t="shared" si="3"/>
        <v>187</v>
      </c>
      <c r="J7" s="257">
        <f t="shared" si="3"/>
        <v>187</v>
      </c>
      <c r="K7" s="257">
        <f t="shared" si="3"/>
        <v>187</v>
      </c>
      <c r="L7" s="257">
        <f t="shared" si="3"/>
        <v>187</v>
      </c>
      <c r="M7" s="257">
        <f t="shared" si="3"/>
        <v>187</v>
      </c>
      <c r="N7" s="257">
        <f t="shared" si="3"/>
        <v>187</v>
      </c>
      <c r="O7" s="257">
        <f t="shared" si="3"/>
        <v>187</v>
      </c>
      <c r="P7" s="257">
        <f t="shared" si="3"/>
        <v>187</v>
      </c>
      <c r="Q7" s="257">
        <f t="shared" si="3"/>
        <v>187</v>
      </c>
      <c r="R7" s="257">
        <f t="shared" si="3"/>
        <v>187</v>
      </c>
    </row>
    <row r="8" spans="2:20" ht="21.1" customHeight="1" x14ac:dyDescent="0.25">
      <c r="B8" s="300" t="s">
        <v>305</v>
      </c>
      <c r="C8" s="301" t="s">
        <v>306</v>
      </c>
      <c r="D8" s="260"/>
      <c r="E8" s="298"/>
      <c r="F8" s="299"/>
      <c r="G8" s="302">
        <f t="shared" ref="G8:R8" si="4">SUM(G9:G10)</f>
        <v>110884.70774674285</v>
      </c>
      <c r="H8" s="302">
        <f t="shared" si="4"/>
        <v>110884.70774674285</v>
      </c>
      <c r="I8" s="302">
        <f t="shared" si="4"/>
        <v>110884.70774674285</v>
      </c>
      <c r="J8" s="302">
        <f t="shared" si="4"/>
        <v>110884.70774674285</v>
      </c>
      <c r="K8" s="302">
        <f t="shared" si="4"/>
        <v>110884.70774674285</v>
      </c>
      <c r="L8" s="302">
        <f t="shared" si="4"/>
        <v>110884.70774674285</v>
      </c>
      <c r="M8" s="302">
        <f t="shared" si="4"/>
        <v>110884.70774674285</v>
      </c>
      <c r="N8" s="302">
        <f t="shared" si="4"/>
        <v>110884.70774674285</v>
      </c>
      <c r="O8" s="302">
        <f t="shared" si="4"/>
        <v>110884.70774674285</v>
      </c>
      <c r="P8" s="302">
        <f t="shared" si="4"/>
        <v>110884.70774674285</v>
      </c>
      <c r="Q8" s="302">
        <f t="shared" si="4"/>
        <v>110884.70774674285</v>
      </c>
      <c r="R8" s="302">
        <f t="shared" si="4"/>
        <v>110884.70774674285</v>
      </c>
    </row>
    <row r="9" spans="2:20" ht="20.25" customHeight="1" x14ac:dyDescent="0.25">
      <c r="B9" s="304" t="s">
        <v>307</v>
      </c>
      <c r="C9" s="305" t="s">
        <v>306</v>
      </c>
      <c r="D9" s="306"/>
      <c r="E9" s="307"/>
      <c r="F9" s="308"/>
      <c r="G9" s="263">
        <f>G22</f>
        <v>93680.707746742846</v>
      </c>
      <c r="H9" s="263">
        <f>H22</f>
        <v>93680.707746742846</v>
      </c>
      <c r="I9" s="263">
        <f t="shared" ref="I9:R9" si="5">I22</f>
        <v>93680.707746742846</v>
      </c>
      <c r="J9" s="263">
        <f t="shared" si="5"/>
        <v>93680.707746742846</v>
      </c>
      <c r="K9" s="263">
        <f t="shared" si="5"/>
        <v>93680.707746742846</v>
      </c>
      <c r="L9" s="263">
        <f t="shared" si="5"/>
        <v>93680.707746742846</v>
      </c>
      <c r="M9" s="263">
        <f t="shared" si="5"/>
        <v>93680.707746742846</v>
      </c>
      <c r="N9" s="263">
        <f t="shared" si="5"/>
        <v>93680.707746742846</v>
      </c>
      <c r="O9" s="263">
        <f t="shared" si="5"/>
        <v>93680.707746742846</v>
      </c>
      <c r="P9" s="263">
        <f t="shared" si="5"/>
        <v>93680.707746742846</v>
      </c>
      <c r="Q9" s="263">
        <f t="shared" si="5"/>
        <v>93680.707746742846</v>
      </c>
      <c r="R9" s="263">
        <f t="shared" si="5"/>
        <v>93680.707746742846</v>
      </c>
    </row>
    <row r="10" spans="2:20" ht="23.3" customHeight="1" thickBot="1" x14ac:dyDescent="0.3">
      <c r="B10" s="309" t="s">
        <v>308</v>
      </c>
      <c r="C10" s="310" t="s">
        <v>306</v>
      </c>
      <c r="D10" s="311"/>
      <c r="E10" s="312"/>
      <c r="F10" s="313">
        <v>46</v>
      </c>
      <c r="G10" s="314">
        <f>SUMPRODUCT(G14:G19,$F$14:$F$19)*$F10</f>
        <v>17204</v>
      </c>
      <c r="H10" s="314">
        <f>SUMPRODUCT(H14:H19,$F$14:$F$19)*$F10</f>
        <v>17204</v>
      </c>
      <c r="I10" s="314">
        <f t="shared" ref="I10:R10" si="6">SUMPRODUCT(I14:I19,$F$14:$F$19)*$F10</f>
        <v>17204</v>
      </c>
      <c r="J10" s="314">
        <f t="shared" si="6"/>
        <v>17204</v>
      </c>
      <c r="K10" s="314">
        <f t="shared" si="6"/>
        <v>17204</v>
      </c>
      <c r="L10" s="314">
        <f t="shared" si="6"/>
        <v>17204</v>
      </c>
      <c r="M10" s="314">
        <f t="shared" si="6"/>
        <v>17204</v>
      </c>
      <c r="N10" s="314">
        <f t="shared" si="6"/>
        <v>17204</v>
      </c>
      <c r="O10" s="314">
        <f t="shared" si="6"/>
        <v>17204</v>
      </c>
      <c r="P10" s="314">
        <f t="shared" si="6"/>
        <v>17204</v>
      </c>
      <c r="Q10" s="314">
        <f t="shared" si="6"/>
        <v>17204</v>
      </c>
      <c r="R10" s="314">
        <f t="shared" si="6"/>
        <v>17204</v>
      </c>
    </row>
    <row r="11" spans="2:20" ht="14.95" thickBot="1" x14ac:dyDescent="0.3">
      <c r="B11" s="1069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  <c r="Q11" s="1070"/>
      <c r="R11" s="1070"/>
    </row>
    <row r="12" spans="2:20" ht="34.65" x14ac:dyDescent="0.25">
      <c r="B12" s="315" t="s">
        <v>309</v>
      </c>
      <c r="C12" s="316" t="s">
        <v>310</v>
      </c>
      <c r="D12" s="317" t="s">
        <v>311</v>
      </c>
      <c r="E12" s="318" t="s">
        <v>312</v>
      </c>
      <c r="F12" s="319" t="s">
        <v>313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320" t="s">
        <v>314</v>
      </c>
      <c r="O12" s="320" t="s">
        <v>314</v>
      </c>
      <c r="P12" s="320" t="s">
        <v>314</v>
      </c>
      <c r="Q12" s="320" t="s">
        <v>314</v>
      </c>
      <c r="R12" s="320" t="s">
        <v>314</v>
      </c>
    </row>
    <row r="13" spans="2:20" x14ac:dyDescent="0.25">
      <c r="B13" s="321" t="s">
        <v>315</v>
      </c>
      <c r="C13" s="322"/>
      <c r="D13" s="323"/>
      <c r="E13" s="324"/>
      <c r="F13" s="325"/>
      <c r="G13" s="326">
        <f>SUM(G14:G19)</f>
        <v>187</v>
      </c>
      <c r="H13" s="326">
        <f t="shared" ref="H13:R13" si="7">SUM(H14:H19)</f>
        <v>187</v>
      </c>
      <c r="I13" s="326">
        <f t="shared" si="7"/>
        <v>187</v>
      </c>
      <c r="J13" s="326">
        <f t="shared" si="7"/>
        <v>187</v>
      </c>
      <c r="K13" s="326">
        <f t="shared" si="7"/>
        <v>187</v>
      </c>
      <c r="L13" s="326">
        <f t="shared" si="7"/>
        <v>187</v>
      </c>
      <c r="M13" s="326">
        <f t="shared" si="7"/>
        <v>187</v>
      </c>
      <c r="N13" s="326">
        <f t="shared" si="7"/>
        <v>187</v>
      </c>
      <c r="O13" s="326">
        <f t="shared" si="7"/>
        <v>187</v>
      </c>
      <c r="P13" s="326">
        <f t="shared" si="7"/>
        <v>187</v>
      </c>
      <c r="Q13" s="326">
        <f t="shared" si="7"/>
        <v>187</v>
      </c>
      <c r="R13" s="326">
        <f t="shared" si="7"/>
        <v>187</v>
      </c>
    </row>
    <row r="14" spans="2:20" x14ac:dyDescent="0.25">
      <c r="B14" s="327" t="s">
        <v>317</v>
      </c>
      <c r="C14" s="328">
        <v>500</v>
      </c>
      <c r="D14" s="268">
        <v>5</v>
      </c>
      <c r="E14" s="329">
        <f>$F$6/C14</f>
        <v>14</v>
      </c>
      <c r="F14" s="330">
        <v>2</v>
      </c>
      <c r="G14" s="268">
        <f>$E14*$D14</f>
        <v>70</v>
      </c>
      <c r="H14" s="268">
        <f t="shared" ref="H14:R18" si="8">$E14*$D14</f>
        <v>70</v>
      </c>
      <c r="I14" s="268">
        <f>$E14*$D14</f>
        <v>70</v>
      </c>
      <c r="J14" s="268">
        <f t="shared" si="8"/>
        <v>70</v>
      </c>
      <c r="K14" s="268">
        <f t="shared" si="8"/>
        <v>70</v>
      </c>
      <c r="L14" s="268">
        <f t="shared" si="8"/>
        <v>70</v>
      </c>
      <c r="M14" s="268">
        <f t="shared" si="8"/>
        <v>70</v>
      </c>
      <c r="N14" s="268">
        <f t="shared" si="8"/>
        <v>70</v>
      </c>
      <c r="O14" s="268">
        <f t="shared" si="8"/>
        <v>70</v>
      </c>
      <c r="P14" s="268">
        <f t="shared" si="8"/>
        <v>70</v>
      </c>
      <c r="Q14" s="268">
        <f t="shared" si="8"/>
        <v>70</v>
      </c>
      <c r="R14" s="268">
        <f t="shared" si="8"/>
        <v>70</v>
      </c>
      <c r="T14" s="275" t="s">
        <v>551</v>
      </c>
    </row>
    <row r="15" spans="2:20" x14ac:dyDescent="0.25">
      <c r="B15" s="327" t="s">
        <v>318</v>
      </c>
      <c r="C15" s="328">
        <v>1000</v>
      </c>
      <c r="D15" s="268">
        <v>7</v>
      </c>
      <c r="E15" s="329">
        <f>$F$6/C15</f>
        <v>7</v>
      </c>
      <c r="F15" s="330">
        <v>2</v>
      </c>
      <c r="G15" s="268">
        <f>$E15*$D15</f>
        <v>49</v>
      </c>
      <c r="H15" s="268">
        <f t="shared" si="8"/>
        <v>49</v>
      </c>
      <c r="I15" s="268">
        <f t="shared" si="8"/>
        <v>49</v>
      </c>
      <c r="J15" s="268">
        <f t="shared" si="8"/>
        <v>49</v>
      </c>
      <c r="K15" s="268">
        <f t="shared" si="8"/>
        <v>49</v>
      </c>
      <c r="L15" s="268">
        <f t="shared" si="8"/>
        <v>49</v>
      </c>
      <c r="M15" s="268">
        <f t="shared" si="8"/>
        <v>49</v>
      </c>
      <c r="N15" s="268">
        <f t="shared" si="8"/>
        <v>49</v>
      </c>
      <c r="O15" s="268">
        <f t="shared" si="8"/>
        <v>49</v>
      </c>
      <c r="P15" s="268">
        <f t="shared" si="8"/>
        <v>49</v>
      </c>
      <c r="Q15" s="268">
        <f t="shared" si="8"/>
        <v>49</v>
      </c>
      <c r="R15" s="268">
        <f t="shared" si="8"/>
        <v>49</v>
      </c>
      <c r="T15" s="275" t="s">
        <v>551</v>
      </c>
    </row>
    <row r="16" spans="2:20" x14ac:dyDescent="0.25">
      <c r="B16" s="327" t="s">
        <v>319</v>
      </c>
      <c r="C16" s="328">
        <v>2000</v>
      </c>
      <c r="D16" s="268">
        <v>16</v>
      </c>
      <c r="E16" s="329">
        <v>3</v>
      </c>
      <c r="F16" s="330">
        <v>2</v>
      </c>
      <c r="G16" s="268">
        <f>$E16*$D16</f>
        <v>48</v>
      </c>
      <c r="H16" s="268">
        <f t="shared" si="8"/>
        <v>48</v>
      </c>
      <c r="I16" s="268">
        <f t="shared" si="8"/>
        <v>48</v>
      </c>
      <c r="J16" s="268">
        <f t="shared" si="8"/>
        <v>48</v>
      </c>
      <c r="K16" s="268">
        <f t="shared" si="8"/>
        <v>48</v>
      </c>
      <c r="L16" s="268">
        <f t="shared" si="8"/>
        <v>48</v>
      </c>
      <c r="M16" s="268">
        <f t="shared" si="8"/>
        <v>48</v>
      </c>
      <c r="N16" s="268">
        <f t="shared" si="8"/>
        <v>48</v>
      </c>
      <c r="O16" s="268">
        <f t="shared" si="8"/>
        <v>48</v>
      </c>
      <c r="P16" s="268">
        <f t="shared" si="8"/>
        <v>48</v>
      </c>
      <c r="Q16" s="268">
        <f t="shared" si="8"/>
        <v>48</v>
      </c>
      <c r="R16" s="268">
        <f t="shared" si="8"/>
        <v>48</v>
      </c>
      <c r="T16" s="275" t="s">
        <v>551</v>
      </c>
    </row>
    <row r="17" spans="2:20" x14ac:dyDescent="0.25">
      <c r="B17" s="327" t="s">
        <v>552</v>
      </c>
      <c r="C17" s="328">
        <v>4000</v>
      </c>
      <c r="D17" s="268">
        <v>20</v>
      </c>
      <c r="E17" s="329">
        <v>1</v>
      </c>
      <c r="F17" s="330">
        <v>2</v>
      </c>
      <c r="G17" s="268">
        <f>$E17*$D17</f>
        <v>20</v>
      </c>
      <c r="H17" s="268">
        <f t="shared" si="8"/>
        <v>20</v>
      </c>
      <c r="I17" s="268">
        <f t="shared" si="8"/>
        <v>20</v>
      </c>
      <c r="J17" s="268">
        <f t="shared" si="8"/>
        <v>20</v>
      </c>
      <c r="K17" s="268">
        <f t="shared" si="8"/>
        <v>20</v>
      </c>
      <c r="L17" s="268">
        <f t="shared" si="8"/>
        <v>20</v>
      </c>
      <c r="M17" s="268">
        <f t="shared" si="8"/>
        <v>20</v>
      </c>
      <c r="N17" s="268">
        <f t="shared" si="8"/>
        <v>20</v>
      </c>
      <c r="O17" s="268">
        <f t="shared" si="8"/>
        <v>20</v>
      </c>
      <c r="P17" s="268">
        <f t="shared" si="8"/>
        <v>20</v>
      </c>
      <c r="Q17" s="268">
        <f t="shared" si="8"/>
        <v>20</v>
      </c>
      <c r="R17" s="268">
        <f t="shared" si="8"/>
        <v>20</v>
      </c>
      <c r="T17" s="275" t="s">
        <v>551</v>
      </c>
    </row>
    <row r="18" spans="2:20" x14ac:dyDescent="0.25">
      <c r="B18" s="327" t="s">
        <v>553</v>
      </c>
      <c r="C18" s="328">
        <v>6000</v>
      </c>
      <c r="D18" s="268">
        <v>0</v>
      </c>
      <c r="E18" s="329">
        <v>1</v>
      </c>
      <c r="F18" s="330">
        <v>2</v>
      </c>
      <c r="G18" s="268">
        <f>$E18*$D18</f>
        <v>0</v>
      </c>
      <c r="H18" s="268">
        <f t="shared" si="8"/>
        <v>0</v>
      </c>
      <c r="I18" s="268">
        <f t="shared" si="8"/>
        <v>0</v>
      </c>
      <c r="J18" s="268">
        <f t="shared" si="8"/>
        <v>0</v>
      </c>
      <c r="K18" s="268">
        <f t="shared" si="8"/>
        <v>0</v>
      </c>
      <c r="L18" s="268">
        <f t="shared" si="8"/>
        <v>0</v>
      </c>
      <c r="M18" s="268">
        <f t="shared" si="8"/>
        <v>0</v>
      </c>
      <c r="N18" s="268">
        <f t="shared" si="8"/>
        <v>0</v>
      </c>
      <c r="O18" s="268">
        <f t="shared" si="8"/>
        <v>0</v>
      </c>
      <c r="P18" s="268">
        <f t="shared" si="8"/>
        <v>0</v>
      </c>
      <c r="Q18" s="268">
        <f t="shared" si="8"/>
        <v>0</v>
      </c>
      <c r="R18" s="268">
        <f t="shared" si="8"/>
        <v>0</v>
      </c>
      <c r="T18" s="275" t="s">
        <v>551</v>
      </c>
    </row>
    <row r="19" spans="2:20" ht="14.95" thickBot="1" x14ac:dyDescent="0.3">
      <c r="B19" s="551" t="s">
        <v>554</v>
      </c>
      <c r="C19" s="552">
        <v>12000</v>
      </c>
      <c r="D19" s="332">
        <v>0</v>
      </c>
      <c r="E19" s="333"/>
      <c r="F19" s="334">
        <v>2</v>
      </c>
      <c r="G19" s="332"/>
      <c r="H19" s="332">
        <f>$D19</f>
        <v>0</v>
      </c>
      <c r="I19" s="332"/>
      <c r="J19" s="332">
        <f>$D19</f>
        <v>0</v>
      </c>
      <c r="K19" s="332"/>
      <c r="L19" s="332">
        <f>$D19</f>
        <v>0</v>
      </c>
      <c r="M19" s="332">
        <f>$D19</f>
        <v>0</v>
      </c>
      <c r="N19" s="332"/>
      <c r="O19" s="332">
        <f>$D19</f>
        <v>0</v>
      </c>
      <c r="P19" s="332"/>
      <c r="Q19" s="332">
        <f>$D19</f>
        <v>0</v>
      </c>
      <c r="R19" s="332">
        <f>$D19</f>
        <v>0</v>
      </c>
      <c r="T19" s="275" t="s">
        <v>551</v>
      </c>
    </row>
    <row r="20" spans="2:20" ht="14.95" thickBot="1" x14ac:dyDescent="0.3">
      <c r="B20" s="1069"/>
      <c r="C20" s="1070"/>
      <c r="D20" s="1070"/>
      <c r="E20" s="1070"/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0"/>
    </row>
    <row r="21" spans="2:20" ht="27.2" x14ac:dyDescent="0.25">
      <c r="B21" s="335" t="s">
        <v>305</v>
      </c>
      <c r="C21" s="339" t="s">
        <v>323</v>
      </c>
      <c r="D21" s="337" t="s">
        <v>324</v>
      </c>
      <c r="E21" s="338" t="s">
        <v>325</v>
      </c>
      <c r="F21" s="339" t="s">
        <v>312</v>
      </c>
      <c r="G21" s="340" t="s">
        <v>292</v>
      </c>
      <c r="H21" s="340" t="s">
        <v>292</v>
      </c>
      <c r="I21" s="340" t="s">
        <v>292</v>
      </c>
      <c r="J21" s="340" t="s">
        <v>292</v>
      </c>
      <c r="K21" s="340" t="s">
        <v>292</v>
      </c>
      <c r="L21" s="340" t="s">
        <v>292</v>
      </c>
      <c r="M21" s="340" t="s">
        <v>292</v>
      </c>
      <c r="N21" s="340" t="s">
        <v>292</v>
      </c>
      <c r="O21" s="340" t="s">
        <v>292</v>
      </c>
      <c r="P21" s="340" t="s">
        <v>292</v>
      </c>
      <c r="Q21" s="340" t="s">
        <v>292</v>
      </c>
      <c r="R21" s="340" t="s">
        <v>292</v>
      </c>
    </row>
    <row r="22" spans="2:20" x14ac:dyDescent="0.25">
      <c r="B22" s="341" t="s">
        <v>326</v>
      </c>
      <c r="C22" s="343"/>
      <c r="D22" s="343"/>
      <c r="E22" s="344"/>
      <c r="F22" s="345"/>
      <c r="G22" s="346">
        <f t="shared" ref="G22:R22" si="9">SUM(G23:G91)</f>
        <v>93680.707746742846</v>
      </c>
      <c r="H22" s="346">
        <f t="shared" si="9"/>
        <v>93680.707746742846</v>
      </c>
      <c r="I22" s="346">
        <f t="shared" si="9"/>
        <v>93680.707746742846</v>
      </c>
      <c r="J22" s="346">
        <f t="shared" si="9"/>
        <v>93680.707746742846</v>
      </c>
      <c r="K22" s="346">
        <f t="shared" si="9"/>
        <v>93680.707746742846</v>
      </c>
      <c r="L22" s="346">
        <f t="shared" si="9"/>
        <v>93680.707746742846</v>
      </c>
      <c r="M22" s="346">
        <f t="shared" si="9"/>
        <v>93680.707746742846</v>
      </c>
      <c r="N22" s="346">
        <f t="shared" si="9"/>
        <v>93680.707746742846</v>
      </c>
      <c r="O22" s="346">
        <f t="shared" si="9"/>
        <v>93680.707746742846</v>
      </c>
      <c r="P22" s="346">
        <f t="shared" si="9"/>
        <v>93680.707746742846</v>
      </c>
      <c r="Q22" s="346">
        <f t="shared" si="9"/>
        <v>93680.707746742846</v>
      </c>
      <c r="R22" s="346">
        <f t="shared" si="9"/>
        <v>93680.707746742846</v>
      </c>
    </row>
    <row r="23" spans="2:20" x14ac:dyDescent="0.25">
      <c r="B23" s="347" t="s">
        <v>317</v>
      </c>
      <c r="C23" s="553"/>
      <c r="D23" s="348"/>
      <c r="E23" s="349">
        <f>VLOOKUP($B23,$B$14:$C$19,2,FALSE)</f>
        <v>500</v>
      </c>
      <c r="F23" s="294">
        <f>VLOOKUP($B23,$B$14:$E$19,4,FALSE)</f>
        <v>14</v>
      </c>
      <c r="G23" s="476"/>
      <c r="H23" s="476"/>
      <c r="I23" s="476"/>
      <c r="J23" s="476"/>
      <c r="K23" s="476"/>
      <c r="L23" s="476"/>
      <c r="M23" s="476"/>
      <c r="N23" s="476"/>
      <c r="O23" s="476"/>
      <c r="P23" s="476"/>
      <c r="Q23" s="476"/>
      <c r="R23" s="476"/>
    </row>
    <row r="24" spans="2:20" x14ac:dyDescent="0.25">
      <c r="B24" s="352" t="s">
        <v>555</v>
      </c>
      <c r="C24" s="554" t="s">
        <v>556</v>
      </c>
      <c r="D24" s="354">
        <v>45.066773028571397</v>
      </c>
      <c r="E24" s="490">
        <v>3</v>
      </c>
      <c r="F24" s="358"/>
      <c r="G24" s="350">
        <f>IF(G$14=0,0,G$14/$D$14*$E24*$D24)</f>
        <v>1892.8044671999987</v>
      </c>
      <c r="H24" s="350">
        <f t="shared" ref="H24:R31" si="10">IF(H$14=0,0,H$14/$D$14*$E24*$D24)</f>
        <v>1892.8044671999987</v>
      </c>
      <c r="I24" s="350">
        <f t="shared" si="10"/>
        <v>1892.8044671999987</v>
      </c>
      <c r="J24" s="350">
        <f t="shared" si="10"/>
        <v>1892.8044671999987</v>
      </c>
      <c r="K24" s="350">
        <f t="shared" si="10"/>
        <v>1892.8044671999987</v>
      </c>
      <c r="L24" s="350">
        <f t="shared" si="10"/>
        <v>1892.8044671999987</v>
      </c>
      <c r="M24" s="350">
        <f t="shared" si="10"/>
        <v>1892.8044671999987</v>
      </c>
      <c r="N24" s="350">
        <f t="shared" si="10"/>
        <v>1892.8044671999987</v>
      </c>
      <c r="O24" s="350">
        <f t="shared" si="10"/>
        <v>1892.8044671999987</v>
      </c>
      <c r="P24" s="350">
        <f t="shared" si="10"/>
        <v>1892.8044671999987</v>
      </c>
      <c r="Q24" s="350">
        <f t="shared" si="10"/>
        <v>1892.8044671999987</v>
      </c>
      <c r="R24" s="350">
        <f t="shared" si="10"/>
        <v>1892.8044671999987</v>
      </c>
    </row>
    <row r="25" spans="2:20" x14ac:dyDescent="0.25">
      <c r="B25" s="352" t="s">
        <v>557</v>
      </c>
      <c r="C25" s="554" t="s">
        <v>558</v>
      </c>
      <c r="D25" s="354">
        <v>38.614429257142859</v>
      </c>
      <c r="E25" s="490">
        <v>3</v>
      </c>
      <c r="F25" s="358"/>
      <c r="G25" s="350">
        <f t="shared" ref="G25:R31" si="11">IF(G$14=0,0,G$14/$D$14*$E25*$D25)</f>
        <v>1621.8060288000001</v>
      </c>
      <c r="H25" s="350">
        <f t="shared" si="10"/>
        <v>1621.8060288000001</v>
      </c>
      <c r="I25" s="350">
        <f t="shared" si="10"/>
        <v>1621.8060288000001</v>
      </c>
      <c r="J25" s="350">
        <f t="shared" si="10"/>
        <v>1621.8060288000001</v>
      </c>
      <c r="K25" s="350">
        <f t="shared" si="10"/>
        <v>1621.8060288000001</v>
      </c>
      <c r="L25" s="350">
        <f t="shared" si="10"/>
        <v>1621.8060288000001</v>
      </c>
      <c r="M25" s="350">
        <f t="shared" si="10"/>
        <v>1621.8060288000001</v>
      </c>
      <c r="N25" s="350">
        <f t="shared" si="10"/>
        <v>1621.8060288000001</v>
      </c>
      <c r="O25" s="350">
        <f t="shared" si="10"/>
        <v>1621.8060288000001</v>
      </c>
      <c r="P25" s="350">
        <f t="shared" si="10"/>
        <v>1621.8060288000001</v>
      </c>
      <c r="Q25" s="350">
        <f t="shared" si="10"/>
        <v>1621.8060288000001</v>
      </c>
      <c r="R25" s="350">
        <f t="shared" si="10"/>
        <v>1621.8060288000001</v>
      </c>
    </row>
    <row r="26" spans="2:20" ht="28.55" x14ac:dyDescent="0.25">
      <c r="B26" s="352" t="s">
        <v>559</v>
      </c>
      <c r="C26" s="555" t="s">
        <v>560</v>
      </c>
      <c r="D26" s="354">
        <v>11.858537142857143</v>
      </c>
      <c r="E26" s="490">
        <v>6</v>
      </c>
      <c r="F26" s="358"/>
      <c r="G26" s="350">
        <f t="shared" si="11"/>
        <v>996.11712</v>
      </c>
      <c r="H26" s="350">
        <f t="shared" si="10"/>
        <v>996.11712</v>
      </c>
      <c r="I26" s="350">
        <f t="shared" si="10"/>
        <v>996.11712</v>
      </c>
      <c r="J26" s="350">
        <f t="shared" si="10"/>
        <v>996.11712</v>
      </c>
      <c r="K26" s="350">
        <f t="shared" si="10"/>
        <v>996.11712</v>
      </c>
      <c r="L26" s="350">
        <f t="shared" si="10"/>
        <v>996.11712</v>
      </c>
      <c r="M26" s="350">
        <f t="shared" si="10"/>
        <v>996.11712</v>
      </c>
      <c r="N26" s="350">
        <f t="shared" si="10"/>
        <v>996.11712</v>
      </c>
      <c r="O26" s="350">
        <f t="shared" si="10"/>
        <v>996.11712</v>
      </c>
      <c r="P26" s="350">
        <f t="shared" si="10"/>
        <v>996.11712</v>
      </c>
      <c r="Q26" s="350">
        <f t="shared" si="10"/>
        <v>996.11712</v>
      </c>
      <c r="R26" s="350">
        <f t="shared" si="10"/>
        <v>996.11712</v>
      </c>
    </row>
    <row r="27" spans="2:20" x14ac:dyDescent="0.25">
      <c r="B27" s="352" t="s">
        <v>561</v>
      </c>
      <c r="C27" s="554" t="s">
        <v>562</v>
      </c>
      <c r="D27" s="354">
        <v>28.363021714285715</v>
      </c>
      <c r="E27" s="490">
        <v>6</v>
      </c>
      <c r="F27" s="358"/>
      <c r="G27" s="350">
        <f t="shared" si="11"/>
        <v>2382.4938240000001</v>
      </c>
      <c r="H27" s="350">
        <f t="shared" si="10"/>
        <v>2382.4938240000001</v>
      </c>
      <c r="I27" s="350">
        <f t="shared" si="10"/>
        <v>2382.4938240000001</v>
      </c>
      <c r="J27" s="350">
        <f t="shared" si="10"/>
        <v>2382.4938240000001</v>
      </c>
      <c r="K27" s="350">
        <f t="shared" si="10"/>
        <v>2382.4938240000001</v>
      </c>
      <c r="L27" s="350">
        <f t="shared" si="10"/>
        <v>2382.4938240000001</v>
      </c>
      <c r="M27" s="350">
        <f t="shared" si="10"/>
        <v>2382.4938240000001</v>
      </c>
      <c r="N27" s="350">
        <f t="shared" si="10"/>
        <v>2382.4938240000001</v>
      </c>
      <c r="O27" s="350">
        <f t="shared" si="10"/>
        <v>2382.4938240000001</v>
      </c>
      <c r="P27" s="350">
        <f t="shared" si="10"/>
        <v>2382.4938240000001</v>
      </c>
      <c r="Q27" s="350">
        <f t="shared" si="10"/>
        <v>2382.4938240000001</v>
      </c>
      <c r="R27" s="350">
        <f t="shared" si="10"/>
        <v>2382.4938240000001</v>
      </c>
    </row>
    <row r="28" spans="2:20" x14ac:dyDescent="0.25">
      <c r="B28" s="556" t="s">
        <v>563</v>
      </c>
      <c r="C28" s="554" t="s">
        <v>564</v>
      </c>
      <c r="D28" s="354">
        <v>120.70149760000001</v>
      </c>
      <c r="E28" s="490">
        <v>4</v>
      </c>
      <c r="F28" s="358"/>
      <c r="G28" s="350">
        <f t="shared" si="11"/>
        <v>6759.2838656000004</v>
      </c>
      <c r="H28" s="350">
        <f t="shared" si="10"/>
        <v>6759.2838656000004</v>
      </c>
      <c r="I28" s="350">
        <f t="shared" si="10"/>
        <v>6759.2838656000004</v>
      </c>
      <c r="J28" s="350">
        <f t="shared" si="10"/>
        <v>6759.2838656000004</v>
      </c>
      <c r="K28" s="350">
        <f t="shared" si="10"/>
        <v>6759.2838656000004</v>
      </c>
      <c r="L28" s="350">
        <f t="shared" si="10"/>
        <v>6759.2838656000004</v>
      </c>
      <c r="M28" s="350">
        <f t="shared" si="10"/>
        <v>6759.2838656000004</v>
      </c>
      <c r="N28" s="350">
        <f t="shared" si="10"/>
        <v>6759.2838656000004</v>
      </c>
      <c r="O28" s="350">
        <f t="shared" si="10"/>
        <v>6759.2838656000004</v>
      </c>
      <c r="P28" s="350">
        <f t="shared" si="10"/>
        <v>6759.2838656000004</v>
      </c>
      <c r="Q28" s="350">
        <f t="shared" si="10"/>
        <v>6759.2838656000004</v>
      </c>
      <c r="R28" s="350">
        <f t="shared" si="10"/>
        <v>6759.2838656000004</v>
      </c>
    </row>
    <row r="29" spans="2:20" ht="28.55" x14ac:dyDescent="0.25">
      <c r="B29" s="556" t="s">
        <v>565</v>
      </c>
      <c r="C29" s="554" t="s">
        <v>566</v>
      </c>
      <c r="D29" s="354">
        <v>61.642733714285718</v>
      </c>
      <c r="E29" s="490">
        <v>4</v>
      </c>
      <c r="F29" s="358"/>
      <c r="G29" s="350">
        <f t="shared" si="11"/>
        <v>3451.9930880000002</v>
      </c>
      <c r="H29" s="350">
        <f t="shared" si="10"/>
        <v>3451.9930880000002</v>
      </c>
      <c r="I29" s="350">
        <f t="shared" si="10"/>
        <v>3451.9930880000002</v>
      </c>
      <c r="J29" s="350">
        <f t="shared" si="10"/>
        <v>3451.9930880000002</v>
      </c>
      <c r="K29" s="350">
        <f t="shared" si="10"/>
        <v>3451.9930880000002</v>
      </c>
      <c r="L29" s="350">
        <f t="shared" si="10"/>
        <v>3451.9930880000002</v>
      </c>
      <c r="M29" s="350">
        <f t="shared" si="10"/>
        <v>3451.9930880000002</v>
      </c>
      <c r="N29" s="350">
        <f t="shared" si="10"/>
        <v>3451.9930880000002</v>
      </c>
      <c r="O29" s="350">
        <f t="shared" si="10"/>
        <v>3451.9930880000002</v>
      </c>
      <c r="P29" s="350">
        <f t="shared" si="10"/>
        <v>3451.9930880000002</v>
      </c>
      <c r="Q29" s="350">
        <f t="shared" si="10"/>
        <v>3451.9930880000002</v>
      </c>
      <c r="R29" s="350">
        <f t="shared" si="10"/>
        <v>3451.9930880000002</v>
      </c>
    </row>
    <row r="30" spans="2:20" ht="28.55" x14ac:dyDescent="0.25">
      <c r="B30" s="352" t="s">
        <v>567</v>
      </c>
      <c r="C30" s="557" t="s">
        <v>568</v>
      </c>
      <c r="D30" s="354">
        <v>8</v>
      </c>
      <c r="E30" s="490">
        <v>150</v>
      </c>
      <c r="F30" s="358"/>
      <c r="G30" s="350">
        <f t="shared" si="11"/>
        <v>16800</v>
      </c>
      <c r="H30" s="350">
        <f t="shared" si="11"/>
        <v>16800</v>
      </c>
      <c r="I30" s="350">
        <f t="shared" si="11"/>
        <v>16800</v>
      </c>
      <c r="J30" s="350">
        <f t="shared" si="11"/>
        <v>16800</v>
      </c>
      <c r="K30" s="350">
        <f t="shared" si="11"/>
        <v>16800</v>
      </c>
      <c r="L30" s="350">
        <f t="shared" si="11"/>
        <v>16800</v>
      </c>
      <c r="M30" s="350">
        <f t="shared" si="11"/>
        <v>16800</v>
      </c>
      <c r="N30" s="350">
        <f t="shared" si="11"/>
        <v>16800</v>
      </c>
      <c r="O30" s="350">
        <f t="shared" si="11"/>
        <v>16800</v>
      </c>
      <c r="P30" s="350">
        <f t="shared" si="11"/>
        <v>16800</v>
      </c>
      <c r="Q30" s="350">
        <f t="shared" si="11"/>
        <v>16800</v>
      </c>
      <c r="R30" s="350">
        <f t="shared" si="11"/>
        <v>16800</v>
      </c>
    </row>
    <row r="31" spans="2:20" x14ac:dyDescent="0.25">
      <c r="B31" s="352" t="s">
        <v>569</v>
      </c>
      <c r="C31" s="554" t="s">
        <v>570</v>
      </c>
      <c r="D31" s="354">
        <v>18</v>
      </c>
      <c r="E31" s="490">
        <v>10</v>
      </c>
      <c r="F31" s="358"/>
      <c r="G31" s="350">
        <f t="shared" si="11"/>
        <v>2520</v>
      </c>
      <c r="H31" s="350">
        <f t="shared" si="10"/>
        <v>2520</v>
      </c>
      <c r="I31" s="350">
        <f t="shared" si="10"/>
        <v>2520</v>
      </c>
      <c r="J31" s="350">
        <f t="shared" si="10"/>
        <v>2520</v>
      </c>
      <c r="K31" s="350">
        <f t="shared" si="10"/>
        <v>2520</v>
      </c>
      <c r="L31" s="350">
        <f t="shared" si="10"/>
        <v>2520</v>
      </c>
      <c r="M31" s="350">
        <f t="shared" si="10"/>
        <v>2520</v>
      </c>
      <c r="N31" s="350">
        <f t="shared" si="10"/>
        <v>2520</v>
      </c>
      <c r="O31" s="350">
        <f t="shared" si="10"/>
        <v>2520</v>
      </c>
      <c r="P31" s="350">
        <f t="shared" si="10"/>
        <v>2520</v>
      </c>
      <c r="Q31" s="350">
        <f t="shared" si="10"/>
        <v>2520</v>
      </c>
      <c r="R31" s="350">
        <f t="shared" si="10"/>
        <v>2520</v>
      </c>
    </row>
    <row r="32" spans="2:20" x14ac:dyDescent="0.25">
      <c r="B32" s="347" t="s">
        <v>318</v>
      </c>
      <c r="C32" s="553"/>
      <c r="D32" s="348"/>
      <c r="E32" s="349">
        <f>VLOOKUP($B32,$B$14:$C$19,2,FALSE)</f>
        <v>1000</v>
      </c>
      <c r="F32" s="294">
        <f>VLOOKUP($B32,$B$14:$E$19,4,FALSE)</f>
        <v>7</v>
      </c>
      <c r="G32" s="476"/>
      <c r="H32" s="476"/>
      <c r="I32" s="476"/>
      <c r="J32" s="476"/>
      <c r="K32" s="476"/>
      <c r="L32" s="476"/>
      <c r="M32" s="476"/>
      <c r="N32" s="476"/>
      <c r="O32" s="476"/>
      <c r="P32" s="476"/>
      <c r="Q32" s="476"/>
      <c r="R32" s="476"/>
    </row>
    <row r="33" spans="2:18" x14ac:dyDescent="0.25">
      <c r="B33" s="352" t="s">
        <v>555</v>
      </c>
      <c r="C33" s="554" t="s">
        <v>556</v>
      </c>
      <c r="D33" s="354">
        <v>45</v>
      </c>
      <c r="E33" s="558">
        <v>3</v>
      </c>
      <c r="F33" s="294"/>
      <c r="G33" s="350">
        <f t="shared" ref="G33:R46" si="12">IF(G$15=0,0,G$15/$D$15*$E33*$D33)</f>
        <v>945</v>
      </c>
      <c r="H33" s="350">
        <f t="shared" si="12"/>
        <v>945</v>
      </c>
      <c r="I33" s="350">
        <f t="shared" si="12"/>
        <v>945</v>
      </c>
      <c r="J33" s="350">
        <f t="shared" si="12"/>
        <v>945</v>
      </c>
      <c r="K33" s="350">
        <f t="shared" si="12"/>
        <v>945</v>
      </c>
      <c r="L33" s="350">
        <f t="shared" si="12"/>
        <v>945</v>
      </c>
      <c r="M33" s="350">
        <f t="shared" si="12"/>
        <v>945</v>
      </c>
      <c r="N33" s="350">
        <f t="shared" si="12"/>
        <v>945</v>
      </c>
      <c r="O33" s="350">
        <f t="shared" si="12"/>
        <v>945</v>
      </c>
      <c r="P33" s="350">
        <f t="shared" si="12"/>
        <v>945</v>
      </c>
      <c r="Q33" s="350">
        <f t="shared" si="12"/>
        <v>945</v>
      </c>
      <c r="R33" s="350">
        <f t="shared" si="12"/>
        <v>945</v>
      </c>
    </row>
    <row r="34" spans="2:18" x14ac:dyDescent="0.25">
      <c r="B34" s="352" t="s">
        <v>557</v>
      </c>
      <c r="C34" s="554" t="s">
        <v>558</v>
      </c>
      <c r="D34" s="354">
        <v>39</v>
      </c>
      <c r="E34" s="558">
        <v>3</v>
      </c>
      <c r="F34" s="294"/>
      <c r="G34" s="350">
        <f t="shared" si="12"/>
        <v>819</v>
      </c>
      <c r="H34" s="350">
        <f t="shared" si="12"/>
        <v>819</v>
      </c>
      <c r="I34" s="350">
        <f t="shared" si="12"/>
        <v>819</v>
      </c>
      <c r="J34" s="350">
        <f t="shared" si="12"/>
        <v>819</v>
      </c>
      <c r="K34" s="350">
        <f t="shared" si="12"/>
        <v>819</v>
      </c>
      <c r="L34" s="350">
        <f t="shared" si="12"/>
        <v>819</v>
      </c>
      <c r="M34" s="350">
        <f t="shared" si="12"/>
        <v>819</v>
      </c>
      <c r="N34" s="350">
        <f t="shared" si="12"/>
        <v>819</v>
      </c>
      <c r="O34" s="350">
        <f t="shared" si="12"/>
        <v>819</v>
      </c>
      <c r="P34" s="350">
        <f t="shared" si="12"/>
        <v>819</v>
      </c>
      <c r="Q34" s="350">
        <f t="shared" si="12"/>
        <v>819</v>
      </c>
      <c r="R34" s="350">
        <f t="shared" si="12"/>
        <v>819</v>
      </c>
    </row>
    <row r="35" spans="2:18" ht="28.55" x14ac:dyDescent="0.25">
      <c r="B35" s="352" t="s">
        <v>559</v>
      </c>
      <c r="C35" s="555" t="s">
        <v>560</v>
      </c>
      <c r="D35" s="354">
        <v>12</v>
      </c>
      <c r="E35" s="558">
        <v>6</v>
      </c>
      <c r="F35" s="294"/>
      <c r="G35" s="350">
        <f t="shared" si="12"/>
        <v>504</v>
      </c>
      <c r="H35" s="350">
        <f t="shared" si="12"/>
        <v>504</v>
      </c>
      <c r="I35" s="350">
        <f t="shared" si="12"/>
        <v>504</v>
      </c>
      <c r="J35" s="350">
        <f t="shared" si="12"/>
        <v>504</v>
      </c>
      <c r="K35" s="350">
        <f t="shared" si="12"/>
        <v>504</v>
      </c>
      <c r="L35" s="350">
        <f t="shared" si="12"/>
        <v>504</v>
      </c>
      <c r="M35" s="350">
        <f t="shared" si="12"/>
        <v>504</v>
      </c>
      <c r="N35" s="350">
        <f t="shared" si="12"/>
        <v>504</v>
      </c>
      <c r="O35" s="350">
        <f t="shared" si="12"/>
        <v>504</v>
      </c>
      <c r="P35" s="350">
        <f t="shared" si="12"/>
        <v>504</v>
      </c>
      <c r="Q35" s="350">
        <f t="shared" si="12"/>
        <v>504</v>
      </c>
      <c r="R35" s="350">
        <f t="shared" si="12"/>
        <v>504</v>
      </c>
    </row>
    <row r="36" spans="2:18" x14ac:dyDescent="0.25">
      <c r="B36" s="352" t="s">
        <v>571</v>
      </c>
      <c r="C36" s="554" t="s">
        <v>562</v>
      </c>
      <c r="D36" s="354">
        <v>28</v>
      </c>
      <c r="E36" s="558">
        <v>6</v>
      </c>
      <c r="F36" s="294"/>
      <c r="G36" s="350">
        <f t="shared" si="12"/>
        <v>1176</v>
      </c>
      <c r="H36" s="350">
        <f t="shared" si="12"/>
        <v>1176</v>
      </c>
      <c r="I36" s="350">
        <f t="shared" si="12"/>
        <v>1176</v>
      </c>
      <c r="J36" s="350">
        <f t="shared" si="12"/>
        <v>1176</v>
      </c>
      <c r="K36" s="350">
        <f t="shared" si="12"/>
        <v>1176</v>
      </c>
      <c r="L36" s="350">
        <f t="shared" si="12"/>
        <v>1176</v>
      </c>
      <c r="M36" s="350">
        <f t="shared" si="12"/>
        <v>1176</v>
      </c>
      <c r="N36" s="350">
        <f t="shared" si="12"/>
        <v>1176</v>
      </c>
      <c r="O36" s="350">
        <f t="shared" si="12"/>
        <v>1176</v>
      </c>
      <c r="P36" s="350">
        <f t="shared" si="12"/>
        <v>1176</v>
      </c>
      <c r="Q36" s="350">
        <f t="shared" si="12"/>
        <v>1176</v>
      </c>
      <c r="R36" s="350">
        <f t="shared" si="12"/>
        <v>1176</v>
      </c>
    </row>
    <row r="37" spans="2:18" x14ac:dyDescent="0.25">
      <c r="B37" s="556" t="s">
        <v>572</v>
      </c>
      <c r="C37" s="554" t="s">
        <v>564</v>
      </c>
      <c r="D37" s="354">
        <v>121</v>
      </c>
      <c r="E37" s="558">
        <v>4</v>
      </c>
      <c r="F37" s="294"/>
      <c r="G37" s="350">
        <f t="shared" si="12"/>
        <v>3388</v>
      </c>
      <c r="H37" s="350">
        <f t="shared" si="12"/>
        <v>3388</v>
      </c>
      <c r="I37" s="350">
        <f t="shared" si="12"/>
        <v>3388</v>
      </c>
      <c r="J37" s="350">
        <f t="shared" si="12"/>
        <v>3388</v>
      </c>
      <c r="K37" s="350">
        <f t="shared" si="12"/>
        <v>3388</v>
      </c>
      <c r="L37" s="350">
        <f t="shared" si="12"/>
        <v>3388</v>
      </c>
      <c r="M37" s="350">
        <f t="shared" si="12"/>
        <v>3388</v>
      </c>
      <c r="N37" s="350">
        <f t="shared" si="12"/>
        <v>3388</v>
      </c>
      <c r="O37" s="350">
        <f t="shared" si="12"/>
        <v>3388</v>
      </c>
      <c r="P37" s="350">
        <f t="shared" si="12"/>
        <v>3388</v>
      </c>
      <c r="Q37" s="350">
        <f t="shared" si="12"/>
        <v>3388</v>
      </c>
      <c r="R37" s="350">
        <f t="shared" si="12"/>
        <v>3388</v>
      </c>
    </row>
    <row r="38" spans="2:18" ht="28.55" x14ac:dyDescent="0.25">
      <c r="B38" s="556" t="s">
        <v>565</v>
      </c>
      <c r="C38" s="554" t="s">
        <v>566</v>
      </c>
      <c r="D38" s="354">
        <v>62</v>
      </c>
      <c r="E38" s="558">
        <v>4</v>
      </c>
      <c r="F38" s="294"/>
      <c r="G38" s="350">
        <f t="shared" si="12"/>
        <v>1736</v>
      </c>
      <c r="H38" s="350">
        <f t="shared" si="12"/>
        <v>1736</v>
      </c>
      <c r="I38" s="350">
        <f t="shared" si="12"/>
        <v>1736</v>
      </c>
      <c r="J38" s="350">
        <f t="shared" si="12"/>
        <v>1736</v>
      </c>
      <c r="K38" s="350">
        <f t="shared" si="12"/>
        <v>1736</v>
      </c>
      <c r="L38" s="350">
        <f t="shared" si="12"/>
        <v>1736</v>
      </c>
      <c r="M38" s="350">
        <f t="shared" si="12"/>
        <v>1736</v>
      </c>
      <c r="N38" s="350">
        <f t="shared" si="12"/>
        <v>1736</v>
      </c>
      <c r="O38" s="350">
        <f t="shared" si="12"/>
        <v>1736</v>
      </c>
      <c r="P38" s="350">
        <f t="shared" si="12"/>
        <v>1736</v>
      </c>
      <c r="Q38" s="350">
        <f t="shared" si="12"/>
        <v>1736</v>
      </c>
      <c r="R38" s="350">
        <f t="shared" si="12"/>
        <v>1736</v>
      </c>
    </row>
    <row r="39" spans="2:18" ht="28.55" x14ac:dyDescent="0.25">
      <c r="B39" s="352" t="s">
        <v>567</v>
      </c>
      <c r="C39" s="557" t="s">
        <v>568</v>
      </c>
      <c r="D39" s="354">
        <v>8</v>
      </c>
      <c r="E39" s="558">
        <v>150</v>
      </c>
      <c r="F39" s="294"/>
      <c r="G39" s="350">
        <f t="shared" si="12"/>
        <v>8400</v>
      </c>
      <c r="H39" s="350">
        <f t="shared" si="12"/>
        <v>8400</v>
      </c>
      <c r="I39" s="350">
        <f t="shared" si="12"/>
        <v>8400</v>
      </c>
      <c r="J39" s="350">
        <f t="shared" si="12"/>
        <v>8400</v>
      </c>
      <c r="K39" s="350">
        <f t="shared" si="12"/>
        <v>8400</v>
      </c>
      <c r="L39" s="350">
        <f t="shared" si="12"/>
        <v>8400</v>
      </c>
      <c r="M39" s="350">
        <f t="shared" si="12"/>
        <v>8400</v>
      </c>
      <c r="N39" s="350">
        <f t="shared" si="12"/>
        <v>8400</v>
      </c>
      <c r="O39" s="350">
        <f t="shared" si="12"/>
        <v>8400</v>
      </c>
      <c r="P39" s="350">
        <f t="shared" si="12"/>
        <v>8400</v>
      </c>
      <c r="Q39" s="350">
        <f t="shared" si="12"/>
        <v>8400</v>
      </c>
      <c r="R39" s="350">
        <f t="shared" si="12"/>
        <v>8400</v>
      </c>
    </row>
    <row r="40" spans="2:18" x14ac:dyDescent="0.25">
      <c r="B40" s="352" t="s">
        <v>569</v>
      </c>
      <c r="C40" s="554" t="s">
        <v>570</v>
      </c>
      <c r="D40" s="354">
        <v>18</v>
      </c>
      <c r="E40" s="558">
        <v>10</v>
      </c>
      <c r="F40" s="294"/>
      <c r="G40" s="350">
        <f t="shared" si="12"/>
        <v>1260</v>
      </c>
      <c r="H40" s="350">
        <f t="shared" si="12"/>
        <v>1260</v>
      </c>
      <c r="I40" s="350">
        <f t="shared" si="12"/>
        <v>1260</v>
      </c>
      <c r="J40" s="350">
        <f t="shared" si="12"/>
        <v>1260</v>
      </c>
      <c r="K40" s="350">
        <f t="shared" si="12"/>
        <v>1260</v>
      </c>
      <c r="L40" s="350">
        <f t="shared" si="12"/>
        <v>1260</v>
      </c>
      <c r="M40" s="350">
        <f t="shared" si="12"/>
        <v>1260</v>
      </c>
      <c r="N40" s="350">
        <f t="shared" si="12"/>
        <v>1260</v>
      </c>
      <c r="O40" s="350">
        <f t="shared" si="12"/>
        <v>1260</v>
      </c>
      <c r="P40" s="350">
        <f t="shared" si="12"/>
        <v>1260</v>
      </c>
      <c r="Q40" s="350">
        <f t="shared" si="12"/>
        <v>1260</v>
      </c>
      <c r="R40" s="350">
        <f t="shared" si="12"/>
        <v>1260</v>
      </c>
    </row>
    <row r="41" spans="2:18" x14ac:dyDescent="0.25">
      <c r="B41" s="556" t="s">
        <v>573</v>
      </c>
      <c r="C41" s="554" t="s">
        <v>574</v>
      </c>
      <c r="D41" s="354">
        <v>154</v>
      </c>
      <c r="E41" s="559">
        <v>1</v>
      </c>
      <c r="F41" s="358"/>
      <c r="G41" s="350">
        <f>IF(G$15=0,0,G$15/$D$15*$E41*$D41)</f>
        <v>1078</v>
      </c>
      <c r="H41" s="350">
        <f t="shared" si="12"/>
        <v>1078</v>
      </c>
      <c r="I41" s="350">
        <f t="shared" si="12"/>
        <v>1078</v>
      </c>
      <c r="J41" s="350">
        <f t="shared" si="12"/>
        <v>1078</v>
      </c>
      <c r="K41" s="350">
        <f t="shared" si="12"/>
        <v>1078</v>
      </c>
      <c r="L41" s="350">
        <f t="shared" si="12"/>
        <v>1078</v>
      </c>
      <c r="M41" s="350">
        <f t="shared" si="12"/>
        <v>1078</v>
      </c>
      <c r="N41" s="350">
        <f t="shared" si="12"/>
        <v>1078</v>
      </c>
      <c r="O41" s="350">
        <f t="shared" si="12"/>
        <v>1078</v>
      </c>
      <c r="P41" s="350">
        <f t="shared" si="12"/>
        <v>1078</v>
      </c>
      <c r="Q41" s="350">
        <f t="shared" si="12"/>
        <v>1078</v>
      </c>
      <c r="R41" s="350">
        <f t="shared" si="12"/>
        <v>1078</v>
      </c>
    </row>
    <row r="42" spans="2:18" ht="28.55" x14ac:dyDescent="0.25">
      <c r="B42" s="556" t="s">
        <v>575</v>
      </c>
      <c r="C42" s="554">
        <v>60326015</v>
      </c>
      <c r="D42" s="354">
        <v>77</v>
      </c>
      <c r="E42" s="559">
        <v>2</v>
      </c>
      <c r="F42" s="358"/>
      <c r="G42" s="350">
        <f t="shared" ref="G42:R46" si="13">IF(G$15=0,0,G$15/$D$15*$E42*$D42)</f>
        <v>1078</v>
      </c>
      <c r="H42" s="350">
        <f t="shared" si="13"/>
        <v>1078</v>
      </c>
      <c r="I42" s="350">
        <f t="shared" si="13"/>
        <v>1078</v>
      </c>
      <c r="J42" s="350">
        <f t="shared" si="13"/>
        <v>1078</v>
      </c>
      <c r="K42" s="350">
        <f t="shared" si="13"/>
        <v>1078</v>
      </c>
      <c r="L42" s="350">
        <f t="shared" si="13"/>
        <v>1078</v>
      </c>
      <c r="M42" s="350">
        <f t="shared" si="13"/>
        <v>1078</v>
      </c>
      <c r="N42" s="350">
        <f t="shared" si="13"/>
        <v>1078</v>
      </c>
      <c r="O42" s="350">
        <f t="shared" si="13"/>
        <v>1078</v>
      </c>
      <c r="P42" s="350">
        <f t="shared" si="13"/>
        <v>1078</v>
      </c>
      <c r="Q42" s="350">
        <f t="shared" si="13"/>
        <v>1078</v>
      </c>
      <c r="R42" s="350">
        <f t="shared" si="13"/>
        <v>1078</v>
      </c>
    </row>
    <row r="43" spans="2:18" ht="28.55" x14ac:dyDescent="0.25">
      <c r="B43" s="556" t="s">
        <v>576</v>
      </c>
      <c r="C43" s="554">
        <v>60283940</v>
      </c>
      <c r="D43" s="354">
        <v>34</v>
      </c>
      <c r="E43" s="559">
        <v>1</v>
      </c>
      <c r="F43" s="358"/>
      <c r="G43" s="350">
        <f t="shared" si="13"/>
        <v>238</v>
      </c>
      <c r="H43" s="350">
        <f t="shared" si="12"/>
        <v>238</v>
      </c>
      <c r="I43" s="350">
        <f t="shared" si="12"/>
        <v>238</v>
      </c>
      <c r="J43" s="350">
        <f t="shared" si="12"/>
        <v>238</v>
      </c>
      <c r="K43" s="350">
        <f t="shared" si="12"/>
        <v>238</v>
      </c>
      <c r="L43" s="350">
        <f t="shared" si="12"/>
        <v>238</v>
      </c>
      <c r="M43" s="350">
        <f t="shared" si="12"/>
        <v>238</v>
      </c>
      <c r="N43" s="350">
        <f t="shared" si="12"/>
        <v>238</v>
      </c>
      <c r="O43" s="350">
        <f t="shared" si="12"/>
        <v>238</v>
      </c>
      <c r="P43" s="350">
        <f t="shared" si="12"/>
        <v>238</v>
      </c>
      <c r="Q43" s="350">
        <f t="shared" si="12"/>
        <v>238</v>
      </c>
      <c r="R43" s="350">
        <f t="shared" si="12"/>
        <v>238</v>
      </c>
    </row>
    <row r="44" spans="2:18" x14ac:dyDescent="0.25">
      <c r="B44" s="556" t="s">
        <v>577</v>
      </c>
      <c r="C44" s="554">
        <v>60186788</v>
      </c>
      <c r="D44" s="354">
        <v>5</v>
      </c>
      <c r="E44" s="559">
        <v>2</v>
      </c>
      <c r="F44" s="358"/>
      <c r="G44" s="350">
        <f t="shared" si="13"/>
        <v>70</v>
      </c>
      <c r="H44" s="350">
        <f t="shared" si="12"/>
        <v>70</v>
      </c>
      <c r="I44" s="350">
        <f t="shared" si="12"/>
        <v>70</v>
      </c>
      <c r="J44" s="350">
        <f t="shared" si="12"/>
        <v>70</v>
      </c>
      <c r="K44" s="350">
        <f t="shared" si="12"/>
        <v>70</v>
      </c>
      <c r="L44" s="350">
        <f t="shared" si="12"/>
        <v>70</v>
      </c>
      <c r="M44" s="350">
        <f t="shared" si="12"/>
        <v>70</v>
      </c>
      <c r="N44" s="350">
        <f t="shared" si="12"/>
        <v>70</v>
      </c>
      <c r="O44" s="350">
        <f t="shared" si="12"/>
        <v>70</v>
      </c>
      <c r="P44" s="350">
        <f t="shared" si="12"/>
        <v>70</v>
      </c>
      <c r="Q44" s="350">
        <f t="shared" si="12"/>
        <v>70</v>
      </c>
      <c r="R44" s="350">
        <f t="shared" si="12"/>
        <v>70</v>
      </c>
    </row>
    <row r="45" spans="2:18" x14ac:dyDescent="0.25">
      <c r="B45" s="556" t="s">
        <v>578</v>
      </c>
      <c r="C45" s="554">
        <v>60205016</v>
      </c>
      <c r="D45" s="354">
        <v>159</v>
      </c>
      <c r="E45" s="559">
        <v>2</v>
      </c>
      <c r="F45" s="358"/>
      <c r="G45" s="350">
        <f t="shared" si="13"/>
        <v>2226</v>
      </c>
      <c r="H45" s="350">
        <f t="shared" si="12"/>
        <v>2226</v>
      </c>
      <c r="I45" s="350">
        <f t="shared" si="12"/>
        <v>2226</v>
      </c>
      <c r="J45" s="350">
        <f t="shared" si="12"/>
        <v>2226</v>
      </c>
      <c r="K45" s="350">
        <f t="shared" si="12"/>
        <v>2226</v>
      </c>
      <c r="L45" s="350">
        <f t="shared" si="12"/>
        <v>2226</v>
      </c>
      <c r="M45" s="350">
        <f t="shared" si="12"/>
        <v>2226</v>
      </c>
      <c r="N45" s="350">
        <f t="shared" si="12"/>
        <v>2226</v>
      </c>
      <c r="O45" s="350">
        <f t="shared" si="12"/>
        <v>2226</v>
      </c>
      <c r="P45" s="350">
        <f t="shared" si="12"/>
        <v>2226</v>
      </c>
      <c r="Q45" s="350">
        <f t="shared" si="12"/>
        <v>2226</v>
      </c>
      <c r="R45" s="350">
        <f t="shared" si="12"/>
        <v>2226</v>
      </c>
    </row>
    <row r="46" spans="2:18" x14ac:dyDescent="0.25">
      <c r="B46" s="556" t="s">
        <v>579</v>
      </c>
      <c r="C46" s="554">
        <v>60046289</v>
      </c>
      <c r="D46" s="354">
        <v>127</v>
      </c>
      <c r="E46" s="559">
        <v>2</v>
      </c>
      <c r="F46" s="358"/>
      <c r="G46" s="350">
        <f t="shared" si="13"/>
        <v>1778</v>
      </c>
      <c r="H46" s="350">
        <f t="shared" si="12"/>
        <v>1778</v>
      </c>
      <c r="I46" s="350">
        <f t="shared" si="12"/>
        <v>1778</v>
      </c>
      <c r="J46" s="350">
        <f t="shared" si="12"/>
        <v>1778</v>
      </c>
      <c r="K46" s="350">
        <f t="shared" si="12"/>
        <v>1778</v>
      </c>
      <c r="L46" s="350">
        <f t="shared" si="12"/>
        <v>1778</v>
      </c>
      <c r="M46" s="350">
        <f t="shared" si="12"/>
        <v>1778</v>
      </c>
      <c r="N46" s="350">
        <f t="shared" si="12"/>
        <v>1778</v>
      </c>
      <c r="O46" s="350">
        <f t="shared" si="12"/>
        <v>1778</v>
      </c>
      <c r="P46" s="350">
        <f t="shared" si="12"/>
        <v>1778</v>
      </c>
      <c r="Q46" s="350">
        <f t="shared" si="12"/>
        <v>1778</v>
      </c>
      <c r="R46" s="350">
        <f t="shared" si="12"/>
        <v>1778</v>
      </c>
    </row>
    <row r="47" spans="2:18" x14ac:dyDescent="0.25">
      <c r="B47" s="347" t="s">
        <v>319</v>
      </c>
      <c r="C47" s="553"/>
      <c r="D47" s="348"/>
      <c r="E47" s="349">
        <f>VLOOKUP($B47,$B$14:$C$19,2,FALSE)</f>
        <v>2000</v>
      </c>
      <c r="F47" s="294">
        <f>VLOOKUP($B47,$B$14:$E$19,4,FALSE)</f>
        <v>3</v>
      </c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</row>
    <row r="48" spans="2:18" x14ac:dyDescent="0.25">
      <c r="B48" s="352" t="s">
        <v>555</v>
      </c>
      <c r="C48" s="554" t="s">
        <v>556</v>
      </c>
      <c r="D48" s="354">
        <v>45.066773028571426</v>
      </c>
      <c r="E48" s="558">
        <v>3</v>
      </c>
      <c r="F48" s="294"/>
      <c r="G48" s="350">
        <f t="shared" ref="G48:R63" si="14">IF(G$16=0,0,G$16/$D$16*$E48*$D48)</f>
        <v>405.60095725714285</v>
      </c>
      <c r="H48" s="350">
        <f t="shared" si="14"/>
        <v>405.60095725714285</v>
      </c>
      <c r="I48" s="350">
        <f t="shared" si="14"/>
        <v>405.60095725714285</v>
      </c>
      <c r="J48" s="350">
        <f t="shared" si="14"/>
        <v>405.60095725714285</v>
      </c>
      <c r="K48" s="350">
        <f t="shared" si="14"/>
        <v>405.60095725714285</v>
      </c>
      <c r="L48" s="350">
        <f t="shared" si="14"/>
        <v>405.60095725714285</v>
      </c>
      <c r="M48" s="350">
        <f t="shared" si="14"/>
        <v>405.60095725714285</v>
      </c>
      <c r="N48" s="350">
        <f t="shared" si="14"/>
        <v>405.60095725714285</v>
      </c>
      <c r="O48" s="350">
        <f t="shared" si="14"/>
        <v>405.60095725714285</v>
      </c>
      <c r="P48" s="350">
        <f t="shared" si="14"/>
        <v>405.60095725714285</v>
      </c>
      <c r="Q48" s="350">
        <f t="shared" si="14"/>
        <v>405.60095725714285</v>
      </c>
      <c r="R48" s="350">
        <f t="shared" si="14"/>
        <v>405.60095725714285</v>
      </c>
    </row>
    <row r="49" spans="2:18" x14ac:dyDescent="0.25">
      <c r="B49" s="352" t="s">
        <v>557</v>
      </c>
      <c r="C49" s="554" t="s">
        <v>558</v>
      </c>
      <c r="D49" s="354">
        <v>38.614429257142859</v>
      </c>
      <c r="E49" s="558">
        <v>3</v>
      </c>
      <c r="F49" s="294"/>
      <c r="G49" s="350">
        <f t="shared" si="14"/>
        <v>347.52986331428576</v>
      </c>
      <c r="H49" s="350">
        <f t="shared" si="14"/>
        <v>347.52986331428576</v>
      </c>
      <c r="I49" s="350">
        <f t="shared" si="14"/>
        <v>347.52986331428576</v>
      </c>
      <c r="J49" s="350">
        <f t="shared" si="14"/>
        <v>347.52986331428576</v>
      </c>
      <c r="K49" s="350">
        <f t="shared" si="14"/>
        <v>347.52986331428576</v>
      </c>
      <c r="L49" s="350">
        <f t="shared" si="14"/>
        <v>347.52986331428576</v>
      </c>
      <c r="M49" s="350">
        <f t="shared" si="14"/>
        <v>347.52986331428576</v>
      </c>
      <c r="N49" s="350">
        <f t="shared" si="14"/>
        <v>347.52986331428576</v>
      </c>
      <c r="O49" s="350">
        <f t="shared" si="14"/>
        <v>347.52986331428576</v>
      </c>
      <c r="P49" s="350">
        <f t="shared" si="14"/>
        <v>347.52986331428576</v>
      </c>
      <c r="Q49" s="350">
        <f t="shared" si="14"/>
        <v>347.52986331428576</v>
      </c>
      <c r="R49" s="350">
        <f t="shared" si="14"/>
        <v>347.52986331428576</v>
      </c>
    </row>
    <row r="50" spans="2:18" ht="28.55" x14ac:dyDescent="0.25">
      <c r="B50" s="352" t="s">
        <v>559</v>
      </c>
      <c r="C50" s="555" t="s">
        <v>560</v>
      </c>
      <c r="D50" s="354">
        <v>11.858537142857143</v>
      </c>
      <c r="E50" s="558">
        <v>6</v>
      </c>
      <c r="F50" s="294"/>
      <c r="G50" s="350">
        <f t="shared" si="14"/>
        <v>213.45366857142858</v>
      </c>
      <c r="H50" s="350">
        <f t="shared" si="14"/>
        <v>213.45366857142858</v>
      </c>
      <c r="I50" s="350">
        <f t="shared" si="14"/>
        <v>213.45366857142858</v>
      </c>
      <c r="J50" s="350">
        <f t="shared" si="14"/>
        <v>213.45366857142858</v>
      </c>
      <c r="K50" s="350">
        <f t="shared" si="14"/>
        <v>213.45366857142858</v>
      </c>
      <c r="L50" s="350">
        <f t="shared" si="14"/>
        <v>213.45366857142858</v>
      </c>
      <c r="M50" s="350">
        <f t="shared" si="14"/>
        <v>213.45366857142858</v>
      </c>
      <c r="N50" s="350">
        <f t="shared" si="14"/>
        <v>213.45366857142858</v>
      </c>
      <c r="O50" s="350">
        <f t="shared" si="14"/>
        <v>213.45366857142858</v>
      </c>
      <c r="P50" s="350">
        <f t="shared" si="14"/>
        <v>213.45366857142858</v>
      </c>
      <c r="Q50" s="350">
        <f t="shared" si="14"/>
        <v>213.45366857142858</v>
      </c>
      <c r="R50" s="350">
        <f t="shared" si="14"/>
        <v>213.45366857142858</v>
      </c>
    </row>
    <row r="51" spans="2:18" x14ac:dyDescent="0.25">
      <c r="B51" s="352" t="s">
        <v>571</v>
      </c>
      <c r="C51" s="554" t="s">
        <v>562</v>
      </c>
      <c r="D51" s="354">
        <v>28.363021714285715</v>
      </c>
      <c r="E51" s="558">
        <v>6</v>
      </c>
      <c r="F51" s="294"/>
      <c r="G51" s="350">
        <f t="shared" si="14"/>
        <v>510.53439085714285</v>
      </c>
      <c r="H51" s="350">
        <f t="shared" si="14"/>
        <v>510.53439085714285</v>
      </c>
      <c r="I51" s="350">
        <f t="shared" si="14"/>
        <v>510.53439085714285</v>
      </c>
      <c r="J51" s="350">
        <f t="shared" si="14"/>
        <v>510.53439085714285</v>
      </c>
      <c r="K51" s="350">
        <f t="shared" si="14"/>
        <v>510.53439085714285</v>
      </c>
      <c r="L51" s="350">
        <f t="shared" si="14"/>
        <v>510.53439085714285</v>
      </c>
      <c r="M51" s="350">
        <f t="shared" si="14"/>
        <v>510.53439085714285</v>
      </c>
      <c r="N51" s="350">
        <f t="shared" si="14"/>
        <v>510.53439085714285</v>
      </c>
      <c r="O51" s="350">
        <f t="shared" si="14"/>
        <v>510.53439085714285</v>
      </c>
      <c r="P51" s="350">
        <f t="shared" si="14"/>
        <v>510.53439085714285</v>
      </c>
      <c r="Q51" s="350">
        <f t="shared" si="14"/>
        <v>510.53439085714285</v>
      </c>
      <c r="R51" s="350">
        <f t="shared" si="14"/>
        <v>510.53439085714285</v>
      </c>
    </row>
    <row r="52" spans="2:18" x14ac:dyDescent="0.25">
      <c r="B52" s="556" t="s">
        <v>572</v>
      </c>
      <c r="C52" s="554" t="s">
        <v>564</v>
      </c>
      <c r="D52" s="354">
        <v>120.70149760000001</v>
      </c>
      <c r="E52" s="558">
        <v>4</v>
      </c>
      <c r="F52" s="294"/>
      <c r="G52" s="350">
        <f t="shared" si="14"/>
        <v>1448.4179712</v>
      </c>
      <c r="H52" s="350">
        <f t="shared" si="14"/>
        <v>1448.4179712</v>
      </c>
      <c r="I52" s="350">
        <f t="shared" si="14"/>
        <v>1448.4179712</v>
      </c>
      <c r="J52" s="350">
        <f t="shared" si="14"/>
        <v>1448.4179712</v>
      </c>
      <c r="K52" s="350">
        <f t="shared" si="14"/>
        <v>1448.4179712</v>
      </c>
      <c r="L52" s="350">
        <f t="shared" si="14"/>
        <v>1448.4179712</v>
      </c>
      <c r="M52" s="350">
        <f t="shared" si="14"/>
        <v>1448.4179712</v>
      </c>
      <c r="N52" s="350">
        <f t="shared" si="14"/>
        <v>1448.4179712</v>
      </c>
      <c r="O52" s="350">
        <f t="shared" si="14"/>
        <v>1448.4179712</v>
      </c>
      <c r="P52" s="350">
        <f t="shared" si="14"/>
        <v>1448.4179712</v>
      </c>
      <c r="Q52" s="350">
        <f t="shared" si="14"/>
        <v>1448.4179712</v>
      </c>
      <c r="R52" s="350">
        <f t="shared" si="14"/>
        <v>1448.4179712</v>
      </c>
    </row>
    <row r="53" spans="2:18" ht="28.55" x14ac:dyDescent="0.25">
      <c r="B53" s="556" t="s">
        <v>565</v>
      </c>
      <c r="C53" s="554" t="s">
        <v>566</v>
      </c>
      <c r="D53" s="354">
        <v>61.642733714285718</v>
      </c>
      <c r="E53" s="558">
        <v>4</v>
      </c>
      <c r="F53" s="294"/>
      <c r="G53" s="350">
        <f t="shared" si="14"/>
        <v>739.71280457142859</v>
      </c>
      <c r="H53" s="350">
        <f t="shared" si="14"/>
        <v>739.71280457142859</v>
      </c>
      <c r="I53" s="350">
        <f t="shared" si="14"/>
        <v>739.71280457142859</v>
      </c>
      <c r="J53" s="350">
        <f t="shared" si="14"/>
        <v>739.71280457142859</v>
      </c>
      <c r="K53" s="350">
        <f t="shared" si="14"/>
        <v>739.71280457142859</v>
      </c>
      <c r="L53" s="350">
        <f t="shared" si="14"/>
        <v>739.71280457142859</v>
      </c>
      <c r="M53" s="350">
        <f t="shared" si="14"/>
        <v>739.71280457142859</v>
      </c>
      <c r="N53" s="350">
        <f t="shared" si="14"/>
        <v>739.71280457142859</v>
      </c>
      <c r="O53" s="350">
        <f t="shared" si="14"/>
        <v>739.71280457142859</v>
      </c>
      <c r="P53" s="350">
        <f t="shared" si="14"/>
        <v>739.71280457142859</v>
      </c>
      <c r="Q53" s="350">
        <f t="shared" si="14"/>
        <v>739.71280457142859</v>
      </c>
      <c r="R53" s="350">
        <f t="shared" si="14"/>
        <v>739.71280457142859</v>
      </c>
    </row>
    <row r="54" spans="2:18" ht="28.55" x14ac:dyDescent="0.25">
      <c r="B54" s="352" t="s">
        <v>567</v>
      </c>
      <c r="C54" s="557" t="s">
        <v>568</v>
      </c>
      <c r="D54" s="354">
        <v>8</v>
      </c>
      <c r="E54" s="558">
        <v>150</v>
      </c>
      <c r="F54" s="294"/>
      <c r="G54" s="350">
        <f t="shared" si="14"/>
        <v>3600</v>
      </c>
      <c r="H54" s="350">
        <f t="shared" si="14"/>
        <v>3600</v>
      </c>
      <c r="I54" s="350">
        <f t="shared" si="14"/>
        <v>3600</v>
      </c>
      <c r="J54" s="350">
        <f t="shared" si="14"/>
        <v>3600</v>
      </c>
      <c r="K54" s="350">
        <f t="shared" si="14"/>
        <v>3600</v>
      </c>
      <c r="L54" s="350">
        <f t="shared" si="14"/>
        <v>3600</v>
      </c>
      <c r="M54" s="350">
        <f t="shared" si="14"/>
        <v>3600</v>
      </c>
      <c r="N54" s="350">
        <f t="shared" si="14"/>
        <v>3600</v>
      </c>
      <c r="O54" s="350">
        <f t="shared" si="14"/>
        <v>3600</v>
      </c>
      <c r="P54" s="350">
        <f t="shared" si="14"/>
        <v>3600</v>
      </c>
      <c r="Q54" s="350">
        <f t="shared" si="14"/>
        <v>3600</v>
      </c>
      <c r="R54" s="350">
        <f t="shared" si="14"/>
        <v>3600</v>
      </c>
    </row>
    <row r="55" spans="2:18" x14ac:dyDescent="0.25">
      <c r="B55" s="352" t="s">
        <v>569</v>
      </c>
      <c r="C55" s="554" t="s">
        <v>570</v>
      </c>
      <c r="D55" s="354">
        <v>18</v>
      </c>
      <c r="E55" s="558">
        <v>10</v>
      </c>
      <c r="F55" s="294"/>
      <c r="G55" s="350">
        <f t="shared" si="14"/>
        <v>540</v>
      </c>
      <c r="H55" s="350">
        <f t="shared" si="14"/>
        <v>540</v>
      </c>
      <c r="I55" s="350">
        <f t="shared" si="14"/>
        <v>540</v>
      </c>
      <c r="J55" s="350">
        <f t="shared" si="14"/>
        <v>540</v>
      </c>
      <c r="K55" s="350">
        <f t="shared" si="14"/>
        <v>540</v>
      </c>
      <c r="L55" s="350">
        <f t="shared" si="14"/>
        <v>540</v>
      </c>
      <c r="M55" s="350">
        <f t="shared" si="14"/>
        <v>540</v>
      </c>
      <c r="N55" s="350">
        <f t="shared" si="14"/>
        <v>540</v>
      </c>
      <c r="O55" s="350">
        <f t="shared" si="14"/>
        <v>540</v>
      </c>
      <c r="P55" s="350">
        <f t="shared" si="14"/>
        <v>540</v>
      </c>
      <c r="Q55" s="350">
        <f t="shared" si="14"/>
        <v>540</v>
      </c>
      <c r="R55" s="350">
        <f t="shared" si="14"/>
        <v>540</v>
      </c>
    </row>
    <row r="56" spans="2:18" x14ac:dyDescent="0.25">
      <c r="B56" s="556" t="s">
        <v>573</v>
      </c>
      <c r="C56" s="554" t="s">
        <v>574</v>
      </c>
      <c r="D56" s="354">
        <v>153.96388205714288</v>
      </c>
      <c r="E56" s="559">
        <v>1</v>
      </c>
      <c r="F56" s="294"/>
      <c r="G56" s="350">
        <f t="shared" si="14"/>
        <v>461.89164617142865</v>
      </c>
      <c r="H56" s="350">
        <f t="shared" si="14"/>
        <v>461.89164617142865</v>
      </c>
      <c r="I56" s="350">
        <f t="shared" si="14"/>
        <v>461.89164617142865</v>
      </c>
      <c r="J56" s="350">
        <f t="shared" si="14"/>
        <v>461.89164617142865</v>
      </c>
      <c r="K56" s="350">
        <f t="shared" si="14"/>
        <v>461.89164617142865</v>
      </c>
      <c r="L56" s="350">
        <f t="shared" si="14"/>
        <v>461.89164617142865</v>
      </c>
      <c r="M56" s="350">
        <f t="shared" si="14"/>
        <v>461.89164617142865</v>
      </c>
      <c r="N56" s="350">
        <f t="shared" si="14"/>
        <v>461.89164617142865</v>
      </c>
      <c r="O56" s="350">
        <f t="shared" si="14"/>
        <v>461.89164617142865</v>
      </c>
      <c r="P56" s="350">
        <f t="shared" si="14"/>
        <v>461.89164617142865</v>
      </c>
      <c r="Q56" s="350">
        <f t="shared" si="14"/>
        <v>461.89164617142865</v>
      </c>
      <c r="R56" s="350">
        <f t="shared" si="14"/>
        <v>461.89164617142865</v>
      </c>
    </row>
    <row r="57" spans="2:18" ht="28.55" x14ac:dyDescent="0.25">
      <c r="B57" s="556" t="s">
        <v>575</v>
      </c>
      <c r="C57" s="554">
        <v>60326015</v>
      </c>
      <c r="D57" s="354">
        <v>76.973277257142868</v>
      </c>
      <c r="E57" s="559">
        <v>2</v>
      </c>
      <c r="F57" s="294"/>
      <c r="G57" s="350">
        <f t="shared" si="14"/>
        <v>461.83966354285724</v>
      </c>
      <c r="H57" s="350">
        <f t="shared" si="14"/>
        <v>461.83966354285724</v>
      </c>
      <c r="I57" s="350">
        <f t="shared" si="14"/>
        <v>461.83966354285724</v>
      </c>
      <c r="J57" s="350">
        <f t="shared" si="14"/>
        <v>461.83966354285724</v>
      </c>
      <c r="K57" s="350">
        <f t="shared" si="14"/>
        <v>461.83966354285724</v>
      </c>
      <c r="L57" s="350">
        <f t="shared" si="14"/>
        <v>461.83966354285724</v>
      </c>
      <c r="M57" s="350">
        <f t="shared" si="14"/>
        <v>461.83966354285724</v>
      </c>
      <c r="N57" s="350">
        <f t="shared" si="14"/>
        <v>461.83966354285724</v>
      </c>
      <c r="O57" s="350">
        <f t="shared" si="14"/>
        <v>461.83966354285724</v>
      </c>
      <c r="P57" s="350">
        <f t="shared" si="14"/>
        <v>461.83966354285724</v>
      </c>
      <c r="Q57" s="350">
        <f t="shared" si="14"/>
        <v>461.83966354285724</v>
      </c>
      <c r="R57" s="350">
        <f t="shared" si="14"/>
        <v>461.83966354285724</v>
      </c>
    </row>
    <row r="58" spans="2:18" ht="28.55" x14ac:dyDescent="0.25">
      <c r="B58" s="556" t="s">
        <v>576</v>
      </c>
      <c r="C58" s="554">
        <v>60283940</v>
      </c>
      <c r="D58" s="354">
        <v>34.239224685714291</v>
      </c>
      <c r="E58" s="559">
        <v>1</v>
      </c>
      <c r="F58" s="294"/>
      <c r="G58" s="350">
        <f t="shared" si="14"/>
        <v>102.71767405714287</v>
      </c>
      <c r="H58" s="350">
        <f t="shared" si="14"/>
        <v>102.71767405714287</v>
      </c>
      <c r="I58" s="350">
        <f t="shared" si="14"/>
        <v>102.71767405714287</v>
      </c>
      <c r="J58" s="350">
        <f t="shared" si="14"/>
        <v>102.71767405714287</v>
      </c>
      <c r="K58" s="350">
        <f t="shared" si="14"/>
        <v>102.71767405714287</v>
      </c>
      <c r="L58" s="350">
        <f t="shared" si="14"/>
        <v>102.71767405714287</v>
      </c>
      <c r="M58" s="350">
        <f t="shared" si="14"/>
        <v>102.71767405714287</v>
      </c>
      <c r="N58" s="350">
        <f t="shared" si="14"/>
        <v>102.71767405714287</v>
      </c>
      <c r="O58" s="350">
        <f t="shared" si="14"/>
        <v>102.71767405714287</v>
      </c>
      <c r="P58" s="350">
        <f t="shared" si="14"/>
        <v>102.71767405714287</v>
      </c>
      <c r="Q58" s="350">
        <f t="shared" si="14"/>
        <v>102.71767405714287</v>
      </c>
      <c r="R58" s="350">
        <f t="shared" si="14"/>
        <v>102.71767405714287</v>
      </c>
    </row>
    <row r="59" spans="2:18" x14ac:dyDescent="0.25">
      <c r="B59" s="556" t="s">
        <v>577</v>
      </c>
      <c r="C59" s="554">
        <v>60186788</v>
      </c>
      <c r="D59" s="354">
        <v>4.7369170285714288</v>
      </c>
      <c r="E59" s="559">
        <v>2</v>
      </c>
      <c r="F59" s="358"/>
      <c r="G59" s="350">
        <f>IF(G$16=0,0,G$16/$D$16*$E59*$D59)</f>
        <v>28.421502171428571</v>
      </c>
      <c r="H59" s="350">
        <f t="shared" si="14"/>
        <v>28.421502171428571</v>
      </c>
      <c r="I59" s="350">
        <f t="shared" si="14"/>
        <v>28.421502171428571</v>
      </c>
      <c r="J59" s="350">
        <f t="shared" si="14"/>
        <v>28.421502171428571</v>
      </c>
      <c r="K59" s="350">
        <f t="shared" si="14"/>
        <v>28.421502171428571</v>
      </c>
      <c r="L59" s="350">
        <f t="shared" si="14"/>
        <v>28.421502171428571</v>
      </c>
      <c r="M59" s="350">
        <f t="shared" si="14"/>
        <v>28.421502171428571</v>
      </c>
      <c r="N59" s="350">
        <f t="shared" si="14"/>
        <v>28.421502171428571</v>
      </c>
      <c r="O59" s="350">
        <f t="shared" si="14"/>
        <v>28.421502171428571</v>
      </c>
      <c r="P59" s="350">
        <f t="shared" si="14"/>
        <v>28.421502171428571</v>
      </c>
      <c r="Q59" s="350">
        <f t="shared" si="14"/>
        <v>28.421502171428571</v>
      </c>
      <c r="R59" s="350">
        <f t="shared" si="14"/>
        <v>28.421502171428571</v>
      </c>
    </row>
    <row r="60" spans="2:18" x14ac:dyDescent="0.25">
      <c r="B60" s="556" t="s">
        <v>578</v>
      </c>
      <c r="C60" s="554">
        <v>60205016</v>
      </c>
      <c r="D60" s="354">
        <v>158.5383533714286</v>
      </c>
      <c r="E60" s="559">
        <v>2</v>
      </c>
      <c r="F60" s="358"/>
      <c r="G60" s="350">
        <f t="shared" ref="G60:R64" si="15">IF(G$16=0,0,G$16/$D$16*$E60*$D60)</f>
        <v>951.23012022857165</v>
      </c>
      <c r="H60" s="350">
        <f t="shared" si="15"/>
        <v>951.23012022857165</v>
      </c>
      <c r="I60" s="350">
        <f t="shared" si="15"/>
        <v>951.23012022857165</v>
      </c>
      <c r="J60" s="350">
        <f t="shared" si="15"/>
        <v>951.23012022857165</v>
      </c>
      <c r="K60" s="350">
        <f t="shared" si="15"/>
        <v>951.23012022857165</v>
      </c>
      <c r="L60" s="350">
        <f t="shared" si="15"/>
        <v>951.23012022857165</v>
      </c>
      <c r="M60" s="350">
        <f t="shared" si="15"/>
        <v>951.23012022857165</v>
      </c>
      <c r="N60" s="350">
        <f t="shared" si="15"/>
        <v>951.23012022857165</v>
      </c>
      <c r="O60" s="350">
        <f t="shared" si="15"/>
        <v>951.23012022857165</v>
      </c>
      <c r="P60" s="350">
        <f t="shared" si="15"/>
        <v>951.23012022857165</v>
      </c>
      <c r="Q60" s="350">
        <f t="shared" si="15"/>
        <v>951.23012022857165</v>
      </c>
      <c r="R60" s="350">
        <f t="shared" si="15"/>
        <v>951.23012022857165</v>
      </c>
    </row>
    <row r="61" spans="2:18" x14ac:dyDescent="0.25">
      <c r="B61" s="556" t="s">
        <v>579</v>
      </c>
      <c r="C61" s="554">
        <v>60046289</v>
      </c>
      <c r="D61" s="354">
        <v>127.30112548571429</v>
      </c>
      <c r="E61" s="559">
        <v>2</v>
      </c>
      <c r="F61" s="358"/>
      <c r="G61" s="350">
        <f t="shared" si="15"/>
        <v>763.80675291428577</v>
      </c>
      <c r="H61" s="350">
        <f t="shared" si="14"/>
        <v>763.80675291428577</v>
      </c>
      <c r="I61" s="350">
        <f t="shared" si="14"/>
        <v>763.80675291428577</v>
      </c>
      <c r="J61" s="350">
        <f t="shared" si="14"/>
        <v>763.80675291428577</v>
      </c>
      <c r="K61" s="350">
        <f t="shared" si="14"/>
        <v>763.80675291428577</v>
      </c>
      <c r="L61" s="350">
        <f t="shared" si="14"/>
        <v>763.80675291428577</v>
      </c>
      <c r="M61" s="350">
        <f t="shared" si="14"/>
        <v>763.80675291428577</v>
      </c>
      <c r="N61" s="350">
        <f t="shared" si="14"/>
        <v>763.80675291428577</v>
      </c>
      <c r="O61" s="350">
        <f t="shared" si="14"/>
        <v>763.80675291428577</v>
      </c>
      <c r="P61" s="350">
        <f t="shared" si="14"/>
        <v>763.80675291428577</v>
      </c>
      <c r="Q61" s="350">
        <f t="shared" si="14"/>
        <v>763.80675291428577</v>
      </c>
      <c r="R61" s="350">
        <f t="shared" si="14"/>
        <v>763.80675291428577</v>
      </c>
    </row>
    <row r="62" spans="2:18" x14ac:dyDescent="0.25">
      <c r="B62" s="556" t="s">
        <v>580</v>
      </c>
      <c r="C62" s="554" t="s">
        <v>581</v>
      </c>
      <c r="D62" s="354">
        <v>5</v>
      </c>
      <c r="E62" s="559">
        <v>320</v>
      </c>
      <c r="F62" s="358"/>
      <c r="G62" s="350">
        <f t="shared" si="15"/>
        <v>4800</v>
      </c>
      <c r="H62" s="350">
        <f t="shared" si="14"/>
        <v>4800</v>
      </c>
      <c r="I62" s="350">
        <f t="shared" si="14"/>
        <v>4800</v>
      </c>
      <c r="J62" s="350">
        <f t="shared" si="14"/>
        <v>4800</v>
      </c>
      <c r="K62" s="350">
        <f t="shared" si="14"/>
        <v>4800</v>
      </c>
      <c r="L62" s="350">
        <f t="shared" si="14"/>
        <v>4800</v>
      </c>
      <c r="M62" s="350">
        <f t="shared" si="14"/>
        <v>4800</v>
      </c>
      <c r="N62" s="350">
        <f t="shared" si="14"/>
        <v>4800</v>
      </c>
      <c r="O62" s="350">
        <f t="shared" si="14"/>
        <v>4800</v>
      </c>
      <c r="P62" s="350">
        <f t="shared" si="14"/>
        <v>4800</v>
      </c>
      <c r="Q62" s="350">
        <f t="shared" si="14"/>
        <v>4800</v>
      </c>
      <c r="R62" s="350">
        <f t="shared" si="14"/>
        <v>4800</v>
      </c>
    </row>
    <row r="63" spans="2:18" ht="71.349999999999994" x14ac:dyDescent="0.25">
      <c r="B63" s="556" t="s">
        <v>582</v>
      </c>
      <c r="C63" s="554" t="s">
        <v>583</v>
      </c>
      <c r="D63" s="354">
        <v>8</v>
      </c>
      <c r="E63" s="559">
        <v>80</v>
      </c>
      <c r="F63" s="358"/>
      <c r="G63" s="350">
        <f t="shared" si="15"/>
        <v>1920</v>
      </c>
      <c r="H63" s="350">
        <f t="shared" si="14"/>
        <v>1920</v>
      </c>
      <c r="I63" s="350">
        <f t="shared" si="14"/>
        <v>1920</v>
      </c>
      <c r="J63" s="350">
        <f t="shared" si="14"/>
        <v>1920</v>
      </c>
      <c r="K63" s="350">
        <f t="shared" si="14"/>
        <v>1920</v>
      </c>
      <c r="L63" s="350">
        <f t="shared" si="14"/>
        <v>1920</v>
      </c>
      <c r="M63" s="350">
        <f t="shared" si="14"/>
        <v>1920</v>
      </c>
      <c r="N63" s="350">
        <f t="shared" si="14"/>
        <v>1920</v>
      </c>
      <c r="O63" s="350">
        <f t="shared" si="14"/>
        <v>1920</v>
      </c>
      <c r="P63" s="350">
        <f t="shared" si="14"/>
        <v>1920</v>
      </c>
      <c r="Q63" s="350">
        <f t="shared" si="14"/>
        <v>1920</v>
      </c>
      <c r="R63" s="350">
        <f t="shared" si="14"/>
        <v>1920</v>
      </c>
    </row>
    <row r="64" spans="2:18" ht="71.349999999999994" x14ac:dyDescent="0.25">
      <c r="B64" s="556" t="s">
        <v>584</v>
      </c>
      <c r="C64" s="554" t="s">
        <v>583</v>
      </c>
      <c r="D64" s="354">
        <v>8</v>
      </c>
      <c r="E64" s="559">
        <v>100</v>
      </c>
      <c r="F64" s="358"/>
      <c r="G64" s="350">
        <f t="shared" si="15"/>
        <v>2400</v>
      </c>
      <c r="H64" s="350">
        <f t="shared" si="15"/>
        <v>2400</v>
      </c>
      <c r="I64" s="350">
        <f t="shared" si="15"/>
        <v>2400</v>
      </c>
      <c r="J64" s="350">
        <f t="shared" si="15"/>
        <v>2400</v>
      </c>
      <c r="K64" s="350">
        <f t="shared" si="15"/>
        <v>2400</v>
      </c>
      <c r="L64" s="350">
        <f t="shared" si="15"/>
        <v>2400</v>
      </c>
      <c r="M64" s="350">
        <f t="shared" si="15"/>
        <v>2400</v>
      </c>
      <c r="N64" s="350">
        <f t="shared" si="15"/>
        <v>2400</v>
      </c>
      <c r="O64" s="350">
        <f t="shared" si="15"/>
        <v>2400</v>
      </c>
      <c r="P64" s="350">
        <f t="shared" si="15"/>
        <v>2400</v>
      </c>
      <c r="Q64" s="350">
        <f t="shared" si="15"/>
        <v>2400</v>
      </c>
      <c r="R64" s="350">
        <f t="shared" si="15"/>
        <v>2400</v>
      </c>
    </row>
    <row r="65" spans="2:18" x14ac:dyDescent="0.25">
      <c r="B65" s="347" t="s">
        <v>552</v>
      </c>
      <c r="C65" s="553"/>
      <c r="D65" s="348"/>
      <c r="E65" s="349">
        <f>VLOOKUP($B65,$B$14:$C$19,2,FALSE)</f>
        <v>4000</v>
      </c>
      <c r="F65" s="294">
        <f>VLOOKUP($B65,$B$14:$E$19,4,FALSE)</f>
        <v>1</v>
      </c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</row>
    <row r="66" spans="2:18" x14ac:dyDescent="0.25">
      <c r="B66" s="352" t="s">
        <v>555</v>
      </c>
      <c r="C66" s="554" t="s">
        <v>556</v>
      </c>
      <c r="D66" s="354">
        <v>45.066773028571426</v>
      </c>
      <c r="E66" s="558">
        <v>3</v>
      </c>
      <c r="F66" s="294"/>
      <c r="G66" s="350">
        <f t="shared" ref="G66:R81" si="16">IF(G$17=0,0,G$17/$D$17*$E66*$D66)</f>
        <v>135.20031908571428</v>
      </c>
      <c r="H66" s="350">
        <f t="shared" si="16"/>
        <v>135.20031908571428</v>
      </c>
      <c r="I66" s="350">
        <f t="shared" si="16"/>
        <v>135.20031908571428</v>
      </c>
      <c r="J66" s="350">
        <f t="shared" si="16"/>
        <v>135.20031908571428</v>
      </c>
      <c r="K66" s="350">
        <f t="shared" si="16"/>
        <v>135.20031908571428</v>
      </c>
      <c r="L66" s="350">
        <f t="shared" si="16"/>
        <v>135.20031908571428</v>
      </c>
      <c r="M66" s="350">
        <f t="shared" si="16"/>
        <v>135.20031908571428</v>
      </c>
      <c r="N66" s="350">
        <f t="shared" si="16"/>
        <v>135.20031908571428</v>
      </c>
      <c r="O66" s="350">
        <f t="shared" si="16"/>
        <v>135.20031908571428</v>
      </c>
      <c r="P66" s="350">
        <f t="shared" si="16"/>
        <v>135.20031908571428</v>
      </c>
      <c r="Q66" s="350">
        <f t="shared" si="16"/>
        <v>135.20031908571428</v>
      </c>
      <c r="R66" s="350">
        <f t="shared" si="16"/>
        <v>135.20031908571428</v>
      </c>
    </row>
    <row r="67" spans="2:18" x14ac:dyDescent="0.25">
      <c r="B67" s="352" t="s">
        <v>557</v>
      </c>
      <c r="C67" s="554" t="s">
        <v>558</v>
      </c>
      <c r="D67" s="354">
        <v>38.614429257142859</v>
      </c>
      <c r="E67" s="558">
        <v>3</v>
      </c>
      <c r="F67" s="294"/>
      <c r="G67" s="350">
        <f t="shared" si="16"/>
        <v>115.84328777142858</v>
      </c>
      <c r="H67" s="350">
        <f t="shared" si="16"/>
        <v>115.84328777142858</v>
      </c>
      <c r="I67" s="350">
        <f t="shared" si="16"/>
        <v>115.84328777142858</v>
      </c>
      <c r="J67" s="350">
        <f t="shared" si="16"/>
        <v>115.84328777142858</v>
      </c>
      <c r="K67" s="350">
        <f t="shared" si="16"/>
        <v>115.84328777142858</v>
      </c>
      <c r="L67" s="350">
        <f t="shared" si="16"/>
        <v>115.84328777142858</v>
      </c>
      <c r="M67" s="350">
        <f t="shared" si="16"/>
        <v>115.84328777142858</v>
      </c>
      <c r="N67" s="350">
        <f t="shared" si="16"/>
        <v>115.84328777142858</v>
      </c>
      <c r="O67" s="350">
        <f t="shared" si="16"/>
        <v>115.84328777142858</v>
      </c>
      <c r="P67" s="350">
        <f t="shared" si="16"/>
        <v>115.84328777142858</v>
      </c>
      <c r="Q67" s="350">
        <f t="shared" si="16"/>
        <v>115.84328777142858</v>
      </c>
      <c r="R67" s="350">
        <f t="shared" si="16"/>
        <v>115.84328777142858</v>
      </c>
    </row>
    <row r="68" spans="2:18" ht="28.55" x14ac:dyDescent="0.25">
      <c r="B68" s="352" t="s">
        <v>559</v>
      </c>
      <c r="C68" s="555" t="s">
        <v>560</v>
      </c>
      <c r="D68" s="354">
        <v>11.858537142857143</v>
      </c>
      <c r="E68" s="558">
        <v>6</v>
      </c>
      <c r="F68" s="294"/>
      <c r="G68" s="350">
        <f t="shared" si="16"/>
        <v>71.151222857142855</v>
      </c>
      <c r="H68" s="350">
        <f t="shared" si="16"/>
        <v>71.151222857142855</v>
      </c>
      <c r="I68" s="350">
        <f t="shared" si="16"/>
        <v>71.151222857142855</v>
      </c>
      <c r="J68" s="350">
        <f t="shared" si="16"/>
        <v>71.151222857142855</v>
      </c>
      <c r="K68" s="350">
        <f t="shared" si="16"/>
        <v>71.151222857142855</v>
      </c>
      <c r="L68" s="350">
        <f t="shared" si="16"/>
        <v>71.151222857142855</v>
      </c>
      <c r="M68" s="350">
        <f t="shared" si="16"/>
        <v>71.151222857142855</v>
      </c>
      <c r="N68" s="350">
        <f t="shared" si="16"/>
        <v>71.151222857142855</v>
      </c>
      <c r="O68" s="350">
        <f t="shared" si="16"/>
        <v>71.151222857142855</v>
      </c>
      <c r="P68" s="350">
        <f t="shared" si="16"/>
        <v>71.151222857142855</v>
      </c>
      <c r="Q68" s="350">
        <f t="shared" si="16"/>
        <v>71.151222857142855</v>
      </c>
      <c r="R68" s="350">
        <f t="shared" si="16"/>
        <v>71.151222857142855</v>
      </c>
    </row>
    <row r="69" spans="2:18" x14ac:dyDescent="0.25">
      <c r="B69" s="352" t="s">
        <v>571</v>
      </c>
      <c r="C69" s="554" t="s">
        <v>562</v>
      </c>
      <c r="D69" s="354">
        <v>28.363021714285715</v>
      </c>
      <c r="E69" s="558">
        <v>6</v>
      </c>
      <c r="F69" s="294"/>
      <c r="G69" s="350">
        <f t="shared" si="16"/>
        <v>170.1781302857143</v>
      </c>
      <c r="H69" s="350">
        <f t="shared" si="16"/>
        <v>170.1781302857143</v>
      </c>
      <c r="I69" s="350">
        <f t="shared" si="16"/>
        <v>170.1781302857143</v>
      </c>
      <c r="J69" s="350">
        <f t="shared" si="16"/>
        <v>170.1781302857143</v>
      </c>
      <c r="K69" s="350">
        <f t="shared" si="16"/>
        <v>170.1781302857143</v>
      </c>
      <c r="L69" s="350">
        <f t="shared" si="16"/>
        <v>170.1781302857143</v>
      </c>
      <c r="M69" s="350">
        <f t="shared" si="16"/>
        <v>170.1781302857143</v>
      </c>
      <c r="N69" s="350">
        <f t="shared" si="16"/>
        <v>170.1781302857143</v>
      </c>
      <c r="O69" s="350">
        <f t="shared" si="16"/>
        <v>170.1781302857143</v>
      </c>
      <c r="P69" s="350">
        <f t="shared" si="16"/>
        <v>170.1781302857143</v>
      </c>
      <c r="Q69" s="350">
        <f t="shared" si="16"/>
        <v>170.1781302857143</v>
      </c>
      <c r="R69" s="350">
        <f t="shared" si="16"/>
        <v>170.1781302857143</v>
      </c>
    </row>
    <row r="70" spans="2:18" x14ac:dyDescent="0.25">
      <c r="B70" s="556" t="s">
        <v>572</v>
      </c>
      <c r="C70" s="554" t="s">
        <v>564</v>
      </c>
      <c r="D70" s="354">
        <v>120.70149760000001</v>
      </c>
      <c r="E70" s="558">
        <v>4</v>
      </c>
      <c r="F70" s="294"/>
      <c r="G70" s="350">
        <f t="shared" si="16"/>
        <v>482.80599040000004</v>
      </c>
      <c r="H70" s="350">
        <f t="shared" si="16"/>
        <v>482.80599040000004</v>
      </c>
      <c r="I70" s="350">
        <f t="shared" si="16"/>
        <v>482.80599040000004</v>
      </c>
      <c r="J70" s="350">
        <f t="shared" si="16"/>
        <v>482.80599040000004</v>
      </c>
      <c r="K70" s="350">
        <f t="shared" si="16"/>
        <v>482.80599040000004</v>
      </c>
      <c r="L70" s="350">
        <f t="shared" si="16"/>
        <v>482.80599040000004</v>
      </c>
      <c r="M70" s="350">
        <f t="shared" si="16"/>
        <v>482.80599040000004</v>
      </c>
      <c r="N70" s="350">
        <f t="shared" si="16"/>
        <v>482.80599040000004</v>
      </c>
      <c r="O70" s="350">
        <f t="shared" si="16"/>
        <v>482.80599040000004</v>
      </c>
      <c r="P70" s="350">
        <f t="shared" si="16"/>
        <v>482.80599040000004</v>
      </c>
      <c r="Q70" s="350">
        <f t="shared" si="16"/>
        <v>482.80599040000004</v>
      </c>
      <c r="R70" s="350">
        <f t="shared" si="16"/>
        <v>482.80599040000004</v>
      </c>
    </row>
    <row r="71" spans="2:18" ht="28.55" x14ac:dyDescent="0.25">
      <c r="B71" s="556" t="s">
        <v>565</v>
      </c>
      <c r="C71" s="554" t="s">
        <v>566</v>
      </c>
      <c r="D71" s="354">
        <v>61.642733714285718</v>
      </c>
      <c r="E71" s="558">
        <v>4</v>
      </c>
      <c r="F71" s="294"/>
      <c r="G71" s="350">
        <f t="shared" si="16"/>
        <v>246.57093485714287</v>
      </c>
      <c r="H71" s="350">
        <f t="shared" si="16"/>
        <v>246.57093485714287</v>
      </c>
      <c r="I71" s="350">
        <f t="shared" si="16"/>
        <v>246.57093485714287</v>
      </c>
      <c r="J71" s="350">
        <f t="shared" si="16"/>
        <v>246.57093485714287</v>
      </c>
      <c r="K71" s="350">
        <f t="shared" si="16"/>
        <v>246.57093485714287</v>
      </c>
      <c r="L71" s="350">
        <f t="shared" si="16"/>
        <v>246.57093485714287</v>
      </c>
      <c r="M71" s="350">
        <f t="shared" si="16"/>
        <v>246.57093485714287</v>
      </c>
      <c r="N71" s="350">
        <f t="shared" si="16"/>
        <v>246.57093485714287</v>
      </c>
      <c r="O71" s="350">
        <f t="shared" si="16"/>
        <v>246.57093485714287</v>
      </c>
      <c r="P71" s="350">
        <f t="shared" si="16"/>
        <v>246.57093485714287</v>
      </c>
      <c r="Q71" s="350">
        <f t="shared" si="16"/>
        <v>246.57093485714287</v>
      </c>
      <c r="R71" s="350">
        <f t="shared" si="16"/>
        <v>246.57093485714287</v>
      </c>
    </row>
    <row r="72" spans="2:18" ht="28.55" x14ac:dyDescent="0.25">
      <c r="B72" s="352" t="s">
        <v>567</v>
      </c>
      <c r="C72" s="557" t="s">
        <v>568</v>
      </c>
      <c r="D72" s="354">
        <v>8</v>
      </c>
      <c r="E72" s="558">
        <v>150</v>
      </c>
      <c r="F72" s="294"/>
      <c r="G72" s="350">
        <f t="shared" si="16"/>
        <v>1200</v>
      </c>
      <c r="H72" s="350">
        <f t="shared" si="16"/>
        <v>1200</v>
      </c>
      <c r="I72" s="350">
        <f t="shared" si="16"/>
        <v>1200</v>
      </c>
      <c r="J72" s="350">
        <f t="shared" si="16"/>
        <v>1200</v>
      </c>
      <c r="K72" s="350">
        <f t="shared" si="16"/>
        <v>1200</v>
      </c>
      <c r="L72" s="350">
        <f t="shared" si="16"/>
        <v>1200</v>
      </c>
      <c r="M72" s="350">
        <f t="shared" si="16"/>
        <v>1200</v>
      </c>
      <c r="N72" s="350">
        <f t="shared" si="16"/>
        <v>1200</v>
      </c>
      <c r="O72" s="350">
        <f t="shared" si="16"/>
        <v>1200</v>
      </c>
      <c r="P72" s="350">
        <f t="shared" si="16"/>
        <v>1200</v>
      </c>
      <c r="Q72" s="350">
        <f t="shared" si="16"/>
        <v>1200</v>
      </c>
      <c r="R72" s="350">
        <f t="shared" si="16"/>
        <v>1200</v>
      </c>
    </row>
    <row r="73" spans="2:18" x14ac:dyDescent="0.25">
      <c r="B73" s="352" t="s">
        <v>569</v>
      </c>
      <c r="C73" s="554" t="s">
        <v>570</v>
      </c>
      <c r="D73" s="354">
        <v>18</v>
      </c>
      <c r="E73" s="558">
        <v>10</v>
      </c>
      <c r="F73" s="294"/>
      <c r="G73" s="350">
        <f t="shared" si="16"/>
        <v>180</v>
      </c>
      <c r="H73" s="350">
        <f t="shared" si="16"/>
        <v>180</v>
      </c>
      <c r="I73" s="350">
        <f t="shared" si="16"/>
        <v>180</v>
      </c>
      <c r="J73" s="350">
        <f t="shared" si="16"/>
        <v>180</v>
      </c>
      <c r="K73" s="350">
        <f t="shared" si="16"/>
        <v>180</v>
      </c>
      <c r="L73" s="350">
        <f t="shared" si="16"/>
        <v>180</v>
      </c>
      <c r="M73" s="350">
        <f t="shared" si="16"/>
        <v>180</v>
      </c>
      <c r="N73" s="350">
        <f t="shared" si="16"/>
        <v>180</v>
      </c>
      <c r="O73" s="350">
        <f t="shared" si="16"/>
        <v>180</v>
      </c>
      <c r="P73" s="350">
        <f t="shared" si="16"/>
        <v>180</v>
      </c>
      <c r="Q73" s="350">
        <f t="shared" si="16"/>
        <v>180</v>
      </c>
      <c r="R73" s="350">
        <f t="shared" si="16"/>
        <v>180</v>
      </c>
    </row>
    <row r="74" spans="2:18" x14ac:dyDescent="0.25">
      <c r="B74" s="556" t="s">
        <v>573</v>
      </c>
      <c r="C74" s="554" t="s">
        <v>574</v>
      </c>
      <c r="D74" s="354">
        <v>153.96388205714288</v>
      </c>
      <c r="E74" s="559">
        <v>1</v>
      </c>
      <c r="F74" s="294"/>
      <c r="G74" s="350">
        <f t="shared" si="16"/>
        <v>153.96388205714288</v>
      </c>
      <c r="H74" s="350">
        <f t="shared" si="16"/>
        <v>153.96388205714288</v>
      </c>
      <c r="I74" s="350">
        <f t="shared" si="16"/>
        <v>153.96388205714288</v>
      </c>
      <c r="J74" s="350">
        <f t="shared" si="16"/>
        <v>153.96388205714288</v>
      </c>
      <c r="K74" s="350">
        <f t="shared" si="16"/>
        <v>153.96388205714288</v>
      </c>
      <c r="L74" s="350">
        <f t="shared" si="16"/>
        <v>153.96388205714288</v>
      </c>
      <c r="M74" s="350">
        <f t="shared" si="16"/>
        <v>153.96388205714288</v>
      </c>
      <c r="N74" s="350">
        <f t="shared" si="16"/>
        <v>153.96388205714288</v>
      </c>
      <c r="O74" s="350">
        <f t="shared" si="16"/>
        <v>153.96388205714288</v>
      </c>
      <c r="P74" s="350">
        <f t="shared" si="16"/>
        <v>153.96388205714288</v>
      </c>
      <c r="Q74" s="350">
        <f t="shared" si="16"/>
        <v>153.96388205714288</v>
      </c>
      <c r="R74" s="350">
        <f t="shared" si="16"/>
        <v>153.96388205714288</v>
      </c>
    </row>
    <row r="75" spans="2:18" ht="28.55" x14ac:dyDescent="0.25">
      <c r="B75" s="556" t="s">
        <v>575</v>
      </c>
      <c r="C75" s="554">
        <v>60326015</v>
      </c>
      <c r="D75" s="354">
        <v>76.973277257142868</v>
      </c>
      <c r="E75" s="559">
        <v>2</v>
      </c>
      <c r="F75" s="294"/>
      <c r="G75" s="350">
        <f t="shared" si="16"/>
        <v>153.94655451428574</v>
      </c>
      <c r="H75" s="350">
        <f t="shared" si="16"/>
        <v>153.94655451428574</v>
      </c>
      <c r="I75" s="350">
        <f t="shared" si="16"/>
        <v>153.94655451428574</v>
      </c>
      <c r="J75" s="350">
        <f t="shared" si="16"/>
        <v>153.94655451428574</v>
      </c>
      <c r="K75" s="350">
        <f t="shared" si="16"/>
        <v>153.94655451428574</v>
      </c>
      <c r="L75" s="350">
        <f t="shared" si="16"/>
        <v>153.94655451428574</v>
      </c>
      <c r="M75" s="350">
        <f t="shared" si="16"/>
        <v>153.94655451428574</v>
      </c>
      <c r="N75" s="350">
        <f t="shared" si="16"/>
        <v>153.94655451428574</v>
      </c>
      <c r="O75" s="350">
        <f t="shared" si="16"/>
        <v>153.94655451428574</v>
      </c>
      <c r="P75" s="350">
        <f t="shared" si="16"/>
        <v>153.94655451428574</v>
      </c>
      <c r="Q75" s="350">
        <f t="shared" si="16"/>
        <v>153.94655451428574</v>
      </c>
      <c r="R75" s="350">
        <f t="shared" si="16"/>
        <v>153.94655451428574</v>
      </c>
    </row>
    <row r="76" spans="2:18" ht="28.55" x14ac:dyDescent="0.25">
      <c r="B76" s="556" t="s">
        <v>576</v>
      </c>
      <c r="C76" s="554">
        <v>60283940</v>
      </c>
      <c r="D76" s="354">
        <v>34.239224685714291</v>
      </c>
      <c r="E76" s="559">
        <v>1</v>
      </c>
      <c r="F76" s="294"/>
      <c r="G76" s="350">
        <f t="shared" si="16"/>
        <v>34.239224685714291</v>
      </c>
      <c r="H76" s="350">
        <f t="shared" si="16"/>
        <v>34.239224685714291</v>
      </c>
      <c r="I76" s="350">
        <f t="shared" si="16"/>
        <v>34.239224685714291</v>
      </c>
      <c r="J76" s="350">
        <f t="shared" si="16"/>
        <v>34.239224685714291</v>
      </c>
      <c r="K76" s="350">
        <f t="shared" si="16"/>
        <v>34.239224685714291</v>
      </c>
      <c r="L76" s="350">
        <f t="shared" si="16"/>
        <v>34.239224685714291</v>
      </c>
      <c r="M76" s="350">
        <f t="shared" si="16"/>
        <v>34.239224685714291</v>
      </c>
      <c r="N76" s="350">
        <f t="shared" si="16"/>
        <v>34.239224685714291</v>
      </c>
      <c r="O76" s="350">
        <f t="shared" si="16"/>
        <v>34.239224685714291</v>
      </c>
      <c r="P76" s="350">
        <f t="shared" si="16"/>
        <v>34.239224685714291</v>
      </c>
      <c r="Q76" s="350">
        <f t="shared" si="16"/>
        <v>34.239224685714291</v>
      </c>
      <c r="R76" s="350">
        <f t="shared" si="16"/>
        <v>34.239224685714291</v>
      </c>
    </row>
    <row r="77" spans="2:18" x14ac:dyDescent="0.25">
      <c r="B77" s="556" t="s">
        <v>577</v>
      </c>
      <c r="C77" s="554">
        <v>60186788</v>
      </c>
      <c r="D77" s="354">
        <v>4.7369170285714288</v>
      </c>
      <c r="E77" s="559">
        <v>2</v>
      </c>
      <c r="F77" s="294"/>
      <c r="G77" s="350">
        <f t="shared" si="16"/>
        <v>9.4738340571428576</v>
      </c>
      <c r="H77" s="350">
        <f t="shared" si="16"/>
        <v>9.4738340571428576</v>
      </c>
      <c r="I77" s="350">
        <f t="shared" si="16"/>
        <v>9.4738340571428576</v>
      </c>
      <c r="J77" s="350">
        <f t="shared" si="16"/>
        <v>9.4738340571428576</v>
      </c>
      <c r="K77" s="350">
        <f t="shared" si="16"/>
        <v>9.4738340571428576</v>
      </c>
      <c r="L77" s="350">
        <f t="shared" si="16"/>
        <v>9.4738340571428576</v>
      </c>
      <c r="M77" s="350">
        <f t="shared" si="16"/>
        <v>9.4738340571428576</v>
      </c>
      <c r="N77" s="350">
        <f t="shared" si="16"/>
        <v>9.4738340571428576</v>
      </c>
      <c r="O77" s="350">
        <f t="shared" si="16"/>
        <v>9.4738340571428576</v>
      </c>
      <c r="P77" s="350">
        <f t="shared" si="16"/>
        <v>9.4738340571428576</v>
      </c>
      <c r="Q77" s="350">
        <f t="shared" si="16"/>
        <v>9.4738340571428576</v>
      </c>
      <c r="R77" s="350">
        <f t="shared" si="16"/>
        <v>9.4738340571428576</v>
      </c>
    </row>
    <row r="78" spans="2:18" x14ac:dyDescent="0.25">
      <c r="B78" s="556" t="s">
        <v>578</v>
      </c>
      <c r="C78" s="554">
        <v>60205016</v>
      </c>
      <c r="D78" s="354">
        <v>158.5383533714286</v>
      </c>
      <c r="E78" s="559">
        <v>2</v>
      </c>
      <c r="F78" s="358"/>
      <c r="G78" s="350">
        <f>IF(G$17=0,0,G$17/$D$17*$E78*$D78)</f>
        <v>317.0767067428572</v>
      </c>
      <c r="H78" s="350">
        <f t="shared" si="16"/>
        <v>317.0767067428572</v>
      </c>
      <c r="I78" s="350">
        <f t="shared" si="16"/>
        <v>317.0767067428572</v>
      </c>
      <c r="J78" s="350">
        <f t="shared" si="16"/>
        <v>317.0767067428572</v>
      </c>
      <c r="K78" s="350">
        <f t="shared" si="16"/>
        <v>317.0767067428572</v>
      </c>
      <c r="L78" s="350">
        <f t="shared" si="16"/>
        <v>317.0767067428572</v>
      </c>
      <c r="M78" s="350">
        <f t="shared" si="16"/>
        <v>317.0767067428572</v>
      </c>
      <c r="N78" s="350">
        <f t="shared" si="16"/>
        <v>317.0767067428572</v>
      </c>
      <c r="O78" s="350">
        <f t="shared" si="16"/>
        <v>317.0767067428572</v>
      </c>
      <c r="P78" s="350">
        <f t="shared" si="16"/>
        <v>317.0767067428572</v>
      </c>
      <c r="Q78" s="350">
        <f t="shared" si="16"/>
        <v>317.0767067428572</v>
      </c>
      <c r="R78" s="350">
        <f t="shared" si="16"/>
        <v>317.0767067428572</v>
      </c>
    </row>
    <row r="79" spans="2:18" x14ac:dyDescent="0.25">
      <c r="B79" s="556" t="s">
        <v>579</v>
      </c>
      <c r="C79" s="554">
        <v>60046289</v>
      </c>
      <c r="D79" s="354">
        <v>127.30112548571429</v>
      </c>
      <c r="E79" s="559">
        <v>2</v>
      </c>
      <c r="F79" s="358"/>
      <c r="G79" s="350">
        <f t="shared" ref="G79:R83" si="17">IF(G$17=0,0,G$17/$D$17*$E79*$D79)</f>
        <v>254.60225097142859</v>
      </c>
      <c r="H79" s="350">
        <f t="shared" si="17"/>
        <v>254.60225097142859</v>
      </c>
      <c r="I79" s="350">
        <f t="shared" si="17"/>
        <v>254.60225097142859</v>
      </c>
      <c r="J79" s="350">
        <f t="shared" si="17"/>
        <v>254.60225097142859</v>
      </c>
      <c r="K79" s="350">
        <f t="shared" si="17"/>
        <v>254.60225097142859</v>
      </c>
      <c r="L79" s="350">
        <f t="shared" si="17"/>
        <v>254.60225097142859</v>
      </c>
      <c r="M79" s="350">
        <f t="shared" si="17"/>
        <v>254.60225097142859</v>
      </c>
      <c r="N79" s="350">
        <f t="shared" si="17"/>
        <v>254.60225097142859</v>
      </c>
      <c r="O79" s="350">
        <f t="shared" si="17"/>
        <v>254.60225097142859</v>
      </c>
      <c r="P79" s="350">
        <f t="shared" si="17"/>
        <v>254.60225097142859</v>
      </c>
      <c r="Q79" s="350">
        <f t="shared" si="17"/>
        <v>254.60225097142859</v>
      </c>
      <c r="R79" s="350">
        <f t="shared" si="17"/>
        <v>254.60225097142859</v>
      </c>
    </row>
    <row r="80" spans="2:18" x14ac:dyDescent="0.25">
      <c r="B80" s="556" t="s">
        <v>580</v>
      </c>
      <c r="C80" s="554" t="s">
        <v>581</v>
      </c>
      <c r="D80" s="354">
        <v>5</v>
      </c>
      <c r="E80" s="559">
        <v>320</v>
      </c>
      <c r="F80" s="358"/>
      <c r="G80" s="350">
        <f t="shared" si="17"/>
        <v>1600</v>
      </c>
      <c r="H80" s="350">
        <f t="shared" si="16"/>
        <v>1600</v>
      </c>
      <c r="I80" s="350">
        <f t="shared" si="16"/>
        <v>1600</v>
      </c>
      <c r="J80" s="350">
        <f t="shared" si="16"/>
        <v>1600</v>
      </c>
      <c r="K80" s="350">
        <f t="shared" si="16"/>
        <v>1600</v>
      </c>
      <c r="L80" s="350">
        <f t="shared" si="16"/>
        <v>1600</v>
      </c>
      <c r="M80" s="350">
        <f t="shared" si="16"/>
        <v>1600</v>
      </c>
      <c r="N80" s="350">
        <f t="shared" si="16"/>
        <v>1600</v>
      </c>
      <c r="O80" s="350">
        <f t="shared" si="16"/>
        <v>1600</v>
      </c>
      <c r="P80" s="350">
        <f t="shared" si="16"/>
        <v>1600</v>
      </c>
      <c r="Q80" s="350">
        <f t="shared" si="16"/>
        <v>1600</v>
      </c>
      <c r="R80" s="350">
        <f t="shared" si="16"/>
        <v>1600</v>
      </c>
    </row>
    <row r="81" spans="2:18" ht="71.349999999999994" x14ac:dyDescent="0.25">
      <c r="B81" s="556" t="s">
        <v>582</v>
      </c>
      <c r="C81" s="554" t="s">
        <v>583</v>
      </c>
      <c r="D81" s="354">
        <v>8</v>
      </c>
      <c r="E81" s="559">
        <v>80</v>
      </c>
      <c r="F81" s="358"/>
      <c r="G81" s="350">
        <f t="shared" si="17"/>
        <v>640</v>
      </c>
      <c r="H81" s="350">
        <f t="shared" si="16"/>
        <v>640</v>
      </c>
      <c r="I81" s="350">
        <f t="shared" si="16"/>
        <v>640</v>
      </c>
      <c r="J81" s="350">
        <f t="shared" si="16"/>
        <v>640</v>
      </c>
      <c r="K81" s="350">
        <f t="shared" si="16"/>
        <v>640</v>
      </c>
      <c r="L81" s="350">
        <f t="shared" si="16"/>
        <v>640</v>
      </c>
      <c r="M81" s="350">
        <f t="shared" si="16"/>
        <v>640</v>
      </c>
      <c r="N81" s="350">
        <f t="shared" si="16"/>
        <v>640</v>
      </c>
      <c r="O81" s="350">
        <f t="shared" si="16"/>
        <v>640</v>
      </c>
      <c r="P81" s="350">
        <f t="shared" si="16"/>
        <v>640</v>
      </c>
      <c r="Q81" s="350">
        <f t="shared" si="16"/>
        <v>640</v>
      </c>
      <c r="R81" s="350">
        <f t="shared" si="16"/>
        <v>640</v>
      </c>
    </row>
    <row r="82" spans="2:18" ht="71.349999999999994" x14ac:dyDescent="0.25">
      <c r="B82" s="556" t="s">
        <v>584</v>
      </c>
      <c r="C82" s="554" t="s">
        <v>583</v>
      </c>
      <c r="D82" s="354">
        <v>8</v>
      </c>
      <c r="E82" s="559">
        <v>100</v>
      </c>
      <c r="F82" s="358"/>
      <c r="G82" s="350">
        <f t="shared" si="17"/>
        <v>800</v>
      </c>
      <c r="H82" s="350">
        <f t="shared" si="17"/>
        <v>800</v>
      </c>
      <c r="I82" s="350">
        <f t="shared" si="17"/>
        <v>800</v>
      </c>
      <c r="J82" s="350">
        <f t="shared" si="17"/>
        <v>800</v>
      </c>
      <c r="K82" s="350">
        <f t="shared" si="17"/>
        <v>800</v>
      </c>
      <c r="L82" s="350">
        <f t="shared" si="17"/>
        <v>800</v>
      </c>
      <c r="M82" s="350">
        <f t="shared" si="17"/>
        <v>800</v>
      </c>
      <c r="N82" s="350">
        <f t="shared" si="17"/>
        <v>800</v>
      </c>
      <c r="O82" s="350">
        <f t="shared" si="17"/>
        <v>800</v>
      </c>
      <c r="P82" s="350">
        <f t="shared" si="17"/>
        <v>800</v>
      </c>
      <c r="Q82" s="350">
        <f t="shared" si="17"/>
        <v>800</v>
      </c>
      <c r="R82" s="350">
        <f t="shared" si="17"/>
        <v>800</v>
      </c>
    </row>
    <row r="83" spans="2:18" ht="28.55" x14ac:dyDescent="0.25">
      <c r="B83" s="556" t="s">
        <v>585</v>
      </c>
      <c r="C83" s="554" t="s">
        <v>586</v>
      </c>
      <c r="D83" s="354">
        <v>7</v>
      </c>
      <c r="E83" s="490">
        <v>900</v>
      </c>
      <c r="F83" s="358"/>
      <c r="G83" s="350">
        <f t="shared" si="17"/>
        <v>6300</v>
      </c>
      <c r="H83" s="350">
        <f t="shared" si="17"/>
        <v>6300</v>
      </c>
      <c r="I83" s="350">
        <f t="shared" si="17"/>
        <v>6300</v>
      </c>
      <c r="J83" s="350">
        <f t="shared" si="17"/>
        <v>6300</v>
      </c>
      <c r="K83" s="350">
        <f t="shared" si="17"/>
        <v>6300</v>
      </c>
      <c r="L83" s="350">
        <f t="shared" si="17"/>
        <v>6300</v>
      </c>
      <c r="M83" s="350">
        <f t="shared" si="17"/>
        <v>6300</v>
      </c>
      <c r="N83" s="350">
        <f t="shared" si="17"/>
        <v>6300</v>
      </c>
      <c r="O83" s="350">
        <f t="shared" si="17"/>
        <v>6300</v>
      </c>
      <c r="P83" s="350">
        <f t="shared" si="17"/>
        <v>6300</v>
      </c>
      <c r="Q83" s="350">
        <f t="shared" si="17"/>
        <v>6300</v>
      </c>
      <c r="R83" s="350">
        <f t="shared" si="17"/>
        <v>6300</v>
      </c>
    </row>
    <row r="84" spans="2:18" x14ac:dyDescent="0.25">
      <c r="B84" s="347" t="s">
        <v>553</v>
      </c>
      <c r="C84" s="553"/>
      <c r="D84" s="348"/>
      <c r="E84" s="349">
        <f>VLOOKUP($B84,$B$14:$C$19,2,FALSE)</f>
        <v>6000</v>
      </c>
      <c r="F84" s="294">
        <v>0</v>
      </c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</row>
    <row r="85" spans="2:18" x14ac:dyDescent="0.25">
      <c r="B85" s="352" t="s">
        <v>587</v>
      </c>
      <c r="C85" s="560"/>
      <c r="D85" s="354">
        <v>100</v>
      </c>
      <c r="E85" s="490">
        <v>0</v>
      </c>
      <c r="F85" s="358"/>
      <c r="G85" s="350">
        <f>IF(G$18=0,0,G$18/$D$18*$E85*$D85)</f>
        <v>0</v>
      </c>
      <c r="H85" s="350">
        <f t="shared" ref="H85:R90" si="18">IF(H$18=0,0,H$18/$D$18*$E85*$D85)</f>
        <v>0</v>
      </c>
      <c r="I85" s="350">
        <f t="shared" si="18"/>
        <v>0</v>
      </c>
      <c r="J85" s="350">
        <f t="shared" si="18"/>
        <v>0</v>
      </c>
      <c r="K85" s="350">
        <f t="shared" si="18"/>
        <v>0</v>
      </c>
      <c r="L85" s="350">
        <f t="shared" si="18"/>
        <v>0</v>
      </c>
      <c r="M85" s="350">
        <f t="shared" si="18"/>
        <v>0</v>
      </c>
      <c r="N85" s="350">
        <f t="shared" si="18"/>
        <v>0</v>
      </c>
      <c r="O85" s="350">
        <f t="shared" si="18"/>
        <v>0</v>
      </c>
      <c r="P85" s="350">
        <f t="shared" si="18"/>
        <v>0</v>
      </c>
      <c r="Q85" s="350">
        <f t="shared" si="18"/>
        <v>0</v>
      </c>
      <c r="R85" s="350">
        <f t="shared" si="18"/>
        <v>0</v>
      </c>
    </row>
    <row r="86" spans="2:18" x14ac:dyDescent="0.25">
      <c r="B86" s="352" t="s">
        <v>587</v>
      </c>
      <c r="C86" s="560"/>
      <c r="D86" s="354">
        <v>50</v>
      </c>
      <c r="E86" s="490">
        <v>0</v>
      </c>
      <c r="F86" s="358"/>
      <c r="G86" s="350">
        <f t="shared" ref="G86:R90" si="19">IF(G$18=0,0,G$18/$D$18*$E86*$D86)</f>
        <v>0</v>
      </c>
      <c r="H86" s="350">
        <f t="shared" si="19"/>
        <v>0</v>
      </c>
      <c r="I86" s="350">
        <f t="shared" si="19"/>
        <v>0</v>
      </c>
      <c r="J86" s="350">
        <f t="shared" si="19"/>
        <v>0</v>
      </c>
      <c r="K86" s="350">
        <f t="shared" si="19"/>
        <v>0</v>
      </c>
      <c r="L86" s="350">
        <f t="shared" si="19"/>
        <v>0</v>
      </c>
      <c r="M86" s="350">
        <f t="shared" si="19"/>
        <v>0</v>
      </c>
      <c r="N86" s="350">
        <f t="shared" si="19"/>
        <v>0</v>
      </c>
      <c r="O86" s="350">
        <f t="shared" si="19"/>
        <v>0</v>
      </c>
      <c r="P86" s="350">
        <f t="shared" si="19"/>
        <v>0</v>
      </c>
      <c r="Q86" s="350">
        <f t="shared" si="19"/>
        <v>0</v>
      </c>
      <c r="R86" s="350">
        <f t="shared" si="19"/>
        <v>0</v>
      </c>
    </row>
    <row r="87" spans="2:18" x14ac:dyDescent="0.25">
      <c r="B87" s="352" t="s">
        <v>588</v>
      </c>
      <c r="C87" s="560"/>
      <c r="D87" s="354">
        <v>3</v>
      </c>
      <c r="E87" s="490">
        <v>0</v>
      </c>
      <c r="F87" s="358"/>
      <c r="G87" s="350">
        <f t="shared" si="19"/>
        <v>0</v>
      </c>
      <c r="H87" s="350">
        <f t="shared" si="18"/>
        <v>0</v>
      </c>
      <c r="I87" s="350">
        <f t="shared" si="18"/>
        <v>0</v>
      </c>
      <c r="J87" s="350">
        <f t="shared" si="18"/>
        <v>0</v>
      </c>
      <c r="K87" s="350">
        <f t="shared" si="18"/>
        <v>0</v>
      </c>
      <c r="L87" s="350">
        <f t="shared" si="18"/>
        <v>0</v>
      </c>
      <c r="M87" s="350">
        <f t="shared" si="18"/>
        <v>0</v>
      </c>
      <c r="N87" s="350">
        <f t="shared" si="18"/>
        <v>0</v>
      </c>
      <c r="O87" s="350">
        <f t="shared" si="18"/>
        <v>0</v>
      </c>
      <c r="P87" s="350">
        <f t="shared" si="18"/>
        <v>0</v>
      </c>
      <c r="Q87" s="350">
        <f t="shared" si="18"/>
        <v>0</v>
      </c>
      <c r="R87" s="350">
        <f t="shared" si="18"/>
        <v>0</v>
      </c>
    </row>
    <row r="88" spans="2:18" x14ac:dyDescent="0.25">
      <c r="B88" s="352" t="s">
        <v>588</v>
      </c>
      <c r="C88" s="561"/>
      <c r="D88" s="354">
        <v>3</v>
      </c>
      <c r="E88" s="490">
        <v>0</v>
      </c>
      <c r="F88" s="358"/>
      <c r="G88" s="350">
        <f t="shared" si="19"/>
        <v>0</v>
      </c>
      <c r="H88" s="350">
        <f t="shared" si="18"/>
        <v>0</v>
      </c>
      <c r="I88" s="350">
        <f t="shared" si="18"/>
        <v>0</v>
      </c>
      <c r="J88" s="350">
        <f t="shared" si="18"/>
        <v>0</v>
      </c>
      <c r="K88" s="350">
        <f t="shared" si="18"/>
        <v>0</v>
      </c>
      <c r="L88" s="350">
        <f t="shared" si="18"/>
        <v>0</v>
      </c>
      <c r="M88" s="350">
        <f t="shared" si="18"/>
        <v>0</v>
      </c>
      <c r="N88" s="350">
        <f t="shared" si="18"/>
        <v>0</v>
      </c>
      <c r="O88" s="350">
        <f t="shared" si="18"/>
        <v>0</v>
      </c>
      <c r="P88" s="350">
        <f t="shared" si="18"/>
        <v>0</v>
      </c>
      <c r="Q88" s="350">
        <f t="shared" si="18"/>
        <v>0</v>
      </c>
      <c r="R88" s="350">
        <f t="shared" si="18"/>
        <v>0</v>
      </c>
    </row>
    <row r="89" spans="2:18" x14ac:dyDescent="0.25">
      <c r="B89" s="352" t="s">
        <v>589</v>
      </c>
      <c r="C89" s="561"/>
      <c r="D89" s="354">
        <v>5</v>
      </c>
      <c r="E89" s="490">
        <v>0</v>
      </c>
      <c r="F89" s="358"/>
      <c r="G89" s="350">
        <f t="shared" si="19"/>
        <v>0</v>
      </c>
      <c r="H89" s="350">
        <f t="shared" si="18"/>
        <v>0</v>
      </c>
      <c r="I89" s="350">
        <f t="shared" si="18"/>
        <v>0</v>
      </c>
      <c r="J89" s="350">
        <f t="shared" si="18"/>
        <v>0</v>
      </c>
      <c r="K89" s="350">
        <f t="shared" si="18"/>
        <v>0</v>
      </c>
      <c r="L89" s="350">
        <f t="shared" si="18"/>
        <v>0</v>
      </c>
      <c r="M89" s="350">
        <f t="shared" si="18"/>
        <v>0</v>
      </c>
      <c r="N89" s="350">
        <f t="shared" si="18"/>
        <v>0</v>
      </c>
      <c r="O89" s="350">
        <f t="shared" si="18"/>
        <v>0</v>
      </c>
      <c r="P89" s="350">
        <f t="shared" si="18"/>
        <v>0</v>
      </c>
      <c r="Q89" s="350">
        <f t="shared" si="18"/>
        <v>0</v>
      </c>
      <c r="R89" s="350">
        <f t="shared" si="18"/>
        <v>0</v>
      </c>
    </row>
    <row r="90" spans="2:18" x14ac:dyDescent="0.25">
      <c r="B90" s="352" t="s">
        <v>589</v>
      </c>
      <c r="C90" s="561"/>
      <c r="D90" s="354">
        <v>5</v>
      </c>
      <c r="E90" s="490">
        <v>0</v>
      </c>
      <c r="F90" s="358"/>
      <c r="G90" s="350">
        <f t="shared" si="19"/>
        <v>0</v>
      </c>
      <c r="H90" s="350">
        <f t="shared" si="18"/>
        <v>0</v>
      </c>
      <c r="I90" s="350">
        <f t="shared" si="18"/>
        <v>0</v>
      </c>
      <c r="J90" s="350">
        <f t="shared" si="18"/>
        <v>0</v>
      </c>
      <c r="K90" s="350">
        <f t="shared" si="18"/>
        <v>0</v>
      </c>
      <c r="L90" s="350">
        <f t="shared" si="18"/>
        <v>0</v>
      </c>
      <c r="M90" s="350">
        <f t="shared" si="18"/>
        <v>0</v>
      </c>
      <c r="N90" s="350">
        <f t="shared" si="18"/>
        <v>0</v>
      </c>
      <c r="O90" s="350">
        <f t="shared" si="18"/>
        <v>0</v>
      </c>
      <c r="P90" s="350">
        <f t="shared" si="18"/>
        <v>0</v>
      </c>
      <c r="Q90" s="350">
        <f t="shared" si="18"/>
        <v>0</v>
      </c>
      <c r="R90" s="350">
        <f t="shared" si="18"/>
        <v>0</v>
      </c>
    </row>
    <row r="91" spans="2:18" x14ac:dyDescent="0.25">
      <c r="B91" s="347" t="s">
        <v>554</v>
      </c>
      <c r="C91" s="553"/>
      <c r="D91" s="348"/>
      <c r="E91" s="349">
        <f>VLOOKUP($B91,$B$14:$C$19,2,FALSE)</f>
        <v>12000</v>
      </c>
      <c r="F91" s="358"/>
      <c r="G91" s="476"/>
      <c r="H91" s="476"/>
      <c r="I91" s="292"/>
      <c r="J91" s="476"/>
      <c r="K91" s="292"/>
      <c r="L91" s="476"/>
      <c r="M91" s="292"/>
      <c r="N91" s="476"/>
      <c r="O91" s="292"/>
      <c r="P91" s="476"/>
      <c r="Q91" s="292"/>
      <c r="R91" s="476"/>
    </row>
    <row r="92" spans="2:18" x14ac:dyDescent="0.25">
      <c r="B92" s="352" t="s">
        <v>587</v>
      </c>
      <c r="C92" s="560"/>
      <c r="D92" s="354">
        <v>100</v>
      </c>
      <c r="E92" s="490">
        <v>0</v>
      </c>
      <c r="F92" s="562"/>
      <c r="G92" s="350">
        <f>IF(G$19=0,0,G$19/$D$19*$E92*$D92)</f>
        <v>0</v>
      </c>
      <c r="H92" s="350">
        <f t="shared" ref="H92:R97" si="20">IF(H$19=0,0,H$19/$D$19*$E92*$D92)</f>
        <v>0</v>
      </c>
      <c r="I92" s="350">
        <f t="shared" si="20"/>
        <v>0</v>
      </c>
      <c r="J92" s="350">
        <f t="shared" si="20"/>
        <v>0</v>
      </c>
      <c r="K92" s="350">
        <f t="shared" si="20"/>
        <v>0</v>
      </c>
      <c r="L92" s="350">
        <f t="shared" si="20"/>
        <v>0</v>
      </c>
      <c r="M92" s="350">
        <f t="shared" si="20"/>
        <v>0</v>
      </c>
      <c r="N92" s="350">
        <f t="shared" si="20"/>
        <v>0</v>
      </c>
      <c r="O92" s="350">
        <f t="shared" si="20"/>
        <v>0</v>
      </c>
      <c r="P92" s="350">
        <f t="shared" si="20"/>
        <v>0</v>
      </c>
      <c r="Q92" s="350">
        <f t="shared" si="20"/>
        <v>0</v>
      </c>
      <c r="R92" s="350">
        <f t="shared" si="20"/>
        <v>0</v>
      </c>
    </row>
    <row r="93" spans="2:18" x14ac:dyDescent="0.25">
      <c r="B93" s="352" t="s">
        <v>587</v>
      </c>
      <c r="C93" s="560"/>
      <c r="D93" s="354">
        <v>50</v>
      </c>
      <c r="E93" s="490">
        <v>0</v>
      </c>
      <c r="F93" s="562"/>
      <c r="G93" s="350">
        <f t="shared" ref="G93:R97" si="21">IF(G$19=0,0,G$19/$D$19*$E93*$D93)</f>
        <v>0</v>
      </c>
      <c r="H93" s="350">
        <f t="shared" si="21"/>
        <v>0</v>
      </c>
      <c r="I93" s="350">
        <f t="shared" si="21"/>
        <v>0</v>
      </c>
      <c r="J93" s="350">
        <f t="shared" si="21"/>
        <v>0</v>
      </c>
      <c r="K93" s="350">
        <f t="shared" si="21"/>
        <v>0</v>
      </c>
      <c r="L93" s="350">
        <f t="shared" si="21"/>
        <v>0</v>
      </c>
      <c r="M93" s="350">
        <f t="shared" si="21"/>
        <v>0</v>
      </c>
      <c r="N93" s="350">
        <f t="shared" si="21"/>
        <v>0</v>
      </c>
      <c r="O93" s="350">
        <f t="shared" si="21"/>
        <v>0</v>
      </c>
      <c r="P93" s="350">
        <f t="shared" si="21"/>
        <v>0</v>
      </c>
      <c r="Q93" s="350">
        <f t="shared" si="21"/>
        <v>0</v>
      </c>
      <c r="R93" s="350">
        <f t="shared" si="21"/>
        <v>0</v>
      </c>
    </row>
    <row r="94" spans="2:18" x14ac:dyDescent="0.25">
      <c r="B94" s="352" t="s">
        <v>588</v>
      </c>
      <c r="C94" s="560"/>
      <c r="D94" s="354">
        <v>3</v>
      </c>
      <c r="E94" s="490">
        <v>0</v>
      </c>
      <c r="F94" s="562"/>
      <c r="G94" s="350">
        <f t="shared" si="21"/>
        <v>0</v>
      </c>
      <c r="H94" s="350">
        <f t="shared" si="20"/>
        <v>0</v>
      </c>
      <c r="I94" s="350">
        <f t="shared" si="20"/>
        <v>0</v>
      </c>
      <c r="J94" s="350">
        <f t="shared" si="20"/>
        <v>0</v>
      </c>
      <c r="K94" s="350">
        <f t="shared" si="20"/>
        <v>0</v>
      </c>
      <c r="L94" s="350">
        <f t="shared" si="20"/>
        <v>0</v>
      </c>
      <c r="M94" s="350">
        <f t="shared" si="20"/>
        <v>0</v>
      </c>
      <c r="N94" s="350">
        <f t="shared" si="20"/>
        <v>0</v>
      </c>
      <c r="O94" s="350">
        <f t="shared" si="20"/>
        <v>0</v>
      </c>
      <c r="P94" s="350">
        <f t="shared" si="20"/>
        <v>0</v>
      </c>
      <c r="Q94" s="350">
        <f t="shared" si="20"/>
        <v>0</v>
      </c>
      <c r="R94" s="350">
        <f t="shared" si="20"/>
        <v>0</v>
      </c>
    </row>
    <row r="95" spans="2:18" x14ac:dyDescent="0.25">
      <c r="B95" s="352" t="s">
        <v>588</v>
      </c>
      <c r="C95" s="561"/>
      <c r="D95" s="354">
        <v>3</v>
      </c>
      <c r="E95" s="490">
        <v>0</v>
      </c>
      <c r="F95" s="562"/>
      <c r="G95" s="350">
        <f t="shared" si="21"/>
        <v>0</v>
      </c>
      <c r="H95" s="350">
        <f t="shared" si="20"/>
        <v>0</v>
      </c>
      <c r="I95" s="350">
        <f t="shared" si="20"/>
        <v>0</v>
      </c>
      <c r="J95" s="350">
        <f t="shared" si="20"/>
        <v>0</v>
      </c>
      <c r="K95" s="350">
        <f t="shared" si="20"/>
        <v>0</v>
      </c>
      <c r="L95" s="350">
        <f t="shared" si="20"/>
        <v>0</v>
      </c>
      <c r="M95" s="350">
        <f t="shared" si="20"/>
        <v>0</v>
      </c>
      <c r="N95" s="350">
        <f t="shared" si="20"/>
        <v>0</v>
      </c>
      <c r="O95" s="350">
        <f t="shared" si="20"/>
        <v>0</v>
      </c>
      <c r="P95" s="350">
        <f t="shared" si="20"/>
        <v>0</v>
      </c>
      <c r="Q95" s="350">
        <f t="shared" si="20"/>
        <v>0</v>
      </c>
      <c r="R95" s="350">
        <f t="shared" si="20"/>
        <v>0</v>
      </c>
    </row>
    <row r="96" spans="2:18" x14ac:dyDescent="0.25">
      <c r="B96" s="352" t="s">
        <v>589</v>
      </c>
      <c r="C96" s="561"/>
      <c r="D96" s="354">
        <v>5</v>
      </c>
      <c r="E96" s="490">
        <v>0</v>
      </c>
      <c r="F96" s="562"/>
      <c r="G96" s="350">
        <f t="shared" si="21"/>
        <v>0</v>
      </c>
      <c r="H96" s="350">
        <f t="shared" si="20"/>
        <v>0</v>
      </c>
      <c r="I96" s="350">
        <f t="shared" si="20"/>
        <v>0</v>
      </c>
      <c r="J96" s="350">
        <f t="shared" si="20"/>
        <v>0</v>
      </c>
      <c r="K96" s="350">
        <f t="shared" si="20"/>
        <v>0</v>
      </c>
      <c r="L96" s="350">
        <f t="shared" si="20"/>
        <v>0</v>
      </c>
      <c r="M96" s="350">
        <f t="shared" si="20"/>
        <v>0</v>
      </c>
      <c r="N96" s="350">
        <f t="shared" si="20"/>
        <v>0</v>
      </c>
      <c r="O96" s="350">
        <f t="shared" si="20"/>
        <v>0</v>
      </c>
      <c r="P96" s="350">
        <f t="shared" si="20"/>
        <v>0</v>
      </c>
      <c r="Q96" s="350">
        <f t="shared" si="20"/>
        <v>0</v>
      </c>
      <c r="R96" s="350">
        <f t="shared" si="20"/>
        <v>0</v>
      </c>
    </row>
    <row r="97" spans="2:18" ht="14.95" thickBot="1" x14ac:dyDescent="0.3">
      <c r="B97" s="563" t="s">
        <v>589</v>
      </c>
      <c r="C97" s="561"/>
      <c r="D97" s="354">
        <v>5</v>
      </c>
      <c r="E97" s="490">
        <v>0</v>
      </c>
      <c r="F97" s="564"/>
      <c r="G97" s="565">
        <f t="shared" si="21"/>
        <v>0</v>
      </c>
      <c r="H97" s="565">
        <f t="shared" si="20"/>
        <v>0</v>
      </c>
      <c r="I97" s="565">
        <f t="shared" si="20"/>
        <v>0</v>
      </c>
      <c r="J97" s="565">
        <f t="shared" si="20"/>
        <v>0</v>
      </c>
      <c r="K97" s="565">
        <f t="shared" si="20"/>
        <v>0</v>
      </c>
      <c r="L97" s="565">
        <f t="shared" si="20"/>
        <v>0</v>
      </c>
      <c r="M97" s="565">
        <f t="shared" si="20"/>
        <v>0</v>
      </c>
      <c r="N97" s="565">
        <f t="shared" si="20"/>
        <v>0</v>
      </c>
      <c r="O97" s="565">
        <f t="shared" si="20"/>
        <v>0</v>
      </c>
      <c r="P97" s="565">
        <f t="shared" si="20"/>
        <v>0</v>
      </c>
      <c r="Q97" s="565">
        <f t="shared" si="20"/>
        <v>0</v>
      </c>
      <c r="R97" s="565">
        <f t="shared" si="20"/>
        <v>0</v>
      </c>
    </row>
  </sheetData>
  <mergeCells count="2">
    <mergeCell ref="B11:R11"/>
    <mergeCell ref="B20:R20"/>
  </mergeCells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6FC4-1887-49B7-8F2B-89D3D3608E98}">
  <sheetPr>
    <tabColor theme="5" tint="0.79998168889431442"/>
  </sheetPr>
  <dimension ref="B2:S70"/>
  <sheetViews>
    <sheetView showGridLines="0" zoomScale="85" zoomScaleNormal="85" zoomScaleSheetLayoutView="85" workbookViewId="0">
      <pane xSplit="2" ySplit="6" topLeftCell="C7" activePane="bottomRight" state="frozen"/>
      <selection activeCell="N49" sqref="N49"/>
      <selection pane="topRight" activeCell="N49" sqref="N49"/>
      <selection pane="bottomLeft" activeCell="N49" sqref="N49"/>
      <selection pane="bottomRight" activeCell="N49" sqref="N49"/>
    </sheetView>
  </sheetViews>
  <sheetFormatPr defaultColWidth="8.75" defaultRowHeight="14.3" x14ac:dyDescent="0.25"/>
  <cols>
    <col min="1" max="1" width="5.5" style="275" customWidth="1"/>
    <col min="2" max="2" width="58.625" style="275" customWidth="1"/>
    <col min="3" max="3" width="14.375" style="275" customWidth="1"/>
    <col min="4" max="4" width="17.5" style="275" customWidth="1"/>
    <col min="5" max="5" width="11.5" style="275" customWidth="1"/>
    <col min="6" max="17" width="11.125" style="275" customWidth="1"/>
    <col min="18" max="18" width="6.75" style="275" customWidth="1"/>
    <col min="19" max="19" width="11.375" style="275" customWidth="1"/>
    <col min="20" max="16384" width="8.75" style="275"/>
  </cols>
  <sheetData>
    <row r="2" spans="2:19" x14ac:dyDescent="0.25">
      <c r="B2" s="365" t="s">
        <v>259</v>
      </c>
    </row>
    <row r="3" spans="2:19" ht="14.95" thickBot="1" x14ac:dyDescent="0.3">
      <c r="B3" s="275" t="s">
        <v>298</v>
      </c>
      <c r="F3" s="277">
        <f>SANY!E12</f>
        <v>0.93570839675291717</v>
      </c>
      <c r="G3" s="277">
        <f>SANY!F12</f>
        <v>0.90263508371385082</v>
      </c>
      <c r="H3" s="277">
        <f>SANY!G12</f>
        <v>0.86578830542871643</v>
      </c>
      <c r="I3" s="277">
        <f>SANY!H12</f>
        <v>0.90352295788939629</v>
      </c>
      <c r="J3" s="277">
        <f>SANY!I12</f>
        <v>0.85025050735667174</v>
      </c>
      <c r="K3" s="277">
        <f>SANY!J12</f>
        <v>0.90352295788939629</v>
      </c>
      <c r="L3" s="277">
        <f>SANY!K12</f>
        <v>0.86578830542871643</v>
      </c>
      <c r="M3" s="277">
        <f>SANY!L12</f>
        <v>0.90352295788939629</v>
      </c>
      <c r="N3" s="277">
        <f>SANY!M12</f>
        <v>0.85025050735667174</v>
      </c>
      <c r="O3" s="277">
        <f>SANY!N12</f>
        <v>0.88465563165905625</v>
      </c>
      <c r="P3" s="277">
        <f>SANY!O12</f>
        <v>0.8635686199898529</v>
      </c>
      <c r="Q3" s="277">
        <f>SANY!P12</f>
        <v>0.8713375190258752</v>
      </c>
    </row>
    <row r="4" spans="2:19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O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  <c r="N4" s="337">
        <f t="shared" si="0"/>
        <v>9</v>
      </c>
      <c r="O4" s="337">
        <f t="shared" si="0"/>
        <v>10</v>
      </c>
      <c r="P4" s="337">
        <f>O4+1</f>
        <v>11</v>
      </c>
      <c r="Q4" s="338">
        <f>P4+1</f>
        <v>12</v>
      </c>
    </row>
    <row r="5" spans="2:19" x14ac:dyDescent="0.25">
      <c r="B5" s="369" t="s">
        <v>300</v>
      </c>
      <c r="C5" s="370" t="s">
        <v>301</v>
      </c>
      <c r="D5" s="292"/>
      <c r="E5" s="370"/>
      <c r="F5" s="476">
        <v>0</v>
      </c>
      <c r="G5" s="476">
        <f>F6+1</f>
        <v>7001</v>
      </c>
      <c r="H5" s="476">
        <f t="shared" ref="H5:Q5" si="1">G6+1</f>
        <v>14001</v>
      </c>
      <c r="I5" s="476">
        <f t="shared" si="1"/>
        <v>21001</v>
      </c>
      <c r="J5" s="476">
        <f t="shared" si="1"/>
        <v>28001</v>
      </c>
      <c r="K5" s="476">
        <f t="shared" si="1"/>
        <v>35001</v>
      </c>
      <c r="L5" s="476">
        <f t="shared" si="1"/>
        <v>42001</v>
      </c>
      <c r="M5" s="476">
        <f t="shared" si="1"/>
        <v>49001</v>
      </c>
      <c r="N5" s="476">
        <f t="shared" si="1"/>
        <v>56001</v>
      </c>
      <c r="O5" s="476">
        <f t="shared" si="1"/>
        <v>63001</v>
      </c>
      <c r="P5" s="476">
        <f t="shared" si="1"/>
        <v>70001</v>
      </c>
      <c r="Q5" s="498">
        <f t="shared" si="1"/>
        <v>77001</v>
      </c>
    </row>
    <row r="6" spans="2:19" ht="14.95" thickBot="1" x14ac:dyDescent="0.3">
      <c r="B6" s="371" t="s">
        <v>302</v>
      </c>
      <c r="C6" s="372" t="s">
        <v>301</v>
      </c>
      <c r="D6" s="373"/>
      <c r="E6" s="374">
        <f>'SANY ТО'!F6</f>
        <v>7000</v>
      </c>
      <c r="F6" s="493">
        <f>E6</f>
        <v>7000</v>
      </c>
      <c r="G6" s="493">
        <f t="shared" ref="G6:Q6" si="2">F6+$E6</f>
        <v>14000</v>
      </c>
      <c r="H6" s="493">
        <f t="shared" si="2"/>
        <v>21000</v>
      </c>
      <c r="I6" s="493">
        <f t="shared" si="2"/>
        <v>28000</v>
      </c>
      <c r="J6" s="493">
        <f t="shared" si="2"/>
        <v>35000</v>
      </c>
      <c r="K6" s="493">
        <f t="shared" si="2"/>
        <v>42000</v>
      </c>
      <c r="L6" s="493">
        <f t="shared" si="2"/>
        <v>49000</v>
      </c>
      <c r="M6" s="493">
        <f t="shared" si="2"/>
        <v>56000</v>
      </c>
      <c r="N6" s="493">
        <f t="shared" si="2"/>
        <v>63000</v>
      </c>
      <c r="O6" s="493">
        <f t="shared" si="2"/>
        <v>70000</v>
      </c>
      <c r="P6" s="493">
        <f t="shared" si="2"/>
        <v>77000</v>
      </c>
      <c r="Q6" s="566">
        <f t="shared" si="2"/>
        <v>84000</v>
      </c>
    </row>
    <row r="7" spans="2:19" ht="14.95" thickBot="1" x14ac:dyDescent="0.3"/>
    <row r="8" spans="2:19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142</v>
      </c>
      <c r="G8" s="378">
        <f t="shared" ref="G8:Q8" si="3">G16</f>
        <v>440</v>
      </c>
      <c r="H8" s="378">
        <f t="shared" si="3"/>
        <v>772</v>
      </c>
      <c r="I8" s="378">
        <f t="shared" si="3"/>
        <v>432</v>
      </c>
      <c r="J8" s="378">
        <f t="shared" si="3"/>
        <v>912</v>
      </c>
      <c r="K8" s="378">
        <f t="shared" si="3"/>
        <v>432</v>
      </c>
      <c r="L8" s="378">
        <f t="shared" si="3"/>
        <v>772</v>
      </c>
      <c r="M8" s="378">
        <f t="shared" si="3"/>
        <v>432</v>
      </c>
      <c r="N8" s="378">
        <f t="shared" si="3"/>
        <v>912</v>
      </c>
      <c r="O8" s="378">
        <f t="shared" si="3"/>
        <v>602</v>
      </c>
      <c r="P8" s="378">
        <f t="shared" si="3"/>
        <v>792</v>
      </c>
      <c r="Q8" s="567">
        <f t="shared" si="3"/>
        <v>722</v>
      </c>
    </row>
    <row r="9" spans="2:19" ht="21.1" customHeight="1" x14ac:dyDescent="0.25">
      <c r="B9" s="390" t="s">
        <v>357</v>
      </c>
      <c r="C9" s="380" t="s">
        <v>358</v>
      </c>
      <c r="D9" s="253"/>
      <c r="E9" s="253"/>
      <c r="F9" s="302">
        <f>SUM(F10:F12)</f>
        <v>24463</v>
      </c>
      <c r="G9" s="302">
        <f t="shared" ref="G9:Q9" si="4">SUM(G10:G12)</f>
        <v>100382.27166276347</v>
      </c>
      <c r="H9" s="302">
        <f t="shared" si="4"/>
        <v>487075.93442622951</v>
      </c>
      <c r="I9" s="302">
        <f t="shared" si="4"/>
        <v>194257.27166276347</v>
      </c>
      <c r="J9" s="302">
        <f t="shared" si="4"/>
        <v>863052.3</v>
      </c>
      <c r="K9" s="302">
        <f t="shared" si="4"/>
        <v>630374.49180327868</v>
      </c>
      <c r="L9" s="302">
        <f t="shared" si="4"/>
        <v>156491</v>
      </c>
      <c r="M9" s="302">
        <f t="shared" si="4"/>
        <v>158048.27166276347</v>
      </c>
      <c r="N9" s="302">
        <f t="shared" si="4"/>
        <v>1238456.2344262295</v>
      </c>
      <c r="O9" s="302">
        <f t="shared" si="4"/>
        <v>85116.271662763465</v>
      </c>
      <c r="P9" s="302">
        <f t="shared" si="4"/>
        <v>147913</v>
      </c>
      <c r="Q9" s="568">
        <f t="shared" si="4"/>
        <v>172104</v>
      </c>
    </row>
    <row r="10" spans="2:19" ht="18.7" customHeight="1" x14ac:dyDescent="0.25">
      <c r="B10" s="381" t="s">
        <v>283</v>
      </c>
      <c r="C10" s="260" t="s">
        <v>358</v>
      </c>
      <c r="D10" s="260"/>
      <c r="E10" s="260"/>
      <c r="F10" s="263">
        <f>F34</f>
        <v>17931</v>
      </c>
      <c r="G10" s="263">
        <f t="shared" ref="G10:Q10" si="5">G34</f>
        <v>17931</v>
      </c>
      <c r="H10" s="263">
        <f t="shared" si="5"/>
        <v>17931</v>
      </c>
      <c r="I10" s="263">
        <f t="shared" si="5"/>
        <v>17931</v>
      </c>
      <c r="J10" s="263">
        <f t="shared" si="5"/>
        <v>17931</v>
      </c>
      <c r="K10" s="263">
        <f t="shared" si="5"/>
        <v>17931</v>
      </c>
      <c r="L10" s="263">
        <f t="shared" si="5"/>
        <v>17931</v>
      </c>
      <c r="M10" s="263">
        <f t="shared" si="5"/>
        <v>17931</v>
      </c>
      <c r="N10" s="263">
        <f t="shared" si="5"/>
        <v>17931</v>
      </c>
      <c r="O10" s="263">
        <f t="shared" si="5"/>
        <v>17931</v>
      </c>
      <c r="P10" s="263">
        <f t="shared" si="5"/>
        <v>17931</v>
      </c>
      <c r="Q10" s="569">
        <f t="shared" si="5"/>
        <v>17931</v>
      </c>
    </row>
    <row r="11" spans="2:19" ht="18.7" customHeight="1" x14ac:dyDescent="0.25">
      <c r="B11" s="381" t="s">
        <v>284</v>
      </c>
      <c r="C11" s="260" t="s">
        <v>358</v>
      </c>
      <c r="D11" s="260"/>
      <c r="E11" s="260"/>
      <c r="F11" s="263">
        <f>F40</f>
        <v>0</v>
      </c>
      <c r="G11" s="263">
        <f t="shared" ref="G11:Q11" si="6">G40</f>
        <v>62211.271662763465</v>
      </c>
      <c r="H11" s="263">
        <f t="shared" si="6"/>
        <v>433632.93442622951</v>
      </c>
      <c r="I11" s="263">
        <f t="shared" si="6"/>
        <v>156454.27166276347</v>
      </c>
      <c r="J11" s="263">
        <f t="shared" si="6"/>
        <v>803169.3</v>
      </c>
      <c r="K11" s="263">
        <f t="shared" si="6"/>
        <v>592571.49180327868</v>
      </c>
      <c r="L11" s="263">
        <f t="shared" si="6"/>
        <v>103048</v>
      </c>
      <c r="M11" s="263">
        <f t="shared" si="6"/>
        <v>120245.27166276347</v>
      </c>
      <c r="N11" s="263">
        <f t="shared" si="6"/>
        <v>1178573.2344262295</v>
      </c>
      <c r="O11" s="263">
        <f t="shared" si="6"/>
        <v>39493.271662763465</v>
      </c>
      <c r="P11" s="263">
        <f t="shared" si="6"/>
        <v>93550</v>
      </c>
      <c r="Q11" s="569">
        <f t="shared" si="6"/>
        <v>120961</v>
      </c>
    </row>
    <row r="12" spans="2:19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SUMPRODUCT($D26:$D30,F$26:F$30)</f>
        <v>6532</v>
      </c>
      <c r="G12" s="314">
        <f>SUMPRODUCT($D26:$D30,G$26:G$30)</f>
        <v>20240</v>
      </c>
      <c r="H12" s="314">
        <f>SUMPRODUCT($D26:$D30,H$26:H$30)</f>
        <v>35512</v>
      </c>
      <c r="I12" s="314">
        <f>SUMPRODUCT($D26:$D30,I$26:I$30)</f>
        <v>19872</v>
      </c>
      <c r="J12" s="314">
        <f>SUMPRODUCT($D26:$D30,J$26:J$30)</f>
        <v>41952</v>
      </c>
      <c r="K12" s="314">
        <f t="shared" ref="K12:Q12" si="7">SUMPRODUCT($D26:$D30,K$26:K$30)</f>
        <v>19872</v>
      </c>
      <c r="L12" s="314">
        <f t="shared" si="7"/>
        <v>35512</v>
      </c>
      <c r="M12" s="314">
        <f t="shared" si="7"/>
        <v>19872</v>
      </c>
      <c r="N12" s="314">
        <f t="shared" si="7"/>
        <v>41952</v>
      </c>
      <c r="O12" s="314">
        <f t="shared" si="7"/>
        <v>27692</v>
      </c>
      <c r="P12" s="314">
        <f t="shared" si="7"/>
        <v>36432</v>
      </c>
      <c r="Q12" s="570">
        <f t="shared" si="7"/>
        <v>33212</v>
      </c>
    </row>
    <row r="13" spans="2:19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386"/>
    </row>
    <row r="14" spans="2:19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6"/>
      <c r="Q14" s="386"/>
    </row>
    <row r="15" spans="2:19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Q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  <c r="N15" s="389">
        <f t="shared" si="8"/>
        <v>9</v>
      </c>
      <c r="O15" s="389">
        <f t="shared" si="8"/>
        <v>10</v>
      </c>
      <c r="P15" s="389">
        <f t="shared" si="8"/>
        <v>11</v>
      </c>
      <c r="Q15" s="571">
        <f t="shared" si="8"/>
        <v>12</v>
      </c>
      <c r="S15" s="572"/>
    </row>
    <row r="16" spans="2:19" ht="16.5" customHeight="1" x14ac:dyDescent="0.25">
      <c r="B16" s="390" t="s">
        <v>362</v>
      </c>
      <c r="C16" s="246"/>
      <c r="D16" s="260"/>
      <c r="E16" s="260"/>
      <c r="F16" s="391">
        <f>SUM(F17:F21)</f>
        <v>142</v>
      </c>
      <c r="G16" s="391">
        <f t="shared" ref="G16:Q16" si="9">SUM(G17:G21)</f>
        <v>440</v>
      </c>
      <c r="H16" s="391">
        <f t="shared" si="9"/>
        <v>772</v>
      </c>
      <c r="I16" s="391">
        <f t="shared" si="9"/>
        <v>432</v>
      </c>
      <c r="J16" s="391">
        <f t="shared" si="9"/>
        <v>912</v>
      </c>
      <c r="K16" s="391">
        <f t="shared" si="9"/>
        <v>432</v>
      </c>
      <c r="L16" s="391">
        <f t="shared" si="9"/>
        <v>772</v>
      </c>
      <c r="M16" s="391">
        <f t="shared" si="9"/>
        <v>432</v>
      </c>
      <c r="N16" s="391">
        <f t="shared" si="9"/>
        <v>912</v>
      </c>
      <c r="O16" s="391">
        <f t="shared" si="9"/>
        <v>602</v>
      </c>
      <c r="P16" s="391">
        <f t="shared" si="9"/>
        <v>792</v>
      </c>
      <c r="Q16" s="573">
        <f t="shared" si="9"/>
        <v>722</v>
      </c>
    </row>
    <row r="17" spans="2:17" ht="16.5" customHeight="1" x14ac:dyDescent="0.25">
      <c r="B17" s="396" t="s">
        <v>478</v>
      </c>
      <c r="C17" s="257" t="s">
        <v>304</v>
      </c>
      <c r="D17" s="260"/>
      <c r="E17" s="260"/>
      <c r="F17" s="394">
        <f>F26</f>
        <v>77</v>
      </c>
      <c r="G17" s="394">
        <f t="shared" ref="G17:Q17" si="10">G26</f>
        <v>77</v>
      </c>
      <c r="H17" s="394">
        <f t="shared" si="10"/>
        <v>77</v>
      </c>
      <c r="I17" s="394">
        <f t="shared" si="10"/>
        <v>77</v>
      </c>
      <c r="J17" s="394">
        <f t="shared" si="10"/>
        <v>77</v>
      </c>
      <c r="K17" s="394">
        <f t="shared" si="10"/>
        <v>77</v>
      </c>
      <c r="L17" s="394">
        <f t="shared" si="10"/>
        <v>77</v>
      </c>
      <c r="M17" s="394">
        <f t="shared" si="10"/>
        <v>77</v>
      </c>
      <c r="N17" s="394">
        <f t="shared" si="10"/>
        <v>77</v>
      </c>
      <c r="O17" s="394">
        <f t="shared" si="10"/>
        <v>77</v>
      </c>
      <c r="P17" s="394">
        <f t="shared" si="10"/>
        <v>77</v>
      </c>
      <c r="Q17" s="574">
        <f t="shared" si="10"/>
        <v>77</v>
      </c>
    </row>
    <row r="18" spans="2:17" ht="16.5" customHeight="1" x14ac:dyDescent="0.25">
      <c r="B18" s="396" t="s">
        <v>479</v>
      </c>
      <c r="C18" s="257" t="s">
        <v>304</v>
      </c>
      <c r="D18" s="260"/>
      <c r="E18" s="260"/>
      <c r="F18" s="394">
        <f t="shared" ref="F18:Q21" si="11">F27</f>
        <v>65</v>
      </c>
      <c r="G18" s="394">
        <f t="shared" si="11"/>
        <v>65</v>
      </c>
      <c r="H18" s="394">
        <f t="shared" si="11"/>
        <v>65</v>
      </c>
      <c r="I18" s="394">
        <f t="shared" si="11"/>
        <v>65</v>
      </c>
      <c r="J18" s="394">
        <f t="shared" si="11"/>
        <v>65</v>
      </c>
      <c r="K18" s="394">
        <f t="shared" si="11"/>
        <v>65</v>
      </c>
      <c r="L18" s="394">
        <f t="shared" si="11"/>
        <v>65</v>
      </c>
      <c r="M18" s="394">
        <f t="shared" si="11"/>
        <v>65</v>
      </c>
      <c r="N18" s="394">
        <f t="shared" si="11"/>
        <v>65</v>
      </c>
      <c r="O18" s="394">
        <f t="shared" si="11"/>
        <v>65</v>
      </c>
      <c r="P18" s="394">
        <f t="shared" si="11"/>
        <v>65</v>
      </c>
      <c r="Q18" s="574">
        <f t="shared" si="11"/>
        <v>65</v>
      </c>
    </row>
    <row r="19" spans="2:17" ht="16.5" customHeight="1" x14ac:dyDescent="0.25">
      <c r="B19" s="396" t="s">
        <v>480</v>
      </c>
      <c r="C19" s="257" t="s">
        <v>304</v>
      </c>
      <c r="D19" s="260"/>
      <c r="E19" s="260"/>
      <c r="F19" s="394">
        <f t="shared" si="11"/>
        <v>0</v>
      </c>
      <c r="G19" s="394">
        <f t="shared" si="11"/>
        <v>298</v>
      </c>
      <c r="H19" s="394">
        <f t="shared" si="11"/>
        <v>290</v>
      </c>
      <c r="I19" s="394">
        <f t="shared" si="11"/>
        <v>290</v>
      </c>
      <c r="J19" s="394">
        <f t="shared" si="11"/>
        <v>290</v>
      </c>
      <c r="K19" s="394">
        <f t="shared" si="11"/>
        <v>290</v>
      </c>
      <c r="L19" s="394">
        <f t="shared" si="11"/>
        <v>290</v>
      </c>
      <c r="M19" s="394">
        <f t="shared" si="11"/>
        <v>290</v>
      </c>
      <c r="N19" s="394">
        <f t="shared" si="11"/>
        <v>290</v>
      </c>
      <c r="O19" s="394">
        <f t="shared" si="11"/>
        <v>290</v>
      </c>
      <c r="P19" s="394">
        <f t="shared" si="11"/>
        <v>310</v>
      </c>
      <c r="Q19" s="574">
        <f t="shared" si="11"/>
        <v>290</v>
      </c>
    </row>
    <row r="20" spans="2:17" ht="16.5" customHeight="1" x14ac:dyDescent="0.25">
      <c r="B20" s="396" t="s">
        <v>590</v>
      </c>
      <c r="C20" s="257" t="s">
        <v>304</v>
      </c>
      <c r="D20" s="260"/>
      <c r="E20" s="260"/>
      <c r="F20" s="394">
        <f t="shared" si="11"/>
        <v>0</v>
      </c>
      <c r="G20" s="394">
        <f t="shared" si="11"/>
        <v>0</v>
      </c>
      <c r="H20" s="394">
        <f t="shared" si="11"/>
        <v>340</v>
      </c>
      <c r="I20" s="394">
        <f t="shared" si="11"/>
        <v>0</v>
      </c>
      <c r="J20" s="394">
        <f t="shared" si="11"/>
        <v>0</v>
      </c>
      <c r="K20" s="394">
        <f t="shared" si="11"/>
        <v>0</v>
      </c>
      <c r="L20" s="394">
        <f t="shared" si="11"/>
        <v>340</v>
      </c>
      <c r="M20" s="394">
        <f t="shared" si="11"/>
        <v>0</v>
      </c>
      <c r="N20" s="394">
        <f t="shared" si="11"/>
        <v>0</v>
      </c>
      <c r="O20" s="394">
        <f t="shared" si="11"/>
        <v>170</v>
      </c>
      <c r="P20" s="394">
        <f t="shared" si="11"/>
        <v>340</v>
      </c>
      <c r="Q20" s="394">
        <f t="shared" si="11"/>
        <v>170</v>
      </c>
    </row>
    <row r="21" spans="2:17" ht="16.5" customHeight="1" thickBot="1" x14ac:dyDescent="0.3">
      <c r="B21" s="397" t="s">
        <v>591</v>
      </c>
      <c r="C21" s="374" t="s">
        <v>304</v>
      </c>
      <c r="D21" s="383"/>
      <c r="E21" s="383"/>
      <c r="F21" s="399">
        <f t="shared" si="11"/>
        <v>0</v>
      </c>
      <c r="G21" s="399">
        <f t="shared" si="11"/>
        <v>0</v>
      </c>
      <c r="H21" s="399">
        <f t="shared" si="11"/>
        <v>0</v>
      </c>
      <c r="I21" s="399">
        <f t="shared" si="11"/>
        <v>0</v>
      </c>
      <c r="J21" s="399">
        <f t="shared" si="11"/>
        <v>480</v>
      </c>
      <c r="K21" s="399">
        <f t="shared" si="11"/>
        <v>0</v>
      </c>
      <c r="L21" s="399">
        <f t="shared" si="11"/>
        <v>0</v>
      </c>
      <c r="M21" s="399">
        <f t="shared" si="11"/>
        <v>0</v>
      </c>
      <c r="N21" s="399">
        <f t="shared" si="11"/>
        <v>480</v>
      </c>
      <c r="O21" s="399"/>
      <c r="P21" s="399">
        <f t="shared" si="11"/>
        <v>0</v>
      </c>
      <c r="Q21" s="575">
        <f t="shared" si="11"/>
        <v>120</v>
      </c>
    </row>
    <row r="22" spans="2:17" ht="16.5" customHeight="1" x14ac:dyDescent="0.25">
      <c r="B22" s="384"/>
      <c r="C22" s="400"/>
      <c r="D22" s="385"/>
      <c r="E22" s="385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</row>
    <row r="23" spans="2:17" ht="16.5" customHeight="1" thickBot="1" x14ac:dyDescent="0.3">
      <c r="B23" s="401" t="s">
        <v>372</v>
      </c>
      <c r="C23" s="400"/>
      <c r="D23" s="402">
        <f>'SANY ТО'!F10</f>
        <v>46</v>
      </c>
      <c r="E23" s="385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</row>
    <row r="24" spans="2:17" ht="24.8" customHeight="1" x14ac:dyDescent="0.25">
      <c r="B24" s="336" t="s">
        <v>361</v>
      </c>
      <c r="C24" s="367" t="s">
        <v>355</v>
      </c>
      <c r="D24" s="403" t="s">
        <v>373</v>
      </c>
      <c r="E24" s="388"/>
      <c r="F24" s="389">
        <f>F15</f>
        <v>1</v>
      </c>
      <c r="G24" s="389">
        <f t="shared" ref="G24:Q24" si="12">G15</f>
        <v>2</v>
      </c>
      <c r="H24" s="389">
        <f t="shared" si="12"/>
        <v>3</v>
      </c>
      <c r="I24" s="389">
        <f t="shared" si="12"/>
        <v>4</v>
      </c>
      <c r="J24" s="389">
        <f t="shared" si="12"/>
        <v>5</v>
      </c>
      <c r="K24" s="389">
        <f t="shared" si="12"/>
        <v>6</v>
      </c>
      <c r="L24" s="389">
        <f t="shared" si="12"/>
        <v>7</v>
      </c>
      <c r="M24" s="389">
        <f t="shared" si="12"/>
        <v>8</v>
      </c>
      <c r="N24" s="389">
        <f t="shared" si="12"/>
        <v>9</v>
      </c>
      <c r="O24" s="389">
        <f t="shared" si="12"/>
        <v>10</v>
      </c>
      <c r="P24" s="389">
        <f t="shared" si="12"/>
        <v>11</v>
      </c>
      <c r="Q24" s="571">
        <f t="shared" si="12"/>
        <v>12</v>
      </c>
    </row>
    <row r="25" spans="2:17" ht="14.95" customHeight="1" x14ac:dyDescent="0.25">
      <c r="B25" s="390" t="s">
        <v>374</v>
      </c>
      <c r="C25" s="302" t="s">
        <v>375</v>
      </c>
      <c r="D25" s="260"/>
      <c r="E25" s="260"/>
      <c r="F25" s="391">
        <f>SUM(F26:F30)</f>
        <v>142</v>
      </c>
      <c r="G25" s="391">
        <f>SUM(G26:G30)</f>
        <v>440</v>
      </c>
      <c r="H25" s="391">
        <f t="shared" ref="H25:Q25" si="13">SUM(H26:H30)</f>
        <v>772</v>
      </c>
      <c r="I25" s="391">
        <f t="shared" si="13"/>
        <v>432</v>
      </c>
      <c r="J25" s="391">
        <f t="shared" si="13"/>
        <v>912</v>
      </c>
      <c r="K25" s="391">
        <f t="shared" si="13"/>
        <v>432</v>
      </c>
      <c r="L25" s="391">
        <f t="shared" si="13"/>
        <v>772</v>
      </c>
      <c r="M25" s="391">
        <f t="shared" si="13"/>
        <v>432</v>
      </c>
      <c r="N25" s="391">
        <f t="shared" si="13"/>
        <v>912</v>
      </c>
      <c r="O25" s="391">
        <f t="shared" si="13"/>
        <v>602</v>
      </c>
      <c r="P25" s="391">
        <f t="shared" si="13"/>
        <v>792</v>
      </c>
      <c r="Q25" s="573">
        <f t="shared" si="13"/>
        <v>722</v>
      </c>
    </row>
    <row r="26" spans="2:17" ht="16.5" customHeight="1" x14ac:dyDescent="0.25">
      <c r="B26" s="404" t="str">
        <f>B17</f>
        <v>ремонт-1</v>
      </c>
      <c r="C26" s="257" t="s">
        <v>375</v>
      </c>
      <c r="D26" s="405">
        <f>$D$23</f>
        <v>46</v>
      </c>
      <c r="E26" s="260"/>
      <c r="F26" s="394">
        <v>77</v>
      </c>
      <c r="G26" s="394">
        <v>77</v>
      </c>
      <c r="H26" s="394">
        <v>77</v>
      </c>
      <c r="I26" s="394">
        <v>77</v>
      </c>
      <c r="J26" s="394">
        <v>77</v>
      </c>
      <c r="K26" s="394">
        <v>77</v>
      </c>
      <c r="L26" s="394">
        <v>77</v>
      </c>
      <c r="M26" s="394">
        <v>77</v>
      </c>
      <c r="N26" s="394">
        <v>77</v>
      </c>
      <c r="O26" s="394">
        <v>77</v>
      </c>
      <c r="P26" s="394">
        <v>77</v>
      </c>
      <c r="Q26" s="394">
        <v>77</v>
      </c>
    </row>
    <row r="27" spans="2:17" ht="16.5" customHeight="1" x14ac:dyDescent="0.25">
      <c r="B27" s="404" t="str">
        <f t="shared" ref="B27" si="14">B18</f>
        <v>ремонт-2</v>
      </c>
      <c r="C27" s="257" t="s">
        <v>375</v>
      </c>
      <c r="D27" s="405">
        <f>$D$23</f>
        <v>46</v>
      </c>
      <c r="E27" s="260"/>
      <c r="F27" s="393">
        <v>65</v>
      </c>
      <c r="G27" s="393">
        <v>65</v>
      </c>
      <c r="H27" s="393">
        <v>65</v>
      </c>
      <c r="I27" s="393">
        <v>65</v>
      </c>
      <c r="J27" s="393">
        <v>65</v>
      </c>
      <c r="K27" s="393">
        <v>65</v>
      </c>
      <c r="L27" s="393">
        <v>65</v>
      </c>
      <c r="M27" s="393">
        <v>65</v>
      </c>
      <c r="N27" s="393">
        <v>65</v>
      </c>
      <c r="O27" s="393">
        <v>65</v>
      </c>
      <c r="P27" s="393">
        <v>65</v>
      </c>
      <c r="Q27" s="393">
        <v>65</v>
      </c>
    </row>
    <row r="28" spans="2:17" ht="16.5" customHeight="1" x14ac:dyDescent="0.25">
      <c r="B28" s="404" t="s">
        <v>592</v>
      </c>
      <c r="C28" s="257" t="s">
        <v>375</v>
      </c>
      <c r="D28" s="405">
        <f t="shared" ref="D28:D30" si="15">$D$23</f>
        <v>46</v>
      </c>
      <c r="E28" s="260"/>
      <c r="F28" s="394"/>
      <c r="G28" s="394">
        <v>298</v>
      </c>
      <c r="H28" s="394">
        <v>290</v>
      </c>
      <c r="I28" s="394">
        <v>290</v>
      </c>
      <c r="J28" s="394">
        <v>290</v>
      </c>
      <c r="K28" s="394">
        <v>290</v>
      </c>
      <c r="L28" s="394">
        <v>290</v>
      </c>
      <c r="M28" s="394">
        <v>290</v>
      </c>
      <c r="N28" s="394">
        <v>290</v>
      </c>
      <c r="O28" s="394">
        <v>290</v>
      </c>
      <c r="P28" s="394">
        <v>310</v>
      </c>
      <c r="Q28" s="394">
        <v>290</v>
      </c>
    </row>
    <row r="29" spans="2:17" ht="16.5" customHeight="1" x14ac:dyDescent="0.25">
      <c r="B29" s="404" t="s">
        <v>593</v>
      </c>
      <c r="C29" s="257" t="s">
        <v>375</v>
      </c>
      <c r="D29" s="405">
        <f t="shared" si="15"/>
        <v>46</v>
      </c>
      <c r="E29" s="260"/>
      <c r="F29" s="394"/>
      <c r="G29" s="394"/>
      <c r="H29" s="394">
        <v>340</v>
      </c>
      <c r="I29" s="394"/>
      <c r="J29" s="394"/>
      <c r="K29" s="394"/>
      <c r="L29" s="394">
        <v>340</v>
      </c>
      <c r="M29" s="394"/>
      <c r="N29" s="394"/>
      <c r="O29" s="394">
        <v>170</v>
      </c>
      <c r="P29" s="394">
        <v>340</v>
      </c>
      <c r="Q29" s="394">
        <v>170</v>
      </c>
    </row>
    <row r="30" spans="2:17" ht="16.5" customHeight="1" thickBot="1" x14ac:dyDescent="0.3">
      <c r="B30" s="576" t="s">
        <v>594</v>
      </c>
      <c r="C30" s="374" t="s">
        <v>375</v>
      </c>
      <c r="D30" s="577">
        <f t="shared" si="15"/>
        <v>46</v>
      </c>
      <c r="E30" s="383"/>
      <c r="F30" s="399"/>
      <c r="G30" s="399"/>
      <c r="H30" s="399"/>
      <c r="I30" s="399"/>
      <c r="J30" s="399">
        <v>480</v>
      </c>
      <c r="K30" s="399"/>
      <c r="L30" s="399"/>
      <c r="M30" s="399"/>
      <c r="N30" s="399">
        <v>480</v>
      </c>
      <c r="O30" s="399"/>
      <c r="P30" s="399"/>
      <c r="Q30" s="399">
        <v>120</v>
      </c>
    </row>
    <row r="31" spans="2:17" x14ac:dyDescent="0.25">
      <c r="B31" s="384"/>
      <c r="E31" s="412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</row>
    <row r="32" spans="2:17" ht="14.95" thickBot="1" x14ac:dyDescent="0.3">
      <c r="B32" s="387" t="s">
        <v>389</v>
      </c>
      <c r="F32" s="303"/>
    </row>
    <row r="33" spans="2:19" ht="43.5" customHeight="1" x14ac:dyDescent="0.25">
      <c r="B33" s="336" t="s">
        <v>390</v>
      </c>
      <c r="C33" s="337" t="s">
        <v>391</v>
      </c>
      <c r="D33" s="337" t="s">
        <v>392</v>
      </c>
      <c r="E33" s="337" t="s">
        <v>393</v>
      </c>
      <c r="F33" s="340" t="s">
        <v>292</v>
      </c>
      <c r="G33" s="340" t="s">
        <v>292</v>
      </c>
      <c r="H33" s="340" t="s">
        <v>292</v>
      </c>
      <c r="I33" s="340" t="s">
        <v>292</v>
      </c>
      <c r="J33" s="340" t="s">
        <v>292</v>
      </c>
      <c r="K33" s="340" t="s">
        <v>292</v>
      </c>
      <c r="L33" s="340" t="s">
        <v>292</v>
      </c>
      <c r="M33" s="340" t="s">
        <v>292</v>
      </c>
      <c r="N33" s="340" t="s">
        <v>292</v>
      </c>
      <c r="O33" s="340" t="s">
        <v>292</v>
      </c>
      <c r="P33" s="340" t="s">
        <v>292</v>
      </c>
      <c r="Q33" s="494" t="s">
        <v>292</v>
      </c>
    </row>
    <row r="34" spans="2:19" ht="28.55" customHeight="1" x14ac:dyDescent="0.25">
      <c r="B34" s="379" t="s">
        <v>394</v>
      </c>
      <c r="C34" s="247"/>
      <c r="D34" s="247"/>
      <c r="E34" s="247"/>
      <c r="F34" s="346">
        <f>SUM(F35:F39)</f>
        <v>17931</v>
      </c>
      <c r="G34" s="346">
        <f t="shared" ref="G34:Q34" si="16">SUM(G35:G39)</f>
        <v>17931</v>
      </c>
      <c r="H34" s="346">
        <f t="shared" si="16"/>
        <v>17931</v>
      </c>
      <c r="I34" s="346">
        <f t="shared" si="16"/>
        <v>17931</v>
      </c>
      <c r="J34" s="346">
        <f t="shared" si="16"/>
        <v>17931</v>
      </c>
      <c r="K34" s="346">
        <f t="shared" si="16"/>
        <v>17931</v>
      </c>
      <c r="L34" s="346">
        <f t="shared" si="16"/>
        <v>17931</v>
      </c>
      <c r="M34" s="346">
        <f t="shared" si="16"/>
        <v>17931</v>
      </c>
      <c r="N34" s="346">
        <f t="shared" si="16"/>
        <v>17931</v>
      </c>
      <c r="O34" s="346">
        <f t="shared" si="16"/>
        <v>17931</v>
      </c>
      <c r="P34" s="346">
        <f t="shared" si="16"/>
        <v>17931</v>
      </c>
      <c r="Q34" s="495">
        <f t="shared" si="16"/>
        <v>17931</v>
      </c>
    </row>
    <row r="35" spans="2:19" x14ac:dyDescent="0.25">
      <c r="B35" s="496" t="s">
        <v>482</v>
      </c>
      <c r="C35" s="354">
        <v>383</v>
      </c>
      <c r="D35" s="497">
        <v>1000</v>
      </c>
      <c r="E35" s="578">
        <f>7000/D35</f>
        <v>7</v>
      </c>
      <c r="F35" s="476">
        <f>$E35*$C35</f>
        <v>2681</v>
      </c>
      <c r="G35" s="476">
        <f t="shared" ref="G35:Q39" si="17">$E35*$C35</f>
        <v>2681</v>
      </c>
      <c r="H35" s="476">
        <f t="shared" si="17"/>
        <v>2681</v>
      </c>
      <c r="I35" s="476">
        <f t="shared" si="17"/>
        <v>2681</v>
      </c>
      <c r="J35" s="476">
        <f t="shared" si="17"/>
        <v>2681</v>
      </c>
      <c r="K35" s="476">
        <f t="shared" si="17"/>
        <v>2681</v>
      </c>
      <c r="L35" s="476">
        <f t="shared" si="17"/>
        <v>2681</v>
      </c>
      <c r="M35" s="476">
        <f t="shared" si="17"/>
        <v>2681</v>
      </c>
      <c r="N35" s="476">
        <f t="shared" si="17"/>
        <v>2681</v>
      </c>
      <c r="O35" s="476">
        <f t="shared" si="17"/>
        <v>2681</v>
      </c>
      <c r="P35" s="476">
        <f t="shared" si="17"/>
        <v>2681</v>
      </c>
      <c r="Q35" s="498">
        <f t="shared" si="17"/>
        <v>2681</v>
      </c>
    </row>
    <row r="36" spans="2:19" x14ac:dyDescent="0.25">
      <c r="B36" s="496" t="s">
        <v>483</v>
      </c>
      <c r="C36" s="354">
        <v>5000</v>
      </c>
      <c r="D36" s="497">
        <v>4000</v>
      </c>
      <c r="E36" s="578">
        <f>7000/D36</f>
        <v>1.75</v>
      </c>
      <c r="F36" s="476">
        <f t="shared" ref="F36:O39" si="18">$E36*$C36</f>
        <v>8750</v>
      </c>
      <c r="G36" s="476">
        <f t="shared" si="18"/>
        <v>8750</v>
      </c>
      <c r="H36" s="476">
        <f t="shared" si="18"/>
        <v>8750</v>
      </c>
      <c r="I36" s="476">
        <f t="shared" si="18"/>
        <v>8750</v>
      </c>
      <c r="J36" s="476">
        <f t="shared" si="18"/>
        <v>8750</v>
      </c>
      <c r="K36" s="476">
        <f t="shared" si="18"/>
        <v>8750</v>
      </c>
      <c r="L36" s="476">
        <f t="shared" si="18"/>
        <v>8750</v>
      </c>
      <c r="M36" s="476">
        <f t="shared" si="18"/>
        <v>8750</v>
      </c>
      <c r="N36" s="476">
        <f t="shared" si="18"/>
        <v>8750</v>
      </c>
      <c r="O36" s="476">
        <f t="shared" si="18"/>
        <v>8750</v>
      </c>
      <c r="P36" s="476">
        <f t="shared" si="17"/>
        <v>8750</v>
      </c>
      <c r="Q36" s="498">
        <f t="shared" si="17"/>
        <v>8750</v>
      </c>
    </row>
    <row r="37" spans="2:19" x14ac:dyDescent="0.25">
      <c r="B37" s="496" t="s">
        <v>484</v>
      </c>
      <c r="C37" s="354">
        <v>6500</v>
      </c>
      <c r="D37" s="497">
        <v>7000</v>
      </c>
      <c r="E37" s="578">
        <f>7000/D37</f>
        <v>1</v>
      </c>
      <c r="F37" s="476">
        <f t="shared" si="18"/>
        <v>6500</v>
      </c>
      <c r="G37" s="476">
        <f t="shared" si="18"/>
        <v>6500</v>
      </c>
      <c r="H37" s="476">
        <f t="shared" si="18"/>
        <v>6500</v>
      </c>
      <c r="I37" s="476">
        <f t="shared" si="18"/>
        <v>6500</v>
      </c>
      <c r="J37" s="476">
        <f t="shared" si="18"/>
        <v>6500</v>
      </c>
      <c r="K37" s="476">
        <f t="shared" si="18"/>
        <v>6500</v>
      </c>
      <c r="L37" s="476">
        <f t="shared" si="18"/>
        <v>6500</v>
      </c>
      <c r="M37" s="476">
        <f t="shared" si="18"/>
        <v>6500</v>
      </c>
      <c r="N37" s="476">
        <f t="shared" si="18"/>
        <v>6500</v>
      </c>
      <c r="O37" s="476">
        <f t="shared" si="18"/>
        <v>6500</v>
      </c>
      <c r="P37" s="476">
        <f t="shared" si="17"/>
        <v>6500</v>
      </c>
      <c r="Q37" s="498">
        <f t="shared" si="17"/>
        <v>6500</v>
      </c>
    </row>
    <row r="38" spans="2:19" hidden="1" x14ac:dyDescent="0.25">
      <c r="B38" s="496" t="s">
        <v>485</v>
      </c>
      <c r="C38" s="354"/>
      <c r="D38" s="497"/>
      <c r="E38" s="258"/>
      <c r="F38" s="476">
        <f t="shared" si="18"/>
        <v>0</v>
      </c>
      <c r="G38" s="476">
        <f t="shared" si="18"/>
        <v>0</v>
      </c>
      <c r="H38" s="476">
        <f t="shared" si="18"/>
        <v>0</v>
      </c>
      <c r="I38" s="476">
        <f t="shared" si="18"/>
        <v>0</v>
      </c>
      <c r="J38" s="476">
        <f t="shared" si="18"/>
        <v>0</v>
      </c>
      <c r="K38" s="476">
        <f t="shared" si="18"/>
        <v>0</v>
      </c>
      <c r="L38" s="476">
        <f t="shared" si="18"/>
        <v>0</v>
      </c>
      <c r="M38" s="476">
        <f t="shared" si="18"/>
        <v>0</v>
      </c>
      <c r="N38" s="476">
        <f t="shared" si="18"/>
        <v>0</v>
      </c>
      <c r="O38" s="476">
        <f t="shared" si="18"/>
        <v>0</v>
      </c>
      <c r="P38" s="476">
        <f t="shared" si="17"/>
        <v>0</v>
      </c>
      <c r="Q38" s="498">
        <f t="shared" si="17"/>
        <v>0</v>
      </c>
    </row>
    <row r="39" spans="2:19" hidden="1" x14ac:dyDescent="0.25">
      <c r="B39" s="496" t="s">
        <v>486</v>
      </c>
      <c r="C39" s="354"/>
      <c r="D39" s="497"/>
      <c r="E39" s="258"/>
      <c r="F39" s="476">
        <f t="shared" si="18"/>
        <v>0</v>
      </c>
      <c r="G39" s="476">
        <f t="shared" si="18"/>
        <v>0</v>
      </c>
      <c r="H39" s="476">
        <f t="shared" si="18"/>
        <v>0</v>
      </c>
      <c r="I39" s="476">
        <f t="shared" si="18"/>
        <v>0</v>
      </c>
      <c r="J39" s="476">
        <f t="shared" si="18"/>
        <v>0</v>
      </c>
      <c r="K39" s="476">
        <f t="shared" si="18"/>
        <v>0</v>
      </c>
      <c r="L39" s="476">
        <f t="shared" si="18"/>
        <v>0</v>
      </c>
      <c r="M39" s="476">
        <f t="shared" si="18"/>
        <v>0</v>
      </c>
      <c r="N39" s="476">
        <f t="shared" si="18"/>
        <v>0</v>
      </c>
      <c r="O39" s="476">
        <f t="shared" si="18"/>
        <v>0</v>
      </c>
      <c r="P39" s="476">
        <f t="shared" si="17"/>
        <v>0</v>
      </c>
      <c r="Q39" s="498">
        <f t="shared" si="17"/>
        <v>0</v>
      </c>
    </row>
    <row r="40" spans="2:19" ht="47.25" customHeight="1" x14ac:dyDescent="0.25">
      <c r="B40" s="379" t="s">
        <v>284</v>
      </c>
      <c r="C40" s="247" t="s">
        <v>391</v>
      </c>
      <c r="D40" s="247" t="s">
        <v>392</v>
      </c>
      <c r="E40" s="247" t="s">
        <v>393</v>
      </c>
      <c r="F40" s="346">
        <f>SUM(F41:F69)</f>
        <v>0</v>
      </c>
      <c r="G40" s="346">
        <f t="shared" ref="G40:Q40" si="19">SUM(G41:G69)</f>
        <v>62211.271662763465</v>
      </c>
      <c r="H40" s="346">
        <f t="shared" si="19"/>
        <v>433632.93442622951</v>
      </c>
      <c r="I40" s="346">
        <f t="shared" si="19"/>
        <v>156454.27166276347</v>
      </c>
      <c r="J40" s="346">
        <f t="shared" si="19"/>
        <v>803169.3</v>
      </c>
      <c r="K40" s="346">
        <f t="shared" si="19"/>
        <v>592571.49180327868</v>
      </c>
      <c r="L40" s="346">
        <f t="shared" si="19"/>
        <v>103048</v>
      </c>
      <c r="M40" s="346">
        <f t="shared" si="19"/>
        <v>120245.27166276347</v>
      </c>
      <c r="N40" s="346">
        <f t="shared" si="19"/>
        <v>1178573.2344262295</v>
      </c>
      <c r="O40" s="346">
        <f t="shared" si="19"/>
        <v>39493.271662763465</v>
      </c>
      <c r="P40" s="346">
        <f t="shared" si="19"/>
        <v>93550</v>
      </c>
      <c r="Q40" s="346">
        <f t="shared" si="19"/>
        <v>120961</v>
      </c>
    </row>
    <row r="41" spans="2:19" x14ac:dyDescent="0.25">
      <c r="B41" s="364" t="s">
        <v>595</v>
      </c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3"/>
    </row>
    <row r="42" spans="2:19" x14ac:dyDescent="0.25">
      <c r="B42" s="420" t="s">
        <v>596</v>
      </c>
      <c r="C42" s="354">
        <v>73500</v>
      </c>
      <c r="D42" s="269">
        <v>20000</v>
      </c>
      <c r="E42" s="268">
        <v>3</v>
      </c>
      <c r="F42" s="501"/>
      <c r="G42" s="501"/>
      <c r="H42" s="501">
        <f>$C42*$E42*0.6</f>
        <v>132300</v>
      </c>
      <c r="I42" s="501"/>
      <c r="J42" s="501"/>
      <c r="K42" s="501">
        <f>$C42*$E42</f>
        <v>220500</v>
      </c>
      <c r="L42" s="501"/>
      <c r="M42" s="501"/>
      <c r="N42" s="501">
        <f>$C42*$E42*0.6</f>
        <v>132300</v>
      </c>
      <c r="O42" s="501"/>
      <c r="P42" s="501"/>
      <c r="Q42" s="579"/>
      <c r="S42" s="416"/>
    </row>
    <row r="43" spans="2:19" x14ac:dyDescent="0.25">
      <c r="B43" s="420" t="s">
        <v>597</v>
      </c>
      <c r="C43" s="354">
        <f>6367/1.22</f>
        <v>5218.8524590163934</v>
      </c>
      <c r="D43" s="269">
        <v>8000</v>
      </c>
      <c r="E43" s="268">
        <v>3</v>
      </c>
      <c r="F43" s="501"/>
      <c r="G43" s="501">
        <f t="shared" ref="G43:O44" si="20">$C43*$E43</f>
        <v>15656.557377049179</v>
      </c>
      <c r="H43" s="501"/>
      <c r="I43" s="501">
        <f t="shared" si="20"/>
        <v>15656.557377049179</v>
      </c>
      <c r="J43" s="501"/>
      <c r="K43" s="501">
        <f t="shared" si="20"/>
        <v>15656.557377049179</v>
      </c>
      <c r="L43" s="501"/>
      <c r="M43" s="501">
        <f t="shared" si="20"/>
        <v>15656.557377049179</v>
      </c>
      <c r="N43" s="501"/>
      <c r="O43" s="501">
        <f t="shared" si="20"/>
        <v>15656.557377049179</v>
      </c>
      <c r="P43" s="501"/>
      <c r="Q43" s="579"/>
    </row>
    <row r="44" spans="2:19" x14ac:dyDescent="0.25">
      <c r="B44" s="420" t="s">
        <v>598</v>
      </c>
      <c r="C44" s="354">
        <v>376</v>
      </c>
      <c r="D44" s="269">
        <v>8000</v>
      </c>
      <c r="E44" s="268">
        <v>1</v>
      </c>
      <c r="F44" s="501"/>
      <c r="G44" s="501">
        <f t="shared" si="20"/>
        <v>376</v>
      </c>
      <c r="H44" s="501"/>
      <c r="I44" s="501">
        <f t="shared" si="20"/>
        <v>376</v>
      </c>
      <c r="J44" s="501"/>
      <c r="K44" s="501">
        <f t="shared" si="20"/>
        <v>376</v>
      </c>
      <c r="L44" s="501"/>
      <c r="M44" s="501">
        <f t="shared" si="20"/>
        <v>376</v>
      </c>
      <c r="N44" s="501"/>
      <c r="O44" s="501">
        <f t="shared" si="20"/>
        <v>376</v>
      </c>
      <c r="P44" s="501"/>
      <c r="Q44" s="579"/>
    </row>
    <row r="45" spans="2:19" x14ac:dyDescent="0.25">
      <c r="B45" s="420" t="s">
        <v>599</v>
      </c>
      <c r="C45" s="354">
        <v>5387</v>
      </c>
      <c r="D45" s="269">
        <v>30000</v>
      </c>
      <c r="E45" s="268">
        <v>1</v>
      </c>
      <c r="F45" s="501"/>
      <c r="G45" s="501"/>
      <c r="H45" s="501">
        <f t="shared" ref="H45:L49" si="21">$C45*$E45</f>
        <v>5387</v>
      </c>
      <c r="I45" s="501"/>
      <c r="J45" s="501">
        <f t="shared" si="21"/>
        <v>5387</v>
      </c>
      <c r="K45" s="501"/>
      <c r="L45" s="501">
        <f t="shared" si="21"/>
        <v>5387</v>
      </c>
      <c r="M45" s="501"/>
      <c r="N45" s="501">
        <f t="shared" ref="N45:P49" si="22">$C45*$E45</f>
        <v>5387</v>
      </c>
      <c r="O45" s="501"/>
      <c r="P45" s="501">
        <f t="shared" ref="P45" si="23">$C45*$E45</f>
        <v>5387</v>
      </c>
      <c r="Q45" s="579"/>
    </row>
    <row r="46" spans="2:19" x14ac:dyDescent="0.25">
      <c r="B46" s="420" t="s">
        <v>600</v>
      </c>
      <c r="C46" s="354">
        <v>43571</v>
      </c>
      <c r="D46" s="269">
        <v>18000</v>
      </c>
      <c r="E46" s="268">
        <v>3</v>
      </c>
      <c r="F46" s="501"/>
      <c r="G46" s="501"/>
      <c r="H46" s="501">
        <f t="shared" si="21"/>
        <v>130713</v>
      </c>
      <c r="I46" s="501"/>
      <c r="J46" s="501"/>
      <c r="K46" s="501">
        <f t="shared" ref="K46:L49" si="24">$C46*$E46</f>
        <v>130713</v>
      </c>
      <c r="L46" s="501"/>
      <c r="M46" s="501"/>
      <c r="N46" s="501">
        <f t="shared" si="22"/>
        <v>130713</v>
      </c>
      <c r="O46" s="501"/>
      <c r="P46" s="501"/>
      <c r="Q46" s="579"/>
    </row>
    <row r="47" spans="2:19" x14ac:dyDescent="0.25">
      <c r="B47" s="420" t="s">
        <v>601</v>
      </c>
      <c r="C47" s="354">
        <v>98535</v>
      </c>
      <c r="D47" s="269">
        <v>20000</v>
      </c>
      <c r="E47" s="268">
        <v>1</v>
      </c>
      <c r="F47" s="501"/>
      <c r="G47" s="501">
        <f>C47/4.2</f>
        <v>23460.714285714286</v>
      </c>
      <c r="H47" s="501"/>
      <c r="I47" s="501">
        <f>G47</f>
        <v>23460.714285714286</v>
      </c>
      <c r="J47" s="501"/>
      <c r="K47" s="501">
        <f t="shared" si="24"/>
        <v>98535</v>
      </c>
      <c r="L47" s="501"/>
      <c r="M47" s="501">
        <f>I47</f>
        <v>23460.714285714286</v>
      </c>
      <c r="N47" s="501"/>
      <c r="O47" s="501">
        <f>M47</f>
        <v>23460.714285714286</v>
      </c>
      <c r="P47" s="501"/>
      <c r="Q47" s="501">
        <f t="shared" ref="Q47" si="25">$C47*$E47</f>
        <v>98535</v>
      </c>
    </row>
    <row r="48" spans="2:19" x14ac:dyDescent="0.25">
      <c r="B48" s="580" t="s">
        <v>602</v>
      </c>
      <c r="C48" s="354">
        <v>49288</v>
      </c>
      <c r="D48" s="269">
        <v>25000</v>
      </c>
      <c r="E48" s="268">
        <v>1</v>
      </c>
      <c r="F48" s="501"/>
      <c r="G48" s="501"/>
      <c r="H48" s="501"/>
      <c r="I48" s="501">
        <f>$C48*$E48*1</f>
        <v>49288</v>
      </c>
      <c r="J48" s="501"/>
      <c r="K48" s="501"/>
      <c r="L48" s="501"/>
      <c r="M48" s="501">
        <f>$C48*$E48*1</f>
        <v>49288</v>
      </c>
      <c r="N48" s="501"/>
      <c r="O48" s="501"/>
      <c r="P48" s="501"/>
      <c r="Q48" s="579"/>
    </row>
    <row r="49" spans="2:17" x14ac:dyDescent="0.25">
      <c r="B49" s="420" t="s">
        <v>603</v>
      </c>
      <c r="C49" s="354">
        <v>22561</v>
      </c>
      <c r="D49" s="269">
        <v>24000</v>
      </c>
      <c r="E49" s="268">
        <v>1</v>
      </c>
      <c r="F49" s="501"/>
      <c r="G49" s="501"/>
      <c r="H49" s="501"/>
      <c r="I49" s="501">
        <f t="shared" si="21"/>
        <v>22561</v>
      </c>
      <c r="J49" s="501"/>
      <c r="K49" s="501"/>
      <c r="L49" s="501">
        <f t="shared" si="24"/>
        <v>22561</v>
      </c>
      <c r="M49" s="501"/>
      <c r="N49" s="501"/>
      <c r="O49" s="501"/>
      <c r="P49" s="501">
        <f t="shared" si="22"/>
        <v>22561</v>
      </c>
      <c r="Q49" s="579"/>
    </row>
    <row r="50" spans="2:17" x14ac:dyDescent="0.25">
      <c r="B50" s="364" t="s">
        <v>396</v>
      </c>
      <c r="C50" s="292"/>
      <c r="D50" s="292"/>
      <c r="E50" s="370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3"/>
    </row>
    <row r="51" spans="2:17" x14ac:dyDescent="0.25">
      <c r="B51" s="420" t="s">
        <v>377</v>
      </c>
      <c r="C51" s="354">
        <v>308698</v>
      </c>
      <c r="D51" s="269">
        <v>30000</v>
      </c>
      <c r="E51" s="268">
        <v>2</v>
      </c>
      <c r="F51" s="501"/>
      <c r="G51" s="501"/>
      <c r="H51" s="501">
        <v>25308</v>
      </c>
      <c r="I51" s="501"/>
      <c r="J51" s="501">
        <v>617396</v>
      </c>
      <c r="K51" s="501"/>
      <c r="L51" s="501">
        <v>25308</v>
      </c>
      <c r="M51" s="501"/>
      <c r="N51" s="501">
        <v>617396</v>
      </c>
      <c r="O51" s="501"/>
      <c r="P51" s="501">
        <v>25308</v>
      </c>
      <c r="Q51" s="501"/>
    </row>
    <row r="52" spans="2:17" x14ac:dyDescent="0.25">
      <c r="B52" s="420" t="s">
        <v>604</v>
      </c>
      <c r="C52" s="354">
        <v>177069</v>
      </c>
      <c r="D52" s="269">
        <v>30000</v>
      </c>
      <c r="E52" s="268">
        <v>2</v>
      </c>
      <c r="F52" s="501"/>
      <c r="G52" s="501"/>
      <c r="H52" s="501">
        <v>11480</v>
      </c>
      <c r="I52" s="501"/>
      <c r="J52" s="501">
        <v>123948.29999999999</v>
      </c>
      <c r="K52" s="501"/>
      <c r="L52" s="501">
        <v>11480</v>
      </c>
      <c r="M52" s="501"/>
      <c r="N52" s="501">
        <v>123948.29999999999</v>
      </c>
      <c r="O52" s="501"/>
      <c r="P52" s="501">
        <v>11480</v>
      </c>
      <c r="Q52" s="501"/>
    </row>
    <row r="53" spans="2:17" x14ac:dyDescent="0.25">
      <c r="B53" s="581" t="s">
        <v>397</v>
      </c>
      <c r="C53" s="582"/>
      <c r="D53" s="582"/>
      <c r="E53" s="583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4"/>
    </row>
    <row r="54" spans="2:17" x14ac:dyDescent="0.25">
      <c r="B54" s="585" t="s">
        <v>605</v>
      </c>
      <c r="C54" s="354">
        <v>2574</v>
      </c>
      <c r="D54" s="269">
        <v>28000</v>
      </c>
      <c r="E54" s="268">
        <v>2</v>
      </c>
      <c r="F54" s="501"/>
      <c r="G54" s="501"/>
      <c r="H54" s="501"/>
      <c r="I54" s="501">
        <f t="shared" ref="G54:Q69" si="26">$C54*$E54</f>
        <v>5148</v>
      </c>
      <c r="J54" s="501"/>
      <c r="K54" s="501"/>
      <c r="L54" s="501"/>
      <c r="M54" s="501">
        <f t="shared" ref="K54:P64" si="27">$C54*$E54</f>
        <v>5148</v>
      </c>
      <c r="N54" s="501">
        <f t="shared" si="27"/>
        <v>5148</v>
      </c>
      <c r="O54" s="501"/>
      <c r="P54" s="501"/>
      <c r="Q54" s="579"/>
    </row>
    <row r="55" spans="2:17" x14ac:dyDescent="0.25">
      <c r="B55" s="509" t="s">
        <v>606</v>
      </c>
      <c r="C55" s="354">
        <v>3598</v>
      </c>
      <c r="D55" s="269">
        <v>28000</v>
      </c>
      <c r="E55" s="268">
        <v>1</v>
      </c>
      <c r="F55" s="501"/>
      <c r="G55" s="501"/>
      <c r="H55" s="501"/>
      <c r="I55" s="501">
        <f t="shared" si="26"/>
        <v>3598</v>
      </c>
      <c r="J55" s="501"/>
      <c r="K55" s="501"/>
      <c r="L55" s="501"/>
      <c r="M55" s="501">
        <f t="shared" si="27"/>
        <v>3598</v>
      </c>
      <c r="N55" s="501">
        <f t="shared" si="27"/>
        <v>3598</v>
      </c>
      <c r="O55" s="501"/>
      <c r="P55" s="501"/>
      <c r="Q55" s="579"/>
    </row>
    <row r="56" spans="2:17" x14ac:dyDescent="0.25">
      <c r="B56" s="509" t="s">
        <v>607</v>
      </c>
      <c r="C56" s="354">
        <v>3275</v>
      </c>
      <c r="D56" s="269">
        <v>24000</v>
      </c>
      <c r="E56" s="268">
        <v>2</v>
      </c>
      <c r="F56" s="501"/>
      <c r="G56" s="501"/>
      <c r="H56" s="501"/>
      <c r="I56" s="501">
        <f t="shared" si="26"/>
        <v>6550</v>
      </c>
      <c r="J56" s="501"/>
      <c r="K56" s="501"/>
      <c r="L56" s="501">
        <f t="shared" si="27"/>
        <v>6550</v>
      </c>
      <c r="M56" s="501"/>
      <c r="N56" s="501"/>
      <c r="O56" s="501"/>
      <c r="P56" s="501"/>
      <c r="Q56" s="579"/>
    </row>
    <row r="57" spans="2:17" x14ac:dyDescent="0.25">
      <c r="B57" s="509" t="s">
        <v>608</v>
      </c>
      <c r="C57" s="354">
        <v>2948</v>
      </c>
      <c r="D57" s="269">
        <v>24000</v>
      </c>
      <c r="E57" s="268">
        <v>1</v>
      </c>
      <c r="F57" s="501"/>
      <c r="G57" s="501"/>
      <c r="H57" s="501"/>
      <c r="I57" s="501">
        <f t="shared" si="26"/>
        <v>2948</v>
      </c>
      <c r="J57" s="501"/>
      <c r="K57" s="501"/>
      <c r="L57" s="501">
        <f t="shared" si="27"/>
        <v>2948</v>
      </c>
      <c r="M57" s="501"/>
      <c r="N57" s="501"/>
      <c r="O57" s="501"/>
      <c r="P57" s="501"/>
      <c r="Q57" s="579"/>
    </row>
    <row r="58" spans="2:17" x14ac:dyDescent="0.25">
      <c r="B58" s="420" t="s">
        <v>515</v>
      </c>
      <c r="C58" s="354">
        <v>360</v>
      </c>
      <c r="D58" s="269">
        <v>20000</v>
      </c>
      <c r="E58" s="268">
        <v>2</v>
      </c>
      <c r="F58" s="501"/>
      <c r="G58" s="501"/>
      <c r="H58" s="501">
        <f t="shared" si="26"/>
        <v>720</v>
      </c>
      <c r="I58" s="501"/>
      <c r="J58" s="501"/>
      <c r="K58" s="501">
        <f t="shared" si="27"/>
        <v>720</v>
      </c>
      <c r="L58" s="501"/>
      <c r="M58" s="501"/>
      <c r="N58" s="501"/>
      <c r="O58" s="501"/>
      <c r="P58" s="501"/>
      <c r="Q58" s="579"/>
    </row>
    <row r="59" spans="2:17" x14ac:dyDescent="0.25">
      <c r="B59" s="420" t="s">
        <v>609</v>
      </c>
      <c r="C59" s="354">
        <v>973</v>
      </c>
      <c r="D59" s="269">
        <v>16000</v>
      </c>
      <c r="E59" s="268">
        <v>2</v>
      </c>
      <c r="F59" s="501"/>
      <c r="G59" s="501"/>
      <c r="H59" s="501">
        <f t="shared" si="26"/>
        <v>1946</v>
      </c>
      <c r="I59" s="501"/>
      <c r="J59" s="501">
        <f t="shared" si="26"/>
        <v>1946</v>
      </c>
      <c r="K59" s="501"/>
      <c r="L59" s="501">
        <f t="shared" si="26"/>
        <v>1946</v>
      </c>
      <c r="M59" s="501"/>
      <c r="N59" s="501">
        <f t="shared" si="27"/>
        <v>1946</v>
      </c>
      <c r="O59" s="501"/>
      <c r="P59" s="501">
        <f t="shared" ref="P59" si="28">$C59*$E59</f>
        <v>1946</v>
      </c>
      <c r="Q59" s="579"/>
    </row>
    <row r="60" spans="2:17" x14ac:dyDescent="0.25">
      <c r="B60" s="420" t="s">
        <v>610</v>
      </c>
      <c r="C60" s="354">
        <v>146</v>
      </c>
      <c r="D60" s="269">
        <v>12000</v>
      </c>
      <c r="E60" s="268">
        <v>2</v>
      </c>
      <c r="F60" s="501"/>
      <c r="G60" s="501">
        <f t="shared" si="26"/>
        <v>292</v>
      </c>
      <c r="H60" s="501"/>
      <c r="I60" s="501">
        <f t="shared" si="26"/>
        <v>292</v>
      </c>
      <c r="J60" s="501"/>
      <c r="K60" s="501">
        <f t="shared" si="26"/>
        <v>292</v>
      </c>
      <c r="L60" s="501">
        <f t="shared" si="26"/>
        <v>292</v>
      </c>
      <c r="M60" s="501">
        <f t="shared" si="27"/>
        <v>292</v>
      </c>
      <c r="N60" s="501">
        <f t="shared" si="27"/>
        <v>292</v>
      </c>
      <c r="O60" s="501"/>
      <c r="P60" s="501">
        <f t="shared" si="27"/>
        <v>292</v>
      </c>
      <c r="Q60" s="579"/>
    </row>
    <row r="61" spans="2:17" x14ac:dyDescent="0.25">
      <c r="B61" s="420" t="s">
        <v>611</v>
      </c>
      <c r="C61" s="354">
        <v>1904</v>
      </c>
      <c r="D61" s="269">
        <v>24000</v>
      </c>
      <c r="E61" s="268">
        <v>1</v>
      </c>
      <c r="F61" s="501"/>
      <c r="G61" s="501"/>
      <c r="H61" s="501"/>
      <c r="I61" s="501">
        <f t="shared" si="26"/>
        <v>1904</v>
      </c>
      <c r="J61" s="501"/>
      <c r="K61" s="501"/>
      <c r="L61" s="501">
        <f t="shared" si="26"/>
        <v>1904</v>
      </c>
      <c r="M61" s="501"/>
      <c r="N61" s="501"/>
      <c r="O61" s="501"/>
      <c r="P61" s="501">
        <f t="shared" si="27"/>
        <v>1904</v>
      </c>
      <c r="Q61" s="579"/>
    </row>
    <row r="62" spans="2:17" x14ac:dyDescent="0.25">
      <c r="B62" s="420" t="s">
        <v>612</v>
      </c>
      <c r="C62" s="354">
        <v>12336</v>
      </c>
      <c r="D62" s="269">
        <v>24000</v>
      </c>
      <c r="E62" s="268">
        <v>2</v>
      </c>
      <c r="F62" s="501"/>
      <c r="G62" s="501"/>
      <c r="H62" s="501"/>
      <c r="I62" s="501">
        <f t="shared" si="26"/>
        <v>24672</v>
      </c>
      <c r="J62" s="501"/>
      <c r="K62" s="501"/>
      <c r="L62" s="501">
        <f t="shared" si="26"/>
        <v>24672</v>
      </c>
      <c r="M62" s="501"/>
      <c r="N62" s="501"/>
      <c r="O62" s="501"/>
      <c r="P62" s="501">
        <f t="shared" si="27"/>
        <v>24672</v>
      </c>
      <c r="Q62" s="579"/>
    </row>
    <row r="63" spans="2:17" x14ac:dyDescent="0.25">
      <c r="B63" s="420" t="s">
        <v>613</v>
      </c>
      <c r="C63" s="354">
        <v>16033</v>
      </c>
      <c r="D63" s="269">
        <v>30000</v>
      </c>
      <c r="E63" s="268">
        <v>2</v>
      </c>
      <c r="F63" s="501"/>
      <c r="G63" s="501"/>
      <c r="H63" s="501"/>
      <c r="I63" s="501"/>
      <c r="J63" s="501">
        <f t="shared" si="26"/>
        <v>32066</v>
      </c>
      <c r="K63" s="501"/>
      <c r="L63" s="501"/>
      <c r="M63" s="501"/>
      <c r="N63" s="501">
        <f t="shared" si="27"/>
        <v>32066</v>
      </c>
      <c r="O63" s="501"/>
      <c r="P63" s="501"/>
      <c r="Q63" s="579"/>
    </row>
    <row r="64" spans="2:17" x14ac:dyDescent="0.25">
      <c r="B64" s="420" t="s">
        <v>614</v>
      </c>
      <c r="C64" s="354">
        <v>5927</v>
      </c>
      <c r="D64" s="269">
        <v>20000</v>
      </c>
      <c r="E64" s="268">
        <v>1</v>
      </c>
      <c r="F64" s="501"/>
      <c r="G64" s="501"/>
      <c r="H64" s="501">
        <f t="shared" si="26"/>
        <v>5927</v>
      </c>
      <c r="I64" s="501"/>
      <c r="J64" s="501"/>
      <c r="K64" s="501">
        <f t="shared" si="26"/>
        <v>5927</v>
      </c>
      <c r="L64" s="501"/>
      <c r="M64" s="501"/>
      <c r="N64" s="501">
        <f t="shared" si="27"/>
        <v>5927</v>
      </c>
      <c r="O64" s="501"/>
      <c r="P64" s="501"/>
      <c r="Q64" s="579"/>
    </row>
    <row r="65" spans="2:17" x14ac:dyDescent="0.25">
      <c r="B65" s="364" t="s">
        <v>506</v>
      </c>
      <c r="C65" s="292"/>
      <c r="D65" s="292"/>
      <c r="E65" s="370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3"/>
    </row>
    <row r="66" spans="2:17" x14ac:dyDescent="0.25">
      <c r="B66" s="586" t="s">
        <v>615</v>
      </c>
      <c r="C66" s="354">
        <v>8359</v>
      </c>
      <c r="D66" s="269">
        <v>20000</v>
      </c>
      <c r="E66" s="268">
        <v>2</v>
      </c>
      <c r="F66" s="501"/>
      <c r="G66" s="501"/>
      <c r="H66" s="501">
        <f t="shared" si="26"/>
        <v>16718</v>
      </c>
      <c r="I66" s="501"/>
      <c r="J66" s="501"/>
      <c r="K66" s="501">
        <f t="shared" ref="K66:K69" si="29">$C66*$E66</f>
        <v>16718</v>
      </c>
      <c r="L66" s="501"/>
      <c r="M66" s="501"/>
      <c r="N66" s="501">
        <f t="shared" ref="N66:N68" si="30">$C66*$E66</f>
        <v>16718</v>
      </c>
      <c r="O66" s="501"/>
      <c r="P66" s="501"/>
      <c r="Q66" s="579"/>
    </row>
    <row r="67" spans="2:17" x14ac:dyDescent="0.25">
      <c r="B67" s="586" t="s">
        <v>616</v>
      </c>
      <c r="C67" s="354">
        <v>15772</v>
      </c>
      <c r="D67" s="269">
        <v>20000</v>
      </c>
      <c r="E67" s="268">
        <v>2</v>
      </c>
      <c r="F67" s="501"/>
      <c r="G67" s="501"/>
      <c r="H67" s="501">
        <f t="shared" si="26"/>
        <v>31544</v>
      </c>
      <c r="I67" s="501"/>
      <c r="J67" s="501"/>
      <c r="K67" s="501">
        <f t="shared" si="29"/>
        <v>31544</v>
      </c>
      <c r="L67" s="501"/>
      <c r="M67" s="501"/>
      <c r="N67" s="501">
        <f t="shared" si="30"/>
        <v>31544</v>
      </c>
      <c r="O67" s="501"/>
      <c r="P67" s="501"/>
      <c r="Q67" s="579"/>
    </row>
    <row r="68" spans="2:17" x14ac:dyDescent="0.25">
      <c r="B68" s="586" t="s">
        <v>617</v>
      </c>
      <c r="C68" s="354">
        <v>12290.983606557378</v>
      </c>
      <c r="D68" s="269">
        <v>20000</v>
      </c>
      <c r="E68" s="268">
        <v>4</v>
      </c>
      <c r="F68" s="501"/>
      <c r="G68" s="501"/>
      <c r="H68" s="501">
        <f t="shared" si="26"/>
        <v>49163.934426229513</v>
      </c>
      <c r="I68" s="501"/>
      <c r="J68" s="501"/>
      <c r="K68" s="501">
        <f t="shared" si="29"/>
        <v>49163.934426229513</v>
      </c>
      <c r="L68" s="501"/>
      <c r="M68" s="501"/>
      <c r="N68" s="501">
        <f t="shared" si="30"/>
        <v>49163.934426229513</v>
      </c>
      <c r="O68" s="501"/>
      <c r="P68" s="501"/>
      <c r="Q68" s="579"/>
    </row>
    <row r="69" spans="2:17" x14ac:dyDescent="0.25">
      <c r="B69" s="586" t="s">
        <v>618</v>
      </c>
      <c r="C69" s="354">
        <v>11213</v>
      </c>
      <c r="D69" s="269">
        <v>20000</v>
      </c>
      <c r="E69" s="268">
        <v>2</v>
      </c>
      <c r="F69" s="501"/>
      <c r="G69" s="501">
        <f t="shared" si="26"/>
        <v>22426</v>
      </c>
      <c r="H69" s="501">
        <f t="shared" si="26"/>
        <v>22426</v>
      </c>
      <c r="I69" s="501"/>
      <c r="J69" s="501">
        <f t="shared" si="26"/>
        <v>22426</v>
      </c>
      <c r="K69" s="501">
        <f t="shared" si="29"/>
        <v>22426</v>
      </c>
      <c r="L69" s="501"/>
      <c r="M69" s="501">
        <f t="shared" si="26"/>
        <v>22426</v>
      </c>
      <c r="N69" s="501">
        <f t="shared" si="26"/>
        <v>22426</v>
      </c>
      <c r="O69" s="501"/>
      <c r="P69" s="501"/>
      <c r="Q69" s="579">
        <f t="shared" si="26"/>
        <v>22426</v>
      </c>
    </row>
    <row r="70" spans="2:17" x14ac:dyDescent="0.25">
      <c r="E70" s="416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  <customProperties>
    <customPr name="_pios_id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DB73-12A6-4355-9B61-1DD3C4D8AB97}">
  <sheetPr>
    <tabColor theme="8" tint="0.79998168889431442"/>
    <pageSetUpPr fitToPage="1"/>
  </sheetPr>
  <dimension ref="A2:S44"/>
  <sheetViews>
    <sheetView showGridLines="0" zoomScale="85" zoomScaleNormal="85" zoomScaleSheetLayoutView="100" workbookViewId="0">
      <selection activeCell="S18" sqref="S18"/>
    </sheetView>
  </sheetViews>
  <sheetFormatPr defaultColWidth="9.125" defaultRowHeight="12.9" x14ac:dyDescent="0.25"/>
  <cols>
    <col min="1" max="1" width="6" style="236" customWidth="1"/>
    <col min="2" max="2" width="43.5" style="274" customWidth="1"/>
    <col min="3" max="3" width="17" style="238" customWidth="1"/>
    <col min="4" max="4" width="17.75" style="238" customWidth="1"/>
    <col min="5" max="5" width="10.75" style="239" customWidth="1"/>
    <col min="6" max="6" width="9.25" style="239" customWidth="1"/>
    <col min="7" max="7" width="8.75" style="239" customWidth="1"/>
    <col min="8" max="12" width="8.625" style="239" bestFit="1" customWidth="1"/>
    <col min="13" max="14" width="8.25" style="239" customWidth="1"/>
    <col min="15" max="15" width="21.375" style="236" customWidth="1"/>
    <col min="16" max="16" width="14" style="236" bestFit="1" customWidth="1"/>
    <col min="17" max="17" width="17.25" style="236" customWidth="1"/>
    <col min="18" max="18" width="9.875" style="236" bestFit="1" customWidth="1"/>
    <col min="19" max="16384" width="9.125" style="236"/>
  </cols>
  <sheetData>
    <row r="2" spans="1:16" ht="14.3" x14ac:dyDescent="0.25">
      <c r="B2" s="237" t="s">
        <v>259</v>
      </c>
      <c r="P2" s="240" t="s">
        <v>680</v>
      </c>
    </row>
    <row r="3" spans="1:16" s="241" customFormat="1" ht="27" customHeight="1" x14ac:dyDescent="0.25">
      <c r="B3" s="242" t="s">
        <v>261</v>
      </c>
      <c r="C3" s="550" t="s">
        <v>419</v>
      </c>
      <c r="D3" s="550" t="s">
        <v>681</v>
      </c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263</v>
      </c>
    </row>
    <row r="4" spans="1:16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469"/>
      <c r="P4" s="248"/>
    </row>
    <row r="5" spans="1:16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469"/>
      <c r="P5" s="248"/>
    </row>
    <row r="6" spans="1:16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/>
      <c r="E6" s="253">
        <v>8400</v>
      </c>
      <c r="F6" s="253">
        <v>8400</v>
      </c>
      <c r="G6" s="253">
        <v>8400</v>
      </c>
      <c r="H6" s="253">
        <v>8400</v>
      </c>
      <c r="I6" s="253">
        <v>8400</v>
      </c>
      <c r="J6" s="253">
        <v>8400</v>
      </c>
      <c r="K6" s="253">
        <v>8400</v>
      </c>
      <c r="L6" s="253">
        <v>8400</v>
      </c>
      <c r="M6" s="253">
        <v>8400</v>
      </c>
      <c r="N6" s="253">
        <v>8400</v>
      </c>
      <c r="O6" s="469"/>
      <c r="P6" s="248"/>
    </row>
    <row r="7" spans="1:16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/>
      <c r="E7" s="253">
        <v>6720</v>
      </c>
      <c r="F7" s="253">
        <v>6720</v>
      </c>
      <c r="G7" s="253">
        <v>6720</v>
      </c>
      <c r="H7" s="253">
        <v>6720</v>
      </c>
      <c r="I7" s="253">
        <v>6720</v>
      </c>
      <c r="J7" s="253">
        <v>6720</v>
      </c>
      <c r="K7" s="253">
        <v>6720</v>
      </c>
      <c r="L7" s="253">
        <v>6720</v>
      </c>
      <c r="M7" s="253">
        <v>6720</v>
      </c>
      <c r="N7" s="253">
        <v>6720</v>
      </c>
      <c r="O7" s="469"/>
      <c r="P7" s="248"/>
    </row>
    <row r="8" spans="1:16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/>
      <c r="E8" s="253">
        <v>13390</v>
      </c>
      <c r="F8" s="253">
        <v>13390</v>
      </c>
      <c r="G8" s="253">
        <v>13390</v>
      </c>
      <c r="H8" s="253">
        <v>13390</v>
      </c>
      <c r="I8" s="253">
        <v>13390</v>
      </c>
      <c r="J8" s="253">
        <v>13390</v>
      </c>
      <c r="K8" s="253">
        <v>13390</v>
      </c>
      <c r="L8" s="253">
        <v>13390</v>
      </c>
      <c r="M8" s="253">
        <v>13390</v>
      </c>
      <c r="N8" s="253">
        <v>13390</v>
      </c>
      <c r="O8" s="469"/>
      <c r="P8" s="248"/>
    </row>
    <row r="9" spans="1:16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/>
      <c r="E9" s="253">
        <v>240</v>
      </c>
      <c r="F9" s="253">
        <v>240</v>
      </c>
      <c r="G9" s="253">
        <v>240</v>
      </c>
      <c r="H9" s="253">
        <v>240</v>
      </c>
      <c r="I9" s="253">
        <v>240</v>
      </c>
      <c r="J9" s="253">
        <v>240</v>
      </c>
      <c r="K9" s="253">
        <v>240</v>
      </c>
      <c r="L9" s="253">
        <v>240</v>
      </c>
      <c r="M9" s="253">
        <v>240</v>
      </c>
      <c r="N9" s="253">
        <v>240</v>
      </c>
      <c r="O9" s="469"/>
      <c r="P9" s="248"/>
    </row>
    <row r="10" spans="1:16" ht="27.2" x14ac:dyDescent="0.25">
      <c r="A10" s="236">
        <f t="shared" si="1"/>
        <v>7</v>
      </c>
      <c r="B10" s="246" t="s">
        <v>270</v>
      </c>
      <c r="C10" s="253" t="s">
        <v>271</v>
      </c>
      <c r="D10" s="252"/>
      <c r="E10" s="253">
        <v>141</v>
      </c>
      <c r="F10" s="253">
        <v>141</v>
      </c>
      <c r="G10" s="253">
        <v>141</v>
      </c>
      <c r="H10" s="253">
        <v>141</v>
      </c>
      <c r="I10" s="253">
        <v>141</v>
      </c>
      <c r="J10" s="253">
        <v>141</v>
      </c>
      <c r="K10" s="253">
        <v>141</v>
      </c>
      <c r="L10" s="253">
        <v>141</v>
      </c>
      <c r="M10" s="253">
        <v>141</v>
      </c>
      <c r="N10" s="253">
        <v>141</v>
      </c>
      <c r="O10" s="469" t="s">
        <v>682</v>
      </c>
      <c r="P10" s="254"/>
    </row>
    <row r="11" spans="1:16" ht="18.7" customHeight="1" x14ac:dyDescent="0.25">
      <c r="A11" s="236">
        <f>A10+1</f>
        <v>8</v>
      </c>
      <c r="B11" s="246" t="s">
        <v>12</v>
      </c>
      <c r="C11" s="253" t="s">
        <v>13</v>
      </c>
      <c r="D11" s="252"/>
      <c r="E11" s="253">
        <v>2535</v>
      </c>
      <c r="F11" s="253">
        <v>2535</v>
      </c>
      <c r="G11" s="253">
        <v>2535</v>
      </c>
      <c r="H11" s="253">
        <v>2535</v>
      </c>
      <c r="I11" s="253">
        <v>2535</v>
      </c>
      <c r="J11" s="253">
        <v>2535</v>
      </c>
      <c r="K11" s="253">
        <v>2535</v>
      </c>
      <c r="L11" s="253">
        <v>2535</v>
      </c>
      <c r="M11" s="253">
        <v>2535</v>
      </c>
      <c r="N11" s="253">
        <v>2535</v>
      </c>
      <c r="O11" s="469"/>
      <c r="P11" s="254"/>
    </row>
    <row r="12" spans="1:16" ht="29.25" customHeight="1" x14ac:dyDescent="0.25">
      <c r="A12" s="236">
        <f>A11+1</f>
        <v>9</v>
      </c>
      <c r="B12" s="246" t="s">
        <v>683</v>
      </c>
      <c r="C12" s="253"/>
      <c r="D12" s="253"/>
      <c r="E12" s="255">
        <f>(8760-E13-E14-E15)/8760</f>
        <v>0.92956036751648907</v>
      </c>
      <c r="F12" s="255">
        <f>(8760-F13-F14-F15)/8760</f>
        <v>0.90792065417300871</v>
      </c>
      <c r="G12" s="255">
        <f>(8760-G13-G14-G15)/8760</f>
        <v>0.8994118599906985</v>
      </c>
      <c r="H12" s="255">
        <f t="shared" ref="H12:M12" si="2">(8760-H13-H14-H15)/8760</f>
        <v>0.88050753900304413</v>
      </c>
      <c r="I12" s="255">
        <f t="shared" si="2"/>
        <v>0.9011506135844749</v>
      </c>
      <c r="J12" s="255">
        <f t="shared" si="2"/>
        <v>0.87025999122695752</v>
      </c>
      <c r="K12" s="255">
        <f>(8760-K13-K14-K15-300)/8760</f>
        <v>0.85058935026636229</v>
      </c>
      <c r="L12" s="255">
        <f>(8760-L13-L14-L15)/8760</f>
        <v>0.89171695046930488</v>
      </c>
      <c r="M12" s="255">
        <f t="shared" si="2"/>
        <v>0.85775576325469305</v>
      </c>
      <c r="N12" s="255">
        <f>(8760-N13-N14-N15)/8760</f>
        <v>0.85228053917216307</v>
      </c>
      <c r="O12" s="469" t="s">
        <v>684</v>
      </c>
    </row>
    <row r="13" spans="1:16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'БелАЗ_Б ТО'!F7</f>
        <v>249.39549999999994</v>
      </c>
      <c r="F13" s="257">
        <f>'БелАЗ_Б ТО'!G7</f>
        <v>238.37549999999996</v>
      </c>
      <c r="G13" s="257">
        <f>'БелАЗ_Б ТО'!H7</f>
        <v>238.37549999999996</v>
      </c>
      <c r="H13" s="257">
        <f>'БелАЗ_Б ТО'!I7</f>
        <v>238.37549999999996</v>
      </c>
      <c r="I13" s="257">
        <f>'БелАЗ_Б ТО'!J7</f>
        <v>238.37549999999996</v>
      </c>
      <c r="J13" s="257">
        <f>'БелАЗ_Б ТО'!K7</f>
        <v>238.37549999999996</v>
      </c>
      <c r="K13" s="257">
        <f>'БелАЗ_Б ТО'!L7</f>
        <v>238.37549999999996</v>
      </c>
      <c r="L13" s="257">
        <f>'БелАЗ_Б ТО'!M7</f>
        <v>238.37549999999996</v>
      </c>
      <c r="M13" s="257">
        <f>'БелАЗ_Б ТО'!N7</f>
        <v>238.37549999999996</v>
      </c>
      <c r="N13" s="257">
        <f>'БелАЗ_Б ТО'!O7</f>
        <v>238.37549999999996</v>
      </c>
      <c r="O13" s="424"/>
    </row>
    <row r="14" spans="1:16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'БелАЗ_Б Рем'!F9</f>
        <v>135</v>
      </c>
      <c r="F14" s="257">
        <f>'БелАЗ_Б Рем'!G9</f>
        <v>341</v>
      </c>
      <c r="G14" s="257">
        <f>'БелАЗ_Б Рем'!H9</f>
        <v>417.66666666666663</v>
      </c>
      <c r="H14" s="257">
        <f>'БелАЗ_Б Рем'!I9</f>
        <v>588</v>
      </c>
      <c r="I14" s="257">
        <f>'БелАЗ_Б Рем'!J9</f>
        <v>402</v>
      </c>
      <c r="J14" s="257">
        <f>'БелАЗ_Б Рем'!K9</f>
        <v>680.33333333333337</v>
      </c>
      <c r="K14" s="257">
        <f>'БелАЗ_Б Рем'!L9</f>
        <v>549</v>
      </c>
      <c r="L14" s="257">
        <f>'БелАЗ_Б Рем'!M9</f>
        <v>487</v>
      </c>
      <c r="M14" s="257">
        <f>'БелАЗ_Б Рем'!N9</f>
        <v>793</v>
      </c>
      <c r="N14" s="257">
        <f>'БелАЗ_Б Рем'!O9</f>
        <v>842.33333333333337</v>
      </c>
      <c r="O14" s="424"/>
    </row>
    <row r="15" spans="1:16" ht="21.75" customHeight="1" x14ac:dyDescent="0.25">
      <c r="A15" s="236">
        <f t="shared" si="3"/>
        <v>12</v>
      </c>
      <c r="B15" s="256" t="s">
        <v>685</v>
      </c>
      <c r="C15" s="253" t="s">
        <v>273</v>
      </c>
      <c r="D15" s="253"/>
      <c r="E15" s="257">
        <f>(8760-E13-E14)/12*20/60</f>
        <v>232.65568055555556</v>
      </c>
      <c r="F15" s="257">
        <f t="shared" ref="F15:N15" si="4">(8760-F13-F14)/12*20/60</f>
        <v>227.23956944444444</v>
      </c>
      <c r="G15" s="257">
        <f t="shared" si="4"/>
        <v>225.10993981481479</v>
      </c>
      <c r="H15" s="257">
        <f t="shared" si="4"/>
        <v>220.3784583333333</v>
      </c>
      <c r="I15" s="257">
        <f t="shared" si="4"/>
        <v>225.54512499999998</v>
      </c>
      <c r="J15" s="257">
        <f t="shared" si="4"/>
        <v>217.81364351851852</v>
      </c>
      <c r="K15" s="257">
        <f t="shared" si="4"/>
        <v>221.46179166666664</v>
      </c>
      <c r="L15" s="257">
        <f t="shared" si="4"/>
        <v>223.1840138888889</v>
      </c>
      <c r="M15" s="257">
        <f t="shared" si="4"/>
        <v>214.6840138888889</v>
      </c>
      <c r="N15" s="257">
        <f t="shared" si="4"/>
        <v>213.31364351851852</v>
      </c>
      <c r="O15" s="424"/>
    </row>
    <row r="16" spans="1:16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/>
      <c r="E16" s="259">
        <v>22</v>
      </c>
      <c r="F16" s="259">
        <v>22</v>
      </c>
      <c r="G16" s="259">
        <v>22</v>
      </c>
      <c r="H16" s="259">
        <v>22</v>
      </c>
      <c r="I16" s="259">
        <v>22</v>
      </c>
      <c r="J16" s="259">
        <v>22</v>
      </c>
      <c r="K16" s="259">
        <v>22</v>
      </c>
      <c r="L16" s="259">
        <v>22</v>
      </c>
      <c r="M16" s="259">
        <v>22</v>
      </c>
      <c r="N16" s="259">
        <v>22</v>
      </c>
      <c r="O16" s="469"/>
    </row>
    <row r="17" spans="1:19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/>
      <c r="E17" s="259">
        <v>33</v>
      </c>
      <c r="F17" s="259">
        <v>33</v>
      </c>
      <c r="G17" s="259">
        <v>33</v>
      </c>
      <c r="H17" s="259">
        <v>33</v>
      </c>
      <c r="I17" s="259">
        <v>33</v>
      </c>
      <c r="J17" s="259">
        <v>33</v>
      </c>
      <c r="K17" s="259">
        <v>33</v>
      </c>
      <c r="L17" s="259">
        <v>33</v>
      </c>
      <c r="M17" s="259">
        <v>33</v>
      </c>
      <c r="N17" s="259">
        <v>33</v>
      </c>
      <c r="O17" s="469"/>
      <c r="Q17" s="531" t="s">
        <v>523</v>
      </c>
      <c r="R17" s="531" t="s">
        <v>524</v>
      </c>
    </row>
    <row r="18" spans="1:19" ht="30.75" customHeight="1" x14ac:dyDescent="0.25">
      <c r="A18" s="236">
        <f t="shared" si="3"/>
        <v>15</v>
      </c>
      <c r="B18" s="246" t="s">
        <v>686</v>
      </c>
      <c r="C18" s="260" t="s">
        <v>280</v>
      </c>
      <c r="D18" s="260"/>
      <c r="E18" s="261">
        <f>SUM(E19:E23)</f>
        <v>130.79329823756859</v>
      </c>
      <c r="F18" s="261">
        <f t="shared" ref="F18:N18" si="5">SUM(F19:F23)</f>
        <v>209.0123796395294</v>
      </c>
      <c r="G18" s="261">
        <f t="shared" si="5"/>
        <v>615.43665081952929</v>
      </c>
      <c r="H18" s="261">
        <f t="shared" si="5"/>
        <v>911.52058893952938</v>
      </c>
      <c r="I18" s="261">
        <f t="shared" si="5"/>
        <v>364.66373933952946</v>
      </c>
      <c r="J18" s="261">
        <f t="shared" si="5"/>
        <v>636.96468201952939</v>
      </c>
      <c r="K18" s="261">
        <f t="shared" si="5"/>
        <v>323.46017843952939</v>
      </c>
      <c r="L18" s="261">
        <f t="shared" si="5"/>
        <v>971.72701011599997</v>
      </c>
      <c r="M18" s="261">
        <f t="shared" si="5"/>
        <v>805.29884171952949</v>
      </c>
      <c r="N18" s="261">
        <f t="shared" si="5"/>
        <v>335.15355463952937</v>
      </c>
      <c r="O18" s="424"/>
      <c r="P18" s="262"/>
      <c r="Q18" s="528">
        <f>SUM(E18:N18)</f>
        <v>5304.0309239098042</v>
      </c>
      <c r="R18" s="528">
        <f>Q18/$N$4</f>
        <v>530.40309239098042</v>
      </c>
      <c r="S18" s="1050">
        <f>R18*'ФОТ, МТР, макро'!$AJ$7</f>
        <v>49883.615234733123</v>
      </c>
    </row>
    <row r="19" spans="1:19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'БелАЗ_Б ТО'!F9/1000</f>
        <v>49.599955737568621</v>
      </c>
      <c r="F19" s="263">
        <f>'БелАЗ_Б ТО'!G9/1000</f>
        <v>41.134557139529406</v>
      </c>
      <c r="G19" s="263">
        <f>'БелАЗ_Б ТО'!H9/1000</f>
        <v>41.134557139529406</v>
      </c>
      <c r="H19" s="263">
        <f>'БелАЗ_Б ТО'!I9/1000</f>
        <v>41.134557139529406</v>
      </c>
      <c r="I19" s="263">
        <f>'БелАЗ_Б ТО'!J9/1000</f>
        <v>41.134557139529406</v>
      </c>
      <c r="J19" s="263">
        <f>'БелАЗ_Б ТО'!K9/1000</f>
        <v>41.134557139529406</v>
      </c>
      <c r="K19" s="263">
        <f>'БелАЗ_Б ТО'!L9/1000</f>
        <v>41.134557139529406</v>
      </c>
      <c r="L19" s="263">
        <f>'БелАЗ_Б ТО'!M9/1000</f>
        <v>41.134557139529406</v>
      </c>
      <c r="M19" s="263">
        <f>'БелАЗ_Б ТО'!N9/1000</f>
        <v>41.134557139529406</v>
      </c>
      <c r="N19" s="263">
        <f>'БелАЗ_Б ТО'!O9/1000</f>
        <v>41.134557139529406</v>
      </c>
      <c r="O19" s="424"/>
      <c r="Q19" s="529">
        <f>SUM(E19:N19)</f>
        <v>419.81096999333334</v>
      </c>
      <c r="R19" s="529">
        <f>Q19/$N$4</f>
        <v>41.981096999333332</v>
      </c>
    </row>
    <row r="20" spans="1:19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'БелАЗ_Б Рем'!F11/1000</f>
        <v>15.01122</v>
      </c>
      <c r="F20" s="263">
        <f>'БелАЗ_Б Рем'!G11/1000</f>
        <v>77.064600000000013</v>
      </c>
      <c r="G20" s="263">
        <f>'БелАЗ_Б Рем'!H11/1000</f>
        <v>50.720669999999998</v>
      </c>
      <c r="H20" s="263">
        <f>'БелАЗ_Б Рем'!I11/1000</f>
        <v>89.861000000000004</v>
      </c>
      <c r="I20" s="263">
        <f>'БелАЗ_Б Рем'!J11/1000</f>
        <v>60.140949999999997</v>
      </c>
      <c r="J20" s="263">
        <f>'БелАЗ_Б Рем'!K11/1000</f>
        <v>102.8737</v>
      </c>
      <c r="K20" s="263">
        <f>'БелАЗ_Б Рем'!L11/1000</f>
        <v>80.547399999999996</v>
      </c>
      <c r="L20" s="263">
        <f>'БелАЗ_Б Рем'!M11/1000</f>
        <v>64.172229999999999</v>
      </c>
      <c r="M20" s="263">
        <f>'БелАЗ_Б Рем'!N11/1000</f>
        <v>74.322850000000003</v>
      </c>
      <c r="N20" s="263">
        <f>'БелАЗ_Б Рем'!O11/1000</f>
        <v>90.365774999999999</v>
      </c>
      <c r="O20" s="424"/>
      <c r="Q20" s="529">
        <f t="shared" ref="Q20:Q23" si="6">SUM(E20:N20)</f>
        <v>705.08039499999995</v>
      </c>
      <c r="R20" s="529">
        <f t="shared" ref="R20:R23" si="7">Q20/$N$4</f>
        <v>70.508039499999995</v>
      </c>
    </row>
    <row r="21" spans="1:19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'БелАЗ_Б Рем'!F12/1000</f>
        <v>0</v>
      </c>
      <c r="F21" s="263">
        <f>'БелАЗ_Б Рем'!G12/1000</f>
        <v>0</v>
      </c>
      <c r="G21" s="263">
        <f>'БелАЗ_Б Рем'!H12/1000</f>
        <v>410.92820117999997</v>
      </c>
      <c r="H21" s="263">
        <f>'БелАЗ_Б Рем'!I12/1000</f>
        <v>652.53180929999996</v>
      </c>
      <c r="I21" s="263">
        <f>'БелАЗ_Б Рем'!J12/1000</f>
        <v>158.40500970000002</v>
      </c>
      <c r="J21" s="263">
        <f>'БелАЗ_Б Рем'!K12/1000</f>
        <v>339.48320237999997</v>
      </c>
      <c r="K21" s="263">
        <f>'БелАЗ_Б Рем'!L12/1000</f>
        <v>71.444998800000008</v>
      </c>
      <c r="L21" s="263">
        <f>'БелАЗ_Б Рем'!M12/1000</f>
        <v>721.65700047647056</v>
      </c>
      <c r="M21" s="263">
        <f>'БелАЗ_Б Рем'!N12/1000</f>
        <v>497.88821208000002</v>
      </c>
      <c r="N21" s="263">
        <f>'БелАЗ_Б Рем'!O12/1000</f>
        <v>0</v>
      </c>
      <c r="O21" s="424"/>
      <c r="Q21" s="529">
        <f t="shared" si="6"/>
        <v>2852.3384339164704</v>
      </c>
      <c r="R21" s="529">
        <f t="shared" si="7"/>
        <v>285.23384339164704</v>
      </c>
    </row>
    <row r="22" spans="1:19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'БелАЗ_Б ТО'!F10/1000</f>
        <v>48.63212249999998</v>
      </c>
      <c r="F22" s="263">
        <f>'БелАЗ_Б ТО'!G10/1000</f>
        <v>46.483222499999989</v>
      </c>
      <c r="G22" s="263">
        <f>'БелАЗ_Б ТО'!H10/1000</f>
        <v>46.483222499999989</v>
      </c>
      <c r="H22" s="263">
        <f>'БелАЗ_Б ТО'!I10/1000</f>
        <v>46.483222499999989</v>
      </c>
      <c r="I22" s="263">
        <f>'БелАЗ_Б ТО'!J10/1000</f>
        <v>46.483222499999989</v>
      </c>
      <c r="J22" s="263">
        <f>'БелАЗ_Б ТО'!K10/1000</f>
        <v>46.483222499999989</v>
      </c>
      <c r="K22" s="263">
        <f>'БелАЗ_Б ТО'!L10/1000</f>
        <v>46.483222499999989</v>
      </c>
      <c r="L22" s="263">
        <f>'БелАЗ_Б ТО'!M10/1000</f>
        <v>46.483222499999989</v>
      </c>
      <c r="M22" s="263">
        <f>'БелАЗ_Б ТО'!N10/1000</f>
        <v>46.483222499999989</v>
      </c>
      <c r="N22" s="263">
        <f>'БелАЗ_Б ТО'!O10/1000</f>
        <v>46.483222499999989</v>
      </c>
      <c r="O22" s="424"/>
      <c r="Q22" s="529">
        <f t="shared" si="6"/>
        <v>466.98112499999996</v>
      </c>
      <c r="R22" s="529">
        <f t="shared" si="7"/>
        <v>46.698112499999993</v>
      </c>
    </row>
    <row r="23" spans="1:19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'БелАЗ_Б Рем'!F13/1000</f>
        <v>17.55</v>
      </c>
      <c r="F23" s="263">
        <f>'БелАЗ_Б Рем'!G13/1000</f>
        <v>44.33</v>
      </c>
      <c r="G23" s="263">
        <f>'БелАЗ_Б Рем'!H13/1000</f>
        <v>66.17</v>
      </c>
      <c r="H23" s="263">
        <f>'БелАЗ_Б Рем'!I13/1000</f>
        <v>81.510000000000005</v>
      </c>
      <c r="I23" s="263">
        <f>'БелАЗ_Б Рем'!J13/1000</f>
        <v>58.5</v>
      </c>
      <c r="J23" s="263">
        <f>'БелАЗ_Б Рем'!K13/1000</f>
        <v>106.99</v>
      </c>
      <c r="K23" s="263">
        <f>'БелАЗ_Б Рем'!L13/1000</f>
        <v>83.85</v>
      </c>
      <c r="L23" s="263">
        <f>'БелАЗ_Б Рем'!M13/1000</f>
        <v>98.28</v>
      </c>
      <c r="M23" s="263">
        <f>'БелАЗ_Б Рем'!N13/1000</f>
        <v>145.47</v>
      </c>
      <c r="N23" s="263">
        <f>'БелАЗ_Б Рем'!O13/1000</f>
        <v>157.16999999999999</v>
      </c>
      <c r="O23" s="424"/>
      <c r="Q23" s="529">
        <f t="shared" si="6"/>
        <v>859.81999999999994</v>
      </c>
      <c r="R23" s="529">
        <f t="shared" si="7"/>
        <v>85.981999999999999</v>
      </c>
    </row>
    <row r="24" spans="1:19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469"/>
    </row>
    <row r="25" spans="1:19" ht="14.95" customHeight="1" x14ac:dyDescent="0.25">
      <c r="A25" s="236">
        <f t="shared" si="3"/>
        <v>22</v>
      </c>
      <c r="B25" s="266" t="s">
        <v>287</v>
      </c>
      <c r="C25" s="260"/>
      <c r="D25" s="268" t="s">
        <v>167</v>
      </c>
      <c r="E25" s="267" t="s">
        <v>167</v>
      </c>
      <c r="F25" s="267"/>
      <c r="G25" s="267"/>
      <c r="H25" s="267"/>
      <c r="I25" s="267"/>
      <c r="J25" s="267"/>
      <c r="K25" s="267"/>
      <c r="L25" s="267"/>
      <c r="M25" s="267"/>
      <c r="N25" s="267"/>
      <c r="O25" s="469"/>
    </row>
    <row r="26" spans="1:19" ht="14.3" x14ac:dyDescent="0.25">
      <c r="A26" s="236">
        <f t="shared" si="3"/>
        <v>23</v>
      </c>
      <c r="B26" s="266" t="s">
        <v>290</v>
      </c>
      <c r="C26" s="260"/>
      <c r="D26" s="269" t="s">
        <v>292</v>
      </c>
      <c r="E26" s="270" t="s">
        <v>675</v>
      </c>
      <c r="F26" s="270"/>
      <c r="G26" s="270"/>
      <c r="H26" s="270"/>
      <c r="I26" s="270"/>
      <c r="J26" s="270"/>
      <c r="K26" s="270"/>
      <c r="L26" s="270"/>
      <c r="M26" s="270"/>
      <c r="N26" s="270"/>
      <c r="O26" s="469" t="s">
        <v>687</v>
      </c>
    </row>
    <row r="27" spans="1:19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469"/>
    </row>
    <row r="28" spans="1:19" x14ac:dyDescent="0.25">
      <c r="A28" s="236">
        <f t="shared" si="3"/>
        <v>25</v>
      </c>
      <c r="B28" s="266" t="s">
        <v>293</v>
      </c>
      <c r="C28" s="260" t="s">
        <v>145</v>
      </c>
      <c r="D28" s="271"/>
      <c r="E28" s="270" t="s">
        <v>688</v>
      </c>
      <c r="F28" s="270"/>
      <c r="G28" s="270"/>
      <c r="H28" s="270"/>
      <c r="I28" s="270"/>
      <c r="J28" s="270"/>
      <c r="K28" s="270"/>
      <c r="L28" s="270"/>
      <c r="M28" s="270"/>
      <c r="N28" s="270"/>
      <c r="O28" s="469"/>
    </row>
    <row r="29" spans="1:19" x14ac:dyDescent="0.25">
      <c r="A29" s="236">
        <f t="shared" si="3"/>
        <v>26</v>
      </c>
      <c r="B29" s="266" t="s">
        <v>294</v>
      </c>
      <c r="C29" s="260" t="s">
        <v>145</v>
      </c>
      <c r="D29" s="271"/>
      <c r="E29" s="270" t="s">
        <v>689</v>
      </c>
      <c r="F29" s="270"/>
      <c r="G29" s="270"/>
      <c r="H29" s="270"/>
      <c r="I29" s="270"/>
      <c r="J29" s="270"/>
      <c r="K29" s="270"/>
      <c r="L29" s="270"/>
      <c r="M29" s="270"/>
      <c r="N29" s="270"/>
      <c r="O29" s="469"/>
    </row>
    <row r="30" spans="1:19" x14ac:dyDescent="0.25">
      <c r="A30" s="236">
        <f t="shared" si="3"/>
        <v>27</v>
      </c>
      <c r="B30" s="266" t="s">
        <v>295</v>
      </c>
      <c r="C30" s="260" t="s">
        <v>145</v>
      </c>
      <c r="D30" s="271"/>
      <c r="E30" s="270" t="s">
        <v>690</v>
      </c>
      <c r="F30" s="270"/>
      <c r="G30" s="270"/>
      <c r="H30" s="270"/>
      <c r="I30" s="270"/>
      <c r="J30" s="270"/>
      <c r="K30" s="270"/>
      <c r="L30" s="270"/>
      <c r="M30" s="270"/>
      <c r="N30" s="270"/>
      <c r="O30" s="469"/>
    </row>
    <row r="31" spans="1:19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473"/>
    </row>
    <row r="32" spans="1:19" hidden="1" x14ac:dyDescent="0.25"/>
    <row r="33" spans="2:15" hidden="1" x14ac:dyDescent="0.25">
      <c r="B33" s="274" t="s">
        <v>326</v>
      </c>
      <c r="D33" s="238" t="s">
        <v>691</v>
      </c>
      <c r="E33" s="239">
        <f>E22/E13*1000</f>
        <v>194.99999999999997</v>
      </c>
      <c r="F33" s="239">
        <f t="shared" ref="F33:N33" si="8">F22/F13*1000</f>
        <v>194.99999999999997</v>
      </c>
      <c r="G33" s="239">
        <f t="shared" si="8"/>
        <v>194.99999999999997</v>
      </c>
      <c r="H33" s="239">
        <f t="shared" si="8"/>
        <v>194.99999999999997</v>
      </c>
      <c r="I33" s="239">
        <f t="shared" si="8"/>
        <v>194.99999999999997</v>
      </c>
      <c r="J33" s="239">
        <f t="shared" si="8"/>
        <v>194.99999999999997</v>
      </c>
      <c r="K33" s="239">
        <f t="shared" si="8"/>
        <v>194.99999999999997</v>
      </c>
      <c r="L33" s="239">
        <f t="shared" si="8"/>
        <v>194.99999999999997</v>
      </c>
      <c r="M33" s="239">
        <f t="shared" si="8"/>
        <v>194.99999999999997</v>
      </c>
      <c r="N33" s="239">
        <f t="shared" si="8"/>
        <v>194.99999999999997</v>
      </c>
    </row>
    <row r="34" spans="2:15" hidden="1" x14ac:dyDescent="0.25">
      <c r="D34" s="238" t="s">
        <v>692</v>
      </c>
      <c r="E34" s="239">
        <f>E33/'БелАЗ_Б ТО'!$E$10</f>
        <v>2.9999999999999996</v>
      </c>
      <c r="F34" s="239">
        <f>F33/'БелАЗ_Б ТО'!$E$10</f>
        <v>2.9999999999999996</v>
      </c>
      <c r="G34" s="239">
        <f>G33/'БелАЗ_Б ТО'!$E$10</f>
        <v>2.9999999999999996</v>
      </c>
      <c r="H34" s="239">
        <f>H33/'БелАЗ_Б ТО'!$E$10</f>
        <v>2.9999999999999996</v>
      </c>
      <c r="I34" s="239">
        <f>I33/'БелАЗ_Б ТО'!$E$10</f>
        <v>2.9999999999999996</v>
      </c>
      <c r="J34" s="239">
        <f>J33/'БелАЗ_Б ТО'!$E$10</f>
        <v>2.9999999999999996</v>
      </c>
      <c r="K34" s="239">
        <f>K33/'БелАЗ_Б ТО'!$E$10</f>
        <v>2.9999999999999996</v>
      </c>
      <c r="L34" s="239">
        <f>L33/'БелАЗ_Б ТО'!$E$10</f>
        <v>2.9999999999999996</v>
      </c>
      <c r="M34" s="239">
        <f>M33/'БелАЗ_Б ТО'!$E$10</f>
        <v>2.9999999999999996</v>
      </c>
      <c r="N34" s="239">
        <f>N33/'БелАЗ_Б ТО'!$E$10</f>
        <v>2.9999999999999996</v>
      </c>
      <c r="O34" s="236" t="s">
        <v>693</v>
      </c>
    </row>
    <row r="35" spans="2:15" hidden="1" x14ac:dyDescent="0.25">
      <c r="D35" s="238" t="s">
        <v>694</v>
      </c>
      <c r="E35" s="239">
        <f>E23/E14*1000</f>
        <v>130</v>
      </c>
      <c r="F35" s="239">
        <f t="shared" ref="F35:N35" si="9">F23/F14*1000</f>
        <v>130</v>
      </c>
      <c r="G35" s="239">
        <f t="shared" si="9"/>
        <v>158.42777334397448</v>
      </c>
      <c r="H35" s="239">
        <f t="shared" si="9"/>
        <v>138.62244897959184</v>
      </c>
      <c r="I35" s="239">
        <f t="shared" si="9"/>
        <v>145.52238805970148</v>
      </c>
      <c r="J35" s="239">
        <f t="shared" si="9"/>
        <v>157.26114649681529</v>
      </c>
      <c r="K35" s="239">
        <f t="shared" si="9"/>
        <v>152.73224043715848</v>
      </c>
      <c r="L35" s="239">
        <f t="shared" si="9"/>
        <v>201.80698151950719</v>
      </c>
      <c r="M35" s="239">
        <f t="shared" si="9"/>
        <v>183.44262295081967</v>
      </c>
      <c r="N35" s="239">
        <f t="shared" si="9"/>
        <v>186.58884052235851</v>
      </c>
    </row>
    <row r="36" spans="2:15" hidden="1" x14ac:dyDescent="0.25">
      <c r="D36" s="238" t="s">
        <v>695</v>
      </c>
      <c r="E36" s="239" t="e">
        <f>E35/#REF!</f>
        <v>#REF!</v>
      </c>
      <c r="F36" s="239" t="e">
        <f>F35/#REF!</f>
        <v>#REF!</v>
      </c>
      <c r="G36" s="239" t="e">
        <f>G35/#REF!</f>
        <v>#REF!</v>
      </c>
      <c r="H36" s="663" t="e">
        <f>H35/#REF!</f>
        <v>#REF!</v>
      </c>
      <c r="I36" s="239" t="e">
        <f>I35/#REF!</f>
        <v>#REF!</v>
      </c>
      <c r="J36" s="239" t="e">
        <f>J35/#REF!</f>
        <v>#REF!</v>
      </c>
      <c r="K36" s="239" t="e">
        <f>K35/#REF!</f>
        <v>#REF!</v>
      </c>
      <c r="L36" s="239" t="e">
        <f>L35/#REF!</f>
        <v>#REF!</v>
      </c>
      <c r="M36" s="239" t="e">
        <f>M35/#REF!</f>
        <v>#REF!</v>
      </c>
      <c r="N36" s="663" t="e">
        <f>N35/#REF!</f>
        <v>#REF!</v>
      </c>
    </row>
    <row r="37" spans="2:15" hidden="1" x14ac:dyDescent="0.25"/>
    <row r="38" spans="2:15" hidden="1" x14ac:dyDescent="0.25"/>
    <row r="39" spans="2:15" hidden="1" x14ac:dyDescent="0.25">
      <c r="C39" s="238" t="s">
        <v>696</v>
      </c>
      <c r="D39" s="238">
        <f>'БелАЗ_Б ТО'!E10</f>
        <v>65</v>
      </c>
      <c r="E39" s="664" t="s">
        <v>697</v>
      </c>
    </row>
    <row r="40" spans="2:15" hidden="1" x14ac:dyDescent="0.25">
      <c r="C40" s="238" t="s">
        <v>698</v>
      </c>
      <c r="D40" s="238" t="e">
        <f>#REF!</f>
        <v>#REF!</v>
      </c>
    </row>
    <row r="41" spans="2:15" hidden="1" x14ac:dyDescent="0.25"/>
    <row r="42" spans="2:15" x14ac:dyDescent="0.25">
      <c r="B42" s="274" t="s">
        <v>699</v>
      </c>
    </row>
    <row r="43" spans="2:15" x14ac:dyDescent="0.25">
      <c r="B43" s="1074" t="s">
        <v>700</v>
      </c>
      <c r="C43" s="1074"/>
      <c r="D43" s="1074"/>
    </row>
    <row r="44" spans="2:15" ht="13.6" x14ac:dyDescent="0.25">
      <c r="B44" s="274" t="s">
        <v>701</v>
      </c>
      <c r="E44" s="527">
        <f t="shared" ref="E44:N44" si="10">E18/(365*24*E12)*1000</f>
        <v>16.062154035065152</v>
      </c>
      <c r="F44" s="527">
        <f t="shared" si="10"/>
        <v>26.279676070567046</v>
      </c>
      <c r="G44" s="527">
        <f t="shared" si="10"/>
        <v>78.112518370333575</v>
      </c>
      <c r="H44" s="527">
        <f t="shared" si="10"/>
        <v>118.17600320481536</v>
      </c>
      <c r="I44" s="527">
        <f t="shared" si="10"/>
        <v>46.194587363080508</v>
      </c>
      <c r="J44" s="527">
        <f t="shared" si="10"/>
        <v>83.553034699116168</v>
      </c>
      <c r="K44" s="527">
        <f t="shared" si="10"/>
        <v>43.410698585037409</v>
      </c>
      <c r="L44" s="527">
        <f t="shared" si="10"/>
        <v>124.39792786538527</v>
      </c>
      <c r="M44" s="527">
        <f t="shared" si="10"/>
        <v>107.17397126155802</v>
      </c>
      <c r="N44" s="527">
        <f t="shared" si="10"/>
        <v>44.890780021824462</v>
      </c>
      <c r="O44" s="532">
        <f>SUMPRODUCT(E44:N44,E12:N12)/SUM(E12:N12)</f>
        <v>68.484612711502649</v>
      </c>
    </row>
  </sheetData>
  <mergeCells count="1">
    <mergeCell ref="B43:D43"/>
  </mergeCells>
  <pageMargins left="0" right="0" top="0.31496062992125984" bottom="0.39370078740157483" header="0.15748031496062992" footer="0.15748031496062992"/>
  <pageSetup paperSize="9" scale="70" orientation="landscape" r:id="rId1"/>
  <headerFooter alignWithMargins="0">
    <oddFooter>&amp;R&amp;"Arial Cyr,полужирный курсив"&amp;12&amp;A,  стр.&amp;P из &amp;N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A78A-F54A-4B93-80B0-FB0DEACFB8E8}">
  <sheetPr>
    <tabColor theme="8" tint="0.79998168889431442"/>
    <pageSetUpPr fitToPage="1"/>
  </sheetPr>
  <dimension ref="A2:R66"/>
  <sheetViews>
    <sheetView showGridLines="0" zoomScale="85" zoomScaleNormal="85" workbookViewId="0">
      <pane xSplit="4" ySplit="4" topLeftCell="E5" activePane="bottomRight" state="frozen"/>
      <selection activeCell="V29" sqref="V29"/>
      <selection pane="topRight" activeCell="V29" sqref="V29"/>
      <selection pane="bottomLeft" activeCell="V29" sqref="V29"/>
      <selection pane="bottomRight" activeCell="V29" sqref="V29"/>
    </sheetView>
  </sheetViews>
  <sheetFormatPr defaultRowHeight="14.3" x14ac:dyDescent="0.25"/>
  <cols>
    <col min="1" max="1" width="48.125" style="275" customWidth="1"/>
    <col min="2" max="2" width="33.375" style="275" customWidth="1"/>
    <col min="3" max="3" width="14.75" style="275" customWidth="1"/>
    <col min="4" max="4" width="14" style="275" customWidth="1"/>
    <col min="5" max="5" width="9.25" style="275" bestFit="1" customWidth="1"/>
    <col min="6" max="16" width="10" style="275" customWidth="1"/>
    <col min="17" max="16384" width="9" style="275"/>
  </cols>
  <sheetData>
    <row r="2" spans="1:18" x14ac:dyDescent="0.25">
      <c r="A2" s="237" t="s">
        <v>259</v>
      </c>
      <c r="B2" s="665" t="str">
        <f>БелАЗ_Б!C3</f>
        <v>Марка, модель</v>
      </c>
      <c r="C2" s="666" t="str">
        <f>БелАЗ_Б!D3</f>
        <v>7531N</v>
      </c>
    </row>
    <row r="3" spans="1:18" ht="14.95" thickBot="1" x14ac:dyDescent="0.3">
      <c r="A3" s="275" t="s">
        <v>298</v>
      </c>
      <c r="F3" s="277">
        <f>БелАЗ_Б!E12</f>
        <v>0.92956036751648907</v>
      </c>
      <c r="G3" s="277">
        <f>БелАЗ_Б!F12</f>
        <v>0.90792065417300871</v>
      </c>
      <c r="H3" s="277">
        <f>БелАЗ_Б!G12</f>
        <v>0.8994118599906985</v>
      </c>
      <c r="I3" s="277">
        <f>БелАЗ_Б!H12</f>
        <v>0.88050753900304413</v>
      </c>
      <c r="J3" s="277">
        <f>БелАЗ_Б!I12</f>
        <v>0.9011506135844749</v>
      </c>
      <c r="K3" s="277">
        <f>БелАЗ_Б!J12</f>
        <v>0.87025999122695752</v>
      </c>
      <c r="L3" s="277">
        <f>БелАЗ_Б!K12</f>
        <v>0.85058935026636229</v>
      </c>
      <c r="M3" s="277">
        <f>БелАЗ_Б!L12</f>
        <v>0.89171695046930488</v>
      </c>
      <c r="N3" s="277">
        <f>БелАЗ_Б!M12</f>
        <v>0.85775576325469305</v>
      </c>
      <c r="O3" s="277">
        <f>БелАЗ_Б!N12</f>
        <v>0.85228053917216307</v>
      </c>
      <c r="P3" s="277"/>
    </row>
    <row r="4" spans="1:18" ht="22.25" customHeight="1" thickBot="1" x14ac:dyDescent="0.3">
      <c r="A4" s="667" t="s">
        <v>299</v>
      </c>
      <c r="B4" s="668" t="s">
        <v>8</v>
      </c>
      <c r="C4" s="669"/>
      <c r="D4" s="670"/>
      <c r="E4" s="671"/>
      <c r="F4" s="672">
        <f>D4+1</f>
        <v>1</v>
      </c>
      <c r="G4" s="672">
        <f>F4+1</f>
        <v>2</v>
      </c>
      <c r="H4" s="672">
        <f t="shared" ref="H4:O4" si="0">G4+1</f>
        <v>3</v>
      </c>
      <c r="I4" s="672">
        <f t="shared" si="0"/>
        <v>4</v>
      </c>
      <c r="J4" s="672">
        <f t="shared" si="0"/>
        <v>5</v>
      </c>
      <c r="K4" s="672">
        <f t="shared" si="0"/>
        <v>6</v>
      </c>
      <c r="L4" s="672">
        <f t="shared" si="0"/>
        <v>7</v>
      </c>
      <c r="M4" s="672">
        <f t="shared" si="0"/>
        <v>8</v>
      </c>
      <c r="N4" s="672">
        <f t="shared" si="0"/>
        <v>9</v>
      </c>
      <c r="O4" s="672">
        <f t="shared" si="0"/>
        <v>10</v>
      </c>
      <c r="P4" s="343"/>
    </row>
    <row r="5" spans="1:18" x14ac:dyDescent="0.25">
      <c r="A5" s="284" t="s">
        <v>300</v>
      </c>
      <c r="B5" s="285" t="s">
        <v>301</v>
      </c>
      <c r="C5" s="286"/>
      <c r="D5" s="287"/>
      <c r="E5" s="288"/>
      <c r="F5" s="289">
        <v>0</v>
      </c>
      <c r="G5" s="289">
        <f>F6+1</f>
        <v>7001</v>
      </c>
      <c r="H5" s="289">
        <f t="shared" ref="H5:O5" si="1">G6+1</f>
        <v>14001</v>
      </c>
      <c r="I5" s="289">
        <f t="shared" si="1"/>
        <v>21001</v>
      </c>
      <c r="J5" s="289">
        <f t="shared" si="1"/>
        <v>28001</v>
      </c>
      <c r="K5" s="289">
        <f t="shared" si="1"/>
        <v>35001</v>
      </c>
      <c r="L5" s="289">
        <f t="shared" si="1"/>
        <v>42001</v>
      </c>
      <c r="M5" s="289">
        <f t="shared" si="1"/>
        <v>49001</v>
      </c>
      <c r="N5" s="289">
        <f t="shared" si="1"/>
        <v>56001</v>
      </c>
      <c r="O5" s="289">
        <f t="shared" si="1"/>
        <v>63001</v>
      </c>
      <c r="P5" s="413"/>
    </row>
    <row r="6" spans="1:18" x14ac:dyDescent="0.25">
      <c r="A6" s="290" t="s">
        <v>302</v>
      </c>
      <c r="B6" s="291" t="s">
        <v>301</v>
      </c>
      <c r="C6" s="292"/>
      <c r="D6" s="293"/>
      <c r="E6" s="294">
        <v>7000</v>
      </c>
      <c r="F6" s="295">
        <f>E6</f>
        <v>7000</v>
      </c>
      <c r="G6" s="295">
        <f t="shared" ref="G6:O6" si="2">F6+$E6</f>
        <v>14000</v>
      </c>
      <c r="H6" s="295">
        <f t="shared" si="2"/>
        <v>21000</v>
      </c>
      <c r="I6" s="295">
        <f t="shared" si="2"/>
        <v>28000</v>
      </c>
      <c r="J6" s="295">
        <f t="shared" si="2"/>
        <v>35000</v>
      </c>
      <c r="K6" s="295">
        <f t="shared" si="2"/>
        <v>42000</v>
      </c>
      <c r="L6" s="295">
        <f t="shared" si="2"/>
        <v>49000</v>
      </c>
      <c r="M6" s="295">
        <f t="shared" si="2"/>
        <v>56000</v>
      </c>
      <c r="N6" s="295">
        <f t="shared" si="2"/>
        <v>63000</v>
      </c>
      <c r="O6" s="295">
        <f t="shared" si="2"/>
        <v>70000</v>
      </c>
      <c r="P6" s="413"/>
    </row>
    <row r="7" spans="1:18" ht="21.75" customHeight="1" x14ac:dyDescent="0.25">
      <c r="A7" s="296" t="s">
        <v>303</v>
      </c>
      <c r="B7" s="297" t="s">
        <v>304</v>
      </c>
      <c r="C7" s="253"/>
      <c r="D7" s="298"/>
      <c r="E7" s="299"/>
      <c r="F7" s="257">
        <f>F13</f>
        <v>249.39549999999994</v>
      </c>
      <c r="G7" s="257">
        <f t="shared" ref="G7:O7" si="3">G13</f>
        <v>238.37549999999996</v>
      </c>
      <c r="H7" s="257">
        <f t="shared" si="3"/>
        <v>238.37549999999996</v>
      </c>
      <c r="I7" s="257">
        <f t="shared" si="3"/>
        <v>238.37549999999996</v>
      </c>
      <c r="J7" s="257">
        <f t="shared" si="3"/>
        <v>238.37549999999996</v>
      </c>
      <c r="K7" s="257">
        <f t="shared" si="3"/>
        <v>238.37549999999996</v>
      </c>
      <c r="L7" s="257">
        <f t="shared" si="3"/>
        <v>238.37549999999996</v>
      </c>
      <c r="M7" s="257">
        <f t="shared" si="3"/>
        <v>238.37549999999996</v>
      </c>
      <c r="N7" s="257">
        <f t="shared" si="3"/>
        <v>238.37549999999996</v>
      </c>
      <c r="O7" s="257">
        <f t="shared" si="3"/>
        <v>238.37549999999996</v>
      </c>
      <c r="P7" s="412"/>
    </row>
    <row r="8" spans="1:18" ht="21.1" customHeight="1" x14ac:dyDescent="0.25">
      <c r="A8" s="300" t="s">
        <v>305</v>
      </c>
      <c r="B8" s="301" t="s">
        <v>306</v>
      </c>
      <c r="C8" s="260"/>
      <c r="D8" s="298"/>
      <c r="E8" s="299"/>
      <c r="F8" s="302">
        <f t="shared" ref="F8:O8" si="4">SUM(F9:F10)</f>
        <v>98232.07823756861</v>
      </c>
      <c r="G8" s="302">
        <f t="shared" si="4"/>
        <v>87617.779639529384</v>
      </c>
      <c r="H8" s="302">
        <f t="shared" si="4"/>
        <v>87617.779639529384</v>
      </c>
      <c r="I8" s="302">
        <f t="shared" si="4"/>
        <v>87617.779639529384</v>
      </c>
      <c r="J8" s="302">
        <f t="shared" si="4"/>
        <v>87617.779639529384</v>
      </c>
      <c r="K8" s="302">
        <f t="shared" si="4"/>
        <v>87617.779639529384</v>
      </c>
      <c r="L8" s="302">
        <f t="shared" si="4"/>
        <v>87617.779639529384</v>
      </c>
      <c r="M8" s="302">
        <f t="shared" si="4"/>
        <v>87617.779639529384</v>
      </c>
      <c r="N8" s="302">
        <f t="shared" si="4"/>
        <v>87617.779639529384</v>
      </c>
      <c r="O8" s="302">
        <f t="shared" si="4"/>
        <v>87617.779639529384</v>
      </c>
      <c r="P8" s="673"/>
    </row>
    <row r="9" spans="1:18" ht="20.25" customHeight="1" x14ac:dyDescent="0.25">
      <c r="A9" s="304" t="s">
        <v>307</v>
      </c>
      <c r="B9" s="305" t="s">
        <v>306</v>
      </c>
      <c r="C9" s="306"/>
      <c r="D9" s="307"/>
      <c r="E9" s="308"/>
      <c r="F9" s="263">
        <f>F24</f>
        <v>49599.95573756862</v>
      </c>
      <c r="G9" s="263">
        <f>G24</f>
        <v>41134.557139529403</v>
      </c>
      <c r="H9" s="263">
        <f t="shared" ref="H9:O9" si="5">H24</f>
        <v>41134.557139529403</v>
      </c>
      <c r="I9" s="263">
        <f t="shared" si="5"/>
        <v>41134.557139529403</v>
      </c>
      <c r="J9" s="263">
        <f t="shared" si="5"/>
        <v>41134.557139529403</v>
      </c>
      <c r="K9" s="263">
        <f t="shared" si="5"/>
        <v>41134.557139529403</v>
      </c>
      <c r="L9" s="263">
        <f t="shared" si="5"/>
        <v>41134.557139529403</v>
      </c>
      <c r="M9" s="263">
        <f t="shared" si="5"/>
        <v>41134.557139529403</v>
      </c>
      <c r="N9" s="263">
        <f t="shared" si="5"/>
        <v>41134.557139529403</v>
      </c>
      <c r="O9" s="263">
        <f t="shared" si="5"/>
        <v>41134.557139529403</v>
      </c>
      <c r="P9" s="386"/>
    </row>
    <row r="10" spans="1:18" ht="23.3" customHeight="1" thickBot="1" x14ac:dyDescent="0.3">
      <c r="A10" s="309" t="s">
        <v>308</v>
      </c>
      <c r="B10" s="310" t="s">
        <v>306</v>
      </c>
      <c r="C10" s="311"/>
      <c r="D10" s="312"/>
      <c r="E10" s="313">
        <v>65</v>
      </c>
      <c r="F10" s="314">
        <f>SUMPRODUCT(F14:F21,$E$14:$E$21)*$E10</f>
        <v>48632.122499999983</v>
      </c>
      <c r="G10" s="314">
        <f t="shared" ref="G10:O10" si="6">SUMPRODUCT(G14:G21,$E$14:$E$21)*$E10</f>
        <v>46483.222499999989</v>
      </c>
      <c r="H10" s="314">
        <f t="shared" si="6"/>
        <v>46483.222499999989</v>
      </c>
      <c r="I10" s="314">
        <f t="shared" si="6"/>
        <v>46483.222499999989</v>
      </c>
      <c r="J10" s="314">
        <f t="shared" si="6"/>
        <v>46483.222499999989</v>
      </c>
      <c r="K10" s="314">
        <f t="shared" si="6"/>
        <v>46483.222499999989</v>
      </c>
      <c r="L10" s="314">
        <f t="shared" si="6"/>
        <v>46483.222499999989</v>
      </c>
      <c r="M10" s="314">
        <f t="shared" si="6"/>
        <v>46483.222499999989</v>
      </c>
      <c r="N10" s="314">
        <f t="shared" si="6"/>
        <v>46483.222499999989</v>
      </c>
      <c r="O10" s="314">
        <f t="shared" si="6"/>
        <v>46483.222499999989</v>
      </c>
      <c r="P10" s="386"/>
    </row>
    <row r="11" spans="1:18" ht="14.95" thickBot="1" x14ac:dyDescent="0.3">
      <c r="A11" s="1069"/>
      <c r="B11" s="1070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276"/>
    </row>
    <row r="12" spans="1:18" ht="34.65" x14ac:dyDescent="0.25">
      <c r="A12" s="674" t="s">
        <v>309</v>
      </c>
      <c r="B12" s="675" t="s">
        <v>310</v>
      </c>
      <c r="C12" s="676" t="s">
        <v>311</v>
      </c>
      <c r="D12" s="677" t="s">
        <v>312</v>
      </c>
      <c r="E12" s="678" t="s">
        <v>313</v>
      </c>
      <c r="F12" s="679" t="s">
        <v>314</v>
      </c>
      <c r="G12" s="679" t="s">
        <v>314</v>
      </c>
      <c r="H12" s="679" t="s">
        <v>314</v>
      </c>
      <c r="I12" s="679" t="s">
        <v>314</v>
      </c>
      <c r="J12" s="679" t="s">
        <v>314</v>
      </c>
      <c r="K12" s="679" t="s">
        <v>314</v>
      </c>
      <c r="L12" s="679" t="s">
        <v>314</v>
      </c>
      <c r="M12" s="679" t="s">
        <v>314</v>
      </c>
      <c r="N12" s="679" t="s">
        <v>314</v>
      </c>
      <c r="O12" s="679" t="s">
        <v>314</v>
      </c>
      <c r="P12" s="680"/>
    </row>
    <row r="13" spans="1:18" x14ac:dyDescent="0.25">
      <c r="A13" s="321" t="s">
        <v>315</v>
      </c>
      <c r="B13" s="322"/>
      <c r="C13" s="323"/>
      <c r="D13" s="324"/>
      <c r="E13" s="325"/>
      <c r="F13" s="681">
        <f>SUM(F14:F21)</f>
        <v>249.39549999999994</v>
      </c>
      <c r="G13" s="681">
        <f t="shared" ref="G13:O13" si="7">SUM(G14:G21)</f>
        <v>238.37549999999996</v>
      </c>
      <c r="H13" s="681">
        <f t="shared" si="7"/>
        <v>238.37549999999996</v>
      </c>
      <c r="I13" s="681">
        <f t="shared" si="7"/>
        <v>238.37549999999996</v>
      </c>
      <c r="J13" s="681">
        <f t="shared" si="7"/>
        <v>238.37549999999996</v>
      </c>
      <c r="K13" s="681">
        <f t="shared" si="7"/>
        <v>238.37549999999996</v>
      </c>
      <c r="L13" s="681">
        <f t="shared" si="7"/>
        <v>238.37549999999996</v>
      </c>
      <c r="M13" s="681">
        <f t="shared" si="7"/>
        <v>238.37549999999996</v>
      </c>
      <c r="N13" s="681">
        <f t="shared" si="7"/>
        <v>238.37549999999996</v>
      </c>
      <c r="O13" s="681">
        <f t="shared" si="7"/>
        <v>238.37549999999996</v>
      </c>
      <c r="P13" s="682"/>
      <c r="Q13" s="275" t="s">
        <v>702</v>
      </c>
      <c r="R13" s="275" t="s">
        <v>703</v>
      </c>
    </row>
    <row r="14" spans="1:18" x14ac:dyDescent="0.25">
      <c r="A14" s="327" t="s">
        <v>704</v>
      </c>
      <c r="B14" s="328">
        <v>100</v>
      </c>
      <c r="C14" s="268">
        <f>Q14</f>
        <v>11.02</v>
      </c>
      <c r="D14" s="329">
        <v>1</v>
      </c>
      <c r="E14" s="330">
        <v>3</v>
      </c>
      <c r="F14" s="683">
        <f t="shared" ref="F14:O21" si="8">$D14*$C14</f>
        <v>11.02</v>
      </c>
      <c r="G14" s="683"/>
      <c r="H14" s="683"/>
      <c r="I14" s="683"/>
      <c r="J14" s="683"/>
      <c r="K14" s="683"/>
      <c r="L14" s="683"/>
      <c r="M14" s="683"/>
      <c r="N14" s="683"/>
      <c r="O14" s="683"/>
      <c r="P14" s="684"/>
      <c r="Q14" s="275">
        <f>ROUND(R14/3,2)</f>
        <v>11.02</v>
      </c>
      <c r="R14" s="275">
        <v>33.049999999999997</v>
      </c>
    </row>
    <row r="15" spans="1:18" x14ac:dyDescent="0.25">
      <c r="A15" s="327" t="s">
        <v>317</v>
      </c>
      <c r="B15" s="328">
        <v>250</v>
      </c>
      <c r="C15" s="268">
        <f t="shared" ref="C15:C21" si="9">Q15</f>
        <v>0.47</v>
      </c>
      <c r="D15" s="329">
        <v>14</v>
      </c>
      <c r="E15" s="330">
        <v>3</v>
      </c>
      <c r="F15" s="683">
        <f t="shared" si="8"/>
        <v>6.58</v>
      </c>
      <c r="G15" s="683">
        <f t="shared" si="8"/>
        <v>6.58</v>
      </c>
      <c r="H15" s="683">
        <f>$D15*$C15</f>
        <v>6.58</v>
      </c>
      <c r="I15" s="683">
        <f t="shared" si="8"/>
        <v>6.58</v>
      </c>
      <c r="J15" s="683">
        <f t="shared" si="8"/>
        <v>6.58</v>
      </c>
      <c r="K15" s="683">
        <f t="shared" si="8"/>
        <v>6.58</v>
      </c>
      <c r="L15" s="683">
        <f t="shared" si="8"/>
        <v>6.58</v>
      </c>
      <c r="M15" s="683">
        <f t="shared" si="8"/>
        <v>6.58</v>
      </c>
      <c r="N15" s="683">
        <f t="shared" si="8"/>
        <v>6.58</v>
      </c>
      <c r="O15" s="683">
        <f t="shared" si="8"/>
        <v>6.58</v>
      </c>
      <c r="P15" s="684"/>
      <c r="Q15" s="275">
        <f t="shared" ref="Q15:Q21" si="10">ROUND(R15/3,2)</f>
        <v>0.47</v>
      </c>
      <c r="R15" s="275">
        <v>1.4</v>
      </c>
    </row>
    <row r="16" spans="1:18" x14ac:dyDescent="0.25">
      <c r="A16" s="327" t="s">
        <v>318</v>
      </c>
      <c r="B16" s="328">
        <v>500</v>
      </c>
      <c r="C16" s="268">
        <f t="shared" si="9"/>
        <v>10.9</v>
      </c>
      <c r="D16" s="329">
        <v>7</v>
      </c>
      <c r="E16" s="330">
        <v>3</v>
      </c>
      <c r="F16" s="683">
        <f t="shared" si="8"/>
        <v>76.3</v>
      </c>
      <c r="G16" s="683">
        <f t="shared" si="8"/>
        <v>76.3</v>
      </c>
      <c r="H16" s="683">
        <f t="shared" si="8"/>
        <v>76.3</v>
      </c>
      <c r="I16" s="683">
        <f t="shared" si="8"/>
        <v>76.3</v>
      </c>
      <c r="J16" s="683">
        <f t="shared" si="8"/>
        <v>76.3</v>
      </c>
      <c r="K16" s="683">
        <f t="shared" si="8"/>
        <v>76.3</v>
      </c>
      <c r="L16" s="683">
        <f t="shared" si="8"/>
        <v>76.3</v>
      </c>
      <c r="M16" s="683">
        <f t="shared" si="8"/>
        <v>76.3</v>
      </c>
      <c r="N16" s="683">
        <f t="shared" si="8"/>
        <v>76.3</v>
      </c>
      <c r="O16" s="683">
        <f t="shared" si="8"/>
        <v>76.3</v>
      </c>
      <c r="P16" s="684"/>
      <c r="Q16" s="275">
        <f t="shared" si="10"/>
        <v>10.9</v>
      </c>
      <c r="R16" s="275">
        <v>32.700000000000003</v>
      </c>
    </row>
    <row r="17" spans="1:18" x14ac:dyDescent="0.25">
      <c r="A17" s="327" t="s">
        <v>319</v>
      </c>
      <c r="B17" s="328">
        <v>1000</v>
      </c>
      <c r="C17" s="268">
        <f t="shared" si="9"/>
        <v>18.079999999999998</v>
      </c>
      <c r="D17" s="329">
        <v>7</v>
      </c>
      <c r="E17" s="330">
        <v>3</v>
      </c>
      <c r="F17" s="683">
        <f t="shared" si="8"/>
        <v>126.55999999999999</v>
      </c>
      <c r="G17" s="683">
        <f t="shared" si="8"/>
        <v>126.55999999999999</v>
      </c>
      <c r="H17" s="683">
        <f t="shared" si="8"/>
        <v>126.55999999999999</v>
      </c>
      <c r="I17" s="683">
        <f t="shared" si="8"/>
        <v>126.55999999999999</v>
      </c>
      <c r="J17" s="683">
        <f t="shared" si="8"/>
        <v>126.55999999999999</v>
      </c>
      <c r="K17" s="683">
        <f t="shared" si="8"/>
        <v>126.55999999999999</v>
      </c>
      <c r="L17" s="683">
        <f t="shared" si="8"/>
        <v>126.55999999999999</v>
      </c>
      <c r="M17" s="683">
        <f t="shared" si="8"/>
        <v>126.55999999999999</v>
      </c>
      <c r="N17" s="683">
        <f t="shared" si="8"/>
        <v>126.55999999999999</v>
      </c>
      <c r="O17" s="683">
        <f t="shared" si="8"/>
        <v>126.55999999999999</v>
      </c>
      <c r="P17" s="684"/>
      <c r="Q17" s="275">
        <f t="shared" si="10"/>
        <v>18.079999999999998</v>
      </c>
      <c r="R17" s="275">
        <v>54.25</v>
      </c>
    </row>
    <row r="18" spans="1:18" x14ac:dyDescent="0.25">
      <c r="A18" s="685" t="s">
        <v>705</v>
      </c>
      <c r="B18" s="686">
        <v>2500</v>
      </c>
      <c r="C18" s="268">
        <f t="shared" si="9"/>
        <v>1.47</v>
      </c>
      <c r="D18" s="687">
        <v>2.8</v>
      </c>
      <c r="E18" s="330">
        <v>3</v>
      </c>
      <c r="F18" s="688">
        <f t="shared" si="8"/>
        <v>4.1159999999999997</v>
      </c>
      <c r="G18" s="683">
        <f t="shared" si="8"/>
        <v>4.1159999999999997</v>
      </c>
      <c r="H18" s="683">
        <f t="shared" si="8"/>
        <v>4.1159999999999997</v>
      </c>
      <c r="I18" s="683">
        <f t="shared" si="8"/>
        <v>4.1159999999999997</v>
      </c>
      <c r="J18" s="683">
        <f t="shared" si="8"/>
        <v>4.1159999999999997</v>
      </c>
      <c r="K18" s="683">
        <f t="shared" si="8"/>
        <v>4.1159999999999997</v>
      </c>
      <c r="L18" s="683">
        <f t="shared" si="8"/>
        <v>4.1159999999999997</v>
      </c>
      <c r="M18" s="683">
        <f t="shared" si="8"/>
        <v>4.1159999999999997</v>
      </c>
      <c r="N18" s="683">
        <f t="shared" si="8"/>
        <v>4.1159999999999997</v>
      </c>
      <c r="O18" s="683">
        <f t="shared" si="8"/>
        <v>4.1159999999999997</v>
      </c>
      <c r="P18" s="684"/>
      <c r="Q18" s="275">
        <f t="shared" si="10"/>
        <v>1.47</v>
      </c>
      <c r="R18" s="275">
        <v>4.4000000000000004</v>
      </c>
    </row>
    <row r="19" spans="1:18" x14ac:dyDescent="0.25">
      <c r="A19" s="685" t="s">
        <v>706</v>
      </c>
      <c r="B19" s="686">
        <v>4000</v>
      </c>
      <c r="C19" s="268">
        <f t="shared" si="9"/>
        <v>2.33</v>
      </c>
      <c r="D19" s="689">
        <v>1.75</v>
      </c>
      <c r="E19" s="330">
        <v>3</v>
      </c>
      <c r="F19" s="688">
        <f t="shared" si="8"/>
        <v>4.0775000000000006</v>
      </c>
      <c r="G19" s="683">
        <f t="shared" si="8"/>
        <v>4.0775000000000006</v>
      </c>
      <c r="H19" s="683">
        <f t="shared" si="8"/>
        <v>4.0775000000000006</v>
      </c>
      <c r="I19" s="683">
        <f t="shared" si="8"/>
        <v>4.0775000000000006</v>
      </c>
      <c r="J19" s="683">
        <f t="shared" si="8"/>
        <v>4.0775000000000006</v>
      </c>
      <c r="K19" s="683">
        <f t="shared" si="8"/>
        <v>4.0775000000000006</v>
      </c>
      <c r="L19" s="683">
        <f t="shared" si="8"/>
        <v>4.0775000000000006</v>
      </c>
      <c r="M19" s="683">
        <f t="shared" si="8"/>
        <v>4.0775000000000006</v>
      </c>
      <c r="N19" s="683">
        <f t="shared" si="8"/>
        <v>4.0775000000000006</v>
      </c>
      <c r="O19" s="683">
        <f t="shared" si="8"/>
        <v>4.0775000000000006</v>
      </c>
      <c r="P19" s="684"/>
      <c r="Q19" s="275">
        <f t="shared" si="10"/>
        <v>2.33</v>
      </c>
      <c r="R19" s="275">
        <v>7</v>
      </c>
    </row>
    <row r="20" spans="1:18" x14ac:dyDescent="0.25">
      <c r="A20" s="685" t="s">
        <v>707</v>
      </c>
      <c r="B20" s="686">
        <v>5000</v>
      </c>
      <c r="C20" s="268">
        <f t="shared" si="9"/>
        <v>2.4300000000000002</v>
      </c>
      <c r="D20" s="687">
        <v>1.4</v>
      </c>
      <c r="E20" s="330">
        <v>3</v>
      </c>
      <c r="F20" s="688">
        <f t="shared" si="8"/>
        <v>3.4020000000000001</v>
      </c>
      <c r="G20" s="683">
        <f t="shared" si="8"/>
        <v>3.4020000000000001</v>
      </c>
      <c r="H20" s="683">
        <f t="shared" si="8"/>
        <v>3.4020000000000001</v>
      </c>
      <c r="I20" s="683">
        <f t="shared" si="8"/>
        <v>3.4020000000000001</v>
      </c>
      <c r="J20" s="683">
        <f t="shared" si="8"/>
        <v>3.4020000000000001</v>
      </c>
      <c r="K20" s="683">
        <f t="shared" si="8"/>
        <v>3.4020000000000001</v>
      </c>
      <c r="L20" s="683">
        <f t="shared" si="8"/>
        <v>3.4020000000000001</v>
      </c>
      <c r="M20" s="683">
        <f t="shared" si="8"/>
        <v>3.4020000000000001</v>
      </c>
      <c r="N20" s="683">
        <f t="shared" si="8"/>
        <v>3.4020000000000001</v>
      </c>
      <c r="O20" s="683">
        <f t="shared" si="8"/>
        <v>3.4020000000000001</v>
      </c>
      <c r="P20" s="684"/>
      <c r="Q20" s="275">
        <f t="shared" si="10"/>
        <v>2.4300000000000002</v>
      </c>
      <c r="R20" s="275">
        <v>7.3</v>
      </c>
    </row>
    <row r="21" spans="1:18" ht="14.95" thickBot="1" x14ac:dyDescent="0.3">
      <c r="A21" s="551" t="s">
        <v>320</v>
      </c>
      <c r="B21" s="552">
        <v>3500</v>
      </c>
      <c r="C21" s="268">
        <f t="shared" si="9"/>
        <v>8.67</v>
      </c>
      <c r="D21" s="690">
        <v>2</v>
      </c>
      <c r="E21" s="334">
        <v>3</v>
      </c>
      <c r="F21" s="691">
        <f t="shared" si="8"/>
        <v>17.34</v>
      </c>
      <c r="G21" s="691">
        <f t="shared" si="8"/>
        <v>17.34</v>
      </c>
      <c r="H21" s="691">
        <f t="shared" si="8"/>
        <v>17.34</v>
      </c>
      <c r="I21" s="691">
        <f t="shared" si="8"/>
        <v>17.34</v>
      </c>
      <c r="J21" s="691">
        <f t="shared" si="8"/>
        <v>17.34</v>
      </c>
      <c r="K21" s="691">
        <f t="shared" si="8"/>
        <v>17.34</v>
      </c>
      <c r="L21" s="691">
        <f t="shared" si="8"/>
        <v>17.34</v>
      </c>
      <c r="M21" s="691">
        <f t="shared" si="8"/>
        <v>17.34</v>
      </c>
      <c r="N21" s="691">
        <f t="shared" si="8"/>
        <v>17.34</v>
      </c>
      <c r="O21" s="691">
        <f t="shared" si="8"/>
        <v>17.34</v>
      </c>
      <c r="P21" s="684"/>
      <c r="Q21" s="275">
        <f t="shared" si="10"/>
        <v>8.67</v>
      </c>
      <c r="R21" s="275">
        <v>26</v>
      </c>
    </row>
    <row r="22" spans="1:18" ht="14.95" thickBot="1" x14ac:dyDescent="0.3">
      <c r="A22" s="1069"/>
      <c r="B22" s="1070"/>
      <c r="C22" s="1070"/>
      <c r="D22" s="1070"/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276"/>
    </row>
    <row r="23" spans="1:18" ht="27.2" x14ac:dyDescent="0.25">
      <c r="A23" s="692" t="s">
        <v>305</v>
      </c>
      <c r="B23" s="693" t="s">
        <v>323</v>
      </c>
      <c r="C23" s="694" t="s">
        <v>324</v>
      </c>
      <c r="D23" s="695" t="s">
        <v>325</v>
      </c>
      <c r="E23" s="696" t="s">
        <v>312</v>
      </c>
      <c r="F23" s="697" t="s">
        <v>292</v>
      </c>
      <c r="G23" s="697" t="s">
        <v>292</v>
      </c>
      <c r="H23" s="697" t="s">
        <v>292</v>
      </c>
      <c r="I23" s="697" t="s">
        <v>292</v>
      </c>
      <c r="J23" s="697" t="s">
        <v>292</v>
      </c>
      <c r="K23" s="697" t="s">
        <v>292</v>
      </c>
      <c r="L23" s="697" t="s">
        <v>292</v>
      </c>
      <c r="M23" s="697" t="s">
        <v>292</v>
      </c>
      <c r="N23" s="697" t="s">
        <v>292</v>
      </c>
      <c r="O23" s="697" t="s">
        <v>292</v>
      </c>
      <c r="P23" s="698"/>
    </row>
    <row r="24" spans="1:18" x14ac:dyDescent="0.25">
      <c r="A24" s="341" t="s">
        <v>326</v>
      </c>
      <c r="B24" s="342"/>
      <c r="C24" s="699"/>
      <c r="D24" s="344"/>
      <c r="E24" s="345"/>
      <c r="F24" s="346">
        <f t="shared" ref="F24:O24" si="11">SUM(F25:F66)</f>
        <v>49599.95573756862</v>
      </c>
      <c r="G24" s="346">
        <f t="shared" si="11"/>
        <v>41134.557139529403</v>
      </c>
      <c r="H24" s="346">
        <f t="shared" si="11"/>
        <v>41134.557139529403</v>
      </c>
      <c r="I24" s="346">
        <f t="shared" si="11"/>
        <v>41134.557139529403</v>
      </c>
      <c r="J24" s="346">
        <f t="shared" si="11"/>
        <v>41134.557139529403</v>
      </c>
      <c r="K24" s="346">
        <f t="shared" si="11"/>
        <v>41134.557139529403</v>
      </c>
      <c r="L24" s="346">
        <f t="shared" si="11"/>
        <v>41134.557139529403</v>
      </c>
      <c r="M24" s="346">
        <f t="shared" si="11"/>
        <v>41134.557139529403</v>
      </c>
      <c r="N24" s="346">
        <f t="shared" si="11"/>
        <v>41134.557139529403</v>
      </c>
      <c r="O24" s="346">
        <f t="shared" si="11"/>
        <v>41134.557139529403</v>
      </c>
      <c r="P24" s="700"/>
    </row>
    <row r="25" spans="1:18" x14ac:dyDescent="0.25">
      <c r="A25" s="701" t="s">
        <v>708</v>
      </c>
      <c r="B25" s="702"/>
      <c r="C25" s="703"/>
      <c r="D25" s="704">
        <v>100</v>
      </c>
      <c r="E25" s="705">
        <v>1</v>
      </c>
      <c r="F25" s="706"/>
      <c r="G25" s="706"/>
      <c r="H25" s="706"/>
      <c r="I25" s="706"/>
      <c r="J25" s="706"/>
      <c r="K25" s="706"/>
      <c r="L25" s="706"/>
      <c r="M25" s="706"/>
      <c r="N25" s="706"/>
      <c r="O25" s="706"/>
      <c r="P25" s="303"/>
    </row>
    <row r="26" spans="1:18" x14ac:dyDescent="0.25">
      <c r="A26" s="356" t="s">
        <v>709</v>
      </c>
      <c r="B26" s="353" t="s">
        <v>710</v>
      </c>
      <c r="C26" s="707">
        <v>3.43</v>
      </c>
      <c r="D26" s="708">
        <v>380</v>
      </c>
      <c r="E26" s="709"/>
      <c r="F26" s="350">
        <f>IF(F$14=0,0,F$14/$C$14*$D26*$C26)</f>
        <v>1303.4000000000001</v>
      </c>
      <c r="G26" s="350"/>
      <c r="H26" s="350"/>
      <c r="I26" s="350"/>
      <c r="J26" s="350"/>
      <c r="K26" s="350"/>
      <c r="L26" s="350"/>
      <c r="M26" s="350"/>
      <c r="N26" s="350"/>
      <c r="O26" s="350"/>
      <c r="P26" s="362"/>
    </row>
    <row r="27" spans="1:18" x14ac:dyDescent="0.25">
      <c r="A27" s="356" t="s">
        <v>711</v>
      </c>
      <c r="B27" s="353">
        <v>1005008511</v>
      </c>
      <c r="C27" s="707">
        <v>5.6785235294117653</v>
      </c>
      <c r="D27" s="710">
        <v>2</v>
      </c>
      <c r="E27" s="709"/>
      <c r="F27" s="350">
        <f t="shared" ref="F27:F35" si="12">IF(F$14=0,0,F$14/$C$14*$D27*$C27)</f>
        <v>11.357047058823531</v>
      </c>
      <c r="G27" s="350"/>
      <c r="H27" s="350"/>
      <c r="I27" s="350"/>
      <c r="J27" s="350"/>
      <c r="K27" s="350"/>
      <c r="L27" s="350"/>
      <c r="M27" s="350"/>
      <c r="N27" s="350"/>
      <c r="O27" s="350"/>
      <c r="P27" s="362"/>
    </row>
    <row r="28" spans="1:18" x14ac:dyDescent="0.25">
      <c r="A28" s="356" t="s">
        <v>712</v>
      </c>
      <c r="B28" s="353">
        <v>1013032300</v>
      </c>
      <c r="C28" s="707">
        <v>160.35278823529413</v>
      </c>
      <c r="D28" s="710">
        <v>5</v>
      </c>
      <c r="E28" s="709"/>
      <c r="F28" s="350">
        <f t="shared" si="12"/>
        <v>801.76394117647067</v>
      </c>
      <c r="G28" s="350"/>
      <c r="H28" s="350"/>
      <c r="I28" s="350"/>
      <c r="J28" s="350"/>
      <c r="K28" s="350"/>
      <c r="L28" s="350"/>
      <c r="M28" s="350"/>
      <c r="N28" s="350"/>
      <c r="O28" s="350"/>
      <c r="P28" s="362"/>
    </row>
    <row r="29" spans="1:18" x14ac:dyDescent="0.25">
      <c r="A29" s="356" t="s">
        <v>713</v>
      </c>
      <c r="B29" s="353" t="s">
        <v>714</v>
      </c>
      <c r="C29" s="707">
        <v>202.41121764705881</v>
      </c>
      <c r="D29" s="710">
        <v>1</v>
      </c>
      <c r="E29" s="709"/>
      <c r="F29" s="350">
        <f t="shared" si="12"/>
        <v>202.41121764705881</v>
      </c>
      <c r="G29" s="350"/>
      <c r="H29" s="350"/>
      <c r="I29" s="350"/>
      <c r="J29" s="350"/>
      <c r="K29" s="350"/>
      <c r="L29" s="350"/>
      <c r="M29" s="350"/>
      <c r="N29" s="350"/>
      <c r="O29" s="350"/>
      <c r="P29" s="362"/>
    </row>
    <row r="30" spans="1:18" x14ac:dyDescent="0.25">
      <c r="A30" s="356" t="s">
        <v>715</v>
      </c>
      <c r="B30" s="353" t="s">
        <v>716</v>
      </c>
      <c r="C30" s="707">
        <v>147.49115294117647</v>
      </c>
      <c r="D30" s="710">
        <v>3</v>
      </c>
      <c r="E30" s="709"/>
      <c r="F30" s="350">
        <f t="shared" si="12"/>
        <v>442.47345882352943</v>
      </c>
      <c r="G30" s="350"/>
      <c r="H30" s="350"/>
      <c r="I30" s="350"/>
      <c r="J30" s="350"/>
      <c r="K30" s="350"/>
      <c r="L30" s="350"/>
      <c r="M30" s="350"/>
      <c r="N30" s="350"/>
      <c r="O30" s="350"/>
      <c r="P30" s="362"/>
    </row>
    <row r="31" spans="1:18" x14ac:dyDescent="0.25">
      <c r="A31" s="356" t="s">
        <v>717</v>
      </c>
      <c r="B31" s="353" t="s">
        <v>718</v>
      </c>
      <c r="C31" s="707">
        <v>15.036</v>
      </c>
      <c r="D31" s="710">
        <v>210</v>
      </c>
      <c r="E31" s="709"/>
      <c r="F31" s="350">
        <f t="shared" si="12"/>
        <v>3157.56</v>
      </c>
      <c r="G31" s="350"/>
      <c r="H31" s="350"/>
      <c r="I31" s="350"/>
      <c r="J31" s="350"/>
      <c r="K31" s="350"/>
      <c r="L31" s="350"/>
      <c r="M31" s="350"/>
      <c r="N31" s="350"/>
      <c r="O31" s="350"/>
      <c r="P31" s="362"/>
    </row>
    <row r="32" spans="1:18" ht="28.55" x14ac:dyDescent="0.25">
      <c r="A32" s="356" t="s">
        <v>719</v>
      </c>
      <c r="B32" s="353" t="s">
        <v>720</v>
      </c>
      <c r="C32" s="707">
        <v>11.045999999999999</v>
      </c>
      <c r="D32" s="710">
        <v>0.6</v>
      </c>
      <c r="E32" s="709"/>
      <c r="F32" s="350">
        <f t="shared" si="12"/>
        <v>6.6275999999999993</v>
      </c>
      <c r="G32" s="350"/>
      <c r="H32" s="350"/>
      <c r="I32" s="350"/>
      <c r="J32" s="350"/>
      <c r="K32" s="350"/>
      <c r="L32" s="350"/>
      <c r="M32" s="350"/>
      <c r="N32" s="350"/>
      <c r="O32" s="350"/>
      <c r="P32" s="362"/>
    </row>
    <row r="33" spans="1:16" ht="28.55" x14ac:dyDescent="0.25">
      <c r="A33" s="711" t="s">
        <v>721</v>
      </c>
      <c r="B33" s="712" t="s">
        <v>722</v>
      </c>
      <c r="C33" s="707">
        <v>3.08</v>
      </c>
      <c r="D33" s="710">
        <v>790</v>
      </c>
      <c r="E33" s="709"/>
      <c r="F33" s="350">
        <f t="shared" si="12"/>
        <v>2433.2000000000003</v>
      </c>
      <c r="G33" s="350"/>
      <c r="H33" s="350"/>
      <c r="I33" s="350"/>
      <c r="J33" s="350"/>
      <c r="K33" s="350"/>
      <c r="L33" s="350"/>
      <c r="M33" s="350"/>
      <c r="N33" s="350"/>
      <c r="O33" s="350"/>
      <c r="P33" s="362"/>
    </row>
    <row r="34" spans="1:16" x14ac:dyDescent="0.25">
      <c r="A34" s="356" t="s">
        <v>723</v>
      </c>
      <c r="B34" s="353" t="s">
        <v>724</v>
      </c>
      <c r="C34" s="707">
        <v>86.669333333333327</v>
      </c>
      <c r="D34" s="710">
        <v>1</v>
      </c>
      <c r="E34" s="709"/>
      <c r="F34" s="350">
        <f t="shared" si="12"/>
        <v>86.669333333333327</v>
      </c>
      <c r="G34" s="350"/>
      <c r="H34" s="350"/>
      <c r="I34" s="350"/>
      <c r="J34" s="350"/>
      <c r="K34" s="350"/>
      <c r="L34" s="350"/>
      <c r="M34" s="350"/>
      <c r="N34" s="350"/>
      <c r="O34" s="350"/>
      <c r="P34" s="362"/>
    </row>
    <row r="35" spans="1:16" ht="28.55" x14ac:dyDescent="0.25">
      <c r="A35" s="356" t="s">
        <v>725</v>
      </c>
      <c r="B35" s="353" t="s">
        <v>726</v>
      </c>
      <c r="C35" s="707">
        <v>19.936</v>
      </c>
      <c r="D35" s="710">
        <v>1</v>
      </c>
      <c r="E35" s="709"/>
      <c r="F35" s="350">
        <f t="shared" si="12"/>
        <v>19.936</v>
      </c>
      <c r="G35" s="350"/>
      <c r="H35" s="350"/>
      <c r="I35" s="350"/>
      <c r="J35" s="350"/>
      <c r="K35" s="350"/>
      <c r="L35" s="350"/>
      <c r="M35" s="350"/>
      <c r="N35" s="350"/>
      <c r="O35" s="350"/>
      <c r="P35" s="362"/>
    </row>
    <row r="36" spans="1:16" x14ac:dyDescent="0.25">
      <c r="A36" s="701" t="s">
        <v>317</v>
      </c>
      <c r="B36" s="702"/>
      <c r="C36" s="703"/>
      <c r="D36" s="704">
        <f>VLOOKUP($A36,$A$15:$B$21,2,FALSE)</f>
        <v>250</v>
      </c>
      <c r="E36" s="705">
        <f>VLOOKUP($A36,$A$15:$D$21,4,)</f>
        <v>14</v>
      </c>
      <c r="F36" s="706"/>
      <c r="G36" s="706"/>
      <c r="H36" s="706"/>
      <c r="I36" s="706"/>
      <c r="J36" s="706"/>
      <c r="K36" s="706"/>
      <c r="L36" s="706"/>
      <c r="M36" s="706"/>
      <c r="N36" s="706"/>
      <c r="O36" s="706"/>
      <c r="P36" s="303"/>
    </row>
    <row r="37" spans="1:16" x14ac:dyDescent="0.25">
      <c r="A37" s="356"/>
      <c r="B37" s="291"/>
      <c r="C37" s="259"/>
      <c r="D37" s="713"/>
      <c r="E37" s="709"/>
      <c r="F37" s="350">
        <f t="shared" ref="F37:O37" si="13">IF(F$15=0,0,F$15/$C$15*$D37*$C37)</f>
        <v>0</v>
      </c>
      <c r="G37" s="350">
        <f t="shared" si="13"/>
        <v>0</v>
      </c>
      <c r="H37" s="350">
        <f t="shared" si="13"/>
        <v>0</v>
      </c>
      <c r="I37" s="350">
        <f t="shared" si="13"/>
        <v>0</v>
      </c>
      <c r="J37" s="350">
        <f t="shared" si="13"/>
        <v>0</v>
      </c>
      <c r="K37" s="350">
        <f t="shared" si="13"/>
        <v>0</v>
      </c>
      <c r="L37" s="350">
        <f t="shared" si="13"/>
        <v>0</v>
      </c>
      <c r="M37" s="350">
        <f t="shared" si="13"/>
        <v>0</v>
      </c>
      <c r="N37" s="350">
        <f t="shared" si="13"/>
        <v>0</v>
      </c>
      <c r="O37" s="350">
        <f t="shared" si="13"/>
        <v>0</v>
      </c>
      <c r="P37" s="362"/>
    </row>
    <row r="38" spans="1:16" x14ac:dyDescent="0.25">
      <c r="A38" s="701" t="s">
        <v>318</v>
      </c>
      <c r="B38" s="702"/>
      <c r="C38" s="703"/>
      <c r="D38" s="704">
        <f>VLOOKUP($A38,$A$15:$B$21,2,FALSE)</f>
        <v>500</v>
      </c>
      <c r="E38" s="705">
        <f>VLOOKUP($A38,$A$15:$D$21,4,FALSE)</f>
        <v>7</v>
      </c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303"/>
    </row>
    <row r="39" spans="1:16" x14ac:dyDescent="0.25">
      <c r="A39" s="356" t="s">
        <v>709</v>
      </c>
      <c r="B39" s="353" t="s">
        <v>710</v>
      </c>
      <c r="C39" s="707">
        <v>3.43</v>
      </c>
      <c r="D39" s="708">
        <v>380</v>
      </c>
      <c r="E39" s="257"/>
      <c r="F39" s="350">
        <f>IF(F$16=0,0,F$16/$C$16*$D39*$C39)</f>
        <v>9123.7999999999993</v>
      </c>
      <c r="G39" s="350">
        <f t="shared" ref="G39:O39" si="14">IF(G$16=0,0,G$16/$C$16*$D39*$C39)</f>
        <v>9123.7999999999993</v>
      </c>
      <c r="H39" s="350">
        <f t="shared" si="14"/>
        <v>9123.7999999999993</v>
      </c>
      <c r="I39" s="350">
        <f t="shared" si="14"/>
        <v>9123.7999999999993</v>
      </c>
      <c r="J39" s="350">
        <f t="shared" si="14"/>
        <v>9123.7999999999993</v>
      </c>
      <c r="K39" s="350">
        <f t="shared" si="14"/>
        <v>9123.7999999999993</v>
      </c>
      <c r="L39" s="350">
        <f t="shared" si="14"/>
        <v>9123.7999999999993</v>
      </c>
      <c r="M39" s="350">
        <f t="shared" si="14"/>
        <v>9123.7999999999993</v>
      </c>
      <c r="N39" s="350">
        <f t="shared" si="14"/>
        <v>9123.7999999999993</v>
      </c>
      <c r="O39" s="350">
        <f t="shared" si="14"/>
        <v>9123.7999999999993</v>
      </c>
      <c r="P39" s="362"/>
    </row>
    <row r="40" spans="1:16" x14ac:dyDescent="0.25">
      <c r="A40" s="356" t="s">
        <v>711</v>
      </c>
      <c r="B40" s="353">
        <v>1005008511</v>
      </c>
      <c r="C40" s="707">
        <v>5.6785235294117653</v>
      </c>
      <c r="D40" s="710">
        <v>2</v>
      </c>
      <c r="E40" s="257"/>
      <c r="F40" s="350">
        <f t="shared" ref="F40:O53" si="15">IF(F$16=0,0,F$16/$C$16*$D40*$C40)</f>
        <v>79.499329411764705</v>
      </c>
      <c r="G40" s="350">
        <f t="shared" si="15"/>
        <v>79.499329411764705</v>
      </c>
      <c r="H40" s="350">
        <f t="shared" si="15"/>
        <v>79.499329411764705</v>
      </c>
      <c r="I40" s="350">
        <f t="shared" si="15"/>
        <v>79.499329411764705</v>
      </c>
      <c r="J40" s="350">
        <f t="shared" si="15"/>
        <v>79.499329411764705</v>
      </c>
      <c r="K40" s="350">
        <f t="shared" si="15"/>
        <v>79.499329411764705</v>
      </c>
      <c r="L40" s="350">
        <f t="shared" si="15"/>
        <v>79.499329411764705</v>
      </c>
      <c r="M40" s="350">
        <f t="shared" si="15"/>
        <v>79.499329411764705</v>
      </c>
      <c r="N40" s="350">
        <f t="shared" si="15"/>
        <v>79.499329411764705</v>
      </c>
      <c r="O40" s="350">
        <f t="shared" si="15"/>
        <v>79.499329411764705</v>
      </c>
      <c r="P40" s="362"/>
    </row>
    <row r="41" spans="1:16" x14ac:dyDescent="0.25">
      <c r="A41" s="711" t="s">
        <v>712</v>
      </c>
      <c r="B41" s="353">
        <v>1013032300</v>
      </c>
      <c r="C41" s="707">
        <v>160.35278823529413</v>
      </c>
      <c r="D41" s="710">
        <v>5</v>
      </c>
      <c r="E41" s="257"/>
      <c r="F41" s="350">
        <f t="shared" si="15"/>
        <v>5612.3475882352932</v>
      </c>
      <c r="G41" s="350">
        <f t="shared" si="15"/>
        <v>5612.3475882352932</v>
      </c>
      <c r="H41" s="350">
        <f t="shared" si="15"/>
        <v>5612.3475882352932</v>
      </c>
      <c r="I41" s="350">
        <f t="shared" si="15"/>
        <v>5612.3475882352932</v>
      </c>
      <c r="J41" s="350">
        <f t="shared" si="15"/>
        <v>5612.3475882352932</v>
      </c>
      <c r="K41" s="350">
        <f t="shared" si="15"/>
        <v>5612.3475882352932</v>
      </c>
      <c r="L41" s="350">
        <f t="shared" si="15"/>
        <v>5612.3475882352932</v>
      </c>
      <c r="M41" s="350">
        <f t="shared" si="15"/>
        <v>5612.3475882352932</v>
      </c>
      <c r="N41" s="350">
        <f t="shared" si="15"/>
        <v>5612.3475882352932</v>
      </c>
      <c r="O41" s="350">
        <f t="shared" si="15"/>
        <v>5612.3475882352932</v>
      </c>
      <c r="P41" s="362"/>
    </row>
    <row r="42" spans="1:16" x14ac:dyDescent="0.25">
      <c r="A42" s="711" t="s">
        <v>713</v>
      </c>
      <c r="B42" s="353" t="s">
        <v>714</v>
      </c>
      <c r="C42" s="707">
        <v>202.41121764705881</v>
      </c>
      <c r="D42" s="710">
        <v>1</v>
      </c>
      <c r="E42" s="257"/>
      <c r="F42" s="350">
        <f t="shared" si="15"/>
        <v>1416.8785235294115</v>
      </c>
      <c r="G42" s="350">
        <f t="shared" si="15"/>
        <v>1416.8785235294115</v>
      </c>
      <c r="H42" s="350">
        <f t="shared" si="15"/>
        <v>1416.8785235294115</v>
      </c>
      <c r="I42" s="350">
        <f t="shared" si="15"/>
        <v>1416.8785235294115</v>
      </c>
      <c r="J42" s="350">
        <f t="shared" si="15"/>
        <v>1416.8785235294115</v>
      </c>
      <c r="K42" s="350">
        <f t="shared" si="15"/>
        <v>1416.8785235294115</v>
      </c>
      <c r="L42" s="350">
        <f t="shared" si="15"/>
        <v>1416.8785235294115</v>
      </c>
      <c r="M42" s="350">
        <f t="shared" si="15"/>
        <v>1416.8785235294115</v>
      </c>
      <c r="N42" s="350">
        <f t="shared" si="15"/>
        <v>1416.8785235294115</v>
      </c>
      <c r="O42" s="350">
        <f t="shared" si="15"/>
        <v>1416.8785235294115</v>
      </c>
      <c r="P42" s="362"/>
    </row>
    <row r="43" spans="1:16" x14ac:dyDescent="0.25">
      <c r="A43" s="711" t="s">
        <v>715</v>
      </c>
      <c r="B43" s="353" t="s">
        <v>716</v>
      </c>
      <c r="C43" s="707">
        <v>147.49115294117647</v>
      </c>
      <c r="D43" s="710">
        <v>3</v>
      </c>
      <c r="E43" s="257"/>
      <c r="F43" s="350">
        <f t="shared" si="15"/>
        <v>3097.3142117647053</v>
      </c>
      <c r="G43" s="350">
        <f t="shared" si="15"/>
        <v>3097.3142117647053</v>
      </c>
      <c r="H43" s="350">
        <f t="shared" si="15"/>
        <v>3097.3142117647053</v>
      </c>
      <c r="I43" s="350">
        <f t="shared" si="15"/>
        <v>3097.3142117647053</v>
      </c>
      <c r="J43" s="350">
        <f t="shared" si="15"/>
        <v>3097.3142117647053</v>
      </c>
      <c r="K43" s="350">
        <f t="shared" si="15"/>
        <v>3097.3142117647053</v>
      </c>
      <c r="L43" s="350">
        <f t="shared" si="15"/>
        <v>3097.3142117647053</v>
      </c>
      <c r="M43" s="350">
        <f t="shared" si="15"/>
        <v>3097.3142117647053</v>
      </c>
      <c r="N43" s="350">
        <f t="shared" si="15"/>
        <v>3097.3142117647053</v>
      </c>
      <c r="O43" s="350">
        <f t="shared" si="15"/>
        <v>3097.3142117647053</v>
      </c>
      <c r="P43" s="362"/>
    </row>
    <row r="44" spans="1:16" ht="28.55" x14ac:dyDescent="0.25">
      <c r="A44" s="714" t="s">
        <v>727</v>
      </c>
      <c r="B44" s="353" t="s">
        <v>728</v>
      </c>
      <c r="C44" s="707">
        <v>67.591999999999999</v>
      </c>
      <c r="D44" s="710">
        <v>4</v>
      </c>
      <c r="E44" s="257"/>
      <c r="F44" s="350">
        <f t="shared" si="15"/>
        <v>1892.5759999999998</v>
      </c>
      <c r="G44" s="350">
        <f t="shared" si="15"/>
        <v>1892.5759999999998</v>
      </c>
      <c r="H44" s="350">
        <f t="shared" si="15"/>
        <v>1892.5759999999998</v>
      </c>
      <c r="I44" s="350">
        <f t="shared" si="15"/>
        <v>1892.5759999999998</v>
      </c>
      <c r="J44" s="350">
        <f t="shared" si="15"/>
        <v>1892.5759999999998</v>
      </c>
      <c r="K44" s="350">
        <f t="shared" si="15"/>
        <v>1892.5759999999998</v>
      </c>
      <c r="L44" s="350">
        <f t="shared" si="15"/>
        <v>1892.5759999999998</v>
      </c>
      <c r="M44" s="350">
        <f t="shared" si="15"/>
        <v>1892.5759999999998</v>
      </c>
      <c r="N44" s="350">
        <f t="shared" si="15"/>
        <v>1892.5759999999998</v>
      </c>
      <c r="O44" s="350">
        <f t="shared" si="15"/>
        <v>1892.5759999999998</v>
      </c>
      <c r="P44" s="362"/>
    </row>
    <row r="45" spans="1:16" ht="28.55" x14ac:dyDescent="0.25">
      <c r="A45" s="714" t="s">
        <v>729</v>
      </c>
      <c r="B45" s="353" t="s">
        <v>730</v>
      </c>
      <c r="C45" s="707">
        <v>26.861333333333334</v>
      </c>
      <c r="D45" s="710">
        <v>4</v>
      </c>
      <c r="E45" s="257"/>
      <c r="F45" s="350">
        <f t="shared" si="15"/>
        <v>752.11733333333325</v>
      </c>
      <c r="G45" s="350">
        <f t="shared" si="15"/>
        <v>752.11733333333325</v>
      </c>
      <c r="H45" s="350">
        <f t="shared" si="15"/>
        <v>752.11733333333325</v>
      </c>
      <c r="I45" s="350">
        <f t="shared" si="15"/>
        <v>752.11733333333325</v>
      </c>
      <c r="J45" s="350">
        <f t="shared" si="15"/>
        <v>752.11733333333325</v>
      </c>
      <c r="K45" s="350">
        <f t="shared" si="15"/>
        <v>752.11733333333325</v>
      </c>
      <c r="L45" s="350">
        <f t="shared" si="15"/>
        <v>752.11733333333325</v>
      </c>
      <c r="M45" s="350">
        <f t="shared" si="15"/>
        <v>752.11733333333325</v>
      </c>
      <c r="N45" s="350">
        <f t="shared" si="15"/>
        <v>752.11733333333325</v>
      </c>
      <c r="O45" s="350">
        <f t="shared" si="15"/>
        <v>752.11733333333325</v>
      </c>
      <c r="P45" s="362"/>
    </row>
    <row r="46" spans="1:16" x14ac:dyDescent="0.25">
      <c r="A46" s="347" t="s">
        <v>731</v>
      </c>
      <c r="B46" s="712" t="s">
        <v>732</v>
      </c>
      <c r="C46" s="707">
        <v>46.47176470588235</v>
      </c>
      <c r="D46" s="710">
        <v>0.28000000000000003</v>
      </c>
      <c r="E46" s="257"/>
      <c r="F46" s="350">
        <f t="shared" si="15"/>
        <v>91.084658823529409</v>
      </c>
      <c r="G46" s="350">
        <f t="shared" si="15"/>
        <v>91.084658823529409</v>
      </c>
      <c r="H46" s="350">
        <f t="shared" si="15"/>
        <v>91.084658823529409</v>
      </c>
      <c r="I46" s="350">
        <f t="shared" si="15"/>
        <v>91.084658823529409</v>
      </c>
      <c r="J46" s="350">
        <f t="shared" si="15"/>
        <v>91.084658823529409</v>
      </c>
      <c r="K46" s="350">
        <f t="shared" si="15"/>
        <v>91.084658823529409</v>
      </c>
      <c r="L46" s="350">
        <f t="shared" si="15"/>
        <v>91.084658823529409</v>
      </c>
      <c r="M46" s="350">
        <f t="shared" si="15"/>
        <v>91.084658823529409</v>
      </c>
      <c r="N46" s="350">
        <f t="shared" si="15"/>
        <v>91.084658823529409</v>
      </c>
      <c r="O46" s="350">
        <f t="shared" si="15"/>
        <v>91.084658823529409</v>
      </c>
      <c r="P46" s="362"/>
    </row>
    <row r="47" spans="1:16" x14ac:dyDescent="0.25">
      <c r="A47" s="715" t="s">
        <v>733</v>
      </c>
      <c r="B47" s="353" t="s">
        <v>720</v>
      </c>
      <c r="C47" s="707">
        <v>11.045999999999999</v>
      </c>
      <c r="D47" s="708">
        <v>9</v>
      </c>
      <c r="E47" s="257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62"/>
    </row>
    <row r="48" spans="1:16" ht="28.55" x14ac:dyDescent="0.25">
      <c r="A48" s="715" t="s">
        <v>734</v>
      </c>
      <c r="B48" s="353" t="s">
        <v>720</v>
      </c>
      <c r="C48" s="707">
        <v>11.045999999999999</v>
      </c>
      <c r="D48" s="710">
        <v>0.2</v>
      </c>
      <c r="E48" s="257"/>
      <c r="F48" s="350">
        <f t="shared" si="15"/>
        <v>15.464399999999998</v>
      </c>
      <c r="G48" s="350">
        <f t="shared" si="15"/>
        <v>15.464399999999998</v>
      </c>
      <c r="H48" s="350">
        <f t="shared" si="15"/>
        <v>15.464399999999998</v>
      </c>
      <c r="I48" s="350">
        <f t="shared" si="15"/>
        <v>15.464399999999998</v>
      </c>
      <c r="J48" s="350">
        <f t="shared" si="15"/>
        <v>15.464399999999998</v>
      </c>
      <c r="K48" s="350">
        <f t="shared" si="15"/>
        <v>15.464399999999998</v>
      </c>
      <c r="L48" s="350">
        <f t="shared" si="15"/>
        <v>15.464399999999998</v>
      </c>
      <c r="M48" s="350">
        <f t="shared" si="15"/>
        <v>15.464399999999998</v>
      </c>
      <c r="N48" s="350">
        <f t="shared" si="15"/>
        <v>15.464399999999998</v>
      </c>
      <c r="O48" s="350">
        <f t="shared" si="15"/>
        <v>15.464399999999998</v>
      </c>
      <c r="P48" s="362"/>
    </row>
    <row r="49" spans="1:16" x14ac:dyDescent="0.25">
      <c r="A49" s="715" t="s">
        <v>735</v>
      </c>
      <c r="B49" s="353" t="s">
        <v>720</v>
      </c>
      <c r="C49" s="707">
        <v>11.045999999999999</v>
      </c>
      <c r="D49" s="710">
        <v>0.6</v>
      </c>
      <c r="E49" s="257"/>
      <c r="F49" s="350">
        <f t="shared" si="15"/>
        <v>46.393199999999986</v>
      </c>
      <c r="G49" s="350">
        <f t="shared" si="15"/>
        <v>46.393199999999986</v>
      </c>
      <c r="H49" s="350">
        <f t="shared" si="15"/>
        <v>46.393199999999986</v>
      </c>
      <c r="I49" s="350">
        <f t="shared" si="15"/>
        <v>46.393199999999986</v>
      </c>
      <c r="J49" s="350">
        <f t="shared" si="15"/>
        <v>46.393199999999986</v>
      </c>
      <c r="K49" s="350">
        <f t="shared" si="15"/>
        <v>46.393199999999986</v>
      </c>
      <c r="L49" s="350">
        <f t="shared" si="15"/>
        <v>46.393199999999986</v>
      </c>
      <c r="M49" s="350">
        <f t="shared" si="15"/>
        <v>46.393199999999986</v>
      </c>
      <c r="N49" s="350">
        <f t="shared" si="15"/>
        <v>46.393199999999986</v>
      </c>
      <c r="O49" s="350">
        <f t="shared" si="15"/>
        <v>46.393199999999986</v>
      </c>
      <c r="P49" s="362"/>
    </row>
    <row r="50" spans="1:16" ht="28.55" x14ac:dyDescent="0.25">
      <c r="A50" s="716" t="s">
        <v>736</v>
      </c>
      <c r="B50" s="353" t="s">
        <v>737</v>
      </c>
      <c r="C50" s="707">
        <v>3.9946666666666659</v>
      </c>
      <c r="D50" s="708">
        <v>2</v>
      </c>
      <c r="E50" s="257"/>
      <c r="F50" s="350">
        <f t="shared" si="15"/>
        <v>55.925333333333313</v>
      </c>
      <c r="G50" s="350">
        <f t="shared" si="15"/>
        <v>55.925333333333313</v>
      </c>
      <c r="H50" s="350">
        <f t="shared" si="15"/>
        <v>55.925333333333313</v>
      </c>
      <c r="I50" s="350">
        <f t="shared" si="15"/>
        <v>55.925333333333313</v>
      </c>
      <c r="J50" s="350">
        <f t="shared" si="15"/>
        <v>55.925333333333313</v>
      </c>
      <c r="K50" s="350">
        <f t="shared" si="15"/>
        <v>55.925333333333313</v>
      </c>
      <c r="L50" s="350">
        <f t="shared" si="15"/>
        <v>55.925333333333313</v>
      </c>
      <c r="M50" s="350">
        <f t="shared" si="15"/>
        <v>55.925333333333313</v>
      </c>
      <c r="N50" s="350">
        <f t="shared" si="15"/>
        <v>55.925333333333313</v>
      </c>
      <c r="O50" s="350">
        <f t="shared" si="15"/>
        <v>55.925333333333313</v>
      </c>
      <c r="P50" s="362"/>
    </row>
    <row r="51" spans="1:16" ht="28.55" x14ac:dyDescent="0.25">
      <c r="A51" s="716" t="s">
        <v>738</v>
      </c>
      <c r="B51" s="353" t="s">
        <v>739</v>
      </c>
      <c r="C51" s="707">
        <v>86.669333333333327</v>
      </c>
      <c r="D51" s="710">
        <v>1</v>
      </c>
      <c r="E51" s="257"/>
      <c r="F51" s="350">
        <f t="shared" si="15"/>
        <v>606.68533333333323</v>
      </c>
      <c r="G51" s="350">
        <f t="shared" si="15"/>
        <v>606.68533333333323</v>
      </c>
      <c r="H51" s="350">
        <f t="shared" si="15"/>
        <v>606.68533333333323</v>
      </c>
      <c r="I51" s="350">
        <f t="shared" si="15"/>
        <v>606.68533333333323</v>
      </c>
      <c r="J51" s="350">
        <f t="shared" si="15"/>
        <v>606.68533333333323</v>
      </c>
      <c r="K51" s="350">
        <f t="shared" si="15"/>
        <v>606.68533333333323</v>
      </c>
      <c r="L51" s="350">
        <f t="shared" si="15"/>
        <v>606.68533333333323</v>
      </c>
      <c r="M51" s="350">
        <f t="shared" si="15"/>
        <v>606.68533333333323</v>
      </c>
      <c r="N51" s="350">
        <f t="shared" si="15"/>
        <v>606.68533333333323</v>
      </c>
      <c r="O51" s="350">
        <f t="shared" si="15"/>
        <v>606.68533333333323</v>
      </c>
      <c r="P51" s="362"/>
    </row>
    <row r="52" spans="1:16" x14ac:dyDescent="0.25">
      <c r="A52" s="347" t="s">
        <v>740</v>
      </c>
      <c r="B52" s="353" t="s">
        <v>726</v>
      </c>
      <c r="C52" s="707">
        <v>19.936</v>
      </c>
      <c r="D52" s="710">
        <v>2</v>
      </c>
      <c r="E52" s="257"/>
      <c r="F52" s="350">
        <f t="shared" si="15"/>
        <v>279.10399999999998</v>
      </c>
      <c r="G52" s="350">
        <f t="shared" si="15"/>
        <v>279.10399999999998</v>
      </c>
      <c r="H52" s="350">
        <f t="shared" si="15"/>
        <v>279.10399999999998</v>
      </c>
      <c r="I52" s="350">
        <f t="shared" si="15"/>
        <v>279.10399999999998</v>
      </c>
      <c r="J52" s="350">
        <f t="shared" si="15"/>
        <v>279.10399999999998</v>
      </c>
      <c r="K52" s="350">
        <f t="shared" si="15"/>
        <v>279.10399999999998</v>
      </c>
      <c r="L52" s="350">
        <f t="shared" si="15"/>
        <v>279.10399999999998</v>
      </c>
      <c r="M52" s="350">
        <f t="shared" si="15"/>
        <v>279.10399999999998</v>
      </c>
      <c r="N52" s="350">
        <f t="shared" si="15"/>
        <v>279.10399999999998</v>
      </c>
      <c r="O52" s="350">
        <f t="shared" si="15"/>
        <v>279.10399999999998</v>
      </c>
      <c r="P52" s="362"/>
    </row>
    <row r="53" spans="1:16" ht="28.55" x14ac:dyDescent="0.25">
      <c r="A53" s="717" t="s">
        <v>741</v>
      </c>
      <c r="B53" s="353" t="s">
        <v>742</v>
      </c>
      <c r="C53" s="707">
        <v>17.229333333333333</v>
      </c>
      <c r="D53" s="710">
        <v>2</v>
      </c>
      <c r="E53" s="257"/>
      <c r="F53" s="350">
        <f t="shared" si="15"/>
        <v>241.21066666666664</v>
      </c>
      <c r="G53" s="350">
        <f t="shared" si="15"/>
        <v>241.21066666666664</v>
      </c>
      <c r="H53" s="350">
        <f t="shared" si="15"/>
        <v>241.21066666666664</v>
      </c>
      <c r="I53" s="350">
        <f t="shared" si="15"/>
        <v>241.21066666666664</v>
      </c>
      <c r="J53" s="350">
        <f t="shared" si="15"/>
        <v>241.21066666666664</v>
      </c>
      <c r="K53" s="350">
        <f t="shared" si="15"/>
        <v>241.21066666666664</v>
      </c>
      <c r="L53" s="350">
        <f t="shared" si="15"/>
        <v>241.21066666666664</v>
      </c>
      <c r="M53" s="350">
        <f t="shared" si="15"/>
        <v>241.21066666666664</v>
      </c>
      <c r="N53" s="350">
        <f t="shared" si="15"/>
        <v>241.21066666666664</v>
      </c>
      <c r="O53" s="350">
        <f t="shared" si="15"/>
        <v>241.21066666666664</v>
      </c>
      <c r="P53" s="362"/>
    </row>
    <row r="54" spans="1:16" x14ac:dyDescent="0.25">
      <c r="A54" s="701" t="s">
        <v>319</v>
      </c>
      <c r="B54" s="702"/>
      <c r="C54" s="703"/>
      <c r="D54" s="718">
        <f>VLOOKUP($A54,$A$15:$B$21,2,FALSE)</f>
        <v>1000</v>
      </c>
      <c r="E54" s="705">
        <f>VLOOKUP($A54,$A$15:$D$21,4,FALSE)</f>
        <v>7</v>
      </c>
      <c r="F54" s="706"/>
      <c r="G54" s="706"/>
      <c r="H54" s="706"/>
      <c r="I54" s="706"/>
      <c r="J54" s="706"/>
      <c r="K54" s="706"/>
      <c r="L54" s="706"/>
      <c r="M54" s="706"/>
      <c r="N54" s="706"/>
      <c r="O54" s="706"/>
      <c r="P54" s="303"/>
    </row>
    <row r="55" spans="1:16" ht="28.55" x14ac:dyDescent="0.25">
      <c r="A55" s="719" t="s">
        <v>743</v>
      </c>
      <c r="B55" s="353" t="s">
        <v>737</v>
      </c>
      <c r="C55" s="707">
        <v>3.9946666666666659</v>
      </c>
      <c r="D55" s="710">
        <v>2</v>
      </c>
      <c r="E55" s="257"/>
      <c r="F55" s="350">
        <f>IF(F$17=0,0,F$17/$C$17*$D55*$C55)</f>
        <v>55.92533333333332</v>
      </c>
      <c r="G55" s="350">
        <f t="shared" ref="G55:O55" si="16">IF(G$17=0,0,G$17/$C$17*$D55*$C55)</f>
        <v>55.92533333333332</v>
      </c>
      <c r="H55" s="350">
        <f t="shared" si="16"/>
        <v>55.92533333333332</v>
      </c>
      <c r="I55" s="350">
        <f t="shared" si="16"/>
        <v>55.92533333333332</v>
      </c>
      <c r="J55" s="350">
        <f t="shared" si="16"/>
        <v>55.92533333333332</v>
      </c>
      <c r="K55" s="350">
        <f t="shared" si="16"/>
        <v>55.92533333333332</v>
      </c>
      <c r="L55" s="350">
        <f t="shared" si="16"/>
        <v>55.92533333333332</v>
      </c>
      <c r="M55" s="350">
        <f t="shared" si="16"/>
        <v>55.92533333333332</v>
      </c>
      <c r="N55" s="350">
        <f t="shared" si="16"/>
        <v>55.92533333333332</v>
      </c>
      <c r="O55" s="350">
        <f t="shared" si="16"/>
        <v>55.92533333333332</v>
      </c>
      <c r="P55" s="362"/>
    </row>
    <row r="56" spans="1:16" x14ac:dyDescent="0.25">
      <c r="A56" s="701" t="s">
        <v>705</v>
      </c>
      <c r="B56" s="702"/>
      <c r="C56" s="703"/>
      <c r="D56" s="704">
        <f>VLOOKUP($A56,$A$14:$B$21,2,FALSE)</f>
        <v>2500</v>
      </c>
      <c r="E56" s="705">
        <f>VLOOKUP($A56,$A$15:$D$21,4,FALSE)</f>
        <v>2.8</v>
      </c>
      <c r="F56" s="706"/>
      <c r="G56" s="706"/>
      <c r="H56" s="706"/>
      <c r="I56" s="706"/>
      <c r="J56" s="706"/>
      <c r="K56" s="706"/>
      <c r="L56" s="706"/>
      <c r="M56" s="706"/>
      <c r="N56" s="706"/>
      <c r="O56" s="706"/>
      <c r="P56" s="303"/>
    </row>
    <row r="57" spans="1:16" x14ac:dyDescent="0.25">
      <c r="A57" s="715" t="s">
        <v>744</v>
      </c>
      <c r="B57" s="353" t="s">
        <v>745</v>
      </c>
      <c r="C57" s="707">
        <v>31.761569411764711</v>
      </c>
      <c r="D57" s="710">
        <v>1</v>
      </c>
      <c r="E57" s="257"/>
      <c r="F57" s="350">
        <f t="shared" ref="F57:H60" si="17">IF(F$18=0,0,F$18/$C$18*$D57*$C57)</f>
        <v>88.932394352941188</v>
      </c>
      <c r="G57" s="350">
        <f t="shared" si="17"/>
        <v>88.932394352941188</v>
      </c>
      <c r="H57" s="350">
        <f>IF(H$18=0,0,H$18/$C$18*$D57*$C57)</f>
        <v>88.932394352941188</v>
      </c>
      <c r="I57" s="350">
        <f t="shared" ref="I57:O60" si="18">IF(I$18=0,0,I$18/$C$18*$D57*$C57)</f>
        <v>88.932394352941188</v>
      </c>
      <c r="J57" s="350">
        <f t="shared" si="18"/>
        <v>88.932394352941188</v>
      </c>
      <c r="K57" s="350">
        <f t="shared" si="18"/>
        <v>88.932394352941188</v>
      </c>
      <c r="L57" s="350">
        <f t="shared" si="18"/>
        <v>88.932394352941188</v>
      </c>
      <c r="M57" s="350">
        <f t="shared" si="18"/>
        <v>88.932394352941188</v>
      </c>
      <c r="N57" s="350">
        <f t="shared" si="18"/>
        <v>88.932394352941188</v>
      </c>
      <c r="O57" s="350">
        <f t="shared" si="18"/>
        <v>88.932394352941188</v>
      </c>
      <c r="P57" s="362"/>
    </row>
    <row r="58" spans="1:16" x14ac:dyDescent="0.25">
      <c r="A58" s="715" t="s">
        <v>746</v>
      </c>
      <c r="B58" s="353">
        <v>1001318212</v>
      </c>
      <c r="C58" s="707">
        <v>29.63473882352941</v>
      </c>
      <c r="D58" s="710">
        <v>1</v>
      </c>
      <c r="E58" s="257"/>
      <c r="F58" s="350">
        <f t="shared" si="17"/>
        <v>82.977268705882338</v>
      </c>
      <c r="G58" s="350">
        <f t="shared" si="17"/>
        <v>82.977268705882338</v>
      </c>
      <c r="H58" s="350">
        <f t="shared" si="17"/>
        <v>82.977268705882338</v>
      </c>
      <c r="I58" s="350">
        <f t="shared" si="18"/>
        <v>82.977268705882338</v>
      </c>
      <c r="J58" s="350">
        <f t="shared" si="18"/>
        <v>82.977268705882338</v>
      </c>
      <c r="K58" s="350">
        <f t="shared" si="18"/>
        <v>82.977268705882338</v>
      </c>
      <c r="L58" s="350">
        <f t="shared" si="18"/>
        <v>82.977268705882338</v>
      </c>
      <c r="M58" s="350">
        <f t="shared" si="18"/>
        <v>82.977268705882338</v>
      </c>
      <c r="N58" s="350">
        <f t="shared" si="18"/>
        <v>82.977268705882338</v>
      </c>
      <c r="O58" s="350">
        <f t="shared" si="18"/>
        <v>82.977268705882338</v>
      </c>
      <c r="P58" s="362"/>
    </row>
    <row r="59" spans="1:16" x14ac:dyDescent="0.25">
      <c r="A59" s="715" t="s">
        <v>747</v>
      </c>
      <c r="B59" s="353">
        <v>1004430807</v>
      </c>
      <c r="C59" s="707">
        <v>212.31555882352944</v>
      </c>
      <c r="D59" s="710">
        <v>1</v>
      </c>
      <c r="E59" s="257"/>
      <c r="F59" s="350">
        <f t="shared" si="17"/>
        <v>594.48356470588237</v>
      </c>
      <c r="G59" s="350">
        <f t="shared" si="17"/>
        <v>594.48356470588237</v>
      </c>
      <c r="H59" s="350">
        <f t="shared" si="17"/>
        <v>594.48356470588237</v>
      </c>
      <c r="I59" s="350">
        <f t="shared" si="18"/>
        <v>594.48356470588237</v>
      </c>
      <c r="J59" s="350">
        <f t="shared" si="18"/>
        <v>594.48356470588237</v>
      </c>
      <c r="K59" s="350">
        <f t="shared" si="18"/>
        <v>594.48356470588237</v>
      </c>
      <c r="L59" s="350">
        <f t="shared" si="18"/>
        <v>594.48356470588237</v>
      </c>
      <c r="M59" s="350">
        <f t="shared" si="18"/>
        <v>594.48356470588237</v>
      </c>
      <c r="N59" s="350">
        <f t="shared" si="18"/>
        <v>594.48356470588237</v>
      </c>
      <c r="O59" s="350">
        <f t="shared" si="18"/>
        <v>594.48356470588237</v>
      </c>
      <c r="P59" s="362"/>
    </row>
    <row r="60" spans="1:16" x14ac:dyDescent="0.25">
      <c r="A60" s="720" t="s">
        <v>748</v>
      </c>
      <c r="B60" s="353" t="s">
        <v>718</v>
      </c>
      <c r="C60" s="707">
        <v>15.036</v>
      </c>
      <c r="D60" s="710">
        <v>210</v>
      </c>
      <c r="E60" s="257"/>
      <c r="F60" s="350">
        <f t="shared" si="17"/>
        <v>8841.1679999999997</v>
      </c>
      <c r="G60" s="350">
        <f t="shared" si="17"/>
        <v>8841.1679999999997</v>
      </c>
      <c r="H60" s="350">
        <f t="shared" si="17"/>
        <v>8841.1679999999997</v>
      </c>
      <c r="I60" s="350">
        <f t="shared" si="18"/>
        <v>8841.1679999999997</v>
      </c>
      <c r="J60" s="350">
        <f t="shared" si="18"/>
        <v>8841.1679999999997</v>
      </c>
      <c r="K60" s="350">
        <f t="shared" si="18"/>
        <v>8841.1679999999997</v>
      </c>
      <c r="L60" s="350">
        <f t="shared" si="18"/>
        <v>8841.1679999999997</v>
      </c>
      <c r="M60" s="350">
        <f t="shared" si="18"/>
        <v>8841.1679999999997</v>
      </c>
      <c r="N60" s="350">
        <f t="shared" si="18"/>
        <v>8841.1679999999997</v>
      </c>
      <c r="O60" s="350">
        <f t="shared" si="18"/>
        <v>8841.1679999999997</v>
      </c>
      <c r="P60" s="362"/>
    </row>
    <row r="61" spans="1:16" x14ac:dyDescent="0.25">
      <c r="A61" s="701" t="s">
        <v>706</v>
      </c>
      <c r="B61" s="702"/>
      <c r="C61" s="703"/>
      <c r="D61" s="704">
        <f>VLOOKUP($A61,$A$14:$B$21,2,FALSE)</f>
        <v>4000</v>
      </c>
      <c r="E61" s="705">
        <f>VLOOKUP($A61,$A$15:$D$21,4,FALSE)</f>
        <v>1.75</v>
      </c>
      <c r="F61" s="706"/>
      <c r="G61" s="706"/>
      <c r="H61" s="706"/>
      <c r="I61" s="706"/>
      <c r="J61" s="706"/>
      <c r="K61" s="706"/>
      <c r="L61" s="706"/>
      <c r="M61" s="706"/>
      <c r="N61" s="706"/>
      <c r="O61" s="706"/>
      <c r="P61" s="303"/>
    </row>
    <row r="62" spans="1:16" x14ac:dyDescent="0.25">
      <c r="A62" s="347" t="s">
        <v>749</v>
      </c>
      <c r="B62" s="353" t="s">
        <v>750</v>
      </c>
      <c r="C62" s="707">
        <v>2.2679999999999998</v>
      </c>
      <c r="D62" s="710">
        <v>830</v>
      </c>
      <c r="E62" s="257"/>
      <c r="F62" s="350">
        <f t="shared" ref="F62:G62" si="19">IF(F$19=0,0,F$19/$C$19*$D62*$C62)</f>
        <v>3294.2700000000004</v>
      </c>
      <c r="G62" s="350">
        <f t="shared" si="19"/>
        <v>3294.2700000000004</v>
      </c>
      <c r="H62" s="350">
        <f>IF(H$19=0,0,H$19/$C$19*$D62*$C62)</f>
        <v>3294.2700000000004</v>
      </c>
      <c r="I62" s="350">
        <f t="shared" ref="I62:O62" si="20">IF(I$19=0,0,I$19/$C$19*$D62*$C62)</f>
        <v>3294.2700000000004</v>
      </c>
      <c r="J62" s="350">
        <f t="shared" si="20"/>
        <v>3294.2700000000004</v>
      </c>
      <c r="K62" s="350">
        <f t="shared" si="20"/>
        <v>3294.2700000000004</v>
      </c>
      <c r="L62" s="350">
        <f t="shared" si="20"/>
        <v>3294.2700000000004</v>
      </c>
      <c r="M62" s="350">
        <f t="shared" si="20"/>
        <v>3294.2700000000004</v>
      </c>
      <c r="N62" s="350">
        <f t="shared" si="20"/>
        <v>3294.2700000000004</v>
      </c>
      <c r="O62" s="350">
        <f t="shared" si="20"/>
        <v>3294.2700000000004</v>
      </c>
      <c r="P62" s="362"/>
    </row>
    <row r="63" spans="1:16" x14ac:dyDescent="0.25">
      <c r="A63" s="701" t="s">
        <v>707</v>
      </c>
      <c r="B63" s="702"/>
      <c r="C63" s="703"/>
      <c r="D63" s="704">
        <f>VLOOKUP($A63,$A$14:$B$21,2,FALSE)</f>
        <v>5000</v>
      </c>
      <c r="E63" s="705">
        <f>VLOOKUP($A63,$A$15:$D$21,4,FALSE)</f>
        <v>1.4</v>
      </c>
      <c r="F63" s="706"/>
      <c r="G63" s="706"/>
      <c r="H63" s="706"/>
      <c r="I63" s="706"/>
      <c r="J63" s="706"/>
      <c r="K63" s="706"/>
      <c r="L63" s="706"/>
      <c r="M63" s="706"/>
      <c r="N63" s="706"/>
      <c r="O63" s="706"/>
      <c r="P63" s="303"/>
    </row>
    <row r="64" spans="1:16" x14ac:dyDescent="0.25">
      <c r="A64" s="721"/>
      <c r="B64" s="721"/>
      <c r="C64" s="721"/>
      <c r="D64" s="721"/>
      <c r="E64" s="257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303"/>
    </row>
    <row r="65" spans="1:16" ht="14.1" customHeight="1" x14ac:dyDescent="0.25">
      <c r="A65" s="701" t="s">
        <v>320</v>
      </c>
      <c r="B65" s="702"/>
      <c r="C65" s="703"/>
      <c r="D65" s="704">
        <f>VLOOKUP($A65,$A$15:$B$21,2,FALSE)</f>
        <v>3500</v>
      </c>
      <c r="E65" s="705">
        <f>VLOOKUP($A65,$A$15:$D$21,4,FALSE)</f>
        <v>2</v>
      </c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303"/>
    </row>
    <row r="66" spans="1:16" ht="28.55" x14ac:dyDescent="0.25">
      <c r="A66" s="722" t="s">
        <v>721</v>
      </c>
      <c r="B66" s="353" t="s">
        <v>722</v>
      </c>
      <c r="C66" s="707">
        <v>3.08</v>
      </c>
      <c r="D66" s="710">
        <v>790</v>
      </c>
      <c r="E66" s="709"/>
      <c r="F66" s="350">
        <f t="shared" ref="F66:G66" si="21">IF(F$21=0,0,F$21/$C$21*$D66*$C66)</f>
        <v>4866.4000000000005</v>
      </c>
      <c r="G66" s="350">
        <f t="shared" si="21"/>
        <v>4866.4000000000005</v>
      </c>
      <c r="H66" s="350">
        <f>IF(H$21=0,0,H$21/$C$21*$D66*$C66)</f>
        <v>4866.4000000000005</v>
      </c>
      <c r="I66" s="350">
        <f t="shared" ref="I66:O66" si="22">IF(I$21=0,0,I$21/$C$21*$D66*$C66)</f>
        <v>4866.4000000000005</v>
      </c>
      <c r="J66" s="350">
        <f t="shared" si="22"/>
        <v>4866.4000000000005</v>
      </c>
      <c r="K66" s="350">
        <f t="shared" si="22"/>
        <v>4866.4000000000005</v>
      </c>
      <c r="L66" s="350">
        <f t="shared" si="22"/>
        <v>4866.4000000000005</v>
      </c>
      <c r="M66" s="350">
        <f t="shared" si="22"/>
        <v>4866.4000000000005</v>
      </c>
      <c r="N66" s="350">
        <f t="shared" si="22"/>
        <v>4866.4000000000005</v>
      </c>
      <c r="O66" s="350">
        <f t="shared" si="22"/>
        <v>4866.4000000000005</v>
      </c>
      <c r="P66" s="362"/>
    </row>
  </sheetData>
  <mergeCells count="2">
    <mergeCell ref="A11:O11"/>
    <mergeCell ref="A22:O22"/>
  </mergeCells>
  <pageMargins left="0" right="0" top="0.74803149606299213" bottom="0.74803149606299213" header="0.31496062992125984" footer="0.31496062992125984"/>
  <pageSetup paperSize="8" scale="66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14E6-9E88-484F-BEBC-148EA4CDF883}">
  <sheetPr>
    <tabColor theme="8" tint="0.79998168889431442"/>
  </sheetPr>
  <dimension ref="B3:O86"/>
  <sheetViews>
    <sheetView showGridLines="0" zoomScale="85" zoomScaleNormal="85" zoomScaleSheetLayoutView="85" workbookViewId="0">
      <pane xSplit="2" ySplit="7" topLeftCell="C8" activePane="bottomRight" state="frozen"/>
      <selection activeCell="V29" sqref="V29"/>
      <selection pane="topRight" activeCell="V29" sqref="V29"/>
      <selection pane="bottomLeft" activeCell="V29" sqref="V29"/>
      <selection pane="bottomRight" activeCell="V29" sqref="V29"/>
    </sheetView>
  </sheetViews>
  <sheetFormatPr defaultRowHeight="14.3" x14ac:dyDescent="0.25"/>
  <cols>
    <col min="1" max="1" width="5.375" style="275" customWidth="1"/>
    <col min="2" max="2" width="58.75" style="275" customWidth="1"/>
    <col min="3" max="3" width="15.625" style="275" customWidth="1"/>
    <col min="4" max="4" width="17.375" style="275" customWidth="1"/>
    <col min="5" max="5" width="11.375" style="275" customWidth="1"/>
    <col min="6" max="15" width="11.125" style="275" customWidth="1"/>
    <col min="16" max="16" width="6.875" style="275" customWidth="1"/>
    <col min="17" max="16384" width="9" style="275"/>
  </cols>
  <sheetData>
    <row r="3" spans="2:15" x14ac:dyDescent="0.25">
      <c r="B3" s="365" t="s">
        <v>259</v>
      </c>
      <c r="C3" s="665" t="str">
        <f>БелАЗ_Б!C3</f>
        <v>Марка, модель</v>
      </c>
      <c r="D3" s="666" t="str">
        <f>БелАЗ_Б!D3</f>
        <v>7531N</v>
      </c>
    </row>
    <row r="4" spans="2:15" ht="14.95" thickBot="1" x14ac:dyDescent="0.3">
      <c r="B4" s="275" t="s">
        <v>298</v>
      </c>
      <c r="F4" s="277">
        <f>БелАЗ_Б!E12</f>
        <v>0.92956036751648907</v>
      </c>
      <c r="G4" s="277">
        <f>БелАЗ_Б!F12</f>
        <v>0.90792065417300871</v>
      </c>
      <c r="H4" s="277">
        <f>БелАЗ_Б!G12</f>
        <v>0.8994118599906985</v>
      </c>
      <c r="I4" s="277">
        <f>БелАЗ_Б!H12</f>
        <v>0.88050753900304413</v>
      </c>
      <c r="J4" s="277">
        <f>БелАЗ_Б!I12</f>
        <v>0.9011506135844749</v>
      </c>
      <c r="K4" s="277">
        <f>БелАЗ_Б!J12</f>
        <v>0.87025999122695752</v>
      </c>
      <c r="L4" s="277">
        <f>БелАЗ_Б!K12</f>
        <v>0.85058935026636229</v>
      </c>
      <c r="M4" s="277">
        <f>БелАЗ_Б!L12</f>
        <v>0.89171695046930488</v>
      </c>
      <c r="N4" s="277">
        <f>БелАЗ_Б!M12</f>
        <v>0.85775576325469305</v>
      </c>
      <c r="O4" s="277">
        <f>БелАЗ_Б!N12</f>
        <v>0.85228053917216307</v>
      </c>
    </row>
    <row r="5" spans="2:15" s="368" customFormat="1" ht="22.95" customHeight="1" x14ac:dyDescent="0.25">
      <c r="B5" s="723" t="s">
        <v>299</v>
      </c>
      <c r="C5" s="724" t="s">
        <v>355</v>
      </c>
      <c r="D5" s="697"/>
      <c r="E5" s="697"/>
      <c r="F5" s="694" t="s">
        <v>626</v>
      </c>
      <c r="G5" s="694" t="s">
        <v>627</v>
      </c>
      <c r="H5" s="694" t="s">
        <v>628</v>
      </c>
      <c r="I5" s="694" t="s">
        <v>751</v>
      </c>
      <c r="J5" s="694" t="s">
        <v>752</v>
      </c>
      <c r="K5" s="694" t="s">
        <v>753</v>
      </c>
      <c r="L5" s="694" t="s">
        <v>754</v>
      </c>
      <c r="M5" s="694" t="s">
        <v>755</v>
      </c>
      <c r="N5" s="694" t="s">
        <v>756</v>
      </c>
      <c r="O5" s="694" t="s">
        <v>757</v>
      </c>
    </row>
    <row r="6" spans="2:15" x14ac:dyDescent="0.25">
      <c r="B6" s="369" t="s">
        <v>300</v>
      </c>
      <c r="C6" s="370" t="s">
        <v>301</v>
      </c>
      <c r="D6" s="292"/>
      <c r="E6" s="370"/>
      <c r="F6" s="476">
        <v>0</v>
      </c>
      <c r="G6" s="476">
        <f>F7+1</f>
        <v>7001</v>
      </c>
      <c r="H6" s="476">
        <f t="shared" ref="H6:O6" si="0">G7+1</f>
        <v>14001</v>
      </c>
      <c r="I6" s="476">
        <f t="shared" si="0"/>
        <v>21001</v>
      </c>
      <c r="J6" s="476">
        <f t="shared" si="0"/>
        <v>28001</v>
      </c>
      <c r="K6" s="476">
        <f t="shared" si="0"/>
        <v>35001</v>
      </c>
      <c r="L6" s="476">
        <f t="shared" si="0"/>
        <v>42001</v>
      </c>
      <c r="M6" s="476">
        <f t="shared" si="0"/>
        <v>49001</v>
      </c>
      <c r="N6" s="476">
        <f t="shared" si="0"/>
        <v>56001</v>
      </c>
      <c r="O6" s="498">
        <f t="shared" si="0"/>
        <v>63001</v>
      </c>
    </row>
    <row r="7" spans="2:15" ht="14.95" thickBot="1" x14ac:dyDescent="0.3">
      <c r="B7" s="371" t="s">
        <v>302</v>
      </c>
      <c r="C7" s="372" t="s">
        <v>301</v>
      </c>
      <c r="D7" s="373"/>
      <c r="E7" s="374"/>
      <c r="F7" s="493">
        <v>7000</v>
      </c>
      <c r="G7" s="493">
        <f>F7+F7</f>
        <v>14000</v>
      </c>
      <c r="H7" s="493">
        <f>F7+G7</f>
        <v>21000</v>
      </c>
      <c r="I7" s="493">
        <f>H7+F7</f>
        <v>28000</v>
      </c>
      <c r="J7" s="493">
        <f>I7+$F$7</f>
        <v>35000</v>
      </c>
      <c r="K7" s="493">
        <f>J7+$F$7</f>
        <v>42000</v>
      </c>
      <c r="L7" s="493">
        <f t="shared" ref="L7:O7" si="1">K7+$F$7</f>
        <v>49000</v>
      </c>
      <c r="M7" s="493">
        <f t="shared" si="1"/>
        <v>56000</v>
      </c>
      <c r="N7" s="493">
        <f t="shared" si="1"/>
        <v>63000</v>
      </c>
      <c r="O7" s="566">
        <f t="shared" si="1"/>
        <v>70000</v>
      </c>
    </row>
    <row r="8" spans="2:15" ht="14.95" thickBot="1" x14ac:dyDescent="0.3"/>
    <row r="9" spans="2:15" ht="21.75" customHeight="1" x14ac:dyDescent="0.25">
      <c r="B9" s="725" t="s">
        <v>356</v>
      </c>
      <c r="C9" s="726" t="s">
        <v>304</v>
      </c>
      <c r="D9" s="726"/>
      <c r="E9" s="726"/>
      <c r="F9" s="727">
        <f>F17</f>
        <v>135</v>
      </c>
      <c r="G9" s="727">
        <f t="shared" ref="G9:O9" si="2">G17</f>
        <v>341</v>
      </c>
      <c r="H9" s="727">
        <f t="shared" si="2"/>
        <v>417.66666666666663</v>
      </c>
      <c r="I9" s="727">
        <f t="shared" si="2"/>
        <v>588</v>
      </c>
      <c r="J9" s="727">
        <f t="shared" si="2"/>
        <v>402</v>
      </c>
      <c r="K9" s="727">
        <f t="shared" si="2"/>
        <v>680.33333333333337</v>
      </c>
      <c r="L9" s="727">
        <f t="shared" si="2"/>
        <v>549</v>
      </c>
      <c r="M9" s="727">
        <f t="shared" si="2"/>
        <v>487</v>
      </c>
      <c r="N9" s="727">
        <f t="shared" si="2"/>
        <v>793</v>
      </c>
      <c r="O9" s="727">
        <f t="shared" si="2"/>
        <v>842.33333333333337</v>
      </c>
    </row>
    <row r="10" spans="2:15" ht="21.1" customHeight="1" x14ac:dyDescent="0.25">
      <c r="B10" s="390" t="s">
        <v>357</v>
      </c>
      <c r="C10" s="380" t="s">
        <v>358</v>
      </c>
      <c r="D10" s="253"/>
      <c r="E10" s="253"/>
      <c r="F10" s="302">
        <f>SUM(F11:F13)</f>
        <v>32561.22</v>
      </c>
      <c r="G10" s="302">
        <f t="shared" ref="G10:O10" si="3">SUM(G11:G13)</f>
        <v>121394.6</v>
      </c>
      <c r="H10" s="302">
        <f t="shared" si="3"/>
        <v>527818.87118000002</v>
      </c>
      <c r="I10" s="302">
        <f t="shared" si="3"/>
        <v>823902.80929999996</v>
      </c>
      <c r="J10" s="302">
        <f t="shared" si="3"/>
        <v>277045.95970000001</v>
      </c>
      <c r="K10" s="302">
        <f t="shared" si="3"/>
        <v>549346.90237999998</v>
      </c>
      <c r="L10" s="302">
        <f t="shared" si="3"/>
        <v>235842.3988</v>
      </c>
      <c r="M10" s="302">
        <f t="shared" si="3"/>
        <v>884109.23047647055</v>
      </c>
      <c r="N10" s="302">
        <f t="shared" si="3"/>
        <v>717681.06208000006</v>
      </c>
      <c r="O10" s="302">
        <f t="shared" si="3"/>
        <v>247535.77499999999</v>
      </c>
    </row>
    <row r="11" spans="2:15" ht="18.7" customHeight="1" x14ac:dyDescent="0.25">
      <c r="B11" s="381" t="s">
        <v>283</v>
      </c>
      <c r="C11" s="260" t="s">
        <v>358</v>
      </c>
      <c r="D11" s="260"/>
      <c r="E11" s="260"/>
      <c r="F11" s="263">
        <f>F57</f>
        <v>15011.22</v>
      </c>
      <c r="G11" s="263">
        <f t="shared" ref="G11:O11" si="4">G57</f>
        <v>77064.600000000006</v>
      </c>
      <c r="H11" s="263">
        <f t="shared" si="4"/>
        <v>50720.67</v>
      </c>
      <c r="I11" s="263">
        <f t="shared" si="4"/>
        <v>89861</v>
      </c>
      <c r="J11" s="263">
        <f t="shared" si="4"/>
        <v>60140.95</v>
      </c>
      <c r="K11" s="263">
        <f t="shared" si="4"/>
        <v>102873.7</v>
      </c>
      <c r="L11" s="263">
        <f t="shared" si="4"/>
        <v>80547.399999999994</v>
      </c>
      <c r="M11" s="263">
        <f t="shared" si="4"/>
        <v>64172.23</v>
      </c>
      <c r="N11" s="263">
        <f t="shared" si="4"/>
        <v>74322.850000000006</v>
      </c>
      <c r="O11" s="263">
        <f t="shared" si="4"/>
        <v>90365.774999999994</v>
      </c>
    </row>
    <row r="12" spans="2:15" ht="18.7" customHeight="1" x14ac:dyDescent="0.25">
      <c r="B12" s="381" t="s">
        <v>284</v>
      </c>
      <c r="C12" s="260" t="s">
        <v>358</v>
      </c>
      <c r="D12" s="260"/>
      <c r="E12" s="260"/>
      <c r="F12" s="263">
        <f>F62</f>
        <v>0</v>
      </c>
      <c r="G12" s="263">
        <f t="shared" ref="G12:O12" si="5">G62</f>
        <v>0</v>
      </c>
      <c r="H12" s="263">
        <f t="shared" si="5"/>
        <v>410928.20117999997</v>
      </c>
      <c r="I12" s="263">
        <f t="shared" si="5"/>
        <v>652531.80929999996</v>
      </c>
      <c r="J12" s="263">
        <f t="shared" si="5"/>
        <v>158405.00970000002</v>
      </c>
      <c r="K12" s="263">
        <f t="shared" si="5"/>
        <v>339483.20237999997</v>
      </c>
      <c r="L12" s="263">
        <f t="shared" si="5"/>
        <v>71444.998800000001</v>
      </c>
      <c r="M12" s="263">
        <f t="shared" si="5"/>
        <v>721657.00047647057</v>
      </c>
      <c r="N12" s="263">
        <f t="shared" si="5"/>
        <v>497888.21208000003</v>
      </c>
      <c r="O12" s="263">
        <f t="shared" si="5"/>
        <v>0</v>
      </c>
    </row>
    <row r="13" spans="2:15" ht="18.7" customHeight="1" thickBot="1" x14ac:dyDescent="0.3">
      <c r="B13" s="382" t="s">
        <v>359</v>
      </c>
      <c r="C13" s="383" t="s">
        <v>358</v>
      </c>
      <c r="D13" s="383"/>
      <c r="E13" s="383"/>
      <c r="F13" s="314">
        <f t="shared" ref="F13:O13" si="6">SUMPRODUCT($E31:$E53,F$31:F$53)</f>
        <v>17550</v>
      </c>
      <c r="G13" s="314">
        <f t="shared" si="6"/>
        <v>44330</v>
      </c>
      <c r="H13" s="314">
        <f t="shared" si="6"/>
        <v>66170</v>
      </c>
      <c r="I13" s="314">
        <f t="shared" si="6"/>
        <v>81510</v>
      </c>
      <c r="J13" s="314">
        <f t="shared" si="6"/>
        <v>58500</v>
      </c>
      <c r="K13" s="314">
        <f t="shared" si="6"/>
        <v>106990</v>
      </c>
      <c r="L13" s="314">
        <f t="shared" si="6"/>
        <v>83850</v>
      </c>
      <c r="M13" s="314">
        <f t="shared" si="6"/>
        <v>98280</v>
      </c>
      <c r="N13" s="314">
        <f t="shared" si="6"/>
        <v>145470</v>
      </c>
      <c r="O13" s="314">
        <f t="shared" si="6"/>
        <v>157170</v>
      </c>
    </row>
    <row r="14" spans="2:15" ht="18" customHeight="1" x14ac:dyDescent="0.25">
      <c r="B14" s="384"/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</row>
    <row r="15" spans="2:15" ht="23.3" customHeight="1" thickBot="1" x14ac:dyDescent="0.3">
      <c r="B15" s="387" t="s">
        <v>360</v>
      </c>
      <c r="C15" s="385"/>
      <c r="D15" s="385"/>
      <c r="E15" s="385"/>
      <c r="F15" s="386"/>
      <c r="G15" s="386"/>
      <c r="H15" s="386"/>
      <c r="I15" s="386"/>
      <c r="J15" s="386"/>
      <c r="K15" s="386"/>
      <c r="L15" s="386"/>
      <c r="M15" s="386"/>
      <c r="N15" s="386"/>
      <c r="O15" s="386"/>
    </row>
    <row r="16" spans="2:15" ht="16.5" customHeight="1" x14ac:dyDescent="0.25">
      <c r="B16" s="693" t="s">
        <v>361</v>
      </c>
      <c r="C16" s="724" t="s">
        <v>355</v>
      </c>
      <c r="D16" s="728"/>
      <c r="E16" s="728"/>
      <c r="F16" s="729" t="str">
        <f>F5</f>
        <v>1 год</v>
      </c>
      <c r="G16" s="729" t="str">
        <f t="shared" ref="G16:O16" si="7">G5</f>
        <v>2 год</v>
      </c>
      <c r="H16" s="729" t="str">
        <f t="shared" si="7"/>
        <v>3 год</v>
      </c>
      <c r="I16" s="729" t="str">
        <f t="shared" si="7"/>
        <v>4 год</v>
      </c>
      <c r="J16" s="729" t="str">
        <f t="shared" si="7"/>
        <v>5 год</v>
      </c>
      <c r="K16" s="729" t="str">
        <f t="shared" si="7"/>
        <v>6 год</v>
      </c>
      <c r="L16" s="729" t="str">
        <f t="shared" si="7"/>
        <v>7 год</v>
      </c>
      <c r="M16" s="729" t="str">
        <f t="shared" si="7"/>
        <v>8 год</v>
      </c>
      <c r="N16" s="729" t="str">
        <f t="shared" si="7"/>
        <v>9 год</v>
      </c>
      <c r="O16" s="729" t="str">
        <f t="shared" si="7"/>
        <v>10 год</v>
      </c>
    </row>
    <row r="17" spans="2:15" ht="16.5" customHeight="1" x14ac:dyDescent="0.25">
      <c r="B17" s="390" t="s">
        <v>362</v>
      </c>
      <c r="C17" s="246"/>
      <c r="D17" s="260"/>
      <c r="E17" s="260"/>
      <c r="F17" s="391">
        <f t="shared" ref="F17:O17" si="8">SUM(F18:F26)</f>
        <v>135</v>
      </c>
      <c r="G17" s="391">
        <f t="shared" si="8"/>
        <v>341</v>
      </c>
      <c r="H17" s="391">
        <f t="shared" si="8"/>
        <v>417.66666666666663</v>
      </c>
      <c r="I17" s="391">
        <f t="shared" si="8"/>
        <v>588</v>
      </c>
      <c r="J17" s="391">
        <f t="shared" si="8"/>
        <v>402</v>
      </c>
      <c r="K17" s="391">
        <f t="shared" si="8"/>
        <v>680.33333333333337</v>
      </c>
      <c r="L17" s="391">
        <f t="shared" si="8"/>
        <v>549</v>
      </c>
      <c r="M17" s="391">
        <f t="shared" si="8"/>
        <v>487</v>
      </c>
      <c r="N17" s="391">
        <f t="shared" si="8"/>
        <v>793</v>
      </c>
      <c r="O17" s="391">
        <f t="shared" si="8"/>
        <v>842.33333333333337</v>
      </c>
    </row>
    <row r="18" spans="2:15" ht="16.5" customHeight="1" x14ac:dyDescent="0.25">
      <c r="B18" s="392" t="s">
        <v>363</v>
      </c>
      <c r="C18" s="257" t="s">
        <v>304</v>
      </c>
      <c r="D18" s="271"/>
      <c r="E18" s="271"/>
      <c r="F18" s="393">
        <f>F31/2</f>
        <v>45</v>
      </c>
      <c r="G18" s="393">
        <f t="shared" ref="G18:H18" si="9">G31/2</f>
        <v>72</v>
      </c>
      <c r="H18" s="393">
        <f t="shared" si="9"/>
        <v>90</v>
      </c>
      <c r="I18" s="393">
        <f t="shared" ref="I18:O18" si="10">I31/3</f>
        <v>90</v>
      </c>
      <c r="J18" s="393">
        <f t="shared" si="10"/>
        <v>120</v>
      </c>
      <c r="K18" s="393">
        <f t="shared" si="10"/>
        <v>150</v>
      </c>
      <c r="L18" s="393">
        <f t="shared" si="10"/>
        <v>216</v>
      </c>
      <c r="M18" s="393">
        <f t="shared" si="10"/>
        <v>270</v>
      </c>
      <c r="N18" s="393">
        <f t="shared" si="10"/>
        <v>300</v>
      </c>
      <c r="O18" s="393">
        <f t="shared" si="10"/>
        <v>733.33333333333337</v>
      </c>
    </row>
    <row r="19" spans="2:15" ht="16.5" customHeight="1" x14ac:dyDescent="0.25">
      <c r="B19" s="392" t="s">
        <v>758</v>
      </c>
      <c r="C19" s="257" t="s">
        <v>304</v>
      </c>
      <c r="D19" s="271"/>
      <c r="E19" s="271"/>
      <c r="F19" s="393">
        <f t="shared" ref="F19:O23" si="11">F32/2</f>
        <v>0</v>
      </c>
      <c r="G19" s="393">
        <f t="shared" si="11"/>
        <v>19</v>
      </c>
      <c r="H19" s="393">
        <f t="shared" si="11"/>
        <v>19</v>
      </c>
      <c r="I19" s="393">
        <f t="shared" si="11"/>
        <v>0</v>
      </c>
      <c r="J19" s="393">
        <f t="shared" si="11"/>
        <v>19</v>
      </c>
      <c r="K19" s="393">
        <f t="shared" si="11"/>
        <v>19</v>
      </c>
      <c r="L19" s="393">
        <f t="shared" si="11"/>
        <v>0</v>
      </c>
      <c r="M19" s="393">
        <f t="shared" si="11"/>
        <v>19</v>
      </c>
      <c r="N19" s="393">
        <f t="shared" si="11"/>
        <v>19</v>
      </c>
      <c r="O19" s="393">
        <f t="shared" si="11"/>
        <v>19</v>
      </c>
    </row>
    <row r="20" spans="2:15" ht="16.5" customHeight="1" x14ac:dyDescent="0.25">
      <c r="B20" s="396" t="s">
        <v>759</v>
      </c>
      <c r="C20" s="257" t="s">
        <v>304</v>
      </c>
      <c r="D20" s="271"/>
      <c r="E20" s="271"/>
      <c r="F20" s="393">
        <f t="shared" si="11"/>
        <v>90</v>
      </c>
      <c r="G20" s="393">
        <f t="shared" si="11"/>
        <v>90</v>
      </c>
      <c r="H20" s="393">
        <f>H33/2</f>
        <v>90</v>
      </c>
      <c r="I20" s="393">
        <f t="shared" si="11"/>
        <v>90</v>
      </c>
      <c r="J20" s="393">
        <f t="shared" si="11"/>
        <v>90</v>
      </c>
      <c r="K20" s="393">
        <f t="shared" si="11"/>
        <v>180</v>
      </c>
      <c r="L20" s="393">
        <f t="shared" si="11"/>
        <v>90</v>
      </c>
      <c r="M20" s="393">
        <f t="shared" si="11"/>
        <v>90</v>
      </c>
      <c r="N20" s="393">
        <f t="shared" si="11"/>
        <v>90</v>
      </c>
      <c r="O20" s="393">
        <f t="shared" si="11"/>
        <v>90</v>
      </c>
    </row>
    <row r="21" spans="2:15" ht="16.5" customHeight="1" x14ac:dyDescent="0.25">
      <c r="B21" s="396" t="s">
        <v>760</v>
      </c>
      <c r="C21" s="257" t="s">
        <v>304</v>
      </c>
      <c r="D21" s="271"/>
      <c r="E21" s="271"/>
      <c r="F21" s="393">
        <f t="shared" si="11"/>
        <v>0</v>
      </c>
      <c r="G21" s="393">
        <f t="shared" si="11"/>
        <v>160</v>
      </c>
      <c r="H21" s="393">
        <f>H34/2</f>
        <v>0</v>
      </c>
      <c r="I21" s="393">
        <f t="shared" si="11"/>
        <v>160</v>
      </c>
      <c r="J21" s="393">
        <f t="shared" si="11"/>
        <v>0</v>
      </c>
      <c r="K21" s="393">
        <f t="shared" si="11"/>
        <v>160</v>
      </c>
      <c r="L21" s="393">
        <f t="shared" si="11"/>
        <v>160</v>
      </c>
      <c r="M21" s="393">
        <f t="shared" si="11"/>
        <v>0</v>
      </c>
      <c r="N21" s="393">
        <f t="shared" si="11"/>
        <v>160</v>
      </c>
      <c r="O21" s="393">
        <f t="shared" si="11"/>
        <v>0</v>
      </c>
    </row>
    <row r="22" spans="2:15" ht="16.5" customHeight="1" x14ac:dyDescent="0.25">
      <c r="B22" s="396" t="s">
        <v>367</v>
      </c>
      <c r="C22" s="257" t="s">
        <v>304</v>
      </c>
      <c r="D22" s="271"/>
      <c r="E22" s="268">
        <v>1</v>
      </c>
      <c r="F22" s="393">
        <f t="shared" si="11"/>
        <v>0</v>
      </c>
      <c r="G22" s="393">
        <f t="shared" si="11"/>
        <v>0</v>
      </c>
      <c r="H22" s="393">
        <f>H35/2</f>
        <v>0</v>
      </c>
      <c r="I22" s="393">
        <f t="shared" si="11"/>
        <v>140</v>
      </c>
      <c r="J22" s="393">
        <f t="shared" si="11"/>
        <v>0</v>
      </c>
      <c r="K22" s="393">
        <f t="shared" si="11"/>
        <v>0</v>
      </c>
      <c r="L22" s="393">
        <f t="shared" si="11"/>
        <v>0</v>
      </c>
      <c r="M22" s="393">
        <f t="shared" si="11"/>
        <v>0</v>
      </c>
      <c r="N22" s="393">
        <f t="shared" si="11"/>
        <v>0</v>
      </c>
      <c r="O22" s="393">
        <f t="shared" si="11"/>
        <v>0</v>
      </c>
    </row>
    <row r="23" spans="2:15" ht="16.5" customHeight="1" x14ac:dyDescent="0.25">
      <c r="B23" s="396" t="s">
        <v>761</v>
      </c>
      <c r="C23" s="257" t="s">
        <v>304</v>
      </c>
      <c r="D23" s="271"/>
      <c r="E23" s="268">
        <v>1</v>
      </c>
      <c r="F23" s="393">
        <f t="shared" si="11"/>
        <v>0</v>
      </c>
      <c r="G23" s="393">
        <f t="shared" si="11"/>
        <v>0</v>
      </c>
      <c r="H23" s="393">
        <f>H36/2</f>
        <v>0</v>
      </c>
      <c r="I23" s="393">
        <f t="shared" ref="I23:O23" si="12">I38/2</f>
        <v>0</v>
      </c>
      <c r="J23" s="393">
        <f t="shared" si="12"/>
        <v>12</v>
      </c>
      <c r="K23" s="393">
        <f t="shared" si="12"/>
        <v>0</v>
      </c>
      <c r="L23" s="393">
        <f t="shared" si="12"/>
        <v>12</v>
      </c>
      <c r="M23" s="393">
        <f t="shared" si="12"/>
        <v>0</v>
      </c>
      <c r="N23" s="393">
        <f t="shared" si="12"/>
        <v>12</v>
      </c>
      <c r="O23" s="393">
        <f t="shared" si="12"/>
        <v>0</v>
      </c>
    </row>
    <row r="24" spans="2:15" ht="16.5" customHeight="1" x14ac:dyDescent="0.25">
      <c r="B24" s="396" t="s">
        <v>762</v>
      </c>
      <c r="C24" s="257"/>
      <c r="D24" s="271"/>
      <c r="E24" s="268">
        <v>1</v>
      </c>
      <c r="F24" s="393">
        <f>F46/2</f>
        <v>0</v>
      </c>
      <c r="G24" s="393">
        <f t="shared" ref="G24:O25" si="13">G46/2</f>
        <v>0</v>
      </c>
      <c r="H24" s="393">
        <f t="shared" si="13"/>
        <v>0</v>
      </c>
      <c r="I24" s="393">
        <f t="shared" si="13"/>
        <v>6</v>
      </c>
      <c r="J24" s="393">
        <f t="shared" si="13"/>
        <v>0</v>
      </c>
      <c r="K24" s="393">
        <f t="shared" si="13"/>
        <v>0</v>
      </c>
      <c r="L24" s="393">
        <f t="shared" si="13"/>
        <v>0</v>
      </c>
      <c r="M24" s="393">
        <f t="shared" si="13"/>
        <v>6</v>
      </c>
      <c r="N24" s="393">
        <f t="shared" si="13"/>
        <v>0</v>
      </c>
      <c r="O24" s="393">
        <f t="shared" si="13"/>
        <v>0</v>
      </c>
    </row>
    <row r="25" spans="2:15" ht="16.5" customHeight="1" x14ac:dyDescent="0.25">
      <c r="B25" s="396" t="s">
        <v>763</v>
      </c>
      <c r="C25" s="257" t="s">
        <v>304</v>
      </c>
      <c r="D25" s="271"/>
      <c r="E25" s="268">
        <v>2</v>
      </c>
      <c r="F25" s="393">
        <f>F47/2</f>
        <v>0</v>
      </c>
      <c r="G25" s="393">
        <f t="shared" si="13"/>
        <v>0</v>
      </c>
      <c r="H25" s="393">
        <f t="shared" si="13"/>
        <v>12</v>
      </c>
      <c r="I25" s="393">
        <f t="shared" si="13"/>
        <v>0</v>
      </c>
      <c r="J25" s="393">
        <f t="shared" si="13"/>
        <v>0</v>
      </c>
      <c r="K25" s="393">
        <f t="shared" si="13"/>
        <v>12</v>
      </c>
      <c r="L25" s="393">
        <f t="shared" si="13"/>
        <v>0</v>
      </c>
      <c r="M25" s="393">
        <f t="shared" si="13"/>
        <v>0</v>
      </c>
      <c r="N25" s="393">
        <f t="shared" si="13"/>
        <v>12</v>
      </c>
      <c r="O25" s="393">
        <f t="shared" si="13"/>
        <v>0</v>
      </c>
    </row>
    <row r="26" spans="2:15" ht="16.5" customHeight="1" thickBot="1" x14ac:dyDescent="0.3">
      <c r="B26" s="397" t="s">
        <v>371</v>
      </c>
      <c r="C26" s="374" t="s">
        <v>304</v>
      </c>
      <c r="D26" s="398"/>
      <c r="E26" s="332"/>
      <c r="F26" s="399">
        <f>(F41+F42+F44+F45+F48+F49+F50+F51+F52+F53+F43+F40+F39+F38+F37)/2</f>
        <v>0</v>
      </c>
      <c r="G26" s="399">
        <f t="shared" ref="G26:O26" si="14">(G41+G42+G44+G45+G46+G47+G48+G49+G50+G51+G52+G53+G43+G40+G39+G38+G37)/2</f>
        <v>0</v>
      </c>
      <c r="H26" s="399">
        <f>(H41+H42+H44+H45+H46+H47+H48+H49+H50+H51+H52+H53+H43+H40+H39+H38+H37)/3</f>
        <v>206.66666666666666</v>
      </c>
      <c r="I26" s="399">
        <f t="shared" si="14"/>
        <v>102</v>
      </c>
      <c r="J26" s="399">
        <f t="shared" si="14"/>
        <v>161</v>
      </c>
      <c r="K26" s="399">
        <f>(K41+K42+K44+K45+K46+K47+K48+K49+K50+K51+K52+K53+K43+K40+K39+K38+K37)/3</f>
        <v>159.33333333333334</v>
      </c>
      <c r="L26" s="399">
        <f t="shared" si="14"/>
        <v>71</v>
      </c>
      <c r="M26" s="399">
        <f t="shared" si="14"/>
        <v>102</v>
      </c>
      <c r="N26" s="399">
        <f>(N41+N42+N44+N45+N46+N47+N48+N49+N50+N51+N52+N53+N43+N40+N39+N38+N37)/4</f>
        <v>200</v>
      </c>
      <c r="O26" s="399">
        <f t="shared" si="14"/>
        <v>0</v>
      </c>
    </row>
    <row r="27" spans="2:15" ht="16.5" customHeight="1" x14ac:dyDescent="0.25">
      <c r="B27" s="384"/>
      <c r="C27" s="400"/>
      <c r="D27" s="385"/>
      <c r="E27" s="385"/>
      <c r="F27" s="386"/>
      <c r="G27" s="386"/>
      <c r="H27" s="386"/>
      <c r="I27" s="386"/>
      <c r="J27" s="386"/>
      <c r="K27" s="386"/>
      <c r="L27" s="386"/>
      <c r="M27" s="386"/>
      <c r="N27" s="386"/>
      <c r="O27" s="386"/>
    </row>
    <row r="28" spans="2:15" ht="16.5" customHeight="1" x14ac:dyDescent="0.25">
      <c r="B28" s="401" t="s">
        <v>372</v>
      </c>
      <c r="C28" s="400"/>
      <c r="D28" s="402"/>
      <c r="E28" s="402">
        <f>'БелАЗ_Б ТО'!E10</f>
        <v>65</v>
      </c>
      <c r="F28" s="386"/>
      <c r="G28" s="386"/>
      <c r="H28" s="386"/>
      <c r="I28" s="386"/>
      <c r="J28" s="386"/>
      <c r="K28" s="386"/>
      <c r="L28" s="386"/>
      <c r="M28" s="386"/>
      <c r="N28" s="386"/>
      <c r="O28" s="386"/>
    </row>
    <row r="29" spans="2:15" ht="41.95" customHeight="1" x14ac:dyDescent="0.25">
      <c r="B29" s="730" t="s">
        <v>361</v>
      </c>
      <c r="C29" s="731" t="s">
        <v>355</v>
      </c>
      <c r="D29" s="730" t="s">
        <v>392</v>
      </c>
      <c r="E29" s="732" t="s">
        <v>373</v>
      </c>
      <c r="F29" s="733" t="str">
        <f t="shared" ref="F29:O29" si="15">F16</f>
        <v>1 год</v>
      </c>
      <c r="G29" s="733" t="str">
        <f t="shared" si="15"/>
        <v>2 год</v>
      </c>
      <c r="H29" s="733" t="str">
        <f t="shared" si="15"/>
        <v>3 год</v>
      </c>
      <c r="I29" s="733" t="str">
        <f t="shared" si="15"/>
        <v>4 год</v>
      </c>
      <c r="J29" s="733" t="str">
        <f t="shared" si="15"/>
        <v>5 год</v>
      </c>
      <c r="K29" s="733" t="str">
        <f t="shared" si="15"/>
        <v>6 год</v>
      </c>
      <c r="L29" s="733" t="str">
        <f t="shared" si="15"/>
        <v>7 год</v>
      </c>
      <c r="M29" s="733" t="str">
        <f t="shared" si="15"/>
        <v>8 год</v>
      </c>
      <c r="N29" s="733" t="str">
        <f t="shared" si="15"/>
        <v>9 год</v>
      </c>
      <c r="O29" s="733" t="str">
        <f t="shared" si="15"/>
        <v>10 год</v>
      </c>
    </row>
    <row r="30" spans="2:15" ht="14.95" customHeight="1" x14ac:dyDescent="0.25">
      <c r="B30" s="246" t="s">
        <v>764</v>
      </c>
      <c r="C30" s="302" t="s">
        <v>375</v>
      </c>
      <c r="D30" s="247"/>
      <c r="E30" s="260"/>
      <c r="F30" s="391">
        <f t="shared" ref="F30:O30" si="16">SUM(F31:F53)</f>
        <v>270</v>
      </c>
      <c r="G30" s="391">
        <f t="shared" si="16"/>
        <v>682</v>
      </c>
      <c r="H30" s="391">
        <f t="shared" si="16"/>
        <v>1018</v>
      </c>
      <c r="I30" s="391">
        <f t="shared" si="16"/>
        <v>1254</v>
      </c>
      <c r="J30" s="391">
        <f t="shared" si="16"/>
        <v>900</v>
      </c>
      <c r="K30" s="391">
        <f t="shared" si="16"/>
        <v>1646</v>
      </c>
      <c r="L30" s="391">
        <f t="shared" si="16"/>
        <v>1290</v>
      </c>
      <c r="M30" s="391">
        <f t="shared" si="16"/>
        <v>1512</v>
      </c>
      <c r="N30" s="391">
        <f t="shared" si="16"/>
        <v>2238</v>
      </c>
      <c r="O30" s="391">
        <f t="shared" si="16"/>
        <v>2418</v>
      </c>
    </row>
    <row r="31" spans="2:15" ht="16.5" customHeight="1" x14ac:dyDescent="0.25">
      <c r="B31" s="734" t="s">
        <v>363</v>
      </c>
      <c r="C31" s="406"/>
      <c r="D31" s="406"/>
      <c r="E31" s="405">
        <f>$E$28</f>
        <v>65</v>
      </c>
      <c r="F31" s="406">
        <v>90</v>
      </c>
      <c r="G31" s="406">
        <v>144</v>
      </c>
      <c r="H31" s="406">
        <v>180</v>
      </c>
      <c r="I31" s="406">
        <v>270</v>
      </c>
      <c r="J31" s="406">
        <v>360</v>
      </c>
      <c r="K31" s="406">
        <v>450</v>
      </c>
      <c r="L31" s="406">
        <v>648</v>
      </c>
      <c r="M31" s="406">
        <v>810</v>
      </c>
      <c r="N31" s="406">
        <v>900</v>
      </c>
      <c r="O31" s="406">
        <v>2200</v>
      </c>
    </row>
    <row r="32" spans="2:15" ht="16.5" customHeight="1" x14ac:dyDescent="0.25">
      <c r="B32" s="734" t="s">
        <v>758</v>
      </c>
      <c r="C32" s="406">
        <v>38</v>
      </c>
      <c r="D32" s="406">
        <f t="shared" ref="D32:D52" si="17">VLOOKUP(B32,$B$58:$D$86,3,FALSE)</f>
        <v>10000</v>
      </c>
      <c r="E32" s="405">
        <f t="shared" ref="E32:E53" si="18">$E$28</f>
        <v>65</v>
      </c>
      <c r="F32" s="735">
        <v>0</v>
      </c>
      <c r="G32" s="735">
        <v>38</v>
      </c>
      <c r="H32" s="735">
        <v>38</v>
      </c>
      <c r="I32" s="735">
        <v>0</v>
      </c>
      <c r="J32" s="735">
        <v>38</v>
      </c>
      <c r="K32" s="735">
        <v>38</v>
      </c>
      <c r="L32" s="735">
        <v>0</v>
      </c>
      <c r="M32" s="735">
        <v>38</v>
      </c>
      <c r="N32" s="735">
        <v>38</v>
      </c>
      <c r="O32" s="735">
        <v>38</v>
      </c>
    </row>
    <row r="33" spans="2:15" ht="16.5" customHeight="1" x14ac:dyDescent="0.25">
      <c r="B33" s="497" t="s">
        <v>759</v>
      </c>
      <c r="C33" s="406">
        <v>180</v>
      </c>
      <c r="D33" s="406">
        <f t="shared" si="17"/>
        <v>6000</v>
      </c>
      <c r="E33" s="405">
        <f t="shared" si="18"/>
        <v>65</v>
      </c>
      <c r="F33" s="735">
        <v>180</v>
      </c>
      <c r="G33" s="735">
        <v>180</v>
      </c>
      <c r="H33" s="735">
        <v>180</v>
      </c>
      <c r="I33" s="735">
        <v>180</v>
      </c>
      <c r="J33" s="735">
        <v>180</v>
      </c>
      <c r="K33" s="735">
        <v>360</v>
      </c>
      <c r="L33" s="735">
        <v>180</v>
      </c>
      <c r="M33" s="735">
        <v>180</v>
      </c>
      <c r="N33" s="735">
        <v>180</v>
      </c>
      <c r="O33" s="735">
        <v>180</v>
      </c>
    </row>
    <row r="34" spans="2:15" ht="16.5" customHeight="1" x14ac:dyDescent="0.25">
      <c r="B34" s="497" t="s">
        <v>760</v>
      </c>
      <c r="C34" s="406">
        <v>320</v>
      </c>
      <c r="D34" s="406">
        <f t="shared" si="17"/>
        <v>12000</v>
      </c>
      <c r="E34" s="405">
        <f t="shared" si="18"/>
        <v>65</v>
      </c>
      <c r="F34" s="735">
        <v>0</v>
      </c>
      <c r="G34" s="735">
        <v>320</v>
      </c>
      <c r="H34" s="735">
        <v>0</v>
      </c>
      <c r="I34" s="735">
        <v>320</v>
      </c>
      <c r="J34" s="735">
        <v>0</v>
      </c>
      <c r="K34" s="735">
        <v>320</v>
      </c>
      <c r="L34" s="735">
        <v>320</v>
      </c>
      <c r="M34" s="735">
        <v>0</v>
      </c>
      <c r="N34" s="735">
        <v>320</v>
      </c>
      <c r="O34" s="735">
        <v>0</v>
      </c>
    </row>
    <row r="35" spans="2:15" ht="16.5" customHeight="1" x14ac:dyDescent="0.25">
      <c r="B35" s="497" t="s">
        <v>367</v>
      </c>
      <c r="C35" s="406">
        <v>280</v>
      </c>
      <c r="D35" s="406">
        <f t="shared" si="17"/>
        <v>25000</v>
      </c>
      <c r="E35" s="405">
        <f t="shared" si="18"/>
        <v>65</v>
      </c>
      <c r="F35" s="735">
        <v>0</v>
      </c>
      <c r="G35" s="735">
        <v>0</v>
      </c>
      <c r="H35" s="735">
        <v>0</v>
      </c>
      <c r="I35" s="735">
        <v>280</v>
      </c>
      <c r="J35" s="735">
        <v>0</v>
      </c>
      <c r="K35" s="735">
        <v>0</v>
      </c>
      <c r="L35" s="735">
        <v>0</v>
      </c>
      <c r="M35" s="735"/>
      <c r="N35" s="735">
        <v>0</v>
      </c>
      <c r="O35" s="735">
        <v>0</v>
      </c>
    </row>
    <row r="36" spans="2:15" ht="16.5" customHeight="1" x14ac:dyDescent="0.25">
      <c r="B36" s="497" t="s">
        <v>761</v>
      </c>
      <c r="C36" s="406">
        <v>280</v>
      </c>
      <c r="D36" s="406">
        <f t="shared" si="17"/>
        <v>50000</v>
      </c>
      <c r="E36" s="405">
        <f t="shared" si="18"/>
        <v>65</v>
      </c>
      <c r="F36" s="735">
        <v>0</v>
      </c>
      <c r="G36" s="735">
        <v>0</v>
      </c>
      <c r="H36" s="735">
        <v>0</v>
      </c>
      <c r="I36" s="735">
        <v>0</v>
      </c>
      <c r="J36" s="735">
        <v>0</v>
      </c>
      <c r="K36" s="735">
        <v>0</v>
      </c>
      <c r="L36" s="735">
        <v>0</v>
      </c>
      <c r="M36" s="735">
        <v>280</v>
      </c>
      <c r="N36" s="735">
        <v>0</v>
      </c>
      <c r="O36" s="735">
        <v>0</v>
      </c>
    </row>
    <row r="37" spans="2:15" ht="16.5" customHeight="1" x14ac:dyDescent="0.25">
      <c r="B37" s="736" t="s">
        <v>377</v>
      </c>
      <c r="C37" s="406">
        <f>96*2</f>
        <v>192</v>
      </c>
      <c r="D37" s="406">
        <f t="shared" si="17"/>
        <v>20000</v>
      </c>
      <c r="E37" s="405">
        <f t="shared" si="18"/>
        <v>65</v>
      </c>
      <c r="F37" s="735">
        <v>0</v>
      </c>
      <c r="G37" s="735">
        <v>0</v>
      </c>
      <c r="H37" s="735">
        <v>192</v>
      </c>
      <c r="I37" s="735">
        <v>0</v>
      </c>
      <c r="J37" s="735">
        <v>0</v>
      </c>
      <c r="K37" s="735">
        <v>192</v>
      </c>
      <c r="L37" s="735">
        <v>0</v>
      </c>
      <c r="M37" s="735">
        <v>0</v>
      </c>
      <c r="N37" s="735">
        <v>192</v>
      </c>
      <c r="O37" s="735">
        <v>0</v>
      </c>
    </row>
    <row r="38" spans="2:15" ht="16.5" customHeight="1" x14ac:dyDescent="0.25">
      <c r="B38" s="736" t="s">
        <v>765</v>
      </c>
      <c r="C38" s="406">
        <v>24</v>
      </c>
      <c r="D38" s="406">
        <f t="shared" si="17"/>
        <v>15000</v>
      </c>
      <c r="E38" s="405">
        <f t="shared" si="18"/>
        <v>65</v>
      </c>
      <c r="F38" s="735">
        <v>0</v>
      </c>
      <c r="G38" s="735">
        <v>0</v>
      </c>
      <c r="H38" s="735">
        <v>24</v>
      </c>
      <c r="I38" s="735">
        <v>0</v>
      </c>
      <c r="J38" s="735">
        <v>24</v>
      </c>
      <c r="K38" s="735">
        <v>0</v>
      </c>
      <c r="L38" s="735">
        <v>24</v>
      </c>
      <c r="M38" s="735">
        <v>0</v>
      </c>
      <c r="N38" s="735">
        <v>24</v>
      </c>
      <c r="O38" s="735">
        <v>0</v>
      </c>
    </row>
    <row r="39" spans="2:15" ht="16.5" customHeight="1" x14ac:dyDescent="0.25">
      <c r="B39" s="736" t="s">
        <v>766</v>
      </c>
      <c r="C39" s="406">
        <v>22</v>
      </c>
      <c r="D39" s="406">
        <f t="shared" si="17"/>
        <v>15000</v>
      </c>
      <c r="E39" s="405">
        <f t="shared" si="18"/>
        <v>65</v>
      </c>
      <c r="F39" s="735">
        <v>0</v>
      </c>
      <c r="G39" s="735">
        <v>0</v>
      </c>
      <c r="H39" s="735">
        <v>22</v>
      </c>
      <c r="I39" s="735">
        <v>0</v>
      </c>
      <c r="J39" s="735">
        <v>22</v>
      </c>
      <c r="K39" s="735">
        <v>0</v>
      </c>
      <c r="L39" s="735">
        <v>22</v>
      </c>
      <c r="M39" s="735">
        <v>0</v>
      </c>
      <c r="N39" s="735">
        <v>22</v>
      </c>
      <c r="O39" s="735">
        <v>0</v>
      </c>
    </row>
    <row r="40" spans="2:15" ht="16.5" customHeight="1" x14ac:dyDescent="0.25">
      <c r="B40" s="736" t="s">
        <v>379</v>
      </c>
      <c r="C40" s="406">
        <v>120</v>
      </c>
      <c r="D40" s="406">
        <f t="shared" si="17"/>
        <v>30000</v>
      </c>
      <c r="E40" s="405">
        <f t="shared" si="18"/>
        <v>65</v>
      </c>
      <c r="F40" s="735">
        <v>0</v>
      </c>
      <c r="G40" s="735">
        <v>0</v>
      </c>
      <c r="H40" s="735">
        <v>0</v>
      </c>
      <c r="I40" s="735">
        <v>0</v>
      </c>
      <c r="J40" s="735">
        <v>120</v>
      </c>
      <c r="K40" s="735">
        <v>0</v>
      </c>
      <c r="L40" s="735">
        <v>0</v>
      </c>
      <c r="M40" s="735">
        <v>0</v>
      </c>
      <c r="N40" s="735">
        <v>120</v>
      </c>
      <c r="O40" s="735">
        <v>0</v>
      </c>
    </row>
    <row r="41" spans="2:15" ht="16.5" customHeight="1" x14ac:dyDescent="0.25">
      <c r="B41" s="736" t="s">
        <v>380</v>
      </c>
      <c r="C41" s="406">
        <v>32</v>
      </c>
      <c r="D41" s="406">
        <f t="shared" si="17"/>
        <v>20000</v>
      </c>
      <c r="E41" s="405">
        <f t="shared" si="18"/>
        <v>65</v>
      </c>
      <c r="F41" s="735">
        <v>0</v>
      </c>
      <c r="G41" s="735">
        <v>0</v>
      </c>
      <c r="H41" s="735">
        <v>32</v>
      </c>
      <c r="I41" s="735">
        <v>0</v>
      </c>
      <c r="J41" s="735">
        <v>0</v>
      </c>
      <c r="K41" s="735">
        <v>32</v>
      </c>
      <c r="L41" s="735">
        <v>0</v>
      </c>
      <c r="M41" s="735">
        <v>0</v>
      </c>
      <c r="N41" s="735">
        <v>32</v>
      </c>
      <c r="O41" s="735">
        <v>0</v>
      </c>
    </row>
    <row r="42" spans="2:15" ht="16.5" customHeight="1" x14ac:dyDescent="0.25">
      <c r="B42" s="736" t="s">
        <v>381</v>
      </c>
      <c r="C42" s="406">
        <f>19*2</f>
        <v>38</v>
      </c>
      <c r="D42" s="406">
        <f t="shared" si="17"/>
        <v>20000</v>
      </c>
      <c r="E42" s="405">
        <f t="shared" si="18"/>
        <v>65</v>
      </c>
      <c r="F42" s="735">
        <v>0</v>
      </c>
      <c r="G42" s="735">
        <v>0</v>
      </c>
      <c r="H42" s="735">
        <v>38</v>
      </c>
      <c r="I42" s="735">
        <v>0</v>
      </c>
      <c r="J42" s="735">
        <v>0</v>
      </c>
      <c r="K42" s="735">
        <v>38</v>
      </c>
      <c r="L42" s="735">
        <v>0</v>
      </c>
      <c r="M42" s="735">
        <v>0</v>
      </c>
      <c r="N42" s="735">
        <v>38</v>
      </c>
      <c r="O42" s="735">
        <v>0</v>
      </c>
    </row>
    <row r="43" spans="2:15" ht="16.5" customHeight="1" x14ac:dyDescent="0.25">
      <c r="B43" s="736" t="s">
        <v>767</v>
      </c>
      <c r="C43" s="406">
        <f>78*2</f>
        <v>156</v>
      </c>
      <c r="D43" s="406">
        <f t="shared" si="17"/>
        <v>20000</v>
      </c>
      <c r="E43" s="405">
        <f t="shared" si="18"/>
        <v>65</v>
      </c>
      <c r="F43" s="735">
        <v>0</v>
      </c>
      <c r="G43" s="735">
        <v>0</v>
      </c>
      <c r="H43" s="735">
        <v>156</v>
      </c>
      <c r="I43" s="735">
        <v>0</v>
      </c>
      <c r="J43" s="735">
        <v>0</v>
      </c>
      <c r="K43" s="735">
        <v>156</v>
      </c>
      <c r="L43" s="735">
        <v>0</v>
      </c>
      <c r="M43" s="735">
        <v>0</v>
      </c>
      <c r="N43" s="735">
        <v>156</v>
      </c>
      <c r="O43" s="735">
        <v>0</v>
      </c>
    </row>
    <row r="44" spans="2:15" ht="16.5" customHeight="1" x14ac:dyDescent="0.25">
      <c r="B44" s="736" t="s">
        <v>383</v>
      </c>
      <c r="C44" s="406">
        <f>8*12</f>
        <v>96</v>
      </c>
      <c r="D44" s="406">
        <f t="shared" si="17"/>
        <v>15000</v>
      </c>
      <c r="E44" s="405">
        <f t="shared" si="18"/>
        <v>65</v>
      </c>
      <c r="F44" s="735">
        <v>0</v>
      </c>
      <c r="G44" s="735">
        <v>0</v>
      </c>
      <c r="H44" s="735">
        <v>96</v>
      </c>
      <c r="I44" s="735">
        <v>0</v>
      </c>
      <c r="J44" s="735">
        <v>96</v>
      </c>
      <c r="K44" s="735">
        <v>0</v>
      </c>
      <c r="L44" s="735">
        <v>96</v>
      </c>
      <c r="M44" s="735">
        <v>0</v>
      </c>
      <c r="N44" s="735">
        <v>96</v>
      </c>
      <c r="O44" s="735">
        <v>0</v>
      </c>
    </row>
    <row r="45" spans="2:15" ht="16.5" customHeight="1" x14ac:dyDescent="0.25">
      <c r="B45" s="736" t="s">
        <v>384</v>
      </c>
      <c r="C45" s="406">
        <v>18</v>
      </c>
      <c r="D45" s="406">
        <f t="shared" si="17"/>
        <v>20000</v>
      </c>
      <c r="E45" s="405">
        <f t="shared" si="18"/>
        <v>65</v>
      </c>
      <c r="F45" s="735">
        <v>0</v>
      </c>
      <c r="G45" s="735">
        <v>0</v>
      </c>
      <c r="H45" s="735">
        <v>18</v>
      </c>
      <c r="I45" s="735">
        <v>0</v>
      </c>
      <c r="J45" s="735">
        <v>0</v>
      </c>
      <c r="K45" s="735">
        <v>18</v>
      </c>
      <c r="L45" s="735">
        <v>0</v>
      </c>
      <c r="M45" s="735">
        <v>0</v>
      </c>
      <c r="N45" s="735">
        <v>18</v>
      </c>
      <c r="O45" s="735">
        <v>0</v>
      </c>
    </row>
    <row r="46" spans="2:15" ht="16.5" customHeight="1" x14ac:dyDescent="0.25">
      <c r="B46" s="497" t="s">
        <v>762</v>
      </c>
      <c r="C46" s="406">
        <v>12</v>
      </c>
      <c r="D46" s="406">
        <f t="shared" si="17"/>
        <v>25000</v>
      </c>
      <c r="E46" s="405">
        <f t="shared" si="18"/>
        <v>65</v>
      </c>
      <c r="F46" s="735">
        <v>0</v>
      </c>
      <c r="G46" s="735">
        <v>0</v>
      </c>
      <c r="H46" s="735">
        <v>0</v>
      </c>
      <c r="I46" s="735">
        <v>12</v>
      </c>
      <c r="J46" s="735">
        <v>0</v>
      </c>
      <c r="K46" s="735">
        <v>0</v>
      </c>
      <c r="L46" s="735">
        <v>0</v>
      </c>
      <c r="M46" s="735">
        <v>12</v>
      </c>
      <c r="N46" s="735">
        <v>0</v>
      </c>
      <c r="O46" s="735">
        <v>0</v>
      </c>
    </row>
    <row r="47" spans="2:15" ht="16.5" customHeight="1" x14ac:dyDescent="0.25">
      <c r="B47" s="497" t="s">
        <v>763</v>
      </c>
      <c r="C47" s="406">
        <v>24</v>
      </c>
      <c r="D47" s="406">
        <f t="shared" si="17"/>
        <v>20000</v>
      </c>
      <c r="E47" s="405">
        <f t="shared" si="18"/>
        <v>65</v>
      </c>
      <c r="F47" s="735">
        <v>0</v>
      </c>
      <c r="G47" s="735">
        <v>0</v>
      </c>
      <c r="H47" s="735">
        <v>24</v>
      </c>
      <c r="I47" s="735">
        <v>0</v>
      </c>
      <c r="J47" s="735">
        <v>0</v>
      </c>
      <c r="K47" s="735">
        <v>24</v>
      </c>
      <c r="L47" s="735">
        <v>0</v>
      </c>
      <c r="M47" s="735">
        <v>0</v>
      </c>
      <c r="N47" s="735">
        <v>24</v>
      </c>
      <c r="O47" s="735">
        <v>0</v>
      </c>
    </row>
    <row r="48" spans="2:15" ht="16.5" customHeight="1" x14ac:dyDescent="0.25">
      <c r="B48" s="734" t="s">
        <v>385</v>
      </c>
      <c r="C48" s="406">
        <v>8</v>
      </c>
      <c r="D48" s="406">
        <f t="shared" si="17"/>
        <v>30000</v>
      </c>
      <c r="E48" s="405">
        <f t="shared" si="18"/>
        <v>65</v>
      </c>
      <c r="F48" s="735">
        <v>0</v>
      </c>
      <c r="G48" s="735">
        <v>0</v>
      </c>
      <c r="H48" s="735">
        <v>0</v>
      </c>
      <c r="I48" s="735">
        <v>0</v>
      </c>
      <c r="J48" s="735">
        <v>8</v>
      </c>
      <c r="K48" s="735">
        <v>0</v>
      </c>
      <c r="L48" s="735">
        <v>0</v>
      </c>
      <c r="M48" s="735">
        <v>0</v>
      </c>
      <c r="N48" s="735">
        <v>8</v>
      </c>
      <c r="O48" s="735">
        <v>0</v>
      </c>
    </row>
    <row r="49" spans="2:15" ht="16.5" customHeight="1" x14ac:dyDescent="0.25">
      <c r="B49" s="736" t="s">
        <v>386</v>
      </c>
      <c r="C49" s="406">
        <v>4</v>
      </c>
      <c r="D49" s="406">
        <f t="shared" si="17"/>
        <v>30000</v>
      </c>
      <c r="E49" s="405">
        <f t="shared" si="18"/>
        <v>65</v>
      </c>
      <c r="F49" s="735">
        <v>0</v>
      </c>
      <c r="G49" s="735">
        <v>0</v>
      </c>
      <c r="H49" s="735">
        <v>0</v>
      </c>
      <c r="I49" s="735">
        <v>0</v>
      </c>
      <c r="J49" s="735">
        <v>4</v>
      </c>
      <c r="K49" s="735">
        <v>0</v>
      </c>
      <c r="L49" s="735">
        <v>0</v>
      </c>
      <c r="M49" s="735">
        <v>0</v>
      </c>
      <c r="N49" s="735">
        <v>4</v>
      </c>
      <c r="O49" s="735">
        <v>0</v>
      </c>
    </row>
    <row r="50" spans="2:15" ht="16.5" customHeight="1" x14ac:dyDescent="0.25">
      <c r="B50" s="734" t="s">
        <v>387</v>
      </c>
      <c r="C50" s="406">
        <v>18</v>
      </c>
      <c r="D50" s="406">
        <f t="shared" si="17"/>
        <v>20000</v>
      </c>
      <c r="E50" s="405">
        <f t="shared" si="18"/>
        <v>65</v>
      </c>
      <c r="F50" s="735">
        <v>0</v>
      </c>
      <c r="G50" s="735">
        <v>0</v>
      </c>
      <c r="H50" s="735">
        <v>18</v>
      </c>
      <c r="I50" s="735">
        <v>0</v>
      </c>
      <c r="J50" s="735">
        <v>0</v>
      </c>
      <c r="K50" s="735">
        <v>18</v>
      </c>
      <c r="L50" s="735">
        <v>0</v>
      </c>
      <c r="M50" s="735">
        <v>0</v>
      </c>
      <c r="N50" s="735">
        <v>18</v>
      </c>
      <c r="O50" s="735">
        <v>0</v>
      </c>
    </row>
    <row r="51" spans="2:15" ht="16.5" customHeight="1" x14ac:dyDescent="0.25">
      <c r="B51" s="736" t="s">
        <v>768</v>
      </c>
      <c r="C51" s="406">
        <f>24*6</f>
        <v>144</v>
      </c>
      <c r="D51" s="406">
        <f t="shared" si="17"/>
        <v>25000</v>
      </c>
      <c r="E51" s="405">
        <f t="shared" si="18"/>
        <v>65</v>
      </c>
      <c r="F51" s="735">
        <v>0</v>
      </c>
      <c r="G51" s="735">
        <v>0</v>
      </c>
      <c r="H51" s="735">
        <v>0</v>
      </c>
      <c r="I51" s="735">
        <v>144</v>
      </c>
      <c r="J51" s="735">
        <v>0</v>
      </c>
      <c r="K51" s="735">
        <v>0</v>
      </c>
      <c r="L51" s="735">
        <v>0</v>
      </c>
      <c r="M51" s="735">
        <v>144</v>
      </c>
      <c r="N51" s="735">
        <v>0</v>
      </c>
      <c r="O51" s="735">
        <v>0</v>
      </c>
    </row>
    <row r="52" spans="2:15" ht="16.5" customHeight="1" x14ac:dyDescent="0.25">
      <c r="B52" s="497" t="s">
        <v>370</v>
      </c>
      <c r="C52" s="406">
        <v>48</v>
      </c>
      <c r="D52" s="406">
        <f t="shared" si="17"/>
        <v>30000</v>
      </c>
      <c r="E52" s="405">
        <f t="shared" si="18"/>
        <v>65</v>
      </c>
      <c r="F52" s="735">
        <v>0</v>
      </c>
      <c r="G52" s="735">
        <v>0</v>
      </c>
      <c r="H52" s="735">
        <v>0</v>
      </c>
      <c r="I52" s="735">
        <v>0</v>
      </c>
      <c r="J52" s="735">
        <v>48</v>
      </c>
      <c r="K52" s="735">
        <v>0</v>
      </c>
      <c r="L52" s="735">
        <v>0</v>
      </c>
      <c r="M52" s="735">
        <v>0</v>
      </c>
      <c r="N52" s="735">
        <v>48</v>
      </c>
      <c r="O52" s="735">
        <v>0</v>
      </c>
    </row>
    <row r="53" spans="2:15" ht="16.5" customHeight="1" x14ac:dyDescent="0.25">
      <c r="B53" s="736" t="s">
        <v>388</v>
      </c>
      <c r="C53" s="406">
        <f>24*2</f>
        <v>48</v>
      </c>
      <c r="D53" s="406">
        <v>25000</v>
      </c>
      <c r="E53" s="405">
        <f t="shared" si="18"/>
        <v>65</v>
      </c>
      <c r="F53" s="735">
        <v>0</v>
      </c>
      <c r="G53" s="735">
        <v>0</v>
      </c>
      <c r="H53" s="735">
        <v>0</v>
      </c>
      <c r="I53" s="735">
        <v>48</v>
      </c>
      <c r="J53" s="735">
        <v>0</v>
      </c>
      <c r="K53" s="735">
        <v>0</v>
      </c>
      <c r="L53" s="735">
        <v>0</v>
      </c>
      <c r="M53" s="735">
        <v>48</v>
      </c>
      <c r="N53" s="735">
        <v>0</v>
      </c>
      <c r="O53" s="735">
        <v>0</v>
      </c>
    </row>
    <row r="54" spans="2:15" x14ac:dyDescent="0.25">
      <c r="B54" s="384" t="s">
        <v>769</v>
      </c>
      <c r="E54" s="412"/>
      <c r="F54" s="303"/>
      <c r="G54" s="303"/>
      <c r="H54" s="303"/>
      <c r="I54" s="303"/>
      <c r="J54" s="303"/>
      <c r="K54" s="303"/>
      <c r="L54" s="303"/>
      <c r="M54" s="303"/>
      <c r="N54" s="303"/>
      <c r="O54" s="303"/>
    </row>
    <row r="55" spans="2:15" ht="14.95" thickBot="1" x14ac:dyDescent="0.3">
      <c r="B55" s="387" t="s">
        <v>389</v>
      </c>
      <c r="F55" s="303"/>
    </row>
    <row r="56" spans="2:15" ht="43.5" customHeight="1" x14ac:dyDescent="0.25">
      <c r="B56" s="693" t="s">
        <v>390</v>
      </c>
      <c r="C56" s="694" t="s">
        <v>391</v>
      </c>
      <c r="D56" s="694" t="s">
        <v>392</v>
      </c>
      <c r="E56" s="694" t="s">
        <v>393</v>
      </c>
      <c r="F56" s="697" t="s">
        <v>292</v>
      </c>
      <c r="G56" s="697" t="s">
        <v>292</v>
      </c>
      <c r="H56" s="697" t="s">
        <v>292</v>
      </c>
      <c r="I56" s="697" t="s">
        <v>292</v>
      </c>
      <c r="J56" s="697" t="s">
        <v>292</v>
      </c>
      <c r="K56" s="697" t="s">
        <v>292</v>
      </c>
      <c r="L56" s="697" t="s">
        <v>292</v>
      </c>
      <c r="M56" s="697" t="s">
        <v>292</v>
      </c>
      <c r="N56" s="697" t="s">
        <v>292</v>
      </c>
      <c r="O56" s="697" t="s">
        <v>292</v>
      </c>
    </row>
    <row r="57" spans="2:15" ht="28.55" customHeight="1" x14ac:dyDescent="0.25">
      <c r="B57" s="379" t="s">
        <v>394</v>
      </c>
      <c r="C57" s="247"/>
      <c r="D57" s="247"/>
      <c r="E57" s="247"/>
      <c r="F57" s="346">
        <f t="shared" ref="F57:O57" si="19">SUM(F58:F61)</f>
        <v>15011.22</v>
      </c>
      <c r="G57" s="346">
        <f t="shared" si="19"/>
        <v>77064.600000000006</v>
      </c>
      <c r="H57" s="346">
        <f t="shared" si="19"/>
        <v>50720.67</v>
      </c>
      <c r="I57" s="346">
        <f t="shared" si="19"/>
        <v>89861</v>
      </c>
      <c r="J57" s="346">
        <f t="shared" si="19"/>
        <v>60140.95</v>
      </c>
      <c r="K57" s="346">
        <f t="shared" si="19"/>
        <v>102873.7</v>
      </c>
      <c r="L57" s="346">
        <f t="shared" si="19"/>
        <v>80547.399999999994</v>
      </c>
      <c r="M57" s="346">
        <f t="shared" si="19"/>
        <v>64172.23</v>
      </c>
      <c r="N57" s="346">
        <f t="shared" si="19"/>
        <v>74322.850000000006</v>
      </c>
      <c r="O57" s="346">
        <f t="shared" si="19"/>
        <v>90365.774999999994</v>
      </c>
    </row>
    <row r="58" spans="2:15" x14ac:dyDescent="0.25">
      <c r="B58" s="392" t="s">
        <v>363</v>
      </c>
      <c r="C58" s="354"/>
      <c r="D58" s="406"/>
      <c r="E58" s="258">
        <v>1</v>
      </c>
      <c r="F58" s="406">
        <v>437.21999999999997</v>
      </c>
      <c r="G58" s="406">
        <v>2244.6</v>
      </c>
      <c r="H58" s="406">
        <v>5531.67</v>
      </c>
      <c r="I58" s="406">
        <v>15041</v>
      </c>
      <c r="J58" s="406">
        <v>14951.95</v>
      </c>
      <c r="K58" s="406">
        <v>13479.7</v>
      </c>
      <c r="L58" s="406">
        <v>5727.4000000000005</v>
      </c>
      <c r="M58" s="406">
        <v>18983.230000000003</v>
      </c>
      <c r="N58" s="406">
        <v>30117.850000000002</v>
      </c>
      <c r="O58" s="406">
        <v>45176.775000000001</v>
      </c>
    </row>
    <row r="59" spans="2:15" x14ac:dyDescent="0.25">
      <c r="B59" s="392" t="s">
        <v>758</v>
      </c>
      <c r="C59" s="354">
        <v>125000</v>
      </c>
      <c r="D59" s="406">
        <v>10000</v>
      </c>
      <c r="E59" s="258">
        <v>1</v>
      </c>
      <c r="F59" s="406">
        <v>0</v>
      </c>
      <c r="G59" s="406">
        <v>30615</v>
      </c>
      <c r="H59" s="406">
        <v>30615</v>
      </c>
      <c r="I59" s="406">
        <v>30615</v>
      </c>
      <c r="J59" s="406">
        <v>30615</v>
      </c>
      <c r="K59" s="406">
        <v>30615</v>
      </c>
      <c r="L59" s="406">
        <v>30615</v>
      </c>
      <c r="M59" s="406">
        <v>30615</v>
      </c>
      <c r="N59" s="406">
        <v>0</v>
      </c>
      <c r="O59" s="406">
        <v>30615</v>
      </c>
    </row>
    <row r="60" spans="2:15" x14ac:dyDescent="0.25">
      <c r="B60" s="396" t="s">
        <v>759</v>
      </c>
      <c r="C60" s="354">
        <v>22880.399999999998</v>
      </c>
      <c r="D60" s="406">
        <v>6000</v>
      </c>
      <c r="E60" s="258">
        <v>1</v>
      </c>
      <c r="F60" s="406">
        <v>14574</v>
      </c>
      <c r="G60" s="406">
        <v>14574</v>
      </c>
      <c r="H60" s="406">
        <v>14574</v>
      </c>
      <c r="I60" s="406">
        <v>14574</v>
      </c>
      <c r="J60" s="406">
        <v>14574</v>
      </c>
      <c r="K60" s="406">
        <v>29148</v>
      </c>
      <c r="L60" s="406">
        <v>14574</v>
      </c>
      <c r="M60" s="406">
        <v>14574</v>
      </c>
      <c r="N60" s="406">
        <v>14574</v>
      </c>
      <c r="O60" s="406">
        <v>14574</v>
      </c>
    </row>
    <row r="61" spans="2:15" x14ac:dyDescent="0.25">
      <c r="B61" s="396" t="s">
        <v>760</v>
      </c>
      <c r="C61" s="354">
        <v>38996.300000000003</v>
      </c>
      <c r="D61" s="406">
        <v>12000</v>
      </c>
      <c r="E61" s="258">
        <v>1</v>
      </c>
      <c r="F61" s="406">
        <v>0</v>
      </c>
      <c r="G61" s="406">
        <v>29631</v>
      </c>
      <c r="H61" s="406">
        <v>0</v>
      </c>
      <c r="I61" s="406">
        <v>29631</v>
      </c>
      <c r="J61" s="406">
        <v>0</v>
      </c>
      <c r="K61" s="406">
        <v>29631</v>
      </c>
      <c r="L61" s="406">
        <v>29631</v>
      </c>
      <c r="M61" s="406">
        <v>0</v>
      </c>
      <c r="N61" s="406">
        <v>29631</v>
      </c>
      <c r="O61" s="406">
        <v>0</v>
      </c>
    </row>
    <row r="62" spans="2:15" ht="47.25" customHeight="1" x14ac:dyDescent="0.25">
      <c r="B62" s="379" t="s">
        <v>284</v>
      </c>
      <c r="C62" s="247" t="s">
        <v>770</v>
      </c>
      <c r="D62" s="247" t="s">
        <v>392</v>
      </c>
      <c r="E62" s="247" t="s">
        <v>393</v>
      </c>
      <c r="F62" s="346">
        <f t="shared" ref="F62:O62" si="20">SUM(F63:F86)</f>
        <v>0</v>
      </c>
      <c r="G62" s="346">
        <f t="shared" si="20"/>
        <v>0</v>
      </c>
      <c r="H62" s="346">
        <f t="shared" si="20"/>
        <v>410928.20117999997</v>
      </c>
      <c r="I62" s="346">
        <f t="shared" si="20"/>
        <v>652531.80929999996</v>
      </c>
      <c r="J62" s="346">
        <f t="shared" si="20"/>
        <v>158405.00970000002</v>
      </c>
      <c r="K62" s="346">
        <f t="shared" si="20"/>
        <v>339483.20237999997</v>
      </c>
      <c r="L62" s="346">
        <f t="shared" si="20"/>
        <v>71444.998800000001</v>
      </c>
      <c r="M62" s="346">
        <f t="shared" si="20"/>
        <v>721657.00047647057</v>
      </c>
      <c r="N62" s="346">
        <f t="shared" si="20"/>
        <v>497888.21208000003</v>
      </c>
      <c r="O62" s="346">
        <f t="shared" si="20"/>
        <v>0</v>
      </c>
    </row>
    <row r="63" spans="2:15" x14ac:dyDescent="0.25">
      <c r="B63" s="364" t="s">
        <v>395</v>
      </c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</row>
    <row r="64" spans="2:15" x14ac:dyDescent="0.25">
      <c r="B64" s="396" t="s">
        <v>367</v>
      </c>
      <c r="C64" s="354">
        <v>385875</v>
      </c>
      <c r="D64" s="269">
        <v>25000</v>
      </c>
      <c r="E64" s="482">
        <v>1</v>
      </c>
      <c r="F64" s="737">
        <v>0</v>
      </c>
      <c r="G64" s="737">
        <v>0</v>
      </c>
      <c r="H64" s="737">
        <v>0</v>
      </c>
      <c r="I64" s="737">
        <v>385875</v>
      </c>
      <c r="J64" s="737">
        <v>0</v>
      </c>
      <c r="K64" s="737">
        <v>0</v>
      </c>
      <c r="L64" s="737">
        <v>0</v>
      </c>
      <c r="M64" s="737"/>
      <c r="N64" s="737">
        <v>0</v>
      </c>
      <c r="O64" s="737">
        <v>0</v>
      </c>
    </row>
    <row r="65" spans="2:15" x14ac:dyDescent="0.25">
      <c r="B65" s="396" t="s">
        <v>761</v>
      </c>
      <c r="C65" s="354">
        <v>455000.19117647066</v>
      </c>
      <c r="D65" s="269">
        <v>50000</v>
      </c>
      <c r="E65" s="482">
        <v>1</v>
      </c>
      <c r="F65" s="737">
        <v>0</v>
      </c>
      <c r="G65" s="737">
        <v>0</v>
      </c>
      <c r="H65" s="737">
        <v>0</v>
      </c>
      <c r="I65" s="737"/>
      <c r="J65" s="737">
        <v>0</v>
      </c>
      <c r="K65" s="737">
        <v>0</v>
      </c>
      <c r="L65" s="737">
        <v>0</v>
      </c>
      <c r="M65" s="737">
        <v>455000.19117647066</v>
      </c>
      <c r="N65" s="737">
        <v>0</v>
      </c>
      <c r="O65" s="737">
        <v>0</v>
      </c>
    </row>
    <row r="66" spans="2:15" x14ac:dyDescent="0.25">
      <c r="B66" s="417" t="s">
        <v>377</v>
      </c>
      <c r="C66" s="354">
        <v>84201.342749999996</v>
      </c>
      <c r="D66" s="269">
        <v>20000</v>
      </c>
      <c r="E66" s="268">
        <v>2</v>
      </c>
      <c r="F66" s="737">
        <v>0</v>
      </c>
      <c r="G66" s="737">
        <v>0</v>
      </c>
      <c r="H66" s="737">
        <v>168402.68549999999</v>
      </c>
      <c r="I66" s="737">
        <v>0</v>
      </c>
      <c r="J66" s="737">
        <v>0</v>
      </c>
      <c r="K66" s="737">
        <v>168402.68549999999</v>
      </c>
      <c r="L66" s="737">
        <v>0</v>
      </c>
      <c r="M66" s="737">
        <v>0</v>
      </c>
      <c r="N66" s="737">
        <v>168402.68549999999</v>
      </c>
      <c r="O66" s="737">
        <v>0</v>
      </c>
    </row>
    <row r="67" spans="2:15" x14ac:dyDescent="0.25">
      <c r="B67" s="417" t="s">
        <v>765</v>
      </c>
      <c r="C67" s="354">
        <v>14344.848</v>
      </c>
      <c r="D67" s="269">
        <v>15000</v>
      </c>
      <c r="E67" s="268">
        <v>2</v>
      </c>
      <c r="F67" s="737">
        <v>0</v>
      </c>
      <c r="G67" s="737">
        <v>0</v>
      </c>
      <c r="H67" s="737">
        <v>28689.696</v>
      </c>
      <c r="I67" s="737">
        <v>0</v>
      </c>
      <c r="J67" s="737">
        <v>28689.696</v>
      </c>
      <c r="K67" s="737">
        <v>0</v>
      </c>
      <c r="L67" s="737">
        <v>28689.696</v>
      </c>
      <c r="M67" s="737">
        <v>0</v>
      </c>
      <c r="N67" s="737">
        <v>28689.696</v>
      </c>
      <c r="O67" s="737">
        <v>0</v>
      </c>
    </row>
    <row r="68" spans="2:15" x14ac:dyDescent="0.25">
      <c r="B68" s="417" t="s">
        <v>766</v>
      </c>
      <c r="C68" s="354">
        <v>14344.848</v>
      </c>
      <c r="D68" s="269">
        <v>15000</v>
      </c>
      <c r="E68" s="268">
        <v>2</v>
      </c>
      <c r="F68" s="737">
        <v>0</v>
      </c>
      <c r="G68" s="737">
        <v>0</v>
      </c>
      <c r="H68" s="737">
        <v>28689.696</v>
      </c>
      <c r="I68" s="737">
        <v>0</v>
      </c>
      <c r="J68" s="737">
        <v>28689.696</v>
      </c>
      <c r="K68" s="737">
        <v>0</v>
      </c>
      <c r="L68" s="737">
        <v>28689.696</v>
      </c>
      <c r="M68" s="737">
        <v>0</v>
      </c>
      <c r="N68" s="737">
        <v>28689.696</v>
      </c>
      <c r="O68" s="737">
        <v>0</v>
      </c>
    </row>
    <row r="69" spans="2:15" x14ac:dyDescent="0.25">
      <c r="B69" s="417" t="s">
        <v>379</v>
      </c>
      <c r="C69" s="354">
        <v>38575.372499999998</v>
      </c>
      <c r="D69" s="269">
        <v>30000</v>
      </c>
      <c r="E69" s="268">
        <v>1</v>
      </c>
      <c r="F69" s="737">
        <v>0</v>
      </c>
      <c r="G69" s="737">
        <v>0</v>
      </c>
      <c r="H69" s="737">
        <v>0</v>
      </c>
      <c r="I69" s="737">
        <v>0</v>
      </c>
      <c r="J69" s="737">
        <v>38575.372499999998</v>
      </c>
      <c r="K69" s="737">
        <v>0</v>
      </c>
      <c r="L69" s="737">
        <v>0</v>
      </c>
      <c r="M69" s="737">
        <v>0</v>
      </c>
      <c r="N69" s="737">
        <v>38575.372499999998</v>
      </c>
      <c r="O69" s="737">
        <v>0</v>
      </c>
    </row>
    <row r="70" spans="2:15" x14ac:dyDescent="0.25">
      <c r="B70" s="417" t="s">
        <v>380</v>
      </c>
      <c r="C70" s="354">
        <v>3901.1852249999997</v>
      </c>
      <c r="D70" s="269">
        <v>20000</v>
      </c>
      <c r="E70" s="268">
        <v>2</v>
      </c>
      <c r="F70" s="737">
        <v>0</v>
      </c>
      <c r="G70" s="737">
        <v>0</v>
      </c>
      <c r="H70" s="737">
        <v>7802.3704499999994</v>
      </c>
      <c r="I70" s="737">
        <v>0</v>
      </c>
      <c r="J70" s="737">
        <v>0</v>
      </c>
      <c r="K70" s="737">
        <v>7802.3704499999994</v>
      </c>
      <c r="L70" s="737">
        <v>0</v>
      </c>
      <c r="M70" s="737">
        <v>0</v>
      </c>
      <c r="N70" s="737">
        <v>7802.3704499999994</v>
      </c>
      <c r="O70" s="737">
        <v>0</v>
      </c>
    </row>
    <row r="71" spans="2:15" x14ac:dyDescent="0.25">
      <c r="B71" s="417" t="s">
        <v>381</v>
      </c>
      <c r="C71" s="354">
        <v>11351.527425</v>
      </c>
      <c r="D71" s="269">
        <v>20000</v>
      </c>
      <c r="E71" s="268">
        <v>2</v>
      </c>
      <c r="F71" s="737">
        <v>0</v>
      </c>
      <c r="G71" s="737">
        <v>0</v>
      </c>
      <c r="H71" s="737">
        <v>22703.05485</v>
      </c>
      <c r="I71" s="737">
        <v>0</v>
      </c>
      <c r="J71" s="737">
        <v>0</v>
      </c>
      <c r="K71" s="737">
        <v>22703.05485</v>
      </c>
      <c r="L71" s="737">
        <v>0</v>
      </c>
      <c r="M71" s="737">
        <v>0</v>
      </c>
      <c r="N71" s="737">
        <v>22703.05485</v>
      </c>
      <c r="O71" s="737">
        <v>0</v>
      </c>
    </row>
    <row r="72" spans="2:15" x14ac:dyDescent="0.25">
      <c r="B72" s="417" t="s">
        <v>767</v>
      </c>
      <c r="C72" s="354">
        <v>38885.32935</v>
      </c>
      <c r="D72" s="269">
        <v>20000</v>
      </c>
      <c r="E72" s="268">
        <v>2</v>
      </c>
      <c r="F72" s="737">
        <v>0</v>
      </c>
      <c r="G72" s="737">
        <v>0</v>
      </c>
      <c r="H72" s="737">
        <v>77770.6587</v>
      </c>
      <c r="I72" s="737">
        <v>0</v>
      </c>
      <c r="J72" s="737">
        <v>0</v>
      </c>
      <c r="K72" s="737">
        <v>77770.6587</v>
      </c>
      <c r="L72" s="737">
        <v>0</v>
      </c>
      <c r="M72" s="737">
        <v>0</v>
      </c>
      <c r="N72" s="737">
        <v>77770.6587</v>
      </c>
      <c r="O72" s="737">
        <v>0</v>
      </c>
    </row>
    <row r="73" spans="2:15" x14ac:dyDescent="0.25">
      <c r="B73" s="417" t="s">
        <v>383</v>
      </c>
      <c r="C73" s="354">
        <v>1172.1339000000003</v>
      </c>
      <c r="D73" s="269">
        <v>15000</v>
      </c>
      <c r="E73" s="268">
        <v>12</v>
      </c>
      <c r="F73" s="737">
        <v>0</v>
      </c>
      <c r="G73" s="737">
        <v>0</v>
      </c>
      <c r="H73" s="737">
        <v>14065.606800000003</v>
      </c>
      <c r="I73" s="737">
        <v>0</v>
      </c>
      <c r="J73" s="737">
        <v>14065.606800000003</v>
      </c>
      <c r="K73" s="737">
        <v>0</v>
      </c>
      <c r="L73" s="737">
        <v>14065.606800000003</v>
      </c>
      <c r="M73" s="737">
        <v>0</v>
      </c>
      <c r="N73" s="737">
        <v>14065.606800000003</v>
      </c>
      <c r="O73" s="737">
        <v>0</v>
      </c>
    </row>
    <row r="74" spans="2:15" x14ac:dyDescent="0.25">
      <c r="B74" s="417" t="s">
        <v>384</v>
      </c>
      <c r="C74" s="354">
        <v>2400.8745599999997</v>
      </c>
      <c r="D74" s="269">
        <v>20000</v>
      </c>
      <c r="E74" s="268">
        <v>3</v>
      </c>
      <c r="F74" s="737">
        <v>0</v>
      </c>
      <c r="G74" s="737">
        <v>0</v>
      </c>
      <c r="H74" s="737">
        <v>7202.6236799999988</v>
      </c>
      <c r="I74" s="737">
        <v>0</v>
      </c>
      <c r="J74" s="737">
        <v>0</v>
      </c>
      <c r="K74" s="737">
        <v>7202.6236799999988</v>
      </c>
      <c r="L74" s="737">
        <v>0</v>
      </c>
      <c r="M74" s="737">
        <v>0</v>
      </c>
      <c r="N74" s="737">
        <v>7202.6236799999988</v>
      </c>
      <c r="O74" s="737">
        <v>0</v>
      </c>
    </row>
    <row r="75" spans="2:15" x14ac:dyDescent="0.25">
      <c r="B75" s="364" t="s">
        <v>396</v>
      </c>
      <c r="C75" s="348"/>
      <c r="D75" s="292"/>
      <c r="E75" s="370"/>
      <c r="F75" s="738"/>
      <c r="G75" s="738"/>
      <c r="H75" s="738"/>
      <c r="I75" s="738"/>
      <c r="J75" s="738"/>
      <c r="K75" s="738"/>
      <c r="L75" s="738"/>
      <c r="M75" s="738"/>
      <c r="N75" s="738"/>
      <c r="O75" s="738"/>
    </row>
    <row r="76" spans="2:15" x14ac:dyDescent="0.25">
      <c r="B76" s="396" t="s">
        <v>762</v>
      </c>
      <c r="C76" s="354">
        <v>22050</v>
      </c>
      <c r="D76" s="269">
        <v>25000</v>
      </c>
      <c r="E76" s="268">
        <v>1</v>
      </c>
      <c r="F76" s="737">
        <v>0</v>
      </c>
      <c r="G76" s="737">
        <v>0</v>
      </c>
      <c r="H76" s="737">
        <v>0</v>
      </c>
      <c r="I76" s="737">
        <v>22050</v>
      </c>
      <c r="J76" s="737">
        <v>0</v>
      </c>
      <c r="K76" s="737">
        <v>0</v>
      </c>
      <c r="L76" s="737">
        <v>0</v>
      </c>
      <c r="M76" s="737">
        <v>22050</v>
      </c>
      <c r="N76" s="737">
        <v>0</v>
      </c>
      <c r="O76" s="737">
        <v>0</v>
      </c>
    </row>
    <row r="77" spans="2:15" x14ac:dyDescent="0.25">
      <c r="B77" s="396" t="s">
        <v>763</v>
      </c>
      <c r="C77" s="354">
        <v>24255</v>
      </c>
      <c r="D77" s="269">
        <v>20000</v>
      </c>
      <c r="E77" s="268">
        <v>2</v>
      </c>
      <c r="F77" s="737">
        <v>0</v>
      </c>
      <c r="G77" s="737">
        <v>0</v>
      </c>
      <c r="H77" s="737">
        <v>48510</v>
      </c>
      <c r="I77" s="737">
        <v>0</v>
      </c>
      <c r="J77" s="737">
        <v>0</v>
      </c>
      <c r="K77" s="737">
        <v>48510</v>
      </c>
      <c r="L77" s="737">
        <v>0</v>
      </c>
      <c r="M77" s="737">
        <v>0</v>
      </c>
      <c r="N77" s="737">
        <v>48510</v>
      </c>
      <c r="O77" s="737">
        <v>0</v>
      </c>
    </row>
    <row r="78" spans="2:15" x14ac:dyDescent="0.25">
      <c r="B78" s="364" t="s">
        <v>397</v>
      </c>
      <c r="C78" s="348"/>
      <c r="D78" s="292"/>
      <c r="E78" s="370"/>
      <c r="F78" s="738"/>
      <c r="G78" s="738"/>
      <c r="H78" s="738"/>
      <c r="I78" s="738"/>
      <c r="J78" s="738"/>
      <c r="K78" s="738"/>
      <c r="L78" s="738"/>
      <c r="M78" s="738"/>
      <c r="N78" s="738"/>
      <c r="O78" s="738"/>
    </row>
    <row r="79" spans="2:15" x14ac:dyDescent="0.25">
      <c r="B79" s="392" t="s">
        <v>385</v>
      </c>
      <c r="C79" s="354">
        <v>34320.678</v>
      </c>
      <c r="D79" s="269">
        <v>30000</v>
      </c>
      <c r="E79" s="268">
        <v>1</v>
      </c>
      <c r="F79" s="737">
        <v>0</v>
      </c>
      <c r="G79" s="737">
        <v>0</v>
      </c>
      <c r="H79" s="737">
        <v>0</v>
      </c>
      <c r="I79" s="737">
        <v>0</v>
      </c>
      <c r="J79" s="737">
        <v>34320.678</v>
      </c>
      <c r="K79" s="737">
        <v>0</v>
      </c>
      <c r="L79" s="737">
        <v>0</v>
      </c>
      <c r="M79" s="737">
        <v>0</v>
      </c>
      <c r="N79" s="737">
        <v>34320.678</v>
      </c>
      <c r="O79" s="737">
        <v>0</v>
      </c>
    </row>
    <row r="80" spans="2:15" x14ac:dyDescent="0.25">
      <c r="B80" s="417" t="s">
        <v>386</v>
      </c>
      <c r="C80" s="354">
        <v>833.96039999999994</v>
      </c>
      <c r="D80" s="269">
        <v>30000</v>
      </c>
      <c r="E80" s="268">
        <v>1</v>
      </c>
      <c r="F80" s="737">
        <v>0</v>
      </c>
      <c r="G80" s="737">
        <v>0</v>
      </c>
      <c r="H80" s="737">
        <v>0</v>
      </c>
      <c r="I80" s="737">
        <v>0</v>
      </c>
      <c r="J80" s="737">
        <v>833.96039999999994</v>
      </c>
      <c r="K80" s="737">
        <v>0</v>
      </c>
      <c r="L80" s="737">
        <v>0</v>
      </c>
      <c r="M80" s="737">
        <v>0</v>
      </c>
      <c r="N80" s="737">
        <v>833.96039999999994</v>
      </c>
      <c r="O80" s="737">
        <v>0</v>
      </c>
    </row>
    <row r="81" spans="2:15" x14ac:dyDescent="0.25">
      <c r="B81" s="392" t="s">
        <v>387</v>
      </c>
      <c r="C81" s="354">
        <v>2363.9364</v>
      </c>
      <c r="D81" s="269">
        <v>20000</v>
      </c>
      <c r="E81" s="268">
        <v>3</v>
      </c>
      <c r="F81" s="737">
        <v>0</v>
      </c>
      <c r="G81" s="737">
        <v>0</v>
      </c>
      <c r="H81" s="737">
        <v>7091.8091999999997</v>
      </c>
      <c r="I81" s="737">
        <v>0</v>
      </c>
      <c r="J81" s="737">
        <v>0</v>
      </c>
      <c r="K81" s="737">
        <v>7091.8091999999997</v>
      </c>
      <c r="L81" s="737">
        <v>0</v>
      </c>
      <c r="M81" s="737">
        <v>0</v>
      </c>
      <c r="N81" s="737">
        <v>7091.8091999999997</v>
      </c>
      <c r="O81" s="737">
        <v>0</v>
      </c>
    </row>
    <row r="82" spans="2:15" x14ac:dyDescent="0.25">
      <c r="B82" s="364" t="s">
        <v>506</v>
      </c>
      <c r="C82" s="348"/>
      <c r="D82" s="292"/>
      <c r="E82" s="370"/>
      <c r="F82" s="738"/>
      <c r="G82" s="738"/>
      <c r="H82" s="738"/>
      <c r="I82" s="738"/>
      <c r="J82" s="738"/>
      <c r="K82" s="738"/>
      <c r="L82" s="738"/>
      <c r="M82" s="738"/>
      <c r="N82" s="738"/>
      <c r="O82" s="738"/>
    </row>
    <row r="83" spans="2:15" x14ac:dyDescent="0.25">
      <c r="B83" s="417" t="s">
        <v>768</v>
      </c>
      <c r="C83" s="354">
        <v>22050</v>
      </c>
      <c r="D83" s="269">
        <v>25000</v>
      </c>
      <c r="E83" s="268">
        <v>6</v>
      </c>
      <c r="F83" s="737">
        <v>0</v>
      </c>
      <c r="G83" s="737">
        <v>0</v>
      </c>
      <c r="H83" s="737">
        <v>0</v>
      </c>
      <c r="I83" s="737">
        <v>132300</v>
      </c>
      <c r="J83" s="737">
        <v>0</v>
      </c>
      <c r="K83" s="737">
        <v>0</v>
      </c>
      <c r="L83" s="737">
        <v>0</v>
      </c>
      <c r="M83" s="737">
        <v>132300</v>
      </c>
      <c r="N83" s="737">
        <v>0</v>
      </c>
      <c r="O83" s="737">
        <v>0</v>
      </c>
    </row>
    <row r="84" spans="2:15" x14ac:dyDescent="0.25">
      <c r="B84" s="364" t="s">
        <v>398</v>
      </c>
      <c r="C84" s="348"/>
      <c r="D84" s="295"/>
      <c r="E84" s="370"/>
      <c r="F84" s="738"/>
      <c r="G84" s="738"/>
      <c r="H84" s="738"/>
      <c r="I84" s="738"/>
      <c r="J84" s="738"/>
      <c r="K84" s="738"/>
      <c r="L84" s="738"/>
      <c r="M84" s="738"/>
      <c r="N84" s="738"/>
      <c r="O84" s="738"/>
    </row>
    <row r="85" spans="2:15" x14ac:dyDescent="0.25">
      <c r="B85" s="396" t="s">
        <v>370</v>
      </c>
      <c r="C85" s="354">
        <v>13230</v>
      </c>
      <c r="D85" s="269">
        <v>30000</v>
      </c>
      <c r="E85" s="268">
        <v>1</v>
      </c>
      <c r="F85" s="737">
        <v>0</v>
      </c>
      <c r="G85" s="737">
        <v>0</v>
      </c>
      <c r="H85" s="737">
        <v>0</v>
      </c>
      <c r="I85" s="737">
        <v>0</v>
      </c>
      <c r="J85" s="737">
        <v>13230</v>
      </c>
      <c r="K85" s="737">
        <v>0</v>
      </c>
      <c r="L85" s="737">
        <v>0</v>
      </c>
      <c r="M85" s="737">
        <v>0</v>
      </c>
      <c r="N85" s="737">
        <v>13230</v>
      </c>
      <c r="O85" s="737">
        <v>0</v>
      </c>
    </row>
    <row r="86" spans="2:15" x14ac:dyDescent="0.25">
      <c r="B86" s="417" t="s">
        <v>388</v>
      </c>
      <c r="C86" s="354">
        <v>56153.404649999989</v>
      </c>
      <c r="D86" s="269">
        <v>25000</v>
      </c>
      <c r="E86" s="268">
        <v>2</v>
      </c>
      <c r="F86" s="737">
        <v>0</v>
      </c>
      <c r="G86" s="737">
        <v>0</v>
      </c>
      <c r="H86" s="737">
        <v>0</v>
      </c>
      <c r="I86" s="737">
        <v>112306.80929999998</v>
      </c>
      <c r="J86" s="737">
        <v>0</v>
      </c>
      <c r="K86" s="737">
        <v>0</v>
      </c>
      <c r="L86" s="737">
        <v>0</v>
      </c>
      <c r="M86" s="737">
        <v>112306.80929999998</v>
      </c>
      <c r="N86" s="737">
        <v>0</v>
      </c>
      <c r="O86" s="737">
        <v>0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F758-A5FD-48B7-B209-1429A934FCDA}">
  <sheetPr>
    <tabColor theme="7" tint="0.39997558519241921"/>
  </sheetPr>
  <dimension ref="A2:S34"/>
  <sheetViews>
    <sheetView showGridLines="0" zoomScale="85" zoomScaleNormal="85" zoomScaleSheetLayoutView="100" workbookViewId="0">
      <selection activeCell="S18" sqref="S18"/>
    </sheetView>
  </sheetViews>
  <sheetFormatPr defaultColWidth="9.125" defaultRowHeight="12.9" x14ac:dyDescent="0.25"/>
  <cols>
    <col min="1" max="1" width="6" style="236" customWidth="1"/>
    <col min="2" max="2" width="43.5" style="274" customWidth="1"/>
    <col min="3" max="3" width="17" style="238" customWidth="1"/>
    <col min="4" max="4" width="24.125" style="238" customWidth="1"/>
    <col min="5" max="5" width="8.625" style="239" customWidth="1"/>
    <col min="6" max="14" width="8.375" style="239" customWidth="1"/>
    <col min="15" max="15" width="63.375" style="236" customWidth="1"/>
    <col min="16" max="16" width="14" style="236" bestFit="1" customWidth="1"/>
    <col min="17" max="16384" width="9.125" style="236"/>
  </cols>
  <sheetData>
    <row r="2" spans="1:16" ht="14.3" x14ac:dyDescent="0.25">
      <c r="B2" s="237" t="s">
        <v>259</v>
      </c>
    </row>
    <row r="3" spans="1:16" s="241" customFormat="1" ht="27" customHeight="1" x14ac:dyDescent="0.25">
      <c r="B3" s="242" t="s">
        <v>261</v>
      </c>
      <c r="C3" s="550" t="s">
        <v>162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263</v>
      </c>
    </row>
    <row r="4" spans="1:16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469" t="s">
        <v>780</v>
      </c>
      <c r="P4" s="248"/>
    </row>
    <row r="5" spans="1:16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469"/>
      <c r="P5" s="248"/>
    </row>
    <row r="6" spans="1:16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>
        <v>9104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469"/>
      <c r="P6" s="248"/>
    </row>
    <row r="7" spans="1:16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>
        <v>7205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469"/>
      <c r="P7" s="248"/>
    </row>
    <row r="8" spans="1:16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>
        <v>14595</v>
      </c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469"/>
      <c r="P8" s="248"/>
    </row>
    <row r="9" spans="1:16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>
        <v>220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469" t="s">
        <v>421</v>
      </c>
      <c r="P9" s="248"/>
    </row>
    <row r="10" spans="1:16" ht="27.2" x14ac:dyDescent="0.25">
      <c r="A10" s="236">
        <f t="shared" si="1"/>
        <v>7</v>
      </c>
      <c r="B10" s="246" t="s">
        <v>270</v>
      </c>
      <c r="C10" s="253" t="s">
        <v>271</v>
      </c>
      <c r="D10" s="252" t="s">
        <v>781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469" t="s">
        <v>422</v>
      </c>
      <c r="P10" s="254"/>
    </row>
    <row r="11" spans="1:16" ht="18.7" customHeight="1" x14ac:dyDescent="0.25">
      <c r="A11" s="236">
        <f>A10+1</f>
        <v>8</v>
      </c>
      <c r="B11" s="246" t="s">
        <v>12</v>
      </c>
      <c r="C11" s="253" t="s">
        <v>13</v>
      </c>
      <c r="D11" s="252">
        <v>1864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469"/>
      <c r="P11" s="254"/>
    </row>
    <row r="12" spans="1:16" ht="19.55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0.91162480974124804</v>
      </c>
      <c r="F12" s="255">
        <f>(8760-F13-F14-F15)/8760</f>
        <v>0.89608701166920346</v>
      </c>
      <c r="G12" s="255">
        <f>(8760-G13-G14-G15)/8760</f>
        <v>0.84869672754946723</v>
      </c>
      <c r="H12" s="255">
        <f t="shared" ref="H12:N12" si="2">(8760-H13-H14-H15)/8760</f>
        <v>0.80563483003551495</v>
      </c>
      <c r="I12" s="255">
        <f t="shared" si="2"/>
        <v>0.89852866565195333</v>
      </c>
      <c r="J12" s="255">
        <f t="shared" si="2"/>
        <v>0.82206050228310501</v>
      </c>
      <c r="K12" s="255">
        <f t="shared" si="2"/>
        <v>0.88942795535261288</v>
      </c>
      <c r="L12" s="255">
        <f t="shared" si="2"/>
        <v>0.81118404363267382</v>
      </c>
      <c r="M12" s="255">
        <f t="shared" si="2"/>
        <v>0.85613267376966007</v>
      </c>
      <c r="N12" s="255">
        <f t="shared" si="2"/>
        <v>0.83393581938102479</v>
      </c>
      <c r="O12" s="469"/>
    </row>
    <row r="13" spans="1:16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'ESDE240 ТО'!G7</f>
        <v>230</v>
      </c>
      <c r="F13" s="257">
        <f>'ESDE240 ТО'!H7</f>
        <v>230</v>
      </c>
      <c r="G13" s="257">
        <f>'ESDE240 ТО'!I7</f>
        <v>230</v>
      </c>
      <c r="H13" s="257">
        <f>'ESDE240 ТО'!J7</f>
        <v>230</v>
      </c>
      <c r="I13" s="257">
        <f>'ESDE240 ТО'!K7</f>
        <v>230</v>
      </c>
      <c r="J13" s="257">
        <f>'ESDE240 ТО'!L7</f>
        <v>230</v>
      </c>
      <c r="K13" s="257">
        <f>'ESDE240 ТО'!M7</f>
        <v>230</v>
      </c>
      <c r="L13" s="257">
        <f>'ESDE240 ТО'!N7</f>
        <v>230</v>
      </c>
      <c r="M13" s="257">
        <f>'ESDE240 ТО'!O7</f>
        <v>230</v>
      </c>
      <c r="N13" s="257">
        <f>'ESDE240 ТО'!P7</f>
        <v>230</v>
      </c>
      <c r="O13" s="424"/>
    </row>
    <row r="14" spans="1:16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'ESDE240 Рем'!F8</f>
        <v>316</v>
      </c>
      <c r="F14" s="257">
        <f>'ESDE240 Рем'!G8</f>
        <v>456</v>
      </c>
      <c r="G14" s="257">
        <f>'ESDE240 Рем'!H8</f>
        <v>883</v>
      </c>
      <c r="H14" s="257">
        <f>'ESDE240 Рем'!I8</f>
        <v>1271</v>
      </c>
      <c r="I14" s="257">
        <f>'ESDE240 Рем'!J8</f>
        <v>434</v>
      </c>
      <c r="J14" s="257">
        <f>'ESDE240 Рем'!K8</f>
        <v>1123</v>
      </c>
      <c r="K14" s="257">
        <f>'ESDE240 Рем'!L8</f>
        <v>516</v>
      </c>
      <c r="L14" s="257">
        <f>'ESDE240 Рем'!M8</f>
        <v>1221</v>
      </c>
      <c r="M14" s="257">
        <f>'ESDE240 Рем'!N8</f>
        <v>816</v>
      </c>
      <c r="N14" s="257">
        <f>'ESDE240 Рем'!O8</f>
        <v>1016</v>
      </c>
      <c r="O14" s="424"/>
    </row>
    <row r="15" spans="1:16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228.16666666666666</v>
      </c>
      <c r="F15" s="257">
        <f t="shared" ref="F15:N15" si="4">(8760-F13-F14)/12*20/60</f>
        <v>224.2777777777778</v>
      </c>
      <c r="G15" s="257">
        <f t="shared" si="4"/>
        <v>212.41666666666666</v>
      </c>
      <c r="H15" s="257">
        <f t="shared" si="4"/>
        <v>201.63888888888886</v>
      </c>
      <c r="I15" s="257">
        <f t="shared" si="4"/>
        <v>224.88888888888886</v>
      </c>
      <c r="J15" s="257">
        <f t="shared" si="4"/>
        <v>205.75</v>
      </c>
      <c r="K15" s="257">
        <f t="shared" si="4"/>
        <v>222.61111111111114</v>
      </c>
      <c r="L15" s="257">
        <f t="shared" si="4"/>
        <v>203.0277777777778</v>
      </c>
      <c r="M15" s="257">
        <f t="shared" si="4"/>
        <v>214.2777777777778</v>
      </c>
      <c r="N15" s="257">
        <f t="shared" si="4"/>
        <v>208.7222222222222</v>
      </c>
      <c r="O15" s="424"/>
    </row>
    <row r="16" spans="1:16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2">
        <v>25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469"/>
    </row>
    <row r="17" spans="1:19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2">
        <v>28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469"/>
      <c r="Q17" s="531" t="s">
        <v>523</v>
      </c>
      <c r="R17" s="531" t="s">
        <v>524</v>
      </c>
    </row>
    <row r="18" spans="1:19" ht="30.75" customHeight="1" x14ac:dyDescent="0.25">
      <c r="A18" s="236">
        <f t="shared" si="3"/>
        <v>15</v>
      </c>
      <c r="B18" s="246" t="s">
        <v>423</v>
      </c>
      <c r="C18" s="260" t="s">
        <v>280</v>
      </c>
      <c r="D18" s="260"/>
      <c r="E18" s="261">
        <f>SUM(E19:E23)</f>
        <v>180.53002627191864</v>
      </c>
      <c r="F18" s="261">
        <f t="shared" ref="F18:N18" si="5">SUM(F19:F23)</f>
        <v>276.72926017787324</v>
      </c>
      <c r="G18" s="261">
        <f t="shared" si="5"/>
        <v>928.14011027511879</v>
      </c>
      <c r="H18" s="261">
        <f t="shared" si="5"/>
        <v>2751.338917772202</v>
      </c>
      <c r="I18" s="261">
        <f t="shared" si="5"/>
        <v>184.23302627191865</v>
      </c>
      <c r="J18" s="261">
        <f t="shared" si="5"/>
        <v>1024.3393441810733</v>
      </c>
      <c r="K18" s="261">
        <f t="shared" si="5"/>
        <v>180.53002627191864</v>
      </c>
      <c r="L18" s="261">
        <f t="shared" si="5"/>
        <v>2751.338917772202</v>
      </c>
      <c r="M18" s="261">
        <f t="shared" si="5"/>
        <v>180.53002627191864</v>
      </c>
      <c r="N18" s="261">
        <f t="shared" si="5"/>
        <v>180.53002627191864</v>
      </c>
      <c r="O18" s="424"/>
      <c r="Q18" s="528">
        <f>SUM(E18:N18)</f>
        <v>8638.2396815380635</v>
      </c>
      <c r="R18" s="528">
        <f>Q18/$N$4</f>
        <v>863.82396815380639</v>
      </c>
      <c r="S18" s="1050">
        <f>R18*'ФОТ, МТР, макро'!$AJ$7</f>
        <v>81241.34846891326</v>
      </c>
    </row>
    <row r="19" spans="1:19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'ESDE240 ТО'!G9/1000</f>
        <v>154.71899099571866</v>
      </c>
      <c r="F19" s="263">
        <f>'ESDE240 ТО'!H9/1000</f>
        <v>154.71899099571866</v>
      </c>
      <c r="G19" s="263">
        <f>'ESDE240 ТО'!I9/1000</f>
        <v>154.71899099571866</v>
      </c>
      <c r="H19" s="263">
        <f>'ESDE240 ТО'!J9/1000</f>
        <v>154.71899099571866</v>
      </c>
      <c r="I19" s="263">
        <f>'ESDE240 ТО'!K9/1000</f>
        <v>154.71899099571866</v>
      </c>
      <c r="J19" s="263">
        <f>'ESDE240 ТО'!L9/1000</f>
        <v>154.71899099571866</v>
      </c>
      <c r="K19" s="263">
        <f>'ESDE240 ТО'!M9/1000</f>
        <v>154.71899099571866</v>
      </c>
      <c r="L19" s="263">
        <f>'ESDE240 ТО'!N9/1000</f>
        <v>154.71899099571866</v>
      </c>
      <c r="M19" s="263">
        <f>'ESDE240 ТО'!O9/1000</f>
        <v>154.71899099571866</v>
      </c>
      <c r="N19" s="263">
        <f>'ESDE240 ТО'!P9/1000</f>
        <v>154.71899099571866</v>
      </c>
      <c r="O19" s="424"/>
      <c r="Q19" s="529">
        <f>SUM(E19:N19)</f>
        <v>1547.1899099571867</v>
      </c>
      <c r="R19" s="529">
        <f>Q19/$N$4</f>
        <v>154.71899099571868</v>
      </c>
    </row>
    <row r="20" spans="1:19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'ESDE240 Рем'!F10/1000</f>
        <v>0</v>
      </c>
      <c r="F20" s="263">
        <f>'ESDE240 Рем'!G10/1000</f>
        <v>0</v>
      </c>
      <c r="G20" s="263">
        <f>'ESDE240 Рем'!H10/1000</f>
        <v>0</v>
      </c>
      <c r="H20" s="263">
        <f>'ESDE240 Рем'!I10/1000</f>
        <v>0</v>
      </c>
      <c r="I20" s="263">
        <f>'ESDE240 Рем'!J10/1000</f>
        <v>0</v>
      </c>
      <c r="J20" s="263">
        <f>'ESDE240 Рем'!K10/1000</f>
        <v>0</v>
      </c>
      <c r="K20" s="263">
        <f>'ESDE240 Рем'!L10/1000</f>
        <v>0</v>
      </c>
      <c r="L20" s="263">
        <f>'ESDE240 Рем'!M10/1000</f>
        <v>0</v>
      </c>
      <c r="M20" s="263">
        <f>'ESDE240 Рем'!N10/1000</f>
        <v>0</v>
      </c>
      <c r="N20" s="263">
        <f>'ESDE240 Рем'!O10/1000</f>
        <v>0</v>
      </c>
      <c r="O20" s="424"/>
      <c r="Q20" s="529">
        <f t="shared" ref="Q20:Q23" si="6">SUM(E20:N20)</f>
        <v>0</v>
      </c>
      <c r="R20" s="529">
        <f t="shared" ref="R20:R23" si="7">Q20/$N$4</f>
        <v>0</v>
      </c>
    </row>
    <row r="21" spans="1:19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'ESDE240 Рем'!F11/1000</f>
        <v>4.9310352762000003</v>
      </c>
      <c r="F21" s="263">
        <f>'ESDE240 Рем'!G11/1000</f>
        <v>88.530269182154584</v>
      </c>
      <c r="G21" s="263">
        <f>'ESDE240 Рем'!H11/1000</f>
        <v>701.51111927940008</v>
      </c>
      <c r="H21" s="263">
        <f>'ESDE240 Рем'!I11/1000</f>
        <v>2494.2899267764833</v>
      </c>
      <c r="I21" s="263">
        <f>'ESDE240 Рем'!J11/1000</f>
        <v>7.0140352762000004</v>
      </c>
      <c r="J21" s="263">
        <f>'ESDE240 Рем'!K11/1000</f>
        <v>785.1103531853546</v>
      </c>
      <c r="K21" s="263">
        <f>'ESDE240 Рем'!L11/1000</f>
        <v>4.9310352762000003</v>
      </c>
      <c r="L21" s="263">
        <f>'ESDE240 Рем'!M11/1000</f>
        <v>2494.2899267764833</v>
      </c>
      <c r="M21" s="263">
        <f>'ESDE240 Рем'!N11/1000</f>
        <v>4.9310352762000003</v>
      </c>
      <c r="N21" s="263">
        <f>'ESDE240 Рем'!O11/1000</f>
        <v>4.9310352762000003</v>
      </c>
      <c r="O21" s="424"/>
      <c r="Q21" s="529">
        <f t="shared" si="6"/>
        <v>6590.4697715808761</v>
      </c>
      <c r="R21" s="529">
        <f t="shared" si="7"/>
        <v>659.04697715808766</v>
      </c>
    </row>
    <row r="22" spans="1:19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'ESDE240 ТО'!G10/1000</f>
        <v>19.440000000000001</v>
      </c>
      <c r="F22" s="263">
        <f>'ESDE240 ТО'!H10/1000</f>
        <v>19.440000000000001</v>
      </c>
      <c r="G22" s="263">
        <f>'ESDE240 ТО'!I10/1000</f>
        <v>19.440000000000001</v>
      </c>
      <c r="H22" s="263">
        <f>'ESDE240 ТО'!J10/1000</f>
        <v>19.440000000000001</v>
      </c>
      <c r="I22" s="263">
        <f>'ESDE240 ТО'!K10/1000</f>
        <v>19.440000000000001</v>
      </c>
      <c r="J22" s="263">
        <f>'ESDE240 ТО'!L10/1000</f>
        <v>19.440000000000001</v>
      </c>
      <c r="K22" s="263">
        <f>'ESDE240 ТО'!M10/1000</f>
        <v>19.440000000000001</v>
      </c>
      <c r="L22" s="263">
        <f>'ESDE240 ТО'!N10/1000</f>
        <v>19.440000000000001</v>
      </c>
      <c r="M22" s="263">
        <f>'ESDE240 ТО'!O10/1000</f>
        <v>19.440000000000001</v>
      </c>
      <c r="N22" s="263">
        <f>'ESDE240 ТО'!P10/1000</f>
        <v>19.440000000000001</v>
      </c>
      <c r="O22" s="424"/>
      <c r="Q22" s="529">
        <f t="shared" si="6"/>
        <v>194.4</v>
      </c>
      <c r="R22" s="529">
        <f t="shared" si="7"/>
        <v>19.440000000000001</v>
      </c>
    </row>
    <row r="23" spans="1:19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'ESDE240 Рем'!F12/1000</f>
        <v>1.44</v>
      </c>
      <c r="F23" s="263">
        <f>'ESDE240 Рем'!G12/1000</f>
        <v>14.04</v>
      </c>
      <c r="G23" s="263">
        <f>'ESDE240 Рем'!H12/1000</f>
        <v>52.47</v>
      </c>
      <c r="H23" s="263">
        <f>'ESDE240 Рем'!I12/1000</f>
        <v>82.89</v>
      </c>
      <c r="I23" s="263">
        <f>'ESDE240 Рем'!J12/1000</f>
        <v>3.06</v>
      </c>
      <c r="J23" s="263">
        <f>'ESDE240 Рем'!K12/1000</f>
        <v>65.069999999999993</v>
      </c>
      <c r="K23" s="263">
        <f>'ESDE240 Рем'!L12/1000</f>
        <v>1.44</v>
      </c>
      <c r="L23" s="263">
        <f>'ESDE240 Рем'!M12/1000</f>
        <v>82.89</v>
      </c>
      <c r="M23" s="263">
        <f>'ESDE240 Рем'!N12/1000</f>
        <v>1.44</v>
      </c>
      <c r="N23" s="263">
        <f>'ESDE240 Рем'!O12/1000</f>
        <v>1.44</v>
      </c>
      <c r="O23" s="424" t="s">
        <v>424</v>
      </c>
      <c r="Q23" s="529">
        <f t="shared" si="6"/>
        <v>306.18</v>
      </c>
      <c r="R23" s="529">
        <f t="shared" si="7"/>
        <v>30.618000000000002</v>
      </c>
    </row>
    <row r="24" spans="1:19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469"/>
    </row>
    <row r="25" spans="1:19" ht="14.95" customHeight="1" x14ac:dyDescent="0.25">
      <c r="A25" s="236">
        <f t="shared" si="3"/>
        <v>22</v>
      </c>
      <c r="B25" s="266" t="s">
        <v>287</v>
      </c>
      <c r="C25" s="260"/>
      <c r="D25" s="745" t="s">
        <v>782</v>
      </c>
      <c r="E25" s="267"/>
      <c r="F25" s="265"/>
      <c r="G25" s="265"/>
      <c r="H25" s="265"/>
      <c r="I25" s="265"/>
      <c r="J25" s="265"/>
      <c r="K25" s="265"/>
      <c r="L25" s="265"/>
      <c r="M25" s="265"/>
      <c r="N25" s="265"/>
      <c r="O25" s="469" t="s">
        <v>426</v>
      </c>
    </row>
    <row r="26" spans="1:19" ht="14.3" x14ac:dyDescent="0.25">
      <c r="A26" s="236">
        <f t="shared" si="3"/>
        <v>23</v>
      </c>
      <c r="B26" s="266" t="s">
        <v>290</v>
      </c>
      <c r="C26" s="260"/>
      <c r="D26" s="746" t="s">
        <v>783</v>
      </c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469" t="s">
        <v>426</v>
      </c>
    </row>
    <row r="27" spans="1:19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469" t="s">
        <v>426</v>
      </c>
    </row>
    <row r="28" spans="1:19" ht="13.6" x14ac:dyDescent="0.25">
      <c r="A28" s="236">
        <f t="shared" si="3"/>
        <v>25</v>
      </c>
      <c r="B28" s="266" t="s">
        <v>293</v>
      </c>
      <c r="C28" s="260" t="s">
        <v>145</v>
      </c>
      <c r="D28" s="747">
        <v>95</v>
      </c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469"/>
    </row>
    <row r="29" spans="1:19" ht="13.6" x14ac:dyDescent="0.25">
      <c r="A29" s="236">
        <f t="shared" si="3"/>
        <v>26</v>
      </c>
      <c r="B29" s="266" t="s">
        <v>294</v>
      </c>
      <c r="C29" s="260" t="s">
        <v>145</v>
      </c>
      <c r="D29" s="747">
        <v>145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469"/>
    </row>
    <row r="30" spans="1:19" ht="13.6" x14ac:dyDescent="0.25">
      <c r="A30" s="236">
        <f t="shared" si="3"/>
        <v>27</v>
      </c>
      <c r="B30" s="266" t="s">
        <v>295</v>
      </c>
      <c r="C30" s="260" t="s">
        <v>145</v>
      </c>
      <c r="D30" s="747">
        <v>237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469"/>
    </row>
    <row r="31" spans="1:19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>
        <v>7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473"/>
    </row>
    <row r="34" spans="5:15" ht="13.6" x14ac:dyDescent="0.25">
      <c r="E34" s="527">
        <f>E18/(365*24*E12)*1000</f>
        <v>22.606285247448856</v>
      </c>
      <c r="F34" s="527">
        <f t="shared" ref="F34:N34" si="8">F18/(365*24*F12)*1000</f>
        <v>35.253382520271195</v>
      </c>
      <c r="G34" s="527">
        <f t="shared" si="8"/>
        <v>124.84090481759149</v>
      </c>
      <c r="H34" s="527">
        <f t="shared" si="8"/>
        <v>389.853781669255</v>
      </c>
      <c r="I34" s="527">
        <f t="shared" si="8"/>
        <v>23.406228634207618</v>
      </c>
      <c r="J34" s="527">
        <f t="shared" si="8"/>
        <v>142.24465810533911</v>
      </c>
      <c r="K34" s="527">
        <f t="shared" si="8"/>
        <v>23.170455081425615</v>
      </c>
      <c r="L34" s="527">
        <f t="shared" si="8"/>
        <v>387.18683830033137</v>
      </c>
      <c r="M34" s="527">
        <f t="shared" si="8"/>
        <v>24.071561708911702</v>
      </c>
      <c r="N34" s="527">
        <f t="shared" si="8"/>
        <v>24.712274024826311</v>
      </c>
      <c r="O34" s="532">
        <f>SUMPRODUCT(E34:N34,E12:N12)/SUM(E12:N12)</f>
        <v>115.01976141236025</v>
      </c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2047-8AE2-42BF-855B-F4C30A56EFB1}">
  <sheetPr>
    <tabColor theme="7" tint="0.39997558519241921"/>
  </sheetPr>
  <dimension ref="B2:R163"/>
  <sheetViews>
    <sheetView showGridLines="0" zoomScale="85" zoomScaleNormal="85" workbookViewId="0">
      <pane xSplit="5" ySplit="4" topLeftCell="F5" activePane="bottomRight" state="frozen"/>
      <selection activeCell="O38" sqref="O38"/>
      <selection pane="topRight" activeCell="O38" sqref="O38"/>
      <selection pane="bottomLeft" activeCell="O38" sqref="O38"/>
      <selection pane="bottomRight" activeCell="O38" sqref="O38"/>
    </sheetView>
  </sheetViews>
  <sheetFormatPr defaultRowHeight="14.3" x14ac:dyDescent="0.25"/>
  <cols>
    <col min="1" max="1" width="5.5" style="275" customWidth="1"/>
    <col min="2" max="2" width="34.625" style="275" customWidth="1"/>
    <col min="3" max="3" width="22.375" style="275" customWidth="1"/>
    <col min="4" max="4" width="14.625" style="275" customWidth="1"/>
    <col min="5" max="5" width="14" style="275" customWidth="1"/>
    <col min="6" max="6" width="9.375" style="275" bestFit="1" customWidth="1"/>
    <col min="7" max="16" width="10" style="275" customWidth="1"/>
    <col min="17" max="17" width="13.125" style="275" customWidth="1"/>
    <col min="18" max="16384" width="9" style="275"/>
  </cols>
  <sheetData>
    <row r="2" spans="2:18" x14ac:dyDescent="0.25">
      <c r="B2" s="237" t="s">
        <v>259</v>
      </c>
    </row>
    <row r="3" spans="2:18" ht="14.95" thickBot="1" x14ac:dyDescent="0.3">
      <c r="B3" s="275" t="s">
        <v>298</v>
      </c>
      <c r="G3" s="277">
        <f>ESDE240!E12</f>
        <v>0.91162480974124804</v>
      </c>
      <c r="H3" s="277">
        <f>ESDE240!F12</f>
        <v>0.89608701166920346</v>
      </c>
      <c r="I3" s="277">
        <f>ESDE240!G12</f>
        <v>0.84869672754946723</v>
      </c>
      <c r="J3" s="277">
        <f>ESDE240!H12</f>
        <v>0.80563483003551495</v>
      </c>
      <c r="K3" s="277">
        <f>ESDE240!I12</f>
        <v>0.89852866565195333</v>
      </c>
      <c r="L3" s="277">
        <f>ESDE240!J12</f>
        <v>0.82206050228310501</v>
      </c>
      <c r="M3" s="277">
        <f>ESDE240!K12</f>
        <v>0.88942795535261288</v>
      </c>
      <c r="N3" s="277">
        <f>ESDE240!L12</f>
        <v>0.81118404363267382</v>
      </c>
      <c r="O3" s="277">
        <f>ESDE240!M12</f>
        <v>0.85613267376966007</v>
      </c>
      <c r="P3" s="277">
        <f>ESDE240!N12</f>
        <v>0.83393581938102479</v>
      </c>
    </row>
    <row r="4" spans="2:18" ht="22.25" customHeight="1" thickBot="1" x14ac:dyDescent="0.3">
      <c r="B4" s="278" t="s">
        <v>299</v>
      </c>
      <c r="C4" s="279" t="s">
        <v>8</v>
      </c>
      <c r="D4" s="280"/>
      <c r="E4" s="281"/>
      <c r="F4" s="282"/>
      <c r="G4" s="283">
        <f>E4+1</f>
        <v>1</v>
      </c>
      <c r="H4" s="283">
        <f>G4+1</f>
        <v>2</v>
      </c>
      <c r="I4" s="283">
        <f t="shared" ref="I4:P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  <c r="O4" s="283">
        <f t="shared" si="0"/>
        <v>9</v>
      </c>
      <c r="P4" s="283">
        <f t="shared" si="0"/>
        <v>10</v>
      </c>
    </row>
    <row r="5" spans="2:18" x14ac:dyDescent="0.25">
      <c r="B5" s="284" t="s">
        <v>300</v>
      </c>
      <c r="C5" s="285" t="s">
        <v>301</v>
      </c>
      <c r="D5" s="286"/>
      <c r="E5" s="287"/>
      <c r="F5" s="288"/>
      <c r="G5" s="475">
        <v>0</v>
      </c>
      <c r="H5" s="475">
        <f>G6+1</f>
        <v>7001</v>
      </c>
      <c r="I5" s="475">
        <f t="shared" ref="I5:P5" si="1">H6+1</f>
        <v>14001</v>
      </c>
      <c r="J5" s="475">
        <f t="shared" si="1"/>
        <v>21001</v>
      </c>
      <c r="K5" s="475">
        <f t="shared" si="1"/>
        <v>28001</v>
      </c>
      <c r="L5" s="475">
        <f t="shared" si="1"/>
        <v>35001</v>
      </c>
      <c r="M5" s="475">
        <f t="shared" si="1"/>
        <v>42001</v>
      </c>
      <c r="N5" s="475">
        <f t="shared" si="1"/>
        <v>49001</v>
      </c>
      <c r="O5" s="475">
        <f t="shared" si="1"/>
        <v>56001</v>
      </c>
      <c r="P5" s="475">
        <f t="shared" si="1"/>
        <v>63001</v>
      </c>
    </row>
    <row r="6" spans="2:18" x14ac:dyDescent="0.25">
      <c r="B6" s="290" t="s">
        <v>302</v>
      </c>
      <c r="C6" s="291" t="s">
        <v>301</v>
      </c>
      <c r="D6" s="292"/>
      <c r="E6" s="293"/>
      <c r="F6" s="294">
        <v>7000</v>
      </c>
      <c r="G6" s="476">
        <f>F6</f>
        <v>7000</v>
      </c>
      <c r="H6" s="476">
        <f t="shared" ref="H6:P6" si="2">G6+$F6</f>
        <v>14000</v>
      </c>
      <c r="I6" s="476">
        <f t="shared" si="2"/>
        <v>21000</v>
      </c>
      <c r="J6" s="476">
        <f t="shared" si="2"/>
        <v>28000</v>
      </c>
      <c r="K6" s="476">
        <f t="shared" si="2"/>
        <v>35000</v>
      </c>
      <c r="L6" s="476">
        <f t="shared" si="2"/>
        <v>42000</v>
      </c>
      <c r="M6" s="476">
        <f t="shared" si="2"/>
        <v>49000</v>
      </c>
      <c r="N6" s="476">
        <f t="shared" si="2"/>
        <v>56000</v>
      </c>
      <c r="O6" s="476">
        <f t="shared" si="2"/>
        <v>63000</v>
      </c>
      <c r="P6" s="476">
        <f t="shared" si="2"/>
        <v>70000</v>
      </c>
    </row>
    <row r="7" spans="2:18" ht="21.75" customHeight="1" x14ac:dyDescent="0.25">
      <c r="B7" s="296" t="s">
        <v>303</v>
      </c>
      <c r="C7" s="297" t="s">
        <v>304</v>
      </c>
      <c r="D7" s="253"/>
      <c r="E7" s="298"/>
      <c r="F7" s="299"/>
      <c r="G7" s="257">
        <f>G13</f>
        <v>230</v>
      </c>
      <c r="H7" s="257">
        <f t="shared" ref="H7:P7" si="3">H13</f>
        <v>230</v>
      </c>
      <c r="I7" s="257">
        <f t="shared" si="3"/>
        <v>230</v>
      </c>
      <c r="J7" s="257">
        <f t="shared" si="3"/>
        <v>230</v>
      </c>
      <c r="K7" s="257">
        <f t="shared" si="3"/>
        <v>230</v>
      </c>
      <c r="L7" s="257">
        <f t="shared" si="3"/>
        <v>230</v>
      </c>
      <c r="M7" s="257">
        <f t="shared" si="3"/>
        <v>230</v>
      </c>
      <c r="N7" s="257">
        <f t="shared" si="3"/>
        <v>230</v>
      </c>
      <c r="O7" s="257">
        <f t="shared" si="3"/>
        <v>230</v>
      </c>
      <c r="P7" s="257">
        <f t="shared" si="3"/>
        <v>230</v>
      </c>
    </row>
    <row r="8" spans="2:18" ht="21.1" customHeight="1" x14ac:dyDescent="0.25">
      <c r="B8" s="300" t="s">
        <v>305</v>
      </c>
      <c r="C8" s="301" t="s">
        <v>306</v>
      </c>
      <c r="D8" s="260"/>
      <c r="E8" s="298"/>
      <c r="F8" s="299"/>
      <c r="G8" s="302">
        <f t="shared" ref="G8:P8" si="4">SUM(G9:G10)</f>
        <v>174158.99099571866</v>
      </c>
      <c r="H8" s="302">
        <f t="shared" si="4"/>
        <v>174158.99099571866</v>
      </c>
      <c r="I8" s="302">
        <f t="shared" si="4"/>
        <v>174158.99099571866</v>
      </c>
      <c r="J8" s="302">
        <f t="shared" si="4"/>
        <v>174158.99099571866</v>
      </c>
      <c r="K8" s="302">
        <f t="shared" si="4"/>
        <v>174158.99099571866</v>
      </c>
      <c r="L8" s="302">
        <f t="shared" si="4"/>
        <v>174158.99099571866</v>
      </c>
      <c r="M8" s="302">
        <f t="shared" si="4"/>
        <v>174158.99099571866</v>
      </c>
      <c r="N8" s="302">
        <f t="shared" si="4"/>
        <v>174158.99099571866</v>
      </c>
      <c r="O8" s="302">
        <f t="shared" si="4"/>
        <v>174158.99099571866</v>
      </c>
      <c r="P8" s="302">
        <f t="shared" si="4"/>
        <v>174158.99099571866</v>
      </c>
    </row>
    <row r="9" spans="2:18" ht="20.25" customHeight="1" x14ac:dyDescent="0.25">
      <c r="B9" s="304" t="s">
        <v>307</v>
      </c>
      <c r="C9" s="305" t="s">
        <v>306</v>
      </c>
      <c r="D9" s="306"/>
      <c r="E9" s="307"/>
      <c r="F9" s="308"/>
      <c r="G9" s="263">
        <f>G24</f>
        <v>154718.99099571866</v>
      </c>
      <c r="H9" s="263">
        <f>H24</f>
        <v>154718.99099571866</v>
      </c>
      <c r="I9" s="263">
        <f t="shared" ref="I9:P9" si="5">I24</f>
        <v>154718.99099571866</v>
      </c>
      <c r="J9" s="263">
        <f t="shared" si="5"/>
        <v>154718.99099571866</v>
      </c>
      <c r="K9" s="263">
        <f t="shared" si="5"/>
        <v>154718.99099571866</v>
      </c>
      <c r="L9" s="263">
        <f t="shared" si="5"/>
        <v>154718.99099571866</v>
      </c>
      <c r="M9" s="263">
        <f t="shared" si="5"/>
        <v>154718.99099571866</v>
      </c>
      <c r="N9" s="263">
        <f t="shared" si="5"/>
        <v>154718.99099571866</v>
      </c>
      <c r="O9" s="263">
        <f t="shared" si="5"/>
        <v>154718.99099571866</v>
      </c>
      <c r="P9" s="263">
        <f t="shared" si="5"/>
        <v>154718.99099571866</v>
      </c>
    </row>
    <row r="10" spans="2:18" ht="23.3" customHeight="1" thickBot="1" x14ac:dyDescent="0.3">
      <c r="B10" s="309" t="s">
        <v>308</v>
      </c>
      <c r="C10" s="310" t="s">
        <v>306</v>
      </c>
      <c r="D10" s="311"/>
      <c r="E10" s="312"/>
      <c r="F10" s="313">
        <v>45</v>
      </c>
      <c r="G10" s="314">
        <f>SUMPRODUCT(G14:G21,$F$14:$F$21)*$F10</f>
        <v>19440</v>
      </c>
      <c r="H10" s="314">
        <f>SUMPRODUCT(H14:H21,$F$14:$F$21)*$F10</f>
        <v>19440</v>
      </c>
      <c r="I10" s="314">
        <f t="shared" ref="I10:P10" si="6">SUMPRODUCT(I14:I21,$F$14:$F$21)*$F10</f>
        <v>19440</v>
      </c>
      <c r="J10" s="314">
        <f t="shared" si="6"/>
        <v>19440</v>
      </c>
      <c r="K10" s="314">
        <f t="shared" si="6"/>
        <v>19440</v>
      </c>
      <c r="L10" s="314">
        <f t="shared" si="6"/>
        <v>19440</v>
      </c>
      <c r="M10" s="314">
        <f t="shared" si="6"/>
        <v>19440</v>
      </c>
      <c r="N10" s="314">
        <f t="shared" si="6"/>
        <v>19440</v>
      </c>
      <c r="O10" s="314">
        <f t="shared" si="6"/>
        <v>19440</v>
      </c>
      <c r="P10" s="314">
        <f t="shared" si="6"/>
        <v>19440</v>
      </c>
    </row>
    <row r="11" spans="2:18" ht="14.95" thickBot="1" x14ac:dyDescent="0.3">
      <c r="B11" s="1069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</row>
    <row r="12" spans="2:18" ht="34.65" x14ac:dyDescent="0.25">
      <c r="B12" s="315" t="s">
        <v>309</v>
      </c>
      <c r="C12" s="316" t="s">
        <v>310</v>
      </c>
      <c r="D12" s="317" t="s">
        <v>311</v>
      </c>
      <c r="E12" s="318" t="s">
        <v>312</v>
      </c>
      <c r="F12" s="319" t="s">
        <v>313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320" t="s">
        <v>314</v>
      </c>
      <c r="O12" s="320" t="s">
        <v>314</v>
      </c>
      <c r="P12" s="320" t="s">
        <v>314</v>
      </c>
    </row>
    <row r="13" spans="2:18" x14ac:dyDescent="0.25">
      <c r="B13" s="321" t="s">
        <v>315</v>
      </c>
      <c r="C13" s="322"/>
      <c r="D13" s="323"/>
      <c r="E13" s="324"/>
      <c r="F13" s="325"/>
      <c r="G13" s="326">
        <f>SUM(G14:G21)</f>
        <v>230</v>
      </c>
      <c r="H13" s="326">
        <f t="shared" ref="H13:P13" si="7">SUM(H14:H21)</f>
        <v>230</v>
      </c>
      <c r="I13" s="326">
        <f t="shared" si="7"/>
        <v>230</v>
      </c>
      <c r="J13" s="326">
        <f t="shared" si="7"/>
        <v>230</v>
      </c>
      <c r="K13" s="326">
        <f t="shared" si="7"/>
        <v>230</v>
      </c>
      <c r="L13" s="326">
        <f t="shared" si="7"/>
        <v>230</v>
      </c>
      <c r="M13" s="326">
        <f t="shared" si="7"/>
        <v>230</v>
      </c>
      <c r="N13" s="326">
        <f t="shared" si="7"/>
        <v>230</v>
      </c>
      <c r="O13" s="326">
        <f t="shared" si="7"/>
        <v>230</v>
      </c>
      <c r="P13" s="326">
        <f t="shared" si="7"/>
        <v>230</v>
      </c>
    </row>
    <row r="14" spans="2:18" x14ac:dyDescent="0.25">
      <c r="B14" s="327" t="s">
        <v>317</v>
      </c>
      <c r="C14" s="328">
        <v>250</v>
      </c>
      <c r="D14" s="268">
        <v>6</v>
      </c>
      <c r="E14" s="329">
        <v>14</v>
      </c>
      <c r="F14" s="330">
        <v>2</v>
      </c>
      <c r="G14" s="268">
        <f t="shared" ref="G14:P21" si="8">$E14*$D14</f>
        <v>84</v>
      </c>
      <c r="H14" s="268">
        <f t="shared" si="8"/>
        <v>84</v>
      </c>
      <c r="I14" s="268">
        <f>$E14*$D14</f>
        <v>84</v>
      </c>
      <c r="J14" s="268">
        <f t="shared" si="8"/>
        <v>84</v>
      </c>
      <c r="K14" s="268">
        <f t="shared" si="8"/>
        <v>84</v>
      </c>
      <c r="L14" s="268">
        <f t="shared" si="8"/>
        <v>84</v>
      </c>
      <c r="M14" s="268">
        <f t="shared" si="8"/>
        <v>84</v>
      </c>
      <c r="N14" s="268">
        <f t="shared" si="8"/>
        <v>84</v>
      </c>
      <c r="O14" s="268">
        <f t="shared" si="8"/>
        <v>84</v>
      </c>
      <c r="P14" s="268">
        <f t="shared" si="8"/>
        <v>84</v>
      </c>
      <c r="R14" s="275" t="s">
        <v>551</v>
      </c>
    </row>
    <row r="15" spans="2:18" x14ac:dyDescent="0.25">
      <c r="B15" s="327" t="s">
        <v>318</v>
      </c>
      <c r="C15" s="328">
        <v>500</v>
      </c>
      <c r="D15" s="268">
        <v>8</v>
      </c>
      <c r="E15" s="329">
        <v>7</v>
      </c>
      <c r="F15" s="330">
        <v>2</v>
      </c>
      <c r="G15" s="268">
        <f t="shared" si="8"/>
        <v>56</v>
      </c>
      <c r="H15" s="268">
        <f t="shared" si="8"/>
        <v>56</v>
      </c>
      <c r="I15" s="268">
        <f t="shared" si="8"/>
        <v>56</v>
      </c>
      <c r="J15" s="268">
        <f t="shared" si="8"/>
        <v>56</v>
      </c>
      <c r="K15" s="268">
        <f t="shared" si="8"/>
        <v>56</v>
      </c>
      <c r="L15" s="268">
        <f t="shared" si="8"/>
        <v>56</v>
      </c>
      <c r="M15" s="268">
        <f t="shared" si="8"/>
        <v>56</v>
      </c>
      <c r="N15" s="268">
        <f t="shared" si="8"/>
        <v>56</v>
      </c>
      <c r="O15" s="268">
        <f t="shared" si="8"/>
        <v>56</v>
      </c>
      <c r="P15" s="268">
        <f t="shared" si="8"/>
        <v>56</v>
      </c>
      <c r="R15" s="275" t="s">
        <v>551</v>
      </c>
    </row>
    <row r="16" spans="2:18" x14ac:dyDescent="0.25">
      <c r="B16" s="327" t="s">
        <v>319</v>
      </c>
      <c r="C16" s="328">
        <v>1000</v>
      </c>
      <c r="D16" s="268">
        <v>10</v>
      </c>
      <c r="E16" s="329">
        <v>1</v>
      </c>
      <c r="F16" s="330">
        <v>2</v>
      </c>
      <c r="G16" s="268">
        <f t="shared" si="8"/>
        <v>10</v>
      </c>
      <c r="H16" s="268">
        <f t="shared" si="8"/>
        <v>10</v>
      </c>
      <c r="I16" s="268">
        <f t="shared" si="8"/>
        <v>10</v>
      </c>
      <c r="J16" s="268">
        <f t="shared" si="8"/>
        <v>10</v>
      </c>
      <c r="K16" s="268">
        <f t="shared" si="8"/>
        <v>10</v>
      </c>
      <c r="L16" s="268">
        <f t="shared" si="8"/>
        <v>10</v>
      </c>
      <c r="M16" s="268">
        <f t="shared" si="8"/>
        <v>10</v>
      </c>
      <c r="N16" s="268">
        <f t="shared" si="8"/>
        <v>10</v>
      </c>
      <c r="O16" s="268">
        <f t="shared" si="8"/>
        <v>10</v>
      </c>
      <c r="P16" s="268">
        <f t="shared" si="8"/>
        <v>10</v>
      </c>
      <c r="R16" s="275" t="s">
        <v>551</v>
      </c>
    </row>
    <row r="17" spans="2:18" x14ac:dyDescent="0.25">
      <c r="B17" s="327" t="s">
        <v>552</v>
      </c>
      <c r="C17" s="328">
        <v>2000</v>
      </c>
      <c r="D17" s="268">
        <v>14</v>
      </c>
      <c r="E17" s="329">
        <v>2</v>
      </c>
      <c r="F17" s="330">
        <v>2</v>
      </c>
      <c r="G17" s="268">
        <f t="shared" si="8"/>
        <v>28</v>
      </c>
      <c r="H17" s="268">
        <f t="shared" si="8"/>
        <v>28</v>
      </c>
      <c r="I17" s="268">
        <f t="shared" si="8"/>
        <v>28</v>
      </c>
      <c r="J17" s="268">
        <f t="shared" si="8"/>
        <v>28</v>
      </c>
      <c r="K17" s="268">
        <f t="shared" si="8"/>
        <v>28</v>
      </c>
      <c r="L17" s="268">
        <f t="shared" si="8"/>
        <v>28</v>
      </c>
      <c r="M17" s="268">
        <f t="shared" si="8"/>
        <v>28</v>
      </c>
      <c r="N17" s="268">
        <f t="shared" si="8"/>
        <v>28</v>
      </c>
      <c r="O17" s="268">
        <f t="shared" si="8"/>
        <v>28</v>
      </c>
      <c r="P17" s="268">
        <f t="shared" si="8"/>
        <v>28</v>
      </c>
      <c r="R17" s="275" t="s">
        <v>551</v>
      </c>
    </row>
    <row r="18" spans="2:18" x14ac:dyDescent="0.25">
      <c r="B18" s="327" t="s">
        <v>553</v>
      </c>
      <c r="C18" s="328">
        <v>3000</v>
      </c>
      <c r="D18" s="268">
        <v>14</v>
      </c>
      <c r="E18" s="329">
        <v>1</v>
      </c>
      <c r="F18" s="330">
        <v>2</v>
      </c>
      <c r="G18" s="268">
        <f t="shared" si="8"/>
        <v>14</v>
      </c>
      <c r="H18" s="268">
        <f t="shared" si="8"/>
        <v>14</v>
      </c>
      <c r="I18" s="268">
        <f t="shared" si="8"/>
        <v>14</v>
      </c>
      <c r="J18" s="268">
        <f t="shared" si="8"/>
        <v>14</v>
      </c>
      <c r="K18" s="268">
        <f t="shared" si="8"/>
        <v>14</v>
      </c>
      <c r="L18" s="268">
        <f t="shared" si="8"/>
        <v>14</v>
      </c>
      <c r="M18" s="268">
        <f t="shared" si="8"/>
        <v>14</v>
      </c>
      <c r="N18" s="268">
        <f t="shared" si="8"/>
        <v>14</v>
      </c>
      <c r="O18" s="268">
        <f t="shared" si="8"/>
        <v>14</v>
      </c>
      <c r="P18" s="268">
        <f t="shared" si="8"/>
        <v>14</v>
      </c>
    </row>
    <row r="19" spans="2:18" ht="14.95" thickBot="1" x14ac:dyDescent="0.3">
      <c r="B19" s="551" t="s">
        <v>554</v>
      </c>
      <c r="C19" s="552">
        <v>5000</v>
      </c>
      <c r="D19" s="268">
        <v>14</v>
      </c>
      <c r="E19" s="333">
        <v>1</v>
      </c>
      <c r="F19" s="334">
        <v>2</v>
      </c>
      <c r="G19" s="268">
        <f t="shared" si="8"/>
        <v>14</v>
      </c>
      <c r="H19" s="268">
        <f t="shared" si="8"/>
        <v>14</v>
      </c>
      <c r="I19" s="268">
        <f t="shared" si="8"/>
        <v>14</v>
      </c>
      <c r="J19" s="268">
        <f t="shared" si="8"/>
        <v>14</v>
      </c>
      <c r="K19" s="268">
        <f t="shared" si="8"/>
        <v>14</v>
      </c>
      <c r="L19" s="268">
        <f t="shared" si="8"/>
        <v>14</v>
      </c>
      <c r="M19" s="268">
        <f t="shared" si="8"/>
        <v>14</v>
      </c>
      <c r="N19" s="268">
        <f t="shared" si="8"/>
        <v>14</v>
      </c>
      <c r="O19" s="268">
        <f t="shared" si="8"/>
        <v>14</v>
      </c>
      <c r="P19" s="268">
        <f t="shared" si="8"/>
        <v>14</v>
      </c>
      <c r="R19" s="275" t="s">
        <v>551</v>
      </c>
    </row>
    <row r="20" spans="2:18" ht="14.95" thickBot="1" x14ac:dyDescent="0.3">
      <c r="B20" s="551" t="s">
        <v>784</v>
      </c>
      <c r="C20" s="552">
        <v>6000</v>
      </c>
      <c r="D20" s="410">
        <v>14</v>
      </c>
      <c r="E20" s="333">
        <v>1</v>
      </c>
      <c r="F20" s="334"/>
      <c r="G20" s="410">
        <f t="shared" si="8"/>
        <v>14</v>
      </c>
      <c r="H20" s="410">
        <f t="shared" si="8"/>
        <v>14</v>
      </c>
      <c r="I20" s="410">
        <f t="shared" si="8"/>
        <v>14</v>
      </c>
      <c r="J20" s="410">
        <f t="shared" si="8"/>
        <v>14</v>
      </c>
      <c r="K20" s="410">
        <f t="shared" si="8"/>
        <v>14</v>
      </c>
      <c r="L20" s="410">
        <f t="shared" si="8"/>
        <v>14</v>
      </c>
      <c r="M20" s="410">
        <f t="shared" si="8"/>
        <v>14</v>
      </c>
      <c r="N20" s="410">
        <f t="shared" si="8"/>
        <v>14</v>
      </c>
      <c r="O20" s="410">
        <f t="shared" si="8"/>
        <v>14</v>
      </c>
      <c r="P20" s="410">
        <f t="shared" si="8"/>
        <v>14</v>
      </c>
    </row>
    <row r="21" spans="2:18" ht="14.95" thickBot="1" x14ac:dyDescent="0.3">
      <c r="B21" s="551" t="s">
        <v>785</v>
      </c>
      <c r="C21" s="552">
        <v>7000</v>
      </c>
      <c r="D21" s="332">
        <v>10</v>
      </c>
      <c r="E21" s="333">
        <v>1</v>
      </c>
      <c r="F21" s="334">
        <v>2</v>
      </c>
      <c r="G21" s="332">
        <f t="shared" si="8"/>
        <v>10</v>
      </c>
      <c r="H21" s="332">
        <f>$D21</f>
        <v>10</v>
      </c>
      <c r="I21" s="332">
        <f t="shared" si="8"/>
        <v>10</v>
      </c>
      <c r="J21" s="332">
        <f>$D21</f>
        <v>10</v>
      </c>
      <c r="K21" s="332">
        <f t="shared" si="8"/>
        <v>10</v>
      </c>
      <c r="L21" s="332">
        <f>$D21</f>
        <v>10</v>
      </c>
      <c r="M21" s="332">
        <f>$D21</f>
        <v>10</v>
      </c>
      <c r="N21" s="332">
        <f t="shared" si="8"/>
        <v>10</v>
      </c>
      <c r="O21" s="332">
        <f>$D21</f>
        <v>10</v>
      </c>
      <c r="P21" s="332">
        <f t="shared" si="8"/>
        <v>10</v>
      </c>
      <c r="R21" s="275" t="s">
        <v>551</v>
      </c>
    </row>
    <row r="22" spans="2:18" ht="14.95" thickBot="1" x14ac:dyDescent="0.3">
      <c r="B22" s="1069"/>
      <c r="C22" s="1070"/>
      <c r="D22" s="1070"/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1070"/>
    </row>
    <row r="23" spans="2:18" ht="27.2" x14ac:dyDescent="0.25">
      <c r="B23" s="335" t="s">
        <v>305</v>
      </c>
      <c r="C23" s="336" t="s">
        <v>323</v>
      </c>
      <c r="D23" s="337" t="s">
        <v>324</v>
      </c>
      <c r="E23" s="338" t="s">
        <v>325</v>
      </c>
      <c r="F23" s="339" t="s">
        <v>312</v>
      </c>
      <c r="G23" s="340" t="s">
        <v>292</v>
      </c>
      <c r="H23" s="340" t="s">
        <v>292</v>
      </c>
      <c r="I23" s="340" t="s">
        <v>292</v>
      </c>
      <c r="J23" s="340" t="s">
        <v>292</v>
      </c>
      <c r="K23" s="340" t="s">
        <v>292</v>
      </c>
      <c r="L23" s="340" t="s">
        <v>292</v>
      </c>
      <c r="M23" s="340" t="s">
        <v>292</v>
      </c>
      <c r="N23" s="340" t="s">
        <v>292</v>
      </c>
      <c r="O23" s="340" t="s">
        <v>292</v>
      </c>
      <c r="P23" s="340" t="s">
        <v>292</v>
      </c>
    </row>
    <row r="24" spans="2:18" x14ac:dyDescent="0.25">
      <c r="B24" s="341" t="s">
        <v>326</v>
      </c>
      <c r="C24" s="342"/>
      <c r="D24" s="343"/>
      <c r="E24" s="344"/>
      <c r="F24" s="345"/>
      <c r="G24" s="346">
        <f>SUM(G25:G163)</f>
        <v>154718.99099571866</v>
      </c>
      <c r="H24" s="346">
        <f t="shared" ref="H24:P24" si="9">SUM(H25:H163)</f>
        <v>154718.99099571866</v>
      </c>
      <c r="I24" s="346">
        <f t="shared" si="9"/>
        <v>154718.99099571866</v>
      </c>
      <c r="J24" s="346">
        <f t="shared" si="9"/>
        <v>154718.99099571866</v>
      </c>
      <c r="K24" s="346">
        <f t="shared" si="9"/>
        <v>154718.99099571866</v>
      </c>
      <c r="L24" s="346">
        <f t="shared" si="9"/>
        <v>154718.99099571866</v>
      </c>
      <c r="M24" s="346">
        <f t="shared" si="9"/>
        <v>154718.99099571866</v>
      </c>
      <c r="N24" s="346">
        <f t="shared" si="9"/>
        <v>154718.99099571866</v>
      </c>
      <c r="O24" s="346">
        <f t="shared" si="9"/>
        <v>154718.99099571866</v>
      </c>
      <c r="P24" s="346">
        <f t="shared" si="9"/>
        <v>154718.99099571866</v>
      </c>
    </row>
    <row r="25" spans="2:18" x14ac:dyDescent="0.25">
      <c r="B25" s="748" t="s">
        <v>317</v>
      </c>
      <c r="C25" s="364"/>
      <c r="D25" s="348"/>
      <c r="E25" s="349">
        <f>VLOOKUP($B25,$B$14:$C$21,2,FALSE)</f>
        <v>250</v>
      </c>
      <c r="F25" s="294">
        <f>VLOOKUP($B25,$B$14:$E$21,4,FALSE)</f>
        <v>14</v>
      </c>
      <c r="G25" s="476"/>
      <c r="H25" s="476"/>
      <c r="I25" s="476"/>
      <c r="J25" s="476"/>
      <c r="K25" s="476"/>
      <c r="L25" s="476"/>
      <c r="M25" s="476"/>
      <c r="N25" s="476"/>
      <c r="O25" s="476"/>
      <c r="P25" s="476"/>
    </row>
    <row r="26" spans="2:18" ht="15.65" x14ac:dyDescent="0.25">
      <c r="B26" s="749" t="s">
        <v>786</v>
      </c>
      <c r="C26" s="750" t="s">
        <v>787</v>
      </c>
      <c r="D26" s="354">
        <v>246.41286719999999</v>
      </c>
      <c r="E26" s="751">
        <v>4</v>
      </c>
      <c r="F26" s="358"/>
      <c r="G26" s="350">
        <f>IF(G$14=0,0,G$14/$D$14*$E26*$D26)</f>
        <v>13799.1205632</v>
      </c>
      <c r="H26" s="350">
        <f>IF(H$14=0,0,H$14/$D$14*$E26*$D26)</f>
        <v>13799.1205632</v>
      </c>
      <c r="I26" s="350">
        <f t="shared" ref="H26:P32" si="10">IF(I$14=0,0,I$14/$D$14*$E26*$D26)</f>
        <v>13799.1205632</v>
      </c>
      <c r="J26" s="350">
        <f t="shared" si="10"/>
        <v>13799.1205632</v>
      </c>
      <c r="K26" s="350">
        <f t="shared" si="10"/>
        <v>13799.1205632</v>
      </c>
      <c r="L26" s="350">
        <f t="shared" si="10"/>
        <v>13799.1205632</v>
      </c>
      <c r="M26" s="350">
        <f t="shared" si="10"/>
        <v>13799.1205632</v>
      </c>
      <c r="N26" s="350">
        <f t="shared" si="10"/>
        <v>13799.1205632</v>
      </c>
      <c r="O26" s="350">
        <f t="shared" si="10"/>
        <v>13799.1205632</v>
      </c>
      <c r="P26" s="350">
        <f t="shared" si="10"/>
        <v>13799.1205632</v>
      </c>
      <c r="Q26" s="752"/>
      <c r="R26" s="362"/>
    </row>
    <row r="27" spans="2:18" ht="15.65" x14ac:dyDescent="0.25">
      <c r="B27" s="749" t="s">
        <v>786</v>
      </c>
      <c r="C27" s="750" t="s">
        <v>788</v>
      </c>
      <c r="D27" s="354">
        <v>54.066047649999994</v>
      </c>
      <c r="E27" s="751">
        <v>1</v>
      </c>
      <c r="F27" s="358"/>
      <c r="G27" s="350">
        <f>IF(G$14=0,0,G$14/$D$14*$E27*$D27)</f>
        <v>756.92466709999997</v>
      </c>
      <c r="H27" s="350">
        <f t="shared" si="10"/>
        <v>756.92466709999997</v>
      </c>
      <c r="I27" s="350">
        <f t="shared" si="10"/>
        <v>756.92466709999997</v>
      </c>
      <c r="J27" s="350">
        <f t="shared" si="10"/>
        <v>756.92466709999997</v>
      </c>
      <c r="K27" s="350">
        <f t="shared" si="10"/>
        <v>756.92466709999997</v>
      </c>
      <c r="L27" s="350">
        <f t="shared" si="10"/>
        <v>756.92466709999997</v>
      </c>
      <c r="M27" s="350">
        <f t="shared" si="10"/>
        <v>756.92466709999997</v>
      </c>
      <c r="N27" s="350">
        <f t="shared" si="10"/>
        <v>756.92466709999997</v>
      </c>
      <c r="O27" s="350">
        <f t="shared" si="10"/>
        <v>756.92466709999997</v>
      </c>
      <c r="P27" s="350">
        <f t="shared" si="10"/>
        <v>756.92466709999997</v>
      </c>
      <c r="Q27" s="752"/>
      <c r="R27" s="362"/>
    </row>
    <row r="28" spans="2:18" ht="31.25" x14ac:dyDescent="0.25">
      <c r="B28" s="749" t="s">
        <v>789</v>
      </c>
      <c r="C28" s="750" t="s">
        <v>790</v>
      </c>
      <c r="D28" s="354">
        <v>112.55286289999999</v>
      </c>
      <c r="E28" s="751">
        <v>1</v>
      </c>
      <c r="F28" s="358"/>
      <c r="G28" s="350">
        <f t="shared" ref="G28:P32" si="11">IF(G$14=0,0,G$14/$D$14*$E28*$D28)</f>
        <v>1575.7400805999998</v>
      </c>
      <c r="H28" s="350">
        <f t="shared" si="11"/>
        <v>1575.7400805999998</v>
      </c>
      <c r="I28" s="350">
        <f t="shared" si="11"/>
        <v>1575.7400805999998</v>
      </c>
      <c r="J28" s="350">
        <f t="shared" si="11"/>
        <v>1575.7400805999998</v>
      </c>
      <c r="K28" s="350">
        <f t="shared" si="11"/>
        <v>1575.7400805999998</v>
      </c>
      <c r="L28" s="350">
        <f t="shared" si="11"/>
        <v>1575.7400805999998</v>
      </c>
      <c r="M28" s="350">
        <f t="shared" si="11"/>
        <v>1575.7400805999998</v>
      </c>
      <c r="N28" s="350">
        <f t="shared" si="11"/>
        <v>1575.7400805999998</v>
      </c>
      <c r="O28" s="350">
        <f t="shared" si="11"/>
        <v>1575.7400805999998</v>
      </c>
      <c r="P28" s="350">
        <f t="shared" si="11"/>
        <v>1575.7400805999998</v>
      </c>
      <c r="Q28" s="752"/>
      <c r="R28" s="362"/>
    </row>
    <row r="29" spans="2:18" ht="31.25" x14ac:dyDescent="0.25">
      <c r="B29" s="749" t="s">
        <v>791</v>
      </c>
      <c r="C29" s="750" t="s">
        <v>792</v>
      </c>
      <c r="D29" s="354">
        <v>54.066047649999994</v>
      </c>
      <c r="E29" s="751">
        <v>3</v>
      </c>
      <c r="F29" s="358"/>
      <c r="G29" s="350">
        <f t="shared" si="11"/>
        <v>2270.7740012999998</v>
      </c>
      <c r="H29" s="350">
        <f t="shared" si="10"/>
        <v>2270.7740012999998</v>
      </c>
      <c r="I29" s="350">
        <f t="shared" si="10"/>
        <v>2270.7740012999998</v>
      </c>
      <c r="J29" s="350">
        <f t="shared" si="10"/>
        <v>2270.7740012999998</v>
      </c>
      <c r="K29" s="350">
        <f t="shared" si="10"/>
        <v>2270.7740012999998</v>
      </c>
      <c r="L29" s="350">
        <f t="shared" si="10"/>
        <v>2270.7740012999998</v>
      </c>
      <c r="M29" s="350">
        <f t="shared" si="10"/>
        <v>2270.7740012999998</v>
      </c>
      <c r="N29" s="350">
        <f t="shared" si="10"/>
        <v>2270.7740012999998</v>
      </c>
      <c r="O29" s="350">
        <f t="shared" si="10"/>
        <v>2270.7740012999998</v>
      </c>
      <c r="P29" s="350">
        <f t="shared" si="10"/>
        <v>2270.7740012999998</v>
      </c>
      <c r="Q29" s="752"/>
      <c r="R29" s="362"/>
    </row>
    <row r="30" spans="2:18" ht="31.25" x14ac:dyDescent="0.25">
      <c r="B30" s="753" t="s">
        <v>793</v>
      </c>
      <c r="C30" s="754" t="s">
        <v>794</v>
      </c>
      <c r="D30" s="354">
        <v>45.474603300000005</v>
      </c>
      <c r="E30" s="751">
        <v>2</v>
      </c>
      <c r="F30" s="358"/>
      <c r="G30" s="350">
        <f t="shared" si="11"/>
        <v>1273.2888924000001</v>
      </c>
      <c r="H30" s="350">
        <f t="shared" si="10"/>
        <v>1273.2888924000001</v>
      </c>
      <c r="I30" s="350">
        <f t="shared" si="10"/>
        <v>1273.2888924000001</v>
      </c>
      <c r="J30" s="350">
        <f t="shared" si="10"/>
        <v>1273.2888924000001</v>
      </c>
      <c r="K30" s="350">
        <f t="shared" si="10"/>
        <v>1273.2888924000001</v>
      </c>
      <c r="L30" s="350">
        <f t="shared" si="10"/>
        <v>1273.2888924000001</v>
      </c>
      <c r="M30" s="350">
        <f t="shared" si="10"/>
        <v>1273.2888924000001</v>
      </c>
      <c r="N30" s="350">
        <f t="shared" si="10"/>
        <v>1273.2888924000001</v>
      </c>
      <c r="O30" s="350">
        <f t="shared" si="10"/>
        <v>1273.2888924000001</v>
      </c>
      <c r="P30" s="350">
        <f t="shared" si="10"/>
        <v>1273.2888924000001</v>
      </c>
      <c r="Q30" s="752"/>
      <c r="R30" s="362"/>
    </row>
    <row r="31" spans="2:18" ht="31.25" x14ac:dyDescent="0.25">
      <c r="B31" s="753" t="s">
        <v>795</v>
      </c>
      <c r="C31" s="755"/>
      <c r="D31" s="354">
        <v>4.420496</v>
      </c>
      <c r="E31" s="756">
        <v>280</v>
      </c>
      <c r="F31" s="358"/>
      <c r="G31" s="350">
        <f t="shared" si="11"/>
        <v>17328.34432</v>
      </c>
      <c r="H31" s="350">
        <f t="shared" si="10"/>
        <v>17328.34432</v>
      </c>
      <c r="I31" s="350">
        <f t="shared" si="10"/>
        <v>17328.34432</v>
      </c>
      <c r="J31" s="350">
        <f t="shared" si="10"/>
        <v>17328.34432</v>
      </c>
      <c r="K31" s="350">
        <f t="shared" si="10"/>
        <v>17328.34432</v>
      </c>
      <c r="L31" s="350">
        <f t="shared" si="10"/>
        <v>17328.34432</v>
      </c>
      <c r="M31" s="350">
        <f t="shared" si="10"/>
        <v>17328.34432</v>
      </c>
      <c r="N31" s="350">
        <f t="shared" si="10"/>
        <v>17328.34432</v>
      </c>
      <c r="O31" s="350">
        <f t="shared" si="10"/>
        <v>17328.34432</v>
      </c>
      <c r="P31" s="350">
        <f t="shared" si="10"/>
        <v>17328.34432</v>
      </c>
      <c r="Q31" s="752">
        <v>346</v>
      </c>
      <c r="R31" s="362">
        <f>Q31*0.012776</f>
        <v>4.420496</v>
      </c>
    </row>
    <row r="32" spans="2:18" ht="46.9" x14ac:dyDescent="0.25">
      <c r="B32" s="753" t="s">
        <v>796</v>
      </c>
      <c r="C32" s="363"/>
      <c r="D32" s="354">
        <v>12.43730824</v>
      </c>
      <c r="E32" s="756">
        <v>41</v>
      </c>
      <c r="F32" s="358"/>
      <c r="G32" s="350">
        <f t="shared" si="11"/>
        <v>7139.0149297600001</v>
      </c>
      <c r="H32" s="350">
        <f t="shared" si="10"/>
        <v>7139.0149297600001</v>
      </c>
      <c r="I32" s="350">
        <f t="shared" si="10"/>
        <v>7139.0149297600001</v>
      </c>
      <c r="J32" s="350">
        <f t="shared" si="10"/>
        <v>7139.0149297600001</v>
      </c>
      <c r="K32" s="350">
        <f t="shared" si="10"/>
        <v>7139.0149297600001</v>
      </c>
      <c r="L32" s="350">
        <f t="shared" si="10"/>
        <v>7139.0149297600001</v>
      </c>
      <c r="M32" s="350">
        <f t="shared" si="10"/>
        <v>7139.0149297600001</v>
      </c>
      <c r="N32" s="350">
        <f t="shared" si="10"/>
        <v>7139.0149297600001</v>
      </c>
      <c r="O32" s="350">
        <f t="shared" si="10"/>
        <v>7139.0149297600001</v>
      </c>
      <c r="P32" s="350">
        <f t="shared" si="10"/>
        <v>7139.0149297600001</v>
      </c>
      <c r="Q32" s="752">
        <v>973.49</v>
      </c>
      <c r="R32" s="362">
        <f>Q32*0.012776</f>
        <v>12.43730824</v>
      </c>
    </row>
    <row r="33" spans="2:18" x14ac:dyDescent="0.25">
      <c r="B33" s="748" t="s">
        <v>318</v>
      </c>
      <c r="C33" s="364"/>
      <c r="D33" s="348"/>
      <c r="E33" s="349">
        <f>VLOOKUP($B33,$B$14:$C$21,2,FALSE)</f>
        <v>500</v>
      </c>
      <c r="F33" s="294">
        <f>VLOOKUP($B33,$B$14:$E$21,4,FALSE)</f>
        <v>7</v>
      </c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752"/>
      <c r="R33" s="362"/>
    </row>
    <row r="34" spans="2:18" ht="15.65" x14ac:dyDescent="0.25">
      <c r="B34" s="753" t="s">
        <v>786</v>
      </c>
      <c r="C34" s="757" t="s">
        <v>787</v>
      </c>
      <c r="D34" s="758">
        <v>246.41286719999999</v>
      </c>
      <c r="E34" s="759">
        <v>4</v>
      </c>
      <c r="F34" s="358"/>
      <c r="G34" s="350">
        <f>IF(G$15=0,0,G$15/$D$15*$E34*$D34)</f>
        <v>6899.5602816000001</v>
      </c>
      <c r="H34" s="350">
        <f t="shared" ref="H34:P45" si="12">IF(H$15=0,0,H$15/$D$15*$E34*$D34)</f>
        <v>6899.5602816000001</v>
      </c>
      <c r="I34" s="350">
        <f t="shared" si="12"/>
        <v>6899.5602816000001</v>
      </c>
      <c r="J34" s="350">
        <f t="shared" si="12"/>
        <v>6899.5602816000001</v>
      </c>
      <c r="K34" s="350">
        <f t="shared" si="12"/>
        <v>6899.5602816000001</v>
      </c>
      <c r="L34" s="350">
        <f t="shared" si="12"/>
        <v>6899.5602816000001</v>
      </c>
      <c r="M34" s="350">
        <f t="shared" si="12"/>
        <v>6899.5602816000001</v>
      </c>
      <c r="N34" s="350">
        <f t="shared" si="12"/>
        <v>6899.5602816000001</v>
      </c>
      <c r="O34" s="350">
        <f t="shared" si="12"/>
        <v>6899.5602816000001</v>
      </c>
      <c r="P34" s="350">
        <f t="shared" si="12"/>
        <v>6899.5602816000001</v>
      </c>
      <c r="Q34" s="752"/>
      <c r="R34" s="362"/>
    </row>
    <row r="35" spans="2:18" ht="15.65" x14ac:dyDescent="0.25">
      <c r="B35" s="753" t="s">
        <v>786</v>
      </c>
      <c r="C35" s="757" t="s">
        <v>788</v>
      </c>
      <c r="D35" s="758">
        <v>54.066047649999994</v>
      </c>
      <c r="E35" s="759">
        <v>1</v>
      </c>
      <c r="F35" s="358"/>
      <c r="G35" s="350">
        <f t="shared" ref="G35:P45" si="13">IF(G$15=0,0,G$15/$D$15*$E35*$D35)</f>
        <v>378.46233354999998</v>
      </c>
      <c r="H35" s="350">
        <f t="shared" si="13"/>
        <v>378.46233354999998</v>
      </c>
      <c r="I35" s="350">
        <f t="shared" si="13"/>
        <v>378.46233354999998</v>
      </c>
      <c r="J35" s="350">
        <f t="shared" si="13"/>
        <v>378.46233354999998</v>
      </c>
      <c r="K35" s="350">
        <f t="shared" si="13"/>
        <v>378.46233354999998</v>
      </c>
      <c r="L35" s="350">
        <f t="shared" si="13"/>
        <v>378.46233354999998</v>
      </c>
      <c r="M35" s="350">
        <f t="shared" si="13"/>
        <v>378.46233354999998</v>
      </c>
      <c r="N35" s="350">
        <f t="shared" si="13"/>
        <v>378.46233354999998</v>
      </c>
      <c r="O35" s="350">
        <f t="shared" si="13"/>
        <v>378.46233354999998</v>
      </c>
      <c r="P35" s="350">
        <f t="shared" si="13"/>
        <v>378.46233354999998</v>
      </c>
      <c r="Q35" s="752"/>
      <c r="R35" s="362"/>
    </row>
    <row r="36" spans="2:18" ht="31.25" x14ac:dyDescent="0.25">
      <c r="B36" s="753" t="s">
        <v>789</v>
      </c>
      <c r="C36" s="757" t="s">
        <v>790</v>
      </c>
      <c r="D36" s="758">
        <v>112.55286289999999</v>
      </c>
      <c r="E36" s="759">
        <v>1</v>
      </c>
      <c r="F36" s="358"/>
      <c r="G36" s="350">
        <f t="shared" si="13"/>
        <v>787.87004029999991</v>
      </c>
      <c r="H36" s="350">
        <f t="shared" si="12"/>
        <v>787.87004029999991</v>
      </c>
      <c r="I36" s="350">
        <f t="shared" si="12"/>
        <v>787.87004029999991</v>
      </c>
      <c r="J36" s="350">
        <f t="shared" si="12"/>
        <v>787.87004029999991</v>
      </c>
      <c r="K36" s="350">
        <f t="shared" si="12"/>
        <v>787.87004029999991</v>
      </c>
      <c r="L36" s="350">
        <f t="shared" si="12"/>
        <v>787.87004029999991</v>
      </c>
      <c r="M36" s="350">
        <f t="shared" si="12"/>
        <v>787.87004029999991</v>
      </c>
      <c r="N36" s="350">
        <f t="shared" si="12"/>
        <v>787.87004029999991</v>
      </c>
      <c r="O36" s="350">
        <f t="shared" si="12"/>
        <v>787.87004029999991</v>
      </c>
      <c r="P36" s="350">
        <f t="shared" si="12"/>
        <v>787.87004029999991</v>
      </c>
      <c r="Q36" s="752"/>
      <c r="R36" s="362"/>
    </row>
    <row r="37" spans="2:18" ht="31.25" x14ac:dyDescent="0.25">
      <c r="B37" s="753" t="s">
        <v>791</v>
      </c>
      <c r="C37" s="757" t="s">
        <v>792</v>
      </c>
      <c r="D37" s="758">
        <v>54.066047649999994</v>
      </c>
      <c r="E37" s="759">
        <v>3</v>
      </c>
      <c r="F37" s="358"/>
      <c r="G37" s="350">
        <f t="shared" si="13"/>
        <v>1135.3870006499999</v>
      </c>
      <c r="H37" s="350">
        <f t="shared" si="12"/>
        <v>1135.3870006499999</v>
      </c>
      <c r="I37" s="350">
        <f t="shared" si="12"/>
        <v>1135.3870006499999</v>
      </c>
      <c r="J37" s="350">
        <f t="shared" si="12"/>
        <v>1135.3870006499999</v>
      </c>
      <c r="K37" s="350">
        <f t="shared" si="12"/>
        <v>1135.3870006499999</v>
      </c>
      <c r="L37" s="350">
        <f t="shared" si="12"/>
        <v>1135.3870006499999</v>
      </c>
      <c r="M37" s="350">
        <f t="shared" si="12"/>
        <v>1135.3870006499999</v>
      </c>
      <c r="N37" s="350">
        <f t="shared" si="12"/>
        <v>1135.3870006499999</v>
      </c>
      <c r="O37" s="350">
        <f t="shared" si="12"/>
        <v>1135.3870006499999</v>
      </c>
      <c r="P37" s="350">
        <f t="shared" si="12"/>
        <v>1135.3870006499999</v>
      </c>
      <c r="Q37" s="752"/>
      <c r="R37" s="362"/>
    </row>
    <row r="38" spans="2:18" ht="31.25" x14ac:dyDescent="0.25">
      <c r="B38" s="753" t="s">
        <v>793</v>
      </c>
      <c r="C38" s="757" t="s">
        <v>794</v>
      </c>
      <c r="D38" s="758">
        <v>45.474603300000005</v>
      </c>
      <c r="E38" s="759">
        <v>2</v>
      </c>
      <c r="F38" s="358"/>
      <c r="G38" s="350">
        <f t="shared" si="13"/>
        <v>636.64444620000006</v>
      </c>
      <c r="H38" s="350">
        <f t="shared" si="12"/>
        <v>636.64444620000006</v>
      </c>
      <c r="I38" s="350">
        <f t="shared" si="12"/>
        <v>636.64444620000006</v>
      </c>
      <c r="J38" s="350">
        <f t="shared" si="12"/>
        <v>636.64444620000006</v>
      </c>
      <c r="K38" s="350">
        <f t="shared" si="12"/>
        <v>636.64444620000006</v>
      </c>
      <c r="L38" s="350">
        <f t="shared" si="12"/>
        <v>636.64444620000006</v>
      </c>
      <c r="M38" s="350">
        <f t="shared" si="12"/>
        <v>636.64444620000006</v>
      </c>
      <c r="N38" s="350">
        <f t="shared" si="12"/>
        <v>636.64444620000006</v>
      </c>
      <c r="O38" s="350">
        <f t="shared" si="12"/>
        <v>636.64444620000006</v>
      </c>
      <c r="P38" s="350">
        <f t="shared" si="12"/>
        <v>636.64444620000006</v>
      </c>
      <c r="Q38" s="752"/>
      <c r="R38" s="362"/>
    </row>
    <row r="39" spans="2:18" ht="31.25" x14ac:dyDescent="0.25">
      <c r="B39" s="760" t="s">
        <v>797</v>
      </c>
      <c r="C39" s="757" t="s">
        <v>798</v>
      </c>
      <c r="D39" s="758">
        <v>299.44710289999995</v>
      </c>
      <c r="E39" s="759">
        <v>4</v>
      </c>
      <c r="F39" s="358"/>
      <c r="G39" s="350">
        <f t="shared" si="13"/>
        <v>8384.5188811999978</v>
      </c>
      <c r="H39" s="350">
        <f t="shared" si="12"/>
        <v>8384.5188811999978</v>
      </c>
      <c r="I39" s="350">
        <f t="shared" si="12"/>
        <v>8384.5188811999978</v>
      </c>
      <c r="J39" s="350">
        <f t="shared" si="12"/>
        <v>8384.5188811999978</v>
      </c>
      <c r="K39" s="350">
        <f t="shared" si="12"/>
        <v>8384.5188811999978</v>
      </c>
      <c r="L39" s="350">
        <f t="shared" si="12"/>
        <v>8384.5188811999978</v>
      </c>
      <c r="M39" s="350">
        <f t="shared" si="12"/>
        <v>8384.5188811999978</v>
      </c>
      <c r="N39" s="350">
        <f t="shared" si="12"/>
        <v>8384.5188811999978</v>
      </c>
      <c r="O39" s="350">
        <f t="shared" si="12"/>
        <v>8384.5188811999978</v>
      </c>
      <c r="P39" s="350">
        <f t="shared" si="12"/>
        <v>8384.5188811999978</v>
      </c>
      <c r="Q39" s="752"/>
      <c r="R39" s="362"/>
    </row>
    <row r="40" spans="2:18" ht="15.65" x14ac:dyDescent="0.25">
      <c r="B40" s="753" t="s">
        <v>799</v>
      </c>
      <c r="C40" s="757" t="s">
        <v>800</v>
      </c>
      <c r="D40" s="758">
        <v>1584.9065841500001</v>
      </c>
      <c r="E40" s="759">
        <v>1</v>
      </c>
      <c r="F40" s="358"/>
      <c r="G40" s="350">
        <f t="shared" si="13"/>
        <v>11094.346089050001</v>
      </c>
      <c r="H40" s="350">
        <f t="shared" si="12"/>
        <v>11094.346089050001</v>
      </c>
      <c r="I40" s="350">
        <f t="shared" si="12"/>
        <v>11094.346089050001</v>
      </c>
      <c r="J40" s="350">
        <f t="shared" si="12"/>
        <v>11094.346089050001</v>
      </c>
      <c r="K40" s="350">
        <f t="shared" si="12"/>
        <v>11094.346089050001</v>
      </c>
      <c r="L40" s="350">
        <f t="shared" si="12"/>
        <v>11094.346089050001</v>
      </c>
      <c r="M40" s="350">
        <f t="shared" si="12"/>
        <v>11094.346089050001</v>
      </c>
      <c r="N40" s="350">
        <f t="shared" si="12"/>
        <v>11094.346089050001</v>
      </c>
      <c r="O40" s="350">
        <f t="shared" si="12"/>
        <v>11094.346089050001</v>
      </c>
      <c r="P40" s="350">
        <f t="shared" si="12"/>
        <v>11094.346089050001</v>
      </c>
      <c r="Q40" s="752"/>
      <c r="R40" s="362"/>
    </row>
    <row r="41" spans="2:18" ht="15.65" x14ac:dyDescent="0.25">
      <c r="B41" s="753" t="s">
        <v>801</v>
      </c>
      <c r="C41" s="757" t="s">
        <v>802</v>
      </c>
      <c r="D41" s="758">
        <v>111.55721810513619</v>
      </c>
      <c r="E41" s="759">
        <v>2</v>
      </c>
      <c r="F41" s="358"/>
      <c r="G41" s="350">
        <f t="shared" si="13"/>
        <v>1561.8010534719067</v>
      </c>
      <c r="H41" s="350">
        <f t="shared" si="12"/>
        <v>1561.8010534719067</v>
      </c>
      <c r="I41" s="350">
        <f t="shared" si="12"/>
        <v>1561.8010534719067</v>
      </c>
      <c r="J41" s="350">
        <f t="shared" si="12"/>
        <v>1561.8010534719067</v>
      </c>
      <c r="K41" s="350">
        <f t="shared" si="12"/>
        <v>1561.8010534719067</v>
      </c>
      <c r="L41" s="350">
        <f t="shared" si="12"/>
        <v>1561.8010534719067</v>
      </c>
      <c r="M41" s="350">
        <f t="shared" si="12"/>
        <v>1561.8010534719067</v>
      </c>
      <c r="N41" s="350">
        <f t="shared" si="12"/>
        <v>1561.8010534719067</v>
      </c>
      <c r="O41" s="350">
        <f t="shared" si="12"/>
        <v>1561.8010534719067</v>
      </c>
      <c r="P41" s="350">
        <f t="shared" si="12"/>
        <v>1561.8010534719067</v>
      </c>
      <c r="Q41" s="752"/>
      <c r="R41" s="362"/>
    </row>
    <row r="42" spans="2:18" ht="31.25" x14ac:dyDescent="0.25">
      <c r="B42" s="753" t="s">
        <v>803</v>
      </c>
      <c r="C42" s="757" t="s">
        <v>804</v>
      </c>
      <c r="D42" s="758">
        <v>29.808732750000001</v>
      </c>
      <c r="E42" s="759">
        <v>2</v>
      </c>
      <c r="F42" s="358"/>
      <c r="G42" s="350">
        <f t="shared" si="13"/>
        <v>417.32225850000003</v>
      </c>
      <c r="H42" s="350">
        <f t="shared" si="12"/>
        <v>417.32225850000003</v>
      </c>
      <c r="I42" s="350">
        <f t="shared" si="12"/>
        <v>417.32225850000003</v>
      </c>
      <c r="J42" s="350">
        <f t="shared" si="12"/>
        <v>417.32225850000003</v>
      </c>
      <c r="K42" s="350">
        <f t="shared" si="12"/>
        <v>417.32225850000003</v>
      </c>
      <c r="L42" s="350">
        <f t="shared" si="12"/>
        <v>417.32225850000003</v>
      </c>
      <c r="M42" s="350">
        <f t="shared" si="12"/>
        <v>417.32225850000003</v>
      </c>
      <c r="N42" s="350">
        <f t="shared" si="12"/>
        <v>417.32225850000003</v>
      </c>
      <c r="O42" s="350">
        <f t="shared" si="12"/>
        <v>417.32225850000003</v>
      </c>
      <c r="P42" s="350">
        <f t="shared" si="12"/>
        <v>417.32225850000003</v>
      </c>
      <c r="Q42" s="752"/>
      <c r="R42" s="362"/>
    </row>
    <row r="43" spans="2:18" ht="31.25" x14ac:dyDescent="0.25">
      <c r="B43" s="761" t="s">
        <v>805</v>
      </c>
      <c r="C43" s="757" t="s">
        <v>806</v>
      </c>
      <c r="D43" s="758">
        <v>23.902395550000001</v>
      </c>
      <c r="E43" s="759">
        <v>1</v>
      </c>
      <c r="F43" s="358"/>
      <c r="G43" s="350">
        <f t="shared" si="13"/>
        <v>167.31676885000002</v>
      </c>
      <c r="H43" s="350">
        <f t="shared" si="12"/>
        <v>167.31676885000002</v>
      </c>
      <c r="I43" s="350">
        <f t="shared" si="12"/>
        <v>167.31676885000002</v>
      </c>
      <c r="J43" s="350">
        <f t="shared" si="12"/>
        <v>167.31676885000002</v>
      </c>
      <c r="K43" s="350">
        <f t="shared" si="12"/>
        <v>167.31676885000002</v>
      </c>
      <c r="L43" s="350">
        <f t="shared" si="12"/>
        <v>167.31676885000002</v>
      </c>
      <c r="M43" s="350">
        <f t="shared" si="12"/>
        <v>167.31676885000002</v>
      </c>
      <c r="N43" s="350">
        <f t="shared" si="12"/>
        <v>167.31676885000002</v>
      </c>
      <c r="O43" s="350">
        <f t="shared" si="12"/>
        <v>167.31676885000002</v>
      </c>
      <c r="P43" s="350">
        <f t="shared" si="12"/>
        <v>167.31676885000002</v>
      </c>
      <c r="Q43" s="752"/>
      <c r="R43" s="362"/>
    </row>
    <row r="44" spans="2:18" ht="31.25" x14ac:dyDescent="0.25">
      <c r="B44" s="753" t="s">
        <v>795</v>
      </c>
      <c r="C44" s="762"/>
      <c r="D44" s="758">
        <v>4.420496</v>
      </c>
      <c r="E44" s="763">
        <v>280</v>
      </c>
      <c r="F44" s="358"/>
      <c r="G44" s="350">
        <f t="shared" si="13"/>
        <v>8664.1721600000001</v>
      </c>
      <c r="H44" s="350">
        <f t="shared" si="12"/>
        <v>8664.1721600000001</v>
      </c>
      <c r="I44" s="350">
        <f t="shared" si="12"/>
        <v>8664.1721600000001</v>
      </c>
      <c r="J44" s="350">
        <f t="shared" si="12"/>
        <v>8664.1721600000001</v>
      </c>
      <c r="K44" s="350">
        <f t="shared" si="12"/>
        <v>8664.1721600000001</v>
      </c>
      <c r="L44" s="350">
        <f t="shared" si="12"/>
        <v>8664.1721600000001</v>
      </c>
      <c r="M44" s="350">
        <f t="shared" si="12"/>
        <v>8664.1721600000001</v>
      </c>
      <c r="N44" s="350">
        <f t="shared" si="12"/>
        <v>8664.1721600000001</v>
      </c>
      <c r="O44" s="350">
        <f t="shared" si="12"/>
        <v>8664.1721600000001</v>
      </c>
      <c r="P44" s="350">
        <f t="shared" si="12"/>
        <v>8664.1721600000001</v>
      </c>
      <c r="Q44" s="752">
        <v>346</v>
      </c>
      <c r="R44" s="362">
        <f>Q44*0.012776</f>
        <v>4.420496</v>
      </c>
    </row>
    <row r="45" spans="2:18" ht="46.9" x14ac:dyDescent="0.25">
      <c r="B45" s="753" t="s">
        <v>796</v>
      </c>
      <c r="C45" s="764"/>
      <c r="D45" s="758">
        <v>12.43730824</v>
      </c>
      <c r="E45" s="763">
        <v>41</v>
      </c>
      <c r="F45" s="358"/>
      <c r="G45" s="350">
        <f t="shared" si="13"/>
        <v>3569.50746488</v>
      </c>
      <c r="H45" s="350">
        <f t="shared" si="12"/>
        <v>3569.50746488</v>
      </c>
      <c r="I45" s="350">
        <f t="shared" si="12"/>
        <v>3569.50746488</v>
      </c>
      <c r="J45" s="350">
        <f t="shared" si="12"/>
        <v>3569.50746488</v>
      </c>
      <c r="K45" s="350">
        <f t="shared" si="12"/>
        <v>3569.50746488</v>
      </c>
      <c r="L45" s="350">
        <f t="shared" si="12"/>
        <v>3569.50746488</v>
      </c>
      <c r="M45" s="350">
        <f t="shared" si="12"/>
        <v>3569.50746488</v>
      </c>
      <c r="N45" s="350">
        <f t="shared" si="12"/>
        <v>3569.50746488</v>
      </c>
      <c r="O45" s="350">
        <f t="shared" si="12"/>
        <v>3569.50746488</v>
      </c>
      <c r="P45" s="350">
        <f t="shared" si="12"/>
        <v>3569.50746488</v>
      </c>
      <c r="Q45" s="752">
        <v>973.49</v>
      </c>
      <c r="R45" s="362">
        <f>Q45*0.012776</f>
        <v>12.43730824</v>
      </c>
    </row>
    <row r="46" spans="2:18" x14ac:dyDescent="0.25">
      <c r="B46" s="748" t="s">
        <v>319</v>
      </c>
      <c r="C46" s="765"/>
      <c r="D46" s="766"/>
      <c r="E46" s="767">
        <f>VLOOKUP($B46,$B$14:$C$21,2,FALSE)</f>
        <v>1000</v>
      </c>
      <c r="F46" s="294">
        <f>VLOOKUP($B46,$B$14:$E$21,4,FALSE)</f>
        <v>1</v>
      </c>
      <c r="G46" s="476"/>
      <c r="H46" s="476"/>
      <c r="I46" s="476"/>
      <c r="J46" s="476"/>
      <c r="K46" s="476"/>
      <c r="L46" s="476"/>
      <c r="M46" s="476"/>
      <c r="N46" s="476"/>
      <c r="O46" s="476"/>
      <c r="P46" s="476"/>
      <c r="Q46" s="752"/>
      <c r="R46" s="362"/>
    </row>
    <row r="47" spans="2:18" ht="15.65" x14ac:dyDescent="0.25">
      <c r="B47" s="753" t="s">
        <v>786</v>
      </c>
      <c r="C47" s="757" t="s">
        <v>787</v>
      </c>
      <c r="D47" s="354">
        <v>246.41286719999999</v>
      </c>
      <c r="E47" s="490">
        <v>4</v>
      </c>
      <c r="F47" s="294"/>
      <c r="G47" s="350">
        <f t="shared" ref="G47:P62" si="14">IF(G$16=0,0,G$16/$D$16*$E47*$D47)</f>
        <v>985.65146879999998</v>
      </c>
      <c r="H47" s="350">
        <f t="shared" si="14"/>
        <v>985.65146879999998</v>
      </c>
      <c r="I47" s="350">
        <f t="shared" si="14"/>
        <v>985.65146879999998</v>
      </c>
      <c r="J47" s="350">
        <f t="shared" si="14"/>
        <v>985.65146879999998</v>
      </c>
      <c r="K47" s="350">
        <f t="shared" si="14"/>
        <v>985.65146879999998</v>
      </c>
      <c r="L47" s="350">
        <f t="shared" si="14"/>
        <v>985.65146879999998</v>
      </c>
      <c r="M47" s="350">
        <f t="shared" si="14"/>
        <v>985.65146879999998</v>
      </c>
      <c r="N47" s="350">
        <f t="shared" si="14"/>
        <v>985.65146879999998</v>
      </c>
      <c r="O47" s="350">
        <f t="shared" si="14"/>
        <v>985.65146879999998</v>
      </c>
      <c r="P47" s="350">
        <f t="shared" si="14"/>
        <v>985.65146879999998</v>
      </c>
      <c r="Q47" s="752"/>
      <c r="R47" s="362"/>
    </row>
    <row r="48" spans="2:18" ht="15.65" x14ac:dyDescent="0.25">
      <c r="B48" s="753" t="s">
        <v>786</v>
      </c>
      <c r="C48" s="757" t="s">
        <v>788</v>
      </c>
      <c r="D48" s="354">
        <v>54.066047649999994</v>
      </c>
      <c r="E48" s="490">
        <v>1</v>
      </c>
      <c r="F48" s="294"/>
      <c r="G48" s="350">
        <f t="shared" si="14"/>
        <v>54.066047649999994</v>
      </c>
      <c r="H48" s="350">
        <f t="shared" si="14"/>
        <v>54.066047649999994</v>
      </c>
      <c r="I48" s="350">
        <f t="shared" si="14"/>
        <v>54.066047649999994</v>
      </c>
      <c r="J48" s="350">
        <f t="shared" si="14"/>
        <v>54.066047649999994</v>
      </c>
      <c r="K48" s="350">
        <f t="shared" si="14"/>
        <v>54.066047649999994</v>
      </c>
      <c r="L48" s="350">
        <f t="shared" si="14"/>
        <v>54.066047649999994</v>
      </c>
      <c r="M48" s="350">
        <f t="shared" si="14"/>
        <v>54.066047649999994</v>
      </c>
      <c r="N48" s="350">
        <f t="shared" si="14"/>
        <v>54.066047649999994</v>
      </c>
      <c r="O48" s="350">
        <f t="shared" si="14"/>
        <v>54.066047649999994</v>
      </c>
      <c r="P48" s="350">
        <f t="shared" si="14"/>
        <v>54.066047649999994</v>
      </c>
      <c r="Q48" s="752"/>
      <c r="R48" s="362"/>
    </row>
    <row r="49" spans="2:18" ht="31.25" x14ac:dyDescent="0.25">
      <c r="B49" s="753" t="s">
        <v>789</v>
      </c>
      <c r="C49" s="757" t="s">
        <v>790</v>
      </c>
      <c r="D49" s="354">
        <v>112.55286289999999</v>
      </c>
      <c r="E49" s="490">
        <v>1</v>
      </c>
      <c r="F49" s="294"/>
      <c r="G49" s="350">
        <f t="shared" si="14"/>
        <v>112.55286289999999</v>
      </c>
      <c r="H49" s="350">
        <f t="shared" si="14"/>
        <v>112.55286289999999</v>
      </c>
      <c r="I49" s="350">
        <f t="shared" si="14"/>
        <v>112.55286289999999</v>
      </c>
      <c r="J49" s="350">
        <f t="shared" si="14"/>
        <v>112.55286289999999</v>
      </c>
      <c r="K49" s="350">
        <f t="shared" si="14"/>
        <v>112.55286289999999</v>
      </c>
      <c r="L49" s="350">
        <f t="shared" si="14"/>
        <v>112.55286289999999</v>
      </c>
      <c r="M49" s="350">
        <f t="shared" si="14"/>
        <v>112.55286289999999</v>
      </c>
      <c r="N49" s="350">
        <f t="shared" si="14"/>
        <v>112.55286289999999</v>
      </c>
      <c r="O49" s="350">
        <f t="shared" si="14"/>
        <v>112.55286289999999</v>
      </c>
      <c r="P49" s="350">
        <f t="shared" si="14"/>
        <v>112.55286289999999</v>
      </c>
      <c r="Q49" s="752"/>
      <c r="R49" s="362"/>
    </row>
    <row r="50" spans="2:18" ht="31.25" x14ac:dyDescent="0.25">
      <c r="B50" s="753" t="s">
        <v>791</v>
      </c>
      <c r="C50" s="757" t="s">
        <v>792</v>
      </c>
      <c r="D50" s="354">
        <v>54.066047649999994</v>
      </c>
      <c r="E50" s="490">
        <v>3</v>
      </c>
      <c r="F50" s="294"/>
      <c r="G50" s="350">
        <f t="shared" si="14"/>
        <v>162.19814294999998</v>
      </c>
      <c r="H50" s="350">
        <f t="shared" si="14"/>
        <v>162.19814294999998</v>
      </c>
      <c r="I50" s="350">
        <f t="shared" si="14"/>
        <v>162.19814294999998</v>
      </c>
      <c r="J50" s="350">
        <f t="shared" si="14"/>
        <v>162.19814294999998</v>
      </c>
      <c r="K50" s="350">
        <f t="shared" si="14"/>
        <v>162.19814294999998</v>
      </c>
      <c r="L50" s="350">
        <f t="shared" si="14"/>
        <v>162.19814294999998</v>
      </c>
      <c r="M50" s="350">
        <f t="shared" si="14"/>
        <v>162.19814294999998</v>
      </c>
      <c r="N50" s="350">
        <f t="shared" si="14"/>
        <v>162.19814294999998</v>
      </c>
      <c r="O50" s="350">
        <f t="shared" si="14"/>
        <v>162.19814294999998</v>
      </c>
      <c r="P50" s="350">
        <f t="shared" si="14"/>
        <v>162.19814294999998</v>
      </c>
      <c r="Q50" s="752"/>
      <c r="R50" s="362"/>
    </row>
    <row r="51" spans="2:18" ht="31.25" x14ac:dyDescent="0.25">
      <c r="B51" s="753" t="s">
        <v>793</v>
      </c>
      <c r="C51" s="757" t="s">
        <v>794</v>
      </c>
      <c r="D51" s="354">
        <v>45.474603300000005</v>
      </c>
      <c r="E51" s="490">
        <v>2</v>
      </c>
      <c r="F51" s="294"/>
      <c r="G51" s="350">
        <f t="shared" si="14"/>
        <v>90.949206600000011</v>
      </c>
      <c r="H51" s="350">
        <f t="shared" si="14"/>
        <v>90.949206600000011</v>
      </c>
      <c r="I51" s="350">
        <f t="shared" si="14"/>
        <v>90.949206600000011</v>
      </c>
      <c r="J51" s="350">
        <f t="shared" si="14"/>
        <v>90.949206600000011</v>
      </c>
      <c r="K51" s="350">
        <f t="shared" si="14"/>
        <v>90.949206600000011</v>
      </c>
      <c r="L51" s="350">
        <f t="shared" si="14"/>
        <v>90.949206600000011</v>
      </c>
      <c r="M51" s="350">
        <f t="shared" si="14"/>
        <v>90.949206600000011</v>
      </c>
      <c r="N51" s="350">
        <f t="shared" si="14"/>
        <v>90.949206600000011</v>
      </c>
      <c r="O51" s="350">
        <f t="shared" si="14"/>
        <v>90.949206600000011</v>
      </c>
      <c r="P51" s="350">
        <f t="shared" si="14"/>
        <v>90.949206600000011</v>
      </c>
      <c r="Q51" s="752"/>
      <c r="R51" s="362"/>
    </row>
    <row r="52" spans="2:18" ht="31.25" x14ac:dyDescent="0.25">
      <c r="B52" s="760" t="s">
        <v>797</v>
      </c>
      <c r="C52" s="757" t="s">
        <v>798</v>
      </c>
      <c r="D52" s="354">
        <v>299.44710289999995</v>
      </c>
      <c r="E52" s="490">
        <v>4</v>
      </c>
      <c r="F52" s="294"/>
      <c r="G52" s="350">
        <f t="shared" si="14"/>
        <v>1197.7884115999998</v>
      </c>
      <c r="H52" s="350">
        <f t="shared" si="14"/>
        <v>1197.7884115999998</v>
      </c>
      <c r="I52" s="350">
        <f t="shared" si="14"/>
        <v>1197.7884115999998</v>
      </c>
      <c r="J52" s="350">
        <f t="shared" si="14"/>
        <v>1197.7884115999998</v>
      </c>
      <c r="K52" s="350">
        <f t="shared" si="14"/>
        <v>1197.7884115999998</v>
      </c>
      <c r="L52" s="350">
        <f t="shared" si="14"/>
        <v>1197.7884115999998</v>
      </c>
      <c r="M52" s="350">
        <f t="shared" si="14"/>
        <v>1197.7884115999998</v>
      </c>
      <c r="N52" s="350">
        <f t="shared" si="14"/>
        <v>1197.7884115999998</v>
      </c>
      <c r="O52" s="350">
        <f t="shared" si="14"/>
        <v>1197.7884115999998</v>
      </c>
      <c r="P52" s="350">
        <f t="shared" si="14"/>
        <v>1197.7884115999998</v>
      </c>
      <c r="Q52" s="752"/>
      <c r="R52" s="362"/>
    </row>
    <row r="53" spans="2:18" ht="15.65" x14ac:dyDescent="0.25">
      <c r="B53" s="753" t="s">
        <v>799</v>
      </c>
      <c r="C53" s="757" t="s">
        <v>800</v>
      </c>
      <c r="D53" s="354">
        <v>1584.9065841500001</v>
      </c>
      <c r="E53" s="490">
        <v>1</v>
      </c>
      <c r="F53" s="294"/>
      <c r="G53" s="350">
        <f t="shared" si="14"/>
        <v>1584.9065841500001</v>
      </c>
      <c r="H53" s="350">
        <f t="shared" si="14"/>
        <v>1584.9065841500001</v>
      </c>
      <c r="I53" s="350">
        <f t="shared" si="14"/>
        <v>1584.9065841500001</v>
      </c>
      <c r="J53" s="350">
        <f t="shared" si="14"/>
        <v>1584.9065841500001</v>
      </c>
      <c r="K53" s="350">
        <f t="shared" si="14"/>
        <v>1584.9065841500001</v>
      </c>
      <c r="L53" s="350">
        <f t="shared" si="14"/>
        <v>1584.9065841500001</v>
      </c>
      <c r="M53" s="350">
        <f t="shared" si="14"/>
        <v>1584.9065841500001</v>
      </c>
      <c r="N53" s="350">
        <f t="shared" si="14"/>
        <v>1584.9065841500001</v>
      </c>
      <c r="O53" s="350">
        <f t="shared" si="14"/>
        <v>1584.9065841500001</v>
      </c>
      <c r="P53" s="350">
        <f t="shared" si="14"/>
        <v>1584.9065841500001</v>
      </c>
      <c r="Q53" s="752"/>
      <c r="R53" s="362"/>
    </row>
    <row r="54" spans="2:18" ht="15.65" x14ac:dyDescent="0.25">
      <c r="B54" s="753" t="s">
        <v>801</v>
      </c>
      <c r="C54" s="757" t="s">
        <v>802</v>
      </c>
      <c r="D54" s="354">
        <v>111.55721810513619</v>
      </c>
      <c r="E54" s="490">
        <v>2</v>
      </c>
      <c r="F54" s="294"/>
      <c r="G54" s="350">
        <f t="shared" si="14"/>
        <v>223.11443621027237</v>
      </c>
      <c r="H54" s="350">
        <f t="shared" si="14"/>
        <v>223.11443621027237</v>
      </c>
      <c r="I54" s="350">
        <f t="shared" si="14"/>
        <v>223.11443621027237</v>
      </c>
      <c r="J54" s="350">
        <f t="shared" si="14"/>
        <v>223.11443621027237</v>
      </c>
      <c r="K54" s="350">
        <f t="shared" si="14"/>
        <v>223.11443621027237</v>
      </c>
      <c r="L54" s="350">
        <f t="shared" si="14"/>
        <v>223.11443621027237</v>
      </c>
      <c r="M54" s="350">
        <f t="shared" si="14"/>
        <v>223.11443621027237</v>
      </c>
      <c r="N54" s="350">
        <f t="shared" si="14"/>
        <v>223.11443621027237</v>
      </c>
      <c r="O54" s="350">
        <f t="shared" si="14"/>
        <v>223.11443621027237</v>
      </c>
      <c r="P54" s="350">
        <f t="shared" si="14"/>
        <v>223.11443621027237</v>
      </c>
      <c r="Q54" s="752"/>
      <c r="R54" s="362"/>
    </row>
    <row r="55" spans="2:18" ht="31.25" x14ac:dyDescent="0.25">
      <c r="B55" s="753" t="s">
        <v>803</v>
      </c>
      <c r="C55" s="757" t="s">
        <v>804</v>
      </c>
      <c r="D55" s="354">
        <v>29.808732750000001</v>
      </c>
      <c r="E55" s="490">
        <v>2</v>
      </c>
      <c r="F55" s="294"/>
      <c r="G55" s="350">
        <f t="shared" si="14"/>
        <v>59.617465500000002</v>
      </c>
      <c r="H55" s="350">
        <f t="shared" si="14"/>
        <v>59.617465500000002</v>
      </c>
      <c r="I55" s="350">
        <f t="shared" si="14"/>
        <v>59.617465500000002</v>
      </c>
      <c r="J55" s="350">
        <f t="shared" si="14"/>
        <v>59.617465500000002</v>
      </c>
      <c r="K55" s="350">
        <f t="shared" si="14"/>
        <v>59.617465500000002</v>
      </c>
      <c r="L55" s="350">
        <f t="shared" si="14"/>
        <v>59.617465500000002</v>
      </c>
      <c r="M55" s="350">
        <f t="shared" si="14"/>
        <v>59.617465500000002</v>
      </c>
      <c r="N55" s="350">
        <f t="shared" si="14"/>
        <v>59.617465500000002</v>
      </c>
      <c r="O55" s="350">
        <f t="shared" si="14"/>
        <v>59.617465500000002</v>
      </c>
      <c r="P55" s="350">
        <f t="shared" si="14"/>
        <v>59.617465500000002</v>
      </c>
      <c r="Q55" s="752"/>
      <c r="R55" s="362"/>
    </row>
    <row r="56" spans="2:18" ht="31.25" x14ac:dyDescent="0.25">
      <c r="B56" s="761" t="s">
        <v>805</v>
      </c>
      <c r="C56" s="757" t="s">
        <v>806</v>
      </c>
      <c r="D56" s="354">
        <v>23.902395550000001</v>
      </c>
      <c r="E56" s="490">
        <v>1</v>
      </c>
      <c r="F56" s="358"/>
      <c r="G56" s="350">
        <f>IF(G$16=0,0,G$16/$D$16*$E56*$D56)</f>
        <v>23.902395550000001</v>
      </c>
      <c r="H56" s="350">
        <f t="shared" si="14"/>
        <v>23.902395550000001</v>
      </c>
      <c r="I56" s="350">
        <f t="shared" si="14"/>
        <v>23.902395550000001</v>
      </c>
      <c r="J56" s="350">
        <f t="shared" si="14"/>
        <v>23.902395550000001</v>
      </c>
      <c r="K56" s="350">
        <f t="shared" si="14"/>
        <v>23.902395550000001</v>
      </c>
      <c r="L56" s="350">
        <f t="shared" si="14"/>
        <v>23.902395550000001</v>
      </c>
      <c r="M56" s="350">
        <f t="shared" si="14"/>
        <v>23.902395550000001</v>
      </c>
      <c r="N56" s="350">
        <f t="shared" si="14"/>
        <v>23.902395550000001</v>
      </c>
      <c r="O56" s="350">
        <f t="shared" si="14"/>
        <v>23.902395550000001</v>
      </c>
      <c r="P56" s="350">
        <f t="shared" si="14"/>
        <v>23.902395550000001</v>
      </c>
      <c r="Q56" s="752"/>
      <c r="R56" s="362"/>
    </row>
    <row r="57" spans="2:18" ht="31.25" x14ac:dyDescent="0.25">
      <c r="B57" s="761" t="s">
        <v>807</v>
      </c>
      <c r="C57" s="757" t="s">
        <v>808</v>
      </c>
      <c r="D57" s="354">
        <v>76.430459349999992</v>
      </c>
      <c r="E57" s="490">
        <v>2</v>
      </c>
      <c r="F57" s="358"/>
      <c r="G57" s="350">
        <f t="shared" ref="G57:P63" si="15">IF(G$16=0,0,G$16/$D$16*$E57*$D57)</f>
        <v>152.86091869999998</v>
      </c>
      <c r="H57" s="350">
        <f t="shared" si="15"/>
        <v>152.86091869999998</v>
      </c>
      <c r="I57" s="350">
        <f t="shared" si="15"/>
        <v>152.86091869999998</v>
      </c>
      <c r="J57" s="350">
        <f t="shared" si="15"/>
        <v>152.86091869999998</v>
      </c>
      <c r="K57" s="350">
        <f t="shared" si="15"/>
        <v>152.86091869999998</v>
      </c>
      <c r="L57" s="350">
        <f t="shared" si="15"/>
        <v>152.86091869999998</v>
      </c>
      <c r="M57" s="350">
        <f t="shared" si="15"/>
        <v>152.86091869999998</v>
      </c>
      <c r="N57" s="350">
        <f t="shared" si="15"/>
        <v>152.86091869999998</v>
      </c>
      <c r="O57" s="350">
        <f t="shared" si="15"/>
        <v>152.86091869999998</v>
      </c>
      <c r="P57" s="350">
        <f t="shared" si="15"/>
        <v>152.86091869999998</v>
      </c>
      <c r="Q57" s="752"/>
      <c r="R57" s="362"/>
    </row>
    <row r="58" spans="2:18" ht="31.25" x14ac:dyDescent="0.25">
      <c r="B58" s="753" t="s">
        <v>809</v>
      </c>
      <c r="C58" s="768" t="s">
        <v>810</v>
      </c>
      <c r="D58" s="354">
        <v>12.034311799999998</v>
      </c>
      <c r="E58" s="490">
        <v>2</v>
      </c>
      <c r="F58" s="358"/>
      <c r="G58" s="350">
        <f t="shared" si="15"/>
        <v>24.068623599999995</v>
      </c>
      <c r="H58" s="350">
        <f t="shared" si="14"/>
        <v>24.068623599999995</v>
      </c>
      <c r="I58" s="350">
        <f t="shared" si="14"/>
        <v>24.068623599999995</v>
      </c>
      <c r="J58" s="350">
        <f t="shared" si="14"/>
        <v>24.068623599999995</v>
      </c>
      <c r="K58" s="350">
        <f t="shared" si="14"/>
        <v>24.068623599999995</v>
      </c>
      <c r="L58" s="350">
        <f t="shared" si="14"/>
        <v>24.068623599999995</v>
      </c>
      <c r="M58" s="350">
        <f t="shared" si="14"/>
        <v>24.068623599999995</v>
      </c>
      <c r="N58" s="350">
        <f t="shared" si="14"/>
        <v>24.068623599999995</v>
      </c>
      <c r="O58" s="350">
        <f t="shared" si="14"/>
        <v>24.068623599999995</v>
      </c>
      <c r="P58" s="350">
        <f t="shared" si="14"/>
        <v>24.068623599999995</v>
      </c>
      <c r="Q58" s="752"/>
      <c r="R58" s="362"/>
    </row>
    <row r="59" spans="2:18" ht="31.25" x14ac:dyDescent="0.25">
      <c r="B59" s="753" t="s">
        <v>811</v>
      </c>
      <c r="C59" s="768" t="s">
        <v>812</v>
      </c>
      <c r="D59" s="354">
        <v>153.66178770926592</v>
      </c>
      <c r="E59" s="490">
        <v>1</v>
      </c>
      <c r="F59" s="358"/>
      <c r="G59" s="350">
        <f t="shared" si="15"/>
        <v>153.66178770926592</v>
      </c>
      <c r="H59" s="350">
        <f t="shared" si="14"/>
        <v>153.66178770926592</v>
      </c>
      <c r="I59" s="350">
        <f t="shared" si="14"/>
        <v>153.66178770926592</v>
      </c>
      <c r="J59" s="350">
        <f t="shared" si="14"/>
        <v>153.66178770926592</v>
      </c>
      <c r="K59" s="350">
        <f t="shared" si="14"/>
        <v>153.66178770926592</v>
      </c>
      <c r="L59" s="350">
        <f t="shared" si="14"/>
        <v>153.66178770926592</v>
      </c>
      <c r="M59" s="350">
        <f t="shared" si="14"/>
        <v>153.66178770926592</v>
      </c>
      <c r="N59" s="350">
        <f t="shared" si="14"/>
        <v>153.66178770926592</v>
      </c>
      <c r="O59" s="350">
        <f t="shared" si="14"/>
        <v>153.66178770926592</v>
      </c>
      <c r="P59" s="350">
        <f t="shared" si="14"/>
        <v>153.66178770926592</v>
      </c>
      <c r="Q59" s="752"/>
      <c r="R59" s="362"/>
    </row>
    <row r="60" spans="2:18" ht="31.25" x14ac:dyDescent="0.25">
      <c r="B60" s="753" t="s">
        <v>813</v>
      </c>
      <c r="C60" s="768" t="s">
        <v>814</v>
      </c>
      <c r="D60" s="354">
        <v>9.1485329499999999</v>
      </c>
      <c r="E60" s="490">
        <v>1</v>
      </c>
      <c r="F60" s="358"/>
      <c r="G60" s="350">
        <f t="shared" si="15"/>
        <v>9.1485329499999999</v>
      </c>
      <c r="H60" s="350">
        <f t="shared" si="14"/>
        <v>9.1485329499999999</v>
      </c>
      <c r="I60" s="350">
        <f t="shared" si="14"/>
        <v>9.1485329499999999</v>
      </c>
      <c r="J60" s="350">
        <f t="shared" si="14"/>
        <v>9.1485329499999999</v>
      </c>
      <c r="K60" s="350">
        <f t="shared" si="14"/>
        <v>9.1485329499999999</v>
      </c>
      <c r="L60" s="350">
        <f t="shared" si="14"/>
        <v>9.1485329499999999</v>
      </c>
      <c r="M60" s="350">
        <f t="shared" si="14"/>
        <v>9.1485329499999999</v>
      </c>
      <c r="N60" s="350">
        <f t="shared" si="14"/>
        <v>9.1485329499999999</v>
      </c>
      <c r="O60" s="350">
        <f t="shared" si="14"/>
        <v>9.1485329499999999</v>
      </c>
      <c r="P60" s="350">
        <f t="shared" si="14"/>
        <v>9.1485329499999999</v>
      </c>
      <c r="Q60" s="752"/>
      <c r="R60" s="362"/>
    </row>
    <row r="61" spans="2:18" ht="31.25" x14ac:dyDescent="0.25">
      <c r="B61" s="760" t="s">
        <v>815</v>
      </c>
      <c r="C61" s="768" t="s">
        <v>816</v>
      </c>
      <c r="D61" s="354">
        <v>62.38493789999999</v>
      </c>
      <c r="E61" s="490">
        <v>1</v>
      </c>
      <c r="F61" s="358"/>
      <c r="G61" s="350">
        <f t="shared" si="15"/>
        <v>62.38493789999999</v>
      </c>
      <c r="H61" s="350">
        <f t="shared" si="14"/>
        <v>62.38493789999999</v>
      </c>
      <c r="I61" s="350">
        <f t="shared" si="14"/>
        <v>62.38493789999999</v>
      </c>
      <c r="J61" s="350">
        <f t="shared" si="14"/>
        <v>62.38493789999999</v>
      </c>
      <c r="K61" s="350">
        <f t="shared" si="14"/>
        <v>62.38493789999999</v>
      </c>
      <c r="L61" s="350">
        <f t="shared" si="14"/>
        <v>62.38493789999999</v>
      </c>
      <c r="M61" s="350">
        <f t="shared" si="14"/>
        <v>62.38493789999999</v>
      </c>
      <c r="N61" s="350">
        <f t="shared" si="14"/>
        <v>62.38493789999999</v>
      </c>
      <c r="O61" s="350">
        <f t="shared" si="14"/>
        <v>62.38493789999999</v>
      </c>
      <c r="P61" s="350">
        <f t="shared" si="14"/>
        <v>62.38493789999999</v>
      </c>
      <c r="Q61" s="752"/>
      <c r="R61" s="362"/>
    </row>
    <row r="62" spans="2:18" ht="31.25" x14ac:dyDescent="0.25">
      <c r="B62" s="753" t="s">
        <v>795</v>
      </c>
      <c r="C62" s="762"/>
      <c r="D62" s="758">
        <v>4.420496</v>
      </c>
      <c r="E62" s="763">
        <v>280</v>
      </c>
      <c r="F62" s="358"/>
      <c r="G62" s="350">
        <f t="shared" si="15"/>
        <v>1237.7388799999999</v>
      </c>
      <c r="H62" s="350">
        <f t="shared" si="14"/>
        <v>1237.7388799999999</v>
      </c>
      <c r="I62" s="350">
        <f t="shared" si="14"/>
        <v>1237.7388799999999</v>
      </c>
      <c r="J62" s="350">
        <f t="shared" si="14"/>
        <v>1237.7388799999999</v>
      </c>
      <c r="K62" s="350">
        <f t="shared" si="14"/>
        <v>1237.7388799999999</v>
      </c>
      <c r="L62" s="350">
        <f t="shared" si="14"/>
        <v>1237.7388799999999</v>
      </c>
      <c r="M62" s="350">
        <f t="shared" si="14"/>
        <v>1237.7388799999999</v>
      </c>
      <c r="N62" s="350">
        <f t="shared" si="14"/>
        <v>1237.7388799999999</v>
      </c>
      <c r="O62" s="350">
        <f t="shared" si="14"/>
        <v>1237.7388799999999</v>
      </c>
      <c r="P62" s="350">
        <f t="shared" si="14"/>
        <v>1237.7388799999999</v>
      </c>
      <c r="Q62" s="752">
        <v>346</v>
      </c>
      <c r="R62" s="362">
        <f>Q62*0.012776</f>
        <v>4.420496</v>
      </c>
    </row>
    <row r="63" spans="2:18" ht="46.9" x14ac:dyDescent="0.25">
      <c r="B63" s="753" t="s">
        <v>796</v>
      </c>
      <c r="C63" s="764"/>
      <c r="D63" s="758">
        <v>12.43730824</v>
      </c>
      <c r="E63" s="763">
        <v>41</v>
      </c>
      <c r="F63" s="358"/>
      <c r="G63" s="350">
        <f t="shared" si="15"/>
        <v>509.92963784</v>
      </c>
      <c r="H63" s="350">
        <f t="shared" si="15"/>
        <v>509.92963784</v>
      </c>
      <c r="I63" s="350">
        <f t="shared" si="15"/>
        <v>509.92963784</v>
      </c>
      <c r="J63" s="350">
        <f t="shared" si="15"/>
        <v>509.92963784</v>
      </c>
      <c r="K63" s="350">
        <f t="shared" si="15"/>
        <v>509.92963784</v>
      </c>
      <c r="L63" s="350">
        <f t="shared" si="15"/>
        <v>509.92963784</v>
      </c>
      <c r="M63" s="350">
        <f t="shared" si="15"/>
        <v>509.92963784</v>
      </c>
      <c r="N63" s="350">
        <f t="shared" si="15"/>
        <v>509.92963784</v>
      </c>
      <c r="O63" s="350">
        <f t="shared" si="15"/>
        <v>509.92963784</v>
      </c>
      <c r="P63" s="350">
        <f t="shared" si="15"/>
        <v>509.92963784</v>
      </c>
      <c r="Q63" s="752">
        <v>973.49</v>
      </c>
      <c r="R63" s="362">
        <f>Q63*0.012776</f>
        <v>12.43730824</v>
      </c>
    </row>
    <row r="64" spans="2:18" x14ac:dyDescent="0.25">
      <c r="B64" s="748" t="s">
        <v>552</v>
      </c>
      <c r="C64" s="364"/>
      <c r="D64" s="348"/>
      <c r="E64" s="568">
        <f>VLOOKUP($B64,$B$14:$C$21,2,FALSE)</f>
        <v>2000</v>
      </c>
      <c r="F64" s="294">
        <f>VLOOKUP($B64,$B$14:$E$21,4,FALSE)</f>
        <v>2</v>
      </c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752"/>
      <c r="R64" s="362"/>
    </row>
    <row r="65" spans="2:18" ht="15.65" x14ac:dyDescent="0.25">
      <c r="B65" s="753" t="s">
        <v>786</v>
      </c>
      <c r="C65" s="757" t="s">
        <v>787</v>
      </c>
      <c r="D65" s="758">
        <v>246.41286719999999</v>
      </c>
      <c r="E65" s="769">
        <v>4</v>
      </c>
      <c r="F65" s="294"/>
      <c r="G65" s="350">
        <f t="shared" ref="G65:P80" si="16">IF(G$17=0,0,G$17/$D$17*$E65*$D65)</f>
        <v>1971.3029376</v>
      </c>
      <c r="H65" s="350">
        <f t="shared" si="16"/>
        <v>1971.3029376</v>
      </c>
      <c r="I65" s="350">
        <f t="shared" si="16"/>
        <v>1971.3029376</v>
      </c>
      <c r="J65" s="350">
        <f t="shared" si="16"/>
        <v>1971.3029376</v>
      </c>
      <c r="K65" s="350">
        <f t="shared" si="16"/>
        <v>1971.3029376</v>
      </c>
      <c r="L65" s="350">
        <f t="shared" si="16"/>
        <v>1971.3029376</v>
      </c>
      <c r="M65" s="350">
        <f t="shared" si="16"/>
        <v>1971.3029376</v>
      </c>
      <c r="N65" s="350">
        <f t="shared" si="16"/>
        <v>1971.3029376</v>
      </c>
      <c r="O65" s="350">
        <f t="shared" si="16"/>
        <v>1971.3029376</v>
      </c>
      <c r="P65" s="350">
        <f t="shared" si="16"/>
        <v>1971.3029376</v>
      </c>
      <c r="Q65" s="752"/>
      <c r="R65" s="362"/>
    </row>
    <row r="66" spans="2:18" ht="15.65" x14ac:dyDescent="0.25">
      <c r="B66" s="753" t="s">
        <v>786</v>
      </c>
      <c r="C66" s="757" t="s">
        <v>788</v>
      </c>
      <c r="D66" s="758">
        <v>54.066047649999994</v>
      </c>
      <c r="E66" s="769">
        <v>1</v>
      </c>
      <c r="F66" s="294"/>
      <c r="G66" s="350">
        <f t="shared" si="16"/>
        <v>108.13209529999999</v>
      </c>
      <c r="H66" s="350">
        <f t="shared" si="16"/>
        <v>108.13209529999999</v>
      </c>
      <c r="I66" s="350">
        <f t="shared" si="16"/>
        <v>108.13209529999999</v>
      </c>
      <c r="J66" s="350">
        <f t="shared" si="16"/>
        <v>108.13209529999999</v>
      </c>
      <c r="K66" s="350">
        <f t="shared" si="16"/>
        <v>108.13209529999999</v>
      </c>
      <c r="L66" s="350">
        <f t="shared" si="16"/>
        <v>108.13209529999999</v>
      </c>
      <c r="M66" s="350">
        <f t="shared" si="16"/>
        <v>108.13209529999999</v>
      </c>
      <c r="N66" s="350">
        <f t="shared" si="16"/>
        <v>108.13209529999999</v>
      </c>
      <c r="O66" s="350">
        <f t="shared" si="16"/>
        <v>108.13209529999999</v>
      </c>
      <c r="P66" s="350">
        <f t="shared" si="16"/>
        <v>108.13209529999999</v>
      </c>
      <c r="Q66" s="752"/>
      <c r="R66" s="362"/>
    </row>
    <row r="67" spans="2:18" ht="31.25" x14ac:dyDescent="0.25">
      <c r="B67" s="753" t="s">
        <v>789</v>
      </c>
      <c r="C67" s="757" t="s">
        <v>790</v>
      </c>
      <c r="D67" s="758">
        <v>112.55286289999999</v>
      </c>
      <c r="E67" s="769">
        <v>1</v>
      </c>
      <c r="F67" s="294"/>
      <c r="G67" s="350">
        <f t="shared" si="16"/>
        <v>225.10572579999999</v>
      </c>
      <c r="H67" s="350">
        <f t="shared" si="16"/>
        <v>225.10572579999999</v>
      </c>
      <c r="I67" s="350">
        <f t="shared" si="16"/>
        <v>225.10572579999999</v>
      </c>
      <c r="J67" s="350">
        <f t="shared" si="16"/>
        <v>225.10572579999999</v>
      </c>
      <c r="K67" s="350">
        <f t="shared" si="16"/>
        <v>225.10572579999999</v>
      </c>
      <c r="L67" s="350">
        <f t="shared" si="16"/>
        <v>225.10572579999999</v>
      </c>
      <c r="M67" s="350">
        <f t="shared" si="16"/>
        <v>225.10572579999999</v>
      </c>
      <c r="N67" s="350">
        <f t="shared" si="16"/>
        <v>225.10572579999999</v>
      </c>
      <c r="O67" s="350">
        <f t="shared" si="16"/>
        <v>225.10572579999999</v>
      </c>
      <c r="P67" s="350">
        <f t="shared" si="16"/>
        <v>225.10572579999999</v>
      </c>
      <c r="Q67" s="752"/>
      <c r="R67" s="362"/>
    </row>
    <row r="68" spans="2:18" ht="31.25" x14ac:dyDescent="0.25">
      <c r="B68" s="753" t="s">
        <v>791</v>
      </c>
      <c r="C68" s="757" t="s">
        <v>792</v>
      </c>
      <c r="D68" s="758">
        <v>54.066047649999994</v>
      </c>
      <c r="E68" s="769">
        <v>3</v>
      </c>
      <c r="F68" s="294"/>
      <c r="G68" s="350">
        <f t="shared" si="16"/>
        <v>324.39628589999995</v>
      </c>
      <c r="H68" s="350">
        <f t="shared" si="16"/>
        <v>324.39628589999995</v>
      </c>
      <c r="I68" s="350">
        <f t="shared" si="16"/>
        <v>324.39628589999995</v>
      </c>
      <c r="J68" s="350">
        <f t="shared" si="16"/>
        <v>324.39628589999995</v>
      </c>
      <c r="K68" s="350">
        <f t="shared" si="16"/>
        <v>324.39628589999995</v>
      </c>
      <c r="L68" s="350">
        <f t="shared" si="16"/>
        <v>324.39628589999995</v>
      </c>
      <c r="M68" s="350">
        <f t="shared" si="16"/>
        <v>324.39628589999995</v>
      </c>
      <c r="N68" s="350">
        <f t="shared" si="16"/>
        <v>324.39628589999995</v>
      </c>
      <c r="O68" s="350">
        <f t="shared" si="16"/>
        <v>324.39628589999995</v>
      </c>
      <c r="P68" s="350">
        <f t="shared" si="16"/>
        <v>324.39628589999995</v>
      </c>
      <c r="Q68" s="752"/>
      <c r="R68" s="362"/>
    </row>
    <row r="69" spans="2:18" ht="31.25" x14ac:dyDescent="0.25">
      <c r="B69" s="753" t="s">
        <v>793</v>
      </c>
      <c r="C69" s="757" t="s">
        <v>794</v>
      </c>
      <c r="D69" s="758">
        <v>45.474603300000005</v>
      </c>
      <c r="E69" s="769">
        <v>2</v>
      </c>
      <c r="F69" s="294"/>
      <c r="G69" s="350">
        <f t="shared" si="16"/>
        <v>181.89841320000002</v>
      </c>
      <c r="H69" s="350">
        <f t="shared" si="16"/>
        <v>181.89841320000002</v>
      </c>
      <c r="I69" s="350">
        <f t="shared" si="16"/>
        <v>181.89841320000002</v>
      </c>
      <c r="J69" s="350">
        <f t="shared" si="16"/>
        <v>181.89841320000002</v>
      </c>
      <c r="K69" s="350">
        <f t="shared" si="16"/>
        <v>181.89841320000002</v>
      </c>
      <c r="L69" s="350">
        <f t="shared" si="16"/>
        <v>181.89841320000002</v>
      </c>
      <c r="M69" s="350">
        <f t="shared" si="16"/>
        <v>181.89841320000002</v>
      </c>
      <c r="N69" s="350">
        <f t="shared" si="16"/>
        <v>181.89841320000002</v>
      </c>
      <c r="O69" s="350">
        <f t="shared" si="16"/>
        <v>181.89841320000002</v>
      </c>
      <c r="P69" s="350">
        <f t="shared" si="16"/>
        <v>181.89841320000002</v>
      </c>
      <c r="Q69" s="752"/>
      <c r="R69" s="362"/>
    </row>
    <row r="70" spans="2:18" ht="31.25" x14ac:dyDescent="0.25">
      <c r="B70" s="760" t="s">
        <v>797</v>
      </c>
      <c r="C70" s="757" t="s">
        <v>798</v>
      </c>
      <c r="D70" s="758">
        <v>299.44710289999995</v>
      </c>
      <c r="E70" s="769">
        <v>4</v>
      </c>
      <c r="F70" s="294"/>
      <c r="G70" s="350">
        <f t="shared" si="16"/>
        <v>2395.5768231999996</v>
      </c>
      <c r="H70" s="350">
        <f t="shared" si="16"/>
        <v>2395.5768231999996</v>
      </c>
      <c r="I70" s="350">
        <f t="shared" si="16"/>
        <v>2395.5768231999996</v>
      </c>
      <c r="J70" s="350">
        <f t="shared" si="16"/>
        <v>2395.5768231999996</v>
      </c>
      <c r="K70" s="350">
        <f t="shared" si="16"/>
        <v>2395.5768231999996</v>
      </c>
      <c r="L70" s="350">
        <f t="shared" si="16"/>
        <v>2395.5768231999996</v>
      </c>
      <c r="M70" s="350">
        <f t="shared" si="16"/>
        <v>2395.5768231999996</v>
      </c>
      <c r="N70" s="350">
        <f t="shared" si="16"/>
        <v>2395.5768231999996</v>
      </c>
      <c r="O70" s="350">
        <f t="shared" si="16"/>
        <v>2395.5768231999996</v>
      </c>
      <c r="P70" s="350">
        <f t="shared" si="16"/>
        <v>2395.5768231999996</v>
      </c>
      <c r="Q70" s="752"/>
      <c r="R70" s="362"/>
    </row>
    <row r="71" spans="2:18" ht="15.65" x14ac:dyDescent="0.25">
      <c r="B71" s="753" t="s">
        <v>799</v>
      </c>
      <c r="C71" s="757" t="s">
        <v>800</v>
      </c>
      <c r="D71" s="758">
        <v>1584.9065841500001</v>
      </c>
      <c r="E71" s="769">
        <v>1</v>
      </c>
      <c r="F71" s="294"/>
      <c r="G71" s="350">
        <f t="shared" si="16"/>
        <v>3169.8131683000001</v>
      </c>
      <c r="H71" s="350">
        <f t="shared" si="16"/>
        <v>3169.8131683000001</v>
      </c>
      <c r="I71" s="350">
        <f t="shared" si="16"/>
        <v>3169.8131683000001</v>
      </c>
      <c r="J71" s="350">
        <f t="shared" si="16"/>
        <v>3169.8131683000001</v>
      </c>
      <c r="K71" s="350">
        <f t="shared" si="16"/>
        <v>3169.8131683000001</v>
      </c>
      <c r="L71" s="350">
        <f t="shared" si="16"/>
        <v>3169.8131683000001</v>
      </c>
      <c r="M71" s="350">
        <f t="shared" si="16"/>
        <v>3169.8131683000001</v>
      </c>
      <c r="N71" s="350">
        <f t="shared" si="16"/>
        <v>3169.8131683000001</v>
      </c>
      <c r="O71" s="350">
        <f t="shared" si="16"/>
        <v>3169.8131683000001</v>
      </c>
      <c r="P71" s="350">
        <f t="shared" si="16"/>
        <v>3169.8131683000001</v>
      </c>
      <c r="Q71" s="752"/>
      <c r="R71" s="362"/>
    </row>
    <row r="72" spans="2:18" ht="15.65" x14ac:dyDescent="0.25">
      <c r="B72" s="753" t="s">
        <v>801</v>
      </c>
      <c r="C72" s="757" t="s">
        <v>802</v>
      </c>
      <c r="D72" s="758">
        <v>111.55721810513619</v>
      </c>
      <c r="E72" s="769">
        <v>2</v>
      </c>
      <c r="F72" s="294"/>
      <c r="G72" s="350">
        <f t="shared" si="16"/>
        <v>446.22887242054475</v>
      </c>
      <c r="H72" s="350">
        <f t="shared" si="16"/>
        <v>446.22887242054475</v>
      </c>
      <c r="I72" s="350">
        <f t="shared" si="16"/>
        <v>446.22887242054475</v>
      </c>
      <c r="J72" s="350">
        <f t="shared" si="16"/>
        <v>446.22887242054475</v>
      </c>
      <c r="K72" s="350">
        <f t="shared" si="16"/>
        <v>446.22887242054475</v>
      </c>
      <c r="L72" s="350">
        <f t="shared" si="16"/>
        <v>446.22887242054475</v>
      </c>
      <c r="M72" s="350">
        <f t="shared" si="16"/>
        <v>446.22887242054475</v>
      </c>
      <c r="N72" s="350">
        <f t="shared" si="16"/>
        <v>446.22887242054475</v>
      </c>
      <c r="O72" s="350">
        <f t="shared" si="16"/>
        <v>446.22887242054475</v>
      </c>
      <c r="P72" s="350">
        <f t="shared" si="16"/>
        <v>446.22887242054475</v>
      </c>
      <c r="Q72" s="752"/>
      <c r="R72" s="362"/>
    </row>
    <row r="73" spans="2:18" ht="31.25" x14ac:dyDescent="0.25">
      <c r="B73" s="753" t="s">
        <v>803</v>
      </c>
      <c r="C73" s="757" t="s">
        <v>804</v>
      </c>
      <c r="D73" s="758">
        <v>29.808732750000001</v>
      </c>
      <c r="E73" s="769">
        <v>2</v>
      </c>
      <c r="F73" s="294"/>
      <c r="G73" s="350">
        <f t="shared" si="16"/>
        <v>119.234931</v>
      </c>
      <c r="H73" s="350">
        <f t="shared" si="16"/>
        <v>119.234931</v>
      </c>
      <c r="I73" s="350">
        <f t="shared" si="16"/>
        <v>119.234931</v>
      </c>
      <c r="J73" s="350">
        <f t="shared" si="16"/>
        <v>119.234931</v>
      </c>
      <c r="K73" s="350">
        <f t="shared" si="16"/>
        <v>119.234931</v>
      </c>
      <c r="L73" s="350">
        <f t="shared" si="16"/>
        <v>119.234931</v>
      </c>
      <c r="M73" s="350">
        <f t="shared" si="16"/>
        <v>119.234931</v>
      </c>
      <c r="N73" s="350">
        <f t="shared" si="16"/>
        <v>119.234931</v>
      </c>
      <c r="O73" s="350">
        <f t="shared" si="16"/>
        <v>119.234931</v>
      </c>
      <c r="P73" s="350">
        <f t="shared" si="16"/>
        <v>119.234931</v>
      </c>
      <c r="Q73" s="752"/>
      <c r="R73" s="362"/>
    </row>
    <row r="74" spans="2:18" ht="31.25" x14ac:dyDescent="0.25">
      <c r="B74" s="761" t="s">
        <v>805</v>
      </c>
      <c r="C74" s="757" t="s">
        <v>806</v>
      </c>
      <c r="D74" s="758">
        <v>23.902395550000001</v>
      </c>
      <c r="E74" s="769">
        <v>1</v>
      </c>
      <c r="F74" s="294"/>
      <c r="G74" s="350">
        <f t="shared" si="16"/>
        <v>47.804791100000003</v>
      </c>
      <c r="H74" s="350">
        <f t="shared" si="16"/>
        <v>47.804791100000003</v>
      </c>
      <c r="I74" s="350">
        <f t="shared" si="16"/>
        <v>47.804791100000003</v>
      </c>
      <c r="J74" s="350">
        <f t="shared" si="16"/>
        <v>47.804791100000003</v>
      </c>
      <c r="K74" s="350">
        <f t="shared" si="16"/>
        <v>47.804791100000003</v>
      </c>
      <c r="L74" s="350">
        <f t="shared" si="16"/>
        <v>47.804791100000003</v>
      </c>
      <c r="M74" s="350">
        <f t="shared" si="16"/>
        <v>47.804791100000003</v>
      </c>
      <c r="N74" s="350">
        <f t="shared" si="16"/>
        <v>47.804791100000003</v>
      </c>
      <c r="O74" s="350">
        <f t="shared" si="16"/>
        <v>47.804791100000003</v>
      </c>
      <c r="P74" s="350">
        <f t="shared" si="16"/>
        <v>47.804791100000003</v>
      </c>
      <c r="Q74" s="752"/>
      <c r="R74" s="362"/>
    </row>
    <row r="75" spans="2:18" ht="31.25" x14ac:dyDescent="0.25">
      <c r="B75" s="761" t="s">
        <v>807</v>
      </c>
      <c r="C75" s="757" t="s">
        <v>808</v>
      </c>
      <c r="D75" s="758">
        <v>76.430459349999992</v>
      </c>
      <c r="E75" s="769">
        <v>2</v>
      </c>
      <c r="F75" s="294"/>
      <c r="G75" s="350">
        <f t="shared" si="16"/>
        <v>305.72183739999997</v>
      </c>
      <c r="H75" s="350">
        <f t="shared" si="16"/>
        <v>305.72183739999997</v>
      </c>
      <c r="I75" s="350">
        <f t="shared" si="16"/>
        <v>305.72183739999997</v>
      </c>
      <c r="J75" s="350">
        <f t="shared" si="16"/>
        <v>305.72183739999997</v>
      </c>
      <c r="K75" s="350">
        <f t="shared" si="16"/>
        <v>305.72183739999997</v>
      </c>
      <c r="L75" s="350">
        <f t="shared" si="16"/>
        <v>305.72183739999997</v>
      </c>
      <c r="M75" s="350">
        <f t="shared" si="16"/>
        <v>305.72183739999997</v>
      </c>
      <c r="N75" s="350">
        <f t="shared" si="16"/>
        <v>305.72183739999997</v>
      </c>
      <c r="O75" s="350">
        <f t="shared" si="16"/>
        <v>305.72183739999997</v>
      </c>
      <c r="P75" s="350">
        <f t="shared" si="16"/>
        <v>305.72183739999997</v>
      </c>
      <c r="Q75" s="752"/>
      <c r="R75" s="362"/>
    </row>
    <row r="76" spans="2:18" ht="31.25" x14ac:dyDescent="0.25">
      <c r="B76" s="753" t="s">
        <v>809</v>
      </c>
      <c r="C76" s="768" t="s">
        <v>810</v>
      </c>
      <c r="D76" s="758">
        <v>12.034311799999998</v>
      </c>
      <c r="E76" s="769">
        <v>2</v>
      </c>
      <c r="F76" s="294"/>
      <c r="G76" s="350">
        <f t="shared" si="16"/>
        <v>48.13724719999999</v>
      </c>
      <c r="H76" s="350">
        <f t="shared" si="16"/>
        <v>48.13724719999999</v>
      </c>
      <c r="I76" s="350">
        <f t="shared" si="16"/>
        <v>48.13724719999999</v>
      </c>
      <c r="J76" s="350">
        <f t="shared" si="16"/>
        <v>48.13724719999999</v>
      </c>
      <c r="K76" s="350">
        <f t="shared" si="16"/>
        <v>48.13724719999999</v>
      </c>
      <c r="L76" s="350">
        <f t="shared" si="16"/>
        <v>48.13724719999999</v>
      </c>
      <c r="M76" s="350">
        <f t="shared" si="16"/>
        <v>48.13724719999999</v>
      </c>
      <c r="N76" s="350">
        <f t="shared" si="16"/>
        <v>48.13724719999999</v>
      </c>
      <c r="O76" s="350">
        <f t="shared" si="16"/>
        <v>48.13724719999999</v>
      </c>
      <c r="P76" s="350">
        <f t="shared" si="16"/>
        <v>48.13724719999999</v>
      </c>
      <c r="Q76" s="752"/>
      <c r="R76" s="362"/>
    </row>
    <row r="77" spans="2:18" ht="31.25" x14ac:dyDescent="0.25">
      <c r="B77" s="753" t="s">
        <v>811</v>
      </c>
      <c r="C77" s="768" t="s">
        <v>812</v>
      </c>
      <c r="D77" s="758">
        <v>153.66178770926592</v>
      </c>
      <c r="E77" s="769">
        <v>1</v>
      </c>
      <c r="F77" s="294"/>
      <c r="G77" s="350">
        <f t="shared" si="16"/>
        <v>307.32357541853185</v>
      </c>
      <c r="H77" s="350">
        <f t="shared" si="16"/>
        <v>307.32357541853185</v>
      </c>
      <c r="I77" s="350">
        <f t="shared" si="16"/>
        <v>307.32357541853185</v>
      </c>
      <c r="J77" s="350">
        <f t="shared" si="16"/>
        <v>307.32357541853185</v>
      </c>
      <c r="K77" s="350">
        <f t="shared" si="16"/>
        <v>307.32357541853185</v>
      </c>
      <c r="L77" s="350">
        <f t="shared" si="16"/>
        <v>307.32357541853185</v>
      </c>
      <c r="M77" s="350">
        <f t="shared" si="16"/>
        <v>307.32357541853185</v>
      </c>
      <c r="N77" s="350">
        <f t="shared" si="16"/>
        <v>307.32357541853185</v>
      </c>
      <c r="O77" s="350">
        <f t="shared" si="16"/>
        <v>307.32357541853185</v>
      </c>
      <c r="P77" s="350">
        <f t="shared" si="16"/>
        <v>307.32357541853185</v>
      </c>
      <c r="Q77" s="752"/>
      <c r="R77" s="362"/>
    </row>
    <row r="78" spans="2:18" ht="31.25" x14ac:dyDescent="0.25">
      <c r="B78" s="753" t="s">
        <v>813</v>
      </c>
      <c r="C78" s="768" t="s">
        <v>814</v>
      </c>
      <c r="D78" s="758">
        <v>9.1485329499999999</v>
      </c>
      <c r="E78" s="769">
        <v>1</v>
      </c>
      <c r="F78" s="294"/>
      <c r="G78" s="350">
        <f t="shared" si="16"/>
        <v>18.2970659</v>
      </c>
      <c r="H78" s="350">
        <f t="shared" si="16"/>
        <v>18.2970659</v>
      </c>
      <c r="I78" s="350">
        <f t="shared" si="16"/>
        <v>18.2970659</v>
      </c>
      <c r="J78" s="350">
        <f t="shared" si="16"/>
        <v>18.2970659</v>
      </c>
      <c r="K78" s="350">
        <f t="shared" si="16"/>
        <v>18.2970659</v>
      </c>
      <c r="L78" s="350">
        <f t="shared" si="16"/>
        <v>18.2970659</v>
      </c>
      <c r="M78" s="350">
        <f t="shared" si="16"/>
        <v>18.2970659</v>
      </c>
      <c r="N78" s="350">
        <f t="shared" si="16"/>
        <v>18.2970659</v>
      </c>
      <c r="O78" s="350">
        <f t="shared" si="16"/>
        <v>18.2970659</v>
      </c>
      <c r="P78" s="350">
        <f t="shared" si="16"/>
        <v>18.2970659</v>
      </c>
      <c r="Q78" s="752"/>
      <c r="R78" s="362"/>
    </row>
    <row r="79" spans="2:18" ht="31.25" x14ac:dyDescent="0.25">
      <c r="B79" s="760" t="s">
        <v>815</v>
      </c>
      <c r="C79" s="768" t="s">
        <v>816</v>
      </c>
      <c r="D79" s="758">
        <v>62.38493789999999</v>
      </c>
      <c r="E79" s="769">
        <v>1</v>
      </c>
      <c r="F79" s="294"/>
      <c r="G79" s="350">
        <f t="shared" si="16"/>
        <v>124.76987579999998</v>
      </c>
      <c r="H79" s="350">
        <f t="shared" si="16"/>
        <v>124.76987579999998</v>
      </c>
      <c r="I79" s="350">
        <f t="shared" si="16"/>
        <v>124.76987579999998</v>
      </c>
      <c r="J79" s="350">
        <f t="shared" si="16"/>
        <v>124.76987579999998</v>
      </c>
      <c r="K79" s="350">
        <f t="shared" si="16"/>
        <v>124.76987579999998</v>
      </c>
      <c r="L79" s="350">
        <f t="shared" si="16"/>
        <v>124.76987579999998</v>
      </c>
      <c r="M79" s="350">
        <f t="shared" si="16"/>
        <v>124.76987579999998</v>
      </c>
      <c r="N79" s="350">
        <f t="shared" si="16"/>
        <v>124.76987579999998</v>
      </c>
      <c r="O79" s="350">
        <f t="shared" si="16"/>
        <v>124.76987579999998</v>
      </c>
      <c r="P79" s="350">
        <f t="shared" si="16"/>
        <v>124.76987579999998</v>
      </c>
      <c r="Q79" s="752"/>
      <c r="R79" s="362"/>
    </row>
    <row r="80" spans="2:18" ht="31.25" x14ac:dyDescent="0.25">
      <c r="B80" s="760" t="s">
        <v>817</v>
      </c>
      <c r="C80" s="768" t="s">
        <v>818</v>
      </c>
      <c r="D80" s="758">
        <v>108.13359285</v>
      </c>
      <c r="E80" s="769">
        <v>4</v>
      </c>
      <c r="F80" s="294"/>
      <c r="G80" s="350">
        <f t="shared" si="16"/>
        <v>865.0687428</v>
      </c>
      <c r="H80" s="350">
        <f t="shared" si="16"/>
        <v>865.0687428</v>
      </c>
      <c r="I80" s="350">
        <f t="shared" si="16"/>
        <v>865.0687428</v>
      </c>
      <c r="J80" s="350">
        <f t="shared" si="16"/>
        <v>865.0687428</v>
      </c>
      <c r="K80" s="350">
        <f t="shared" si="16"/>
        <v>865.0687428</v>
      </c>
      <c r="L80" s="350">
        <f t="shared" si="16"/>
        <v>865.0687428</v>
      </c>
      <c r="M80" s="350">
        <f t="shared" si="16"/>
        <v>865.0687428</v>
      </c>
      <c r="N80" s="350">
        <f t="shared" si="16"/>
        <v>865.0687428</v>
      </c>
      <c r="O80" s="350">
        <f t="shared" si="16"/>
        <v>865.0687428</v>
      </c>
      <c r="P80" s="350">
        <f t="shared" si="16"/>
        <v>865.0687428</v>
      </c>
      <c r="Q80" s="752"/>
      <c r="R80" s="362"/>
    </row>
    <row r="81" spans="2:18" ht="31.25" x14ac:dyDescent="0.25">
      <c r="B81" s="753" t="s">
        <v>819</v>
      </c>
      <c r="C81" s="768" t="s">
        <v>820</v>
      </c>
      <c r="D81" s="758">
        <v>197.55080580000001</v>
      </c>
      <c r="E81" s="769">
        <v>3</v>
      </c>
      <c r="F81" s="358"/>
      <c r="G81" s="350">
        <f>IF(G$17=0,0,G$17/$D$17*$E81*$D81)</f>
        <v>1185.3048348</v>
      </c>
      <c r="H81" s="350">
        <f t="shared" ref="H81:P85" si="17">IF(H$17=0,0,H$17/$D$17*$E81*$D81)</f>
        <v>1185.3048348</v>
      </c>
      <c r="I81" s="350">
        <f t="shared" si="17"/>
        <v>1185.3048348</v>
      </c>
      <c r="J81" s="350">
        <f t="shared" si="17"/>
        <v>1185.3048348</v>
      </c>
      <c r="K81" s="350">
        <f t="shared" si="17"/>
        <v>1185.3048348</v>
      </c>
      <c r="L81" s="350">
        <f t="shared" si="17"/>
        <v>1185.3048348</v>
      </c>
      <c r="M81" s="350">
        <f t="shared" si="17"/>
        <v>1185.3048348</v>
      </c>
      <c r="N81" s="350">
        <f t="shared" si="17"/>
        <v>1185.3048348</v>
      </c>
      <c r="O81" s="350">
        <f t="shared" si="17"/>
        <v>1185.3048348</v>
      </c>
      <c r="P81" s="350">
        <f t="shared" si="17"/>
        <v>1185.3048348</v>
      </c>
      <c r="Q81" s="752"/>
      <c r="R81" s="362"/>
    </row>
    <row r="82" spans="2:18" ht="46.9" x14ac:dyDescent="0.25">
      <c r="B82" s="753" t="s">
        <v>821</v>
      </c>
      <c r="C82" s="768" t="s">
        <v>822</v>
      </c>
      <c r="D82" s="758">
        <v>25.434389199999995</v>
      </c>
      <c r="E82" s="769">
        <v>1</v>
      </c>
      <c r="F82" s="358"/>
      <c r="G82" s="350">
        <f>IF(G$17=0,0,G$17/$D$17*$E82*$D82)</f>
        <v>50.868778399999989</v>
      </c>
      <c r="H82" s="350">
        <f t="shared" si="17"/>
        <v>50.868778399999989</v>
      </c>
      <c r="I82" s="350">
        <f t="shared" si="17"/>
        <v>50.868778399999989</v>
      </c>
      <c r="J82" s="350">
        <f t="shared" si="17"/>
        <v>50.868778399999989</v>
      </c>
      <c r="K82" s="350">
        <f t="shared" si="17"/>
        <v>50.868778399999989</v>
      </c>
      <c r="L82" s="350">
        <f t="shared" si="17"/>
        <v>50.868778399999989</v>
      </c>
      <c r="M82" s="350">
        <f t="shared" si="17"/>
        <v>50.868778399999989</v>
      </c>
      <c r="N82" s="350">
        <f t="shared" si="17"/>
        <v>50.868778399999989</v>
      </c>
      <c r="O82" s="350">
        <f t="shared" si="17"/>
        <v>50.868778399999989</v>
      </c>
      <c r="P82" s="350">
        <f t="shared" si="17"/>
        <v>50.868778399999989</v>
      </c>
      <c r="Q82" s="752"/>
      <c r="R82" s="362"/>
    </row>
    <row r="83" spans="2:18" ht="31.25" x14ac:dyDescent="0.25">
      <c r="B83" s="753" t="s">
        <v>795</v>
      </c>
      <c r="C83" s="762"/>
      <c r="D83" s="758">
        <v>4.420496</v>
      </c>
      <c r="E83" s="763">
        <v>280</v>
      </c>
      <c r="F83" s="358"/>
      <c r="G83" s="350">
        <f>IF(G$17=0,0,G$17/$D$17*$E83*$D83)</f>
        <v>2475.4777599999998</v>
      </c>
      <c r="H83" s="350">
        <f t="shared" si="17"/>
        <v>2475.4777599999998</v>
      </c>
      <c r="I83" s="350">
        <f t="shared" si="17"/>
        <v>2475.4777599999998</v>
      </c>
      <c r="J83" s="350">
        <f t="shared" si="17"/>
        <v>2475.4777599999998</v>
      </c>
      <c r="K83" s="350">
        <f t="shared" si="17"/>
        <v>2475.4777599999998</v>
      </c>
      <c r="L83" s="350">
        <f t="shared" si="17"/>
        <v>2475.4777599999998</v>
      </c>
      <c r="M83" s="350">
        <f t="shared" si="17"/>
        <v>2475.4777599999998</v>
      </c>
      <c r="N83" s="350">
        <f t="shared" si="17"/>
        <v>2475.4777599999998</v>
      </c>
      <c r="O83" s="350">
        <f t="shared" si="17"/>
        <v>2475.4777599999998</v>
      </c>
      <c r="P83" s="350">
        <f t="shared" si="17"/>
        <v>2475.4777599999998</v>
      </c>
      <c r="Q83" s="752">
        <v>346</v>
      </c>
      <c r="R83" s="362">
        <f>Q83*0.012776</f>
        <v>4.420496</v>
      </c>
    </row>
    <row r="84" spans="2:18" ht="31.25" x14ac:dyDescent="0.25">
      <c r="B84" s="753" t="s">
        <v>823</v>
      </c>
      <c r="C84" s="764"/>
      <c r="D84" s="758">
        <v>4.3544440799999995</v>
      </c>
      <c r="E84" s="759">
        <v>900</v>
      </c>
      <c r="F84" s="358"/>
      <c r="G84" s="350">
        <f>IF(G$17=0,0,G$17/$D$17*$E84*$D84)</f>
        <v>7837.9993439999989</v>
      </c>
      <c r="H84" s="350">
        <f t="shared" si="17"/>
        <v>7837.9993439999989</v>
      </c>
      <c r="I84" s="350">
        <f t="shared" si="17"/>
        <v>7837.9993439999989</v>
      </c>
      <c r="J84" s="350">
        <f t="shared" si="17"/>
        <v>7837.9993439999989</v>
      </c>
      <c r="K84" s="350">
        <f t="shared" si="17"/>
        <v>7837.9993439999989</v>
      </c>
      <c r="L84" s="350">
        <f t="shared" si="17"/>
        <v>7837.9993439999989</v>
      </c>
      <c r="M84" s="350">
        <f t="shared" si="17"/>
        <v>7837.9993439999989</v>
      </c>
      <c r="N84" s="350">
        <f t="shared" si="17"/>
        <v>7837.9993439999989</v>
      </c>
      <c r="O84" s="350">
        <f t="shared" si="17"/>
        <v>7837.9993439999989</v>
      </c>
      <c r="P84" s="350">
        <f t="shared" si="17"/>
        <v>7837.9993439999989</v>
      </c>
      <c r="Q84" s="752">
        <v>340.83</v>
      </c>
      <c r="R84" s="362">
        <f t="shared" ref="R84:R85" si="18">Q84*0.012776</f>
        <v>4.3544440799999995</v>
      </c>
    </row>
    <row r="85" spans="2:18" ht="46.9" x14ac:dyDescent="0.25">
      <c r="B85" s="753" t="s">
        <v>796</v>
      </c>
      <c r="C85" s="764"/>
      <c r="D85" s="758">
        <v>12.43730824</v>
      </c>
      <c r="E85" s="759">
        <v>41</v>
      </c>
      <c r="F85" s="358"/>
      <c r="G85" s="350">
        <f>IF(G$17=0,0,G$17/$D$17*$E85*$D85)</f>
        <v>1019.85927568</v>
      </c>
      <c r="H85" s="350">
        <f t="shared" si="17"/>
        <v>1019.85927568</v>
      </c>
      <c r="I85" s="350">
        <f t="shared" si="17"/>
        <v>1019.85927568</v>
      </c>
      <c r="J85" s="350">
        <f t="shared" si="17"/>
        <v>1019.85927568</v>
      </c>
      <c r="K85" s="350">
        <f t="shared" si="17"/>
        <v>1019.85927568</v>
      </c>
      <c r="L85" s="350">
        <f t="shared" si="17"/>
        <v>1019.85927568</v>
      </c>
      <c r="M85" s="350">
        <f t="shared" si="17"/>
        <v>1019.85927568</v>
      </c>
      <c r="N85" s="350">
        <f t="shared" si="17"/>
        <v>1019.85927568</v>
      </c>
      <c r="O85" s="350">
        <f t="shared" si="17"/>
        <v>1019.85927568</v>
      </c>
      <c r="P85" s="350">
        <f t="shared" si="17"/>
        <v>1019.85927568</v>
      </c>
      <c r="Q85" s="752">
        <v>973.49</v>
      </c>
      <c r="R85" s="362">
        <f t="shared" si="18"/>
        <v>12.43730824</v>
      </c>
    </row>
    <row r="86" spans="2:18" x14ac:dyDescent="0.25">
      <c r="B86" s="352"/>
      <c r="C86" s="364"/>
      <c r="D86" s="348"/>
      <c r="E86" s="770"/>
      <c r="F86" s="358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752"/>
      <c r="R86" s="362"/>
    </row>
    <row r="87" spans="2:18" x14ac:dyDescent="0.25">
      <c r="B87" s="748" t="s">
        <v>553</v>
      </c>
      <c r="C87" s="364"/>
      <c r="D87" s="348"/>
      <c r="E87" s="568">
        <f>VLOOKUP($B87,$B$14:$C$21,2,FALSE)</f>
        <v>3000</v>
      </c>
      <c r="F87" s="294">
        <f>VLOOKUP($B87,$B$14:$E$21,4,FALSE)</f>
        <v>1</v>
      </c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752"/>
      <c r="R87" s="362"/>
    </row>
    <row r="88" spans="2:18" ht="15.65" x14ac:dyDescent="0.25">
      <c r="B88" s="753" t="s">
        <v>786</v>
      </c>
      <c r="C88" s="757" t="s">
        <v>787</v>
      </c>
      <c r="D88" s="354">
        <v>246.41286719999999</v>
      </c>
      <c r="E88" s="771">
        <v>4</v>
      </c>
      <c r="F88" s="294"/>
      <c r="G88" s="350">
        <f t="shared" ref="G88:P103" si="19">IF(G$19=0,0,G$19/$D$19*$E88*$D88)</f>
        <v>985.65146879999998</v>
      </c>
      <c r="H88" s="350">
        <f t="shared" si="19"/>
        <v>985.65146879999998</v>
      </c>
      <c r="I88" s="350">
        <f t="shared" si="19"/>
        <v>985.65146879999998</v>
      </c>
      <c r="J88" s="350">
        <f t="shared" si="19"/>
        <v>985.65146879999998</v>
      </c>
      <c r="K88" s="350">
        <f t="shared" si="19"/>
        <v>985.65146879999998</v>
      </c>
      <c r="L88" s="350">
        <f t="shared" si="19"/>
        <v>985.65146879999998</v>
      </c>
      <c r="M88" s="350">
        <f t="shared" si="19"/>
        <v>985.65146879999998</v>
      </c>
      <c r="N88" s="350">
        <f t="shared" si="19"/>
        <v>985.65146879999998</v>
      </c>
      <c r="O88" s="350">
        <f t="shared" si="19"/>
        <v>985.65146879999998</v>
      </c>
      <c r="P88" s="350">
        <f t="shared" si="19"/>
        <v>985.65146879999998</v>
      </c>
      <c r="Q88" s="752"/>
      <c r="R88" s="362"/>
    </row>
    <row r="89" spans="2:18" ht="15.65" x14ac:dyDescent="0.25">
      <c r="B89" s="753" t="s">
        <v>786</v>
      </c>
      <c r="C89" s="757" t="s">
        <v>788</v>
      </c>
      <c r="D89" s="354">
        <v>54.066047649999994</v>
      </c>
      <c r="E89" s="771">
        <v>1</v>
      </c>
      <c r="F89" s="294"/>
      <c r="G89" s="350">
        <f t="shared" si="19"/>
        <v>54.066047649999994</v>
      </c>
      <c r="H89" s="350">
        <f t="shared" si="19"/>
        <v>54.066047649999994</v>
      </c>
      <c r="I89" s="350">
        <f t="shared" si="19"/>
        <v>54.066047649999994</v>
      </c>
      <c r="J89" s="350">
        <f t="shared" si="19"/>
        <v>54.066047649999994</v>
      </c>
      <c r="K89" s="350">
        <f t="shared" si="19"/>
        <v>54.066047649999994</v>
      </c>
      <c r="L89" s="350">
        <f t="shared" si="19"/>
        <v>54.066047649999994</v>
      </c>
      <c r="M89" s="350">
        <f t="shared" si="19"/>
        <v>54.066047649999994</v>
      </c>
      <c r="N89" s="350">
        <f t="shared" si="19"/>
        <v>54.066047649999994</v>
      </c>
      <c r="O89" s="350">
        <f t="shared" si="19"/>
        <v>54.066047649999994</v>
      </c>
      <c r="P89" s="350">
        <f t="shared" si="19"/>
        <v>54.066047649999994</v>
      </c>
      <c r="Q89" s="752"/>
      <c r="R89" s="362"/>
    </row>
    <row r="90" spans="2:18" ht="31.25" x14ac:dyDescent="0.25">
      <c r="B90" s="753" t="s">
        <v>789</v>
      </c>
      <c r="C90" s="757" t="s">
        <v>790</v>
      </c>
      <c r="D90" s="354">
        <v>112.55286289999999</v>
      </c>
      <c r="E90" s="771">
        <v>1</v>
      </c>
      <c r="F90" s="294"/>
      <c r="G90" s="350">
        <f t="shared" si="19"/>
        <v>112.55286289999999</v>
      </c>
      <c r="H90" s="350">
        <f t="shared" si="19"/>
        <v>112.55286289999999</v>
      </c>
      <c r="I90" s="350">
        <f t="shared" si="19"/>
        <v>112.55286289999999</v>
      </c>
      <c r="J90" s="350">
        <f t="shared" si="19"/>
        <v>112.55286289999999</v>
      </c>
      <c r="K90" s="350">
        <f t="shared" si="19"/>
        <v>112.55286289999999</v>
      </c>
      <c r="L90" s="350">
        <f t="shared" si="19"/>
        <v>112.55286289999999</v>
      </c>
      <c r="M90" s="350">
        <f t="shared" si="19"/>
        <v>112.55286289999999</v>
      </c>
      <c r="N90" s="350">
        <f t="shared" si="19"/>
        <v>112.55286289999999</v>
      </c>
      <c r="O90" s="350">
        <f t="shared" si="19"/>
        <v>112.55286289999999</v>
      </c>
      <c r="P90" s="350">
        <f t="shared" si="19"/>
        <v>112.55286289999999</v>
      </c>
      <c r="Q90" s="752"/>
      <c r="R90" s="362"/>
    </row>
    <row r="91" spans="2:18" ht="31.25" x14ac:dyDescent="0.25">
      <c r="B91" s="753" t="s">
        <v>791</v>
      </c>
      <c r="C91" s="757" t="s">
        <v>792</v>
      </c>
      <c r="D91" s="354">
        <v>54.066047649999994</v>
      </c>
      <c r="E91" s="771">
        <v>3</v>
      </c>
      <c r="F91" s="294"/>
      <c r="G91" s="350">
        <f t="shared" si="19"/>
        <v>162.19814294999998</v>
      </c>
      <c r="H91" s="350">
        <f t="shared" si="19"/>
        <v>162.19814294999998</v>
      </c>
      <c r="I91" s="350">
        <f t="shared" si="19"/>
        <v>162.19814294999998</v>
      </c>
      <c r="J91" s="350">
        <f t="shared" si="19"/>
        <v>162.19814294999998</v>
      </c>
      <c r="K91" s="350">
        <f t="shared" si="19"/>
        <v>162.19814294999998</v>
      </c>
      <c r="L91" s="350">
        <f t="shared" si="19"/>
        <v>162.19814294999998</v>
      </c>
      <c r="M91" s="350">
        <f t="shared" si="19"/>
        <v>162.19814294999998</v>
      </c>
      <c r="N91" s="350">
        <f t="shared" si="19"/>
        <v>162.19814294999998</v>
      </c>
      <c r="O91" s="350">
        <f t="shared" si="19"/>
        <v>162.19814294999998</v>
      </c>
      <c r="P91" s="350">
        <f t="shared" si="19"/>
        <v>162.19814294999998</v>
      </c>
      <c r="Q91" s="752"/>
      <c r="R91" s="362"/>
    </row>
    <row r="92" spans="2:18" ht="31.25" x14ac:dyDescent="0.25">
      <c r="B92" s="753" t="s">
        <v>793</v>
      </c>
      <c r="C92" s="757" t="s">
        <v>794</v>
      </c>
      <c r="D92" s="354">
        <v>45.474603300000005</v>
      </c>
      <c r="E92" s="771">
        <v>2</v>
      </c>
      <c r="F92" s="294"/>
      <c r="G92" s="350">
        <f t="shared" si="19"/>
        <v>90.949206600000011</v>
      </c>
      <c r="H92" s="350">
        <f t="shared" si="19"/>
        <v>90.949206600000011</v>
      </c>
      <c r="I92" s="350">
        <f t="shared" si="19"/>
        <v>90.949206600000011</v>
      </c>
      <c r="J92" s="350">
        <f t="shared" si="19"/>
        <v>90.949206600000011</v>
      </c>
      <c r="K92" s="350">
        <f t="shared" si="19"/>
        <v>90.949206600000011</v>
      </c>
      <c r="L92" s="350">
        <f t="shared" si="19"/>
        <v>90.949206600000011</v>
      </c>
      <c r="M92" s="350">
        <f t="shared" si="19"/>
        <v>90.949206600000011</v>
      </c>
      <c r="N92" s="350">
        <f t="shared" si="19"/>
        <v>90.949206600000011</v>
      </c>
      <c r="O92" s="350">
        <f t="shared" si="19"/>
        <v>90.949206600000011</v>
      </c>
      <c r="P92" s="350">
        <f t="shared" si="19"/>
        <v>90.949206600000011</v>
      </c>
      <c r="Q92" s="752"/>
      <c r="R92" s="362"/>
    </row>
    <row r="93" spans="2:18" ht="31.25" x14ac:dyDescent="0.25">
      <c r="B93" s="760" t="s">
        <v>797</v>
      </c>
      <c r="C93" s="757" t="s">
        <v>798</v>
      </c>
      <c r="D93" s="354">
        <v>299.44710289999995</v>
      </c>
      <c r="E93" s="771">
        <v>4</v>
      </c>
      <c r="F93" s="294"/>
      <c r="G93" s="350">
        <f t="shared" si="19"/>
        <v>1197.7884115999998</v>
      </c>
      <c r="H93" s="350">
        <f t="shared" si="19"/>
        <v>1197.7884115999998</v>
      </c>
      <c r="I93" s="350">
        <f t="shared" si="19"/>
        <v>1197.7884115999998</v>
      </c>
      <c r="J93" s="350">
        <f t="shared" si="19"/>
        <v>1197.7884115999998</v>
      </c>
      <c r="K93" s="350">
        <f t="shared" si="19"/>
        <v>1197.7884115999998</v>
      </c>
      <c r="L93" s="350">
        <f t="shared" si="19"/>
        <v>1197.7884115999998</v>
      </c>
      <c r="M93" s="350">
        <f t="shared" si="19"/>
        <v>1197.7884115999998</v>
      </c>
      <c r="N93" s="350">
        <f t="shared" si="19"/>
        <v>1197.7884115999998</v>
      </c>
      <c r="O93" s="350">
        <f t="shared" si="19"/>
        <v>1197.7884115999998</v>
      </c>
      <c r="P93" s="350">
        <f t="shared" si="19"/>
        <v>1197.7884115999998</v>
      </c>
      <c r="Q93" s="752"/>
      <c r="R93" s="362"/>
    </row>
    <row r="94" spans="2:18" ht="15.65" x14ac:dyDescent="0.25">
      <c r="B94" s="753" t="s">
        <v>799</v>
      </c>
      <c r="C94" s="757" t="s">
        <v>800</v>
      </c>
      <c r="D94" s="354">
        <v>1584.9065841500001</v>
      </c>
      <c r="E94" s="771">
        <v>1</v>
      </c>
      <c r="F94" s="294"/>
      <c r="G94" s="350">
        <f t="shared" si="19"/>
        <v>1584.9065841500001</v>
      </c>
      <c r="H94" s="350">
        <f t="shared" si="19"/>
        <v>1584.9065841500001</v>
      </c>
      <c r="I94" s="350">
        <f t="shared" si="19"/>
        <v>1584.9065841500001</v>
      </c>
      <c r="J94" s="350">
        <f t="shared" si="19"/>
        <v>1584.9065841500001</v>
      </c>
      <c r="K94" s="350">
        <f t="shared" si="19"/>
        <v>1584.9065841500001</v>
      </c>
      <c r="L94" s="350">
        <f t="shared" si="19"/>
        <v>1584.9065841500001</v>
      </c>
      <c r="M94" s="350">
        <f t="shared" si="19"/>
        <v>1584.9065841500001</v>
      </c>
      <c r="N94" s="350">
        <f t="shared" si="19"/>
        <v>1584.9065841500001</v>
      </c>
      <c r="O94" s="350">
        <f t="shared" si="19"/>
        <v>1584.9065841500001</v>
      </c>
      <c r="P94" s="350">
        <f t="shared" si="19"/>
        <v>1584.9065841500001</v>
      </c>
      <c r="Q94" s="752"/>
      <c r="R94" s="362"/>
    </row>
    <row r="95" spans="2:18" ht="15.65" x14ac:dyDescent="0.25">
      <c r="B95" s="753" t="s">
        <v>801</v>
      </c>
      <c r="C95" s="757" t="s">
        <v>802</v>
      </c>
      <c r="D95" s="354">
        <v>111.55721810513619</v>
      </c>
      <c r="E95" s="771">
        <v>2</v>
      </c>
      <c r="F95" s="294"/>
      <c r="G95" s="350">
        <f t="shared" si="19"/>
        <v>223.11443621027237</v>
      </c>
      <c r="H95" s="350">
        <f t="shared" si="19"/>
        <v>223.11443621027237</v>
      </c>
      <c r="I95" s="350">
        <f t="shared" si="19"/>
        <v>223.11443621027237</v>
      </c>
      <c r="J95" s="350">
        <f t="shared" si="19"/>
        <v>223.11443621027237</v>
      </c>
      <c r="K95" s="350">
        <f t="shared" si="19"/>
        <v>223.11443621027237</v>
      </c>
      <c r="L95" s="350">
        <f t="shared" si="19"/>
        <v>223.11443621027237</v>
      </c>
      <c r="M95" s="350">
        <f t="shared" si="19"/>
        <v>223.11443621027237</v>
      </c>
      <c r="N95" s="350">
        <f t="shared" si="19"/>
        <v>223.11443621027237</v>
      </c>
      <c r="O95" s="350">
        <f t="shared" si="19"/>
        <v>223.11443621027237</v>
      </c>
      <c r="P95" s="350">
        <f t="shared" si="19"/>
        <v>223.11443621027237</v>
      </c>
      <c r="Q95" s="752"/>
      <c r="R95" s="362"/>
    </row>
    <row r="96" spans="2:18" ht="31.25" x14ac:dyDescent="0.25">
      <c r="B96" s="753" t="s">
        <v>803</v>
      </c>
      <c r="C96" s="757" t="s">
        <v>804</v>
      </c>
      <c r="D96" s="354">
        <v>29.808732750000001</v>
      </c>
      <c r="E96" s="771">
        <v>2</v>
      </c>
      <c r="F96" s="294"/>
      <c r="G96" s="350">
        <f t="shared" si="19"/>
        <v>59.617465500000002</v>
      </c>
      <c r="H96" s="350">
        <f t="shared" si="19"/>
        <v>59.617465500000002</v>
      </c>
      <c r="I96" s="350">
        <f t="shared" si="19"/>
        <v>59.617465500000002</v>
      </c>
      <c r="J96" s="350">
        <f t="shared" si="19"/>
        <v>59.617465500000002</v>
      </c>
      <c r="K96" s="350">
        <f t="shared" si="19"/>
        <v>59.617465500000002</v>
      </c>
      <c r="L96" s="350">
        <f t="shared" si="19"/>
        <v>59.617465500000002</v>
      </c>
      <c r="M96" s="350">
        <f t="shared" si="19"/>
        <v>59.617465500000002</v>
      </c>
      <c r="N96" s="350">
        <f t="shared" si="19"/>
        <v>59.617465500000002</v>
      </c>
      <c r="O96" s="350">
        <f t="shared" si="19"/>
        <v>59.617465500000002</v>
      </c>
      <c r="P96" s="350">
        <f t="shared" si="19"/>
        <v>59.617465500000002</v>
      </c>
      <c r="Q96" s="752"/>
      <c r="R96" s="362"/>
    </row>
    <row r="97" spans="2:18" ht="31.25" x14ac:dyDescent="0.25">
      <c r="B97" s="761" t="s">
        <v>805</v>
      </c>
      <c r="C97" s="757" t="s">
        <v>806</v>
      </c>
      <c r="D97" s="354">
        <v>23.902395550000001</v>
      </c>
      <c r="E97" s="771">
        <v>1</v>
      </c>
      <c r="F97" s="294"/>
      <c r="G97" s="350">
        <f t="shared" si="19"/>
        <v>23.902395550000001</v>
      </c>
      <c r="H97" s="350">
        <f t="shared" si="19"/>
        <v>23.902395550000001</v>
      </c>
      <c r="I97" s="350">
        <f t="shared" si="19"/>
        <v>23.902395550000001</v>
      </c>
      <c r="J97" s="350">
        <f t="shared" si="19"/>
        <v>23.902395550000001</v>
      </c>
      <c r="K97" s="350">
        <f t="shared" si="19"/>
        <v>23.902395550000001</v>
      </c>
      <c r="L97" s="350">
        <f t="shared" si="19"/>
        <v>23.902395550000001</v>
      </c>
      <c r="M97" s="350">
        <f t="shared" si="19"/>
        <v>23.902395550000001</v>
      </c>
      <c r="N97" s="350">
        <f t="shared" si="19"/>
        <v>23.902395550000001</v>
      </c>
      <c r="O97" s="350">
        <f t="shared" si="19"/>
        <v>23.902395550000001</v>
      </c>
      <c r="P97" s="350">
        <f t="shared" si="19"/>
        <v>23.902395550000001</v>
      </c>
      <c r="Q97" s="752"/>
      <c r="R97" s="362"/>
    </row>
    <row r="98" spans="2:18" ht="31.25" x14ac:dyDescent="0.25">
      <c r="B98" s="761" t="s">
        <v>807</v>
      </c>
      <c r="C98" s="757" t="s">
        <v>808</v>
      </c>
      <c r="D98" s="354">
        <v>76.430459349999992</v>
      </c>
      <c r="E98" s="771">
        <v>2</v>
      </c>
      <c r="F98" s="294"/>
      <c r="G98" s="350">
        <f t="shared" si="19"/>
        <v>152.86091869999998</v>
      </c>
      <c r="H98" s="350">
        <f t="shared" si="19"/>
        <v>152.86091869999998</v>
      </c>
      <c r="I98" s="350">
        <f t="shared" si="19"/>
        <v>152.86091869999998</v>
      </c>
      <c r="J98" s="350">
        <f t="shared" si="19"/>
        <v>152.86091869999998</v>
      </c>
      <c r="K98" s="350">
        <f t="shared" si="19"/>
        <v>152.86091869999998</v>
      </c>
      <c r="L98" s="350">
        <f t="shared" si="19"/>
        <v>152.86091869999998</v>
      </c>
      <c r="M98" s="350">
        <f t="shared" si="19"/>
        <v>152.86091869999998</v>
      </c>
      <c r="N98" s="350">
        <f t="shared" si="19"/>
        <v>152.86091869999998</v>
      </c>
      <c r="O98" s="350">
        <f t="shared" si="19"/>
        <v>152.86091869999998</v>
      </c>
      <c r="P98" s="350">
        <f t="shared" si="19"/>
        <v>152.86091869999998</v>
      </c>
      <c r="Q98" s="752"/>
      <c r="R98" s="362"/>
    </row>
    <row r="99" spans="2:18" ht="31.25" x14ac:dyDescent="0.25">
      <c r="B99" s="753" t="s">
        <v>809</v>
      </c>
      <c r="C99" s="768" t="s">
        <v>810</v>
      </c>
      <c r="D99" s="354">
        <v>12.034311799999998</v>
      </c>
      <c r="E99" s="771">
        <v>2</v>
      </c>
      <c r="F99" s="294"/>
      <c r="G99" s="350">
        <f t="shared" si="19"/>
        <v>24.068623599999995</v>
      </c>
      <c r="H99" s="350">
        <f t="shared" si="19"/>
        <v>24.068623599999995</v>
      </c>
      <c r="I99" s="350">
        <f t="shared" si="19"/>
        <v>24.068623599999995</v>
      </c>
      <c r="J99" s="350">
        <f t="shared" si="19"/>
        <v>24.068623599999995</v>
      </c>
      <c r="K99" s="350">
        <f t="shared" si="19"/>
        <v>24.068623599999995</v>
      </c>
      <c r="L99" s="350">
        <f t="shared" si="19"/>
        <v>24.068623599999995</v>
      </c>
      <c r="M99" s="350">
        <f t="shared" si="19"/>
        <v>24.068623599999995</v>
      </c>
      <c r="N99" s="350">
        <f t="shared" si="19"/>
        <v>24.068623599999995</v>
      </c>
      <c r="O99" s="350">
        <f t="shared" si="19"/>
        <v>24.068623599999995</v>
      </c>
      <c r="P99" s="350">
        <f t="shared" si="19"/>
        <v>24.068623599999995</v>
      </c>
      <c r="Q99" s="752"/>
      <c r="R99" s="362"/>
    </row>
    <row r="100" spans="2:18" ht="31.25" x14ac:dyDescent="0.25">
      <c r="B100" s="753" t="s">
        <v>811</v>
      </c>
      <c r="C100" s="768" t="s">
        <v>812</v>
      </c>
      <c r="D100" s="354">
        <v>153.66178770926592</v>
      </c>
      <c r="E100" s="771">
        <v>1</v>
      </c>
      <c r="F100" s="294"/>
      <c r="G100" s="350">
        <f t="shared" si="19"/>
        <v>153.66178770926592</v>
      </c>
      <c r="H100" s="350">
        <f t="shared" si="19"/>
        <v>153.66178770926592</v>
      </c>
      <c r="I100" s="350">
        <f t="shared" si="19"/>
        <v>153.66178770926592</v>
      </c>
      <c r="J100" s="350">
        <f t="shared" si="19"/>
        <v>153.66178770926592</v>
      </c>
      <c r="K100" s="350">
        <f t="shared" si="19"/>
        <v>153.66178770926592</v>
      </c>
      <c r="L100" s="350">
        <f t="shared" si="19"/>
        <v>153.66178770926592</v>
      </c>
      <c r="M100" s="350">
        <f t="shared" si="19"/>
        <v>153.66178770926592</v>
      </c>
      <c r="N100" s="350">
        <f t="shared" si="19"/>
        <v>153.66178770926592</v>
      </c>
      <c r="O100" s="350">
        <f t="shared" si="19"/>
        <v>153.66178770926592</v>
      </c>
      <c r="P100" s="350">
        <f t="shared" si="19"/>
        <v>153.66178770926592</v>
      </c>
      <c r="Q100" s="752"/>
      <c r="R100" s="362"/>
    </row>
    <row r="101" spans="2:18" ht="31.25" x14ac:dyDescent="0.25">
      <c r="B101" s="753" t="s">
        <v>813</v>
      </c>
      <c r="C101" s="768" t="s">
        <v>814</v>
      </c>
      <c r="D101" s="354">
        <v>9.1485329499999999</v>
      </c>
      <c r="E101" s="771">
        <v>1</v>
      </c>
      <c r="F101" s="294"/>
      <c r="G101" s="350">
        <f t="shared" si="19"/>
        <v>9.1485329499999999</v>
      </c>
      <c r="H101" s="350">
        <f t="shared" si="19"/>
        <v>9.1485329499999999</v>
      </c>
      <c r="I101" s="350">
        <f t="shared" si="19"/>
        <v>9.1485329499999999</v>
      </c>
      <c r="J101" s="350">
        <f t="shared" si="19"/>
        <v>9.1485329499999999</v>
      </c>
      <c r="K101" s="350">
        <f t="shared" si="19"/>
        <v>9.1485329499999999</v>
      </c>
      <c r="L101" s="350">
        <f t="shared" si="19"/>
        <v>9.1485329499999999</v>
      </c>
      <c r="M101" s="350">
        <f t="shared" si="19"/>
        <v>9.1485329499999999</v>
      </c>
      <c r="N101" s="350">
        <f t="shared" si="19"/>
        <v>9.1485329499999999</v>
      </c>
      <c r="O101" s="350">
        <f t="shared" si="19"/>
        <v>9.1485329499999999</v>
      </c>
      <c r="P101" s="350">
        <f t="shared" si="19"/>
        <v>9.1485329499999999</v>
      </c>
      <c r="Q101" s="752"/>
      <c r="R101" s="362"/>
    </row>
    <row r="102" spans="2:18" ht="31.25" x14ac:dyDescent="0.25">
      <c r="B102" s="760" t="s">
        <v>815</v>
      </c>
      <c r="C102" s="768" t="s">
        <v>816</v>
      </c>
      <c r="D102" s="354">
        <v>62.38493789999999</v>
      </c>
      <c r="E102" s="771">
        <v>1</v>
      </c>
      <c r="F102" s="294"/>
      <c r="G102" s="350">
        <f t="shared" si="19"/>
        <v>62.38493789999999</v>
      </c>
      <c r="H102" s="350">
        <f t="shared" si="19"/>
        <v>62.38493789999999</v>
      </c>
      <c r="I102" s="350">
        <f t="shared" si="19"/>
        <v>62.38493789999999</v>
      </c>
      <c r="J102" s="350">
        <f t="shared" si="19"/>
        <v>62.38493789999999</v>
      </c>
      <c r="K102" s="350">
        <f t="shared" si="19"/>
        <v>62.38493789999999</v>
      </c>
      <c r="L102" s="350">
        <f t="shared" si="19"/>
        <v>62.38493789999999</v>
      </c>
      <c r="M102" s="350">
        <f t="shared" si="19"/>
        <v>62.38493789999999</v>
      </c>
      <c r="N102" s="350">
        <f t="shared" si="19"/>
        <v>62.38493789999999</v>
      </c>
      <c r="O102" s="350">
        <f t="shared" si="19"/>
        <v>62.38493789999999</v>
      </c>
      <c r="P102" s="350">
        <f t="shared" si="19"/>
        <v>62.38493789999999</v>
      </c>
      <c r="Q102" s="752"/>
      <c r="R102" s="362"/>
    </row>
    <row r="103" spans="2:18" ht="31.25" x14ac:dyDescent="0.25">
      <c r="B103" s="753" t="s">
        <v>795</v>
      </c>
      <c r="C103" s="762"/>
      <c r="D103" s="758">
        <v>4.420496</v>
      </c>
      <c r="E103" s="763">
        <v>280</v>
      </c>
      <c r="F103" s="294"/>
      <c r="G103" s="350">
        <f t="shared" si="19"/>
        <v>1237.7388799999999</v>
      </c>
      <c r="H103" s="350">
        <f t="shared" si="19"/>
        <v>1237.7388799999999</v>
      </c>
      <c r="I103" s="350">
        <f t="shared" si="19"/>
        <v>1237.7388799999999</v>
      </c>
      <c r="J103" s="350">
        <f t="shared" si="19"/>
        <v>1237.7388799999999</v>
      </c>
      <c r="K103" s="350">
        <f t="shared" si="19"/>
        <v>1237.7388799999999</v>
      </c>
      <c r="L103" s="350">
        <f t="shared" si="19"/>
        <v>1237.7388799999999</v>
      </c>
      <c r="M103" s="350">
        <f t="shared" si="19"/>
        <v>1237.7388799999999</v>
      </c>
      <c r="N103" s="350">
        <f t="shared" si="19"/>
        <v>1237.7388799999999</v>
      </c>
      <c r="O103" s="350">
        <f t="shared" si="19"/>
        <v>1237.7388799999999</v>
      </c>
      <c r="P103" s="350">
        <f t="shared" si="19"/>
        <v>1237.7388799999999</v>
      </c>
      <c r="Q103" s="752">
        <v>346</v>
      </c>
      <c r="R103" s="362">
        <f>Q103*0.012776</f>
        <v>4.420496</v>
      </c>
    </row>
    <row r="104" spans="2:18" ht="31.25" x14ac:dyDescent="0.25">
      <c r="B104" s="753" t="s">
        <v>824</v>
      </c>
      <c r="C104" s="764"/>
      <c r="D104" s="758">
        <v>19.117878640000001</v>
      </c>
      <c r="E104" s="759">
        <v>208</v>
      </c>
      <c r="F104" s="358"/>
      <c r="G104" s="350">
        <f>IF(G$19=0,0,G$19/$D$19*$E104*$D104)</f>
        <v>3976.5187571200004</v>
      </c>
      <c r="H104" s="350">
        <f t="shared" ref="H104:P104" si="20">IF(H$19=0,0,H$19/$D$19*$E104*$D104)</f>
        <v>3976.5187571200004</v>
      </c>
      <c r="I104" s="350">
        <f t="shared" si="20"/>
        <v>3976.5187571200004</v>
      </c>
      <c r="J104" s="350">
        <f t="shared" si="20"/>
        <v>3976.5187571200004</v>
      </c>
      <c r="K104" s="350">
        <f t="shared" si="20"/>
        <v>3976.5187571200004</v>
      </c>
      <c r="L104" s="350">
        <f t="shared" si="20"/>
        <v>3976.5187571200004</v>
      </c>
      <c r="M104" s="350">
        <f t="shared" si="20"/>
        <v>3976.5187571200004</v>
      </c>
      <c r="N104" s="350">
        <f t="shared" si="20"/>
        <v>3976.5187571200004</v>
      </c>
      <c r="O104" s="350">
        <f t="shared" si="20"/>
        <v>3976.5187571200004</v>
      </c>
      <c r="P104" s="350">
        <f t="shared" si="20"/>
        <v>3976.5187571200004</v>
      </c>
      <c r="Q104" s="752">
        <v>1496.39</v>
      </c>
      <c r="R104" s="362">
        <f t="shared" ref="R104:R105" si="21">Q104*0.012776</f>
        <v>19.117878640000001</v>
      </c>
    </row>
    <row r="105" spans="2:18" ht="46.9" x14ac:dyDescent="0.25">
      <c r="B105" s="753" t="s">
        <v>796</v>
      </c>
      <c r="C105" s="764"/>
      <c r="D105" s="758">
        <v>12.43730824</v>
      </c>
      <c r="E105" s="759">
        <v>41</v>
      </c>
      <c r="F105" s="358"/>
      <c r="G105" s="350">
        <f t="shared" ref="G105:P105" si="22">IF(G$19=0,0,G$19/$D$19*$E105*$D105)</f>
        <v>509.92963784</v>
      </c>
      <c r="H105" s="350">
        <f t="shared" si="22"/>
        <v>509.92963784</v>
      </c>
      <c r="I105" s="350">
        <f t="shared" si="22"/>
        <v>509.92963784</v>
      </c>
      <c r="J105" s="350">
        <f t="shared" si="22"/>
        <v>509.92963784</v>
      </c>
      <c r="K105" s="350">
        <f t="shared" si="22"/>
        <v>509.92963784</v>
      </c>
      <c r="L105" s="350">
        <f t="shared" si="22"/>
        <v>509.92963784</v>
      </c>
      <c r="M105" s="350">
        <f t="shared" si="22"/>
        <v>509.92963784</v>
      </c>
      <c r="N105" s="350">
        <f t="shared" si="22"/>
        <v>509.92963784</v>
      </c>
      <c r="O105" s="350">
        <f t="shared" si="22"/>
        <v>509.92963784</v>
      </c>
      <c r="P105" s="350">
        <f t="shared" si="22"/>
        <v>509.92963784</v>
      </c>
      <c r="Q105" s="752">
        <v>973.49</v>
      </c>
      <c r="R105" s="362">
        <f t="shared" si="21"/>
        <v>12.43730824</v>
      </c>
    </row>
    <row r="106" spans="2:18" x14ac:dyDescent="0.25">
      <c r="B106" s="748" t="s">
        <v>554</v>
      </c>
      <c r="C106" s="364"/>
      <c r="D106" s="348"/>
      <c r="E106" s="568">
        <f>VLOOKUP($B106,$B$14:$C$21,2,FALSE)</f>
        <v>5000</v>
      </c>
      <c r="F106" s="358"/>
      <c r="G106" s="476"/>
      <c r="H106" s="476"/>
      <c r="I106" s="292"/>
      <c r="J106" s="476"/>
      <c r="K106" s="292"/>
      <c r="L106" s="476"/>
      <c r="M106" s="292"/>
      <c r="N106" s="476"/>
      <c r="O106" s="292"/>
      <c r="P106" s="476"/>
      <c r="Q106" s="752"/>
      <c r="R106" s="362"/>
    </row>
    <row r="107" spans="2:18" ht="15.65" x14ac:dyDescent="0.25">
      <c r="B107" s="753" t="s">
        <v>786</v>
      </c>
      <c r="C107" s="757" t="s">
        <v>787</v>
      </c>
      <c r="D107" s="354">
        <v>246.41286719999999</v>
      </c>
      <c r="E107" s="771">
        <v>4</v>
      </c>
      <c r="F107" s="358"/>
      <c r="G107" s="350">
        <f t="shared" ref="G107:P122" si="23">IF(G$21=0,0,G$21/$D$21*$E107*$D107)</f>
        <v>985.65146879999998</v>
      </c>
      <c r="H107" s="350">
        <f t="shared" si="23"/>
        <v>985.65146879999998</v>
      </c>
      <c r="I107" s="350">
        <f t="shared" si="23"/>
        <v>985.65146879999998</v>
      </c>
      <c r="J107" s="350">
        <f t="shared" si="23"/>
        <v>985.65146879999998</v>
      </c>
      <c r="K107" s="350">
        <f t="shared" si="23"/>
        <v>985.65146879999998</v>
      </c>
      <c r="L107" s="350">
        <f t="shared" si="23"/>
        <v>985.65146879999998</v>
      </c>
      <c r="M107" s="350">
        <f t="shared" si="23"/>
        <v>985.65146879999998</v>
      </c>
      <c r="N107" s="350">
        <f t="shared" si="23"/>
        <v>985.65146879999998</v>
      </c>
      <c r="O107" s="350">
        <f t="shared" si="23"/>
        <v>985.65146879999998</v>
      </c>
      <c r="P107" s="350">
        <f t="shared" si="23"/>
        <v>985.65146879999998</v>
      </c>
      <c r="Q107" s="752"/>
      <c r="R107" s="362"/>
    </row>
    <row r="108" spans="2:18" ht="15.65" x14ac:dyDescent="0.25">
      <c r="B108" s="753" t="s">
        <v>786</v>
      </c>
      <c r="C108" s="757" t="s">
        <v>788</v>
      </c>
      <c r="D108" s="354">
        <v>54.066047649999994</v>
      </c>
      <c r="E108" s="771">
        <v>1</v>
      </c>
      <c r="F108" s="358"/>
      <c r="G108" s="350">
        <f t="shared" si="23"/>
        <v>54.066047649999994</v>
      </c>
      <c r="H108" s="350">
        <f t="shared" si="23"/>
        <v>54.066047649999994</v>
      </c>
      <c r="I108" s="350">
        <f t="shared" si="23"/>
        <v>54.066047649999994</v>
      </c>
      <c r="J108" s="350">
        <f t="shared" si="23"/>
        <v>54.066047649999994</v>
      </c>
      <c r="K108" s="350">
        <f t="shared" si="23"/>
        <v>54.066047649999994</v>
      </c>
      <c r="L108" s="350">
        <f t="shared" si="23"/>
        <v>54.066047649999994</v>
      </c>
      <c r="M108" s="350">
        <f t="shared" si="23"/>
        <v>54.066047649999994</v>
      </c>
      <c r="N108" s="350">
        <f t="shared" si="23"/>
        <v>54.066047649999994</v>
      </c>
      <c r="O108" s="350">
        <f t="shared" si="23"/>
        <v>54.066047649999994</v>
      </c>
      <c r="P108" s="350">
        <f t="shared" si="23"/>
        <v>54.066047649999994</v>
      </c>
      <c r="Q108" s="752"/>
      <c r="R108" s="362"/>
    </row>
    <row r="109" spans="2:18" ht="31.25" x14ac:dyDescent="0.25">
      <c r="B109" s="753" t="s">
        <v>789</v>
      </c>
      <c r="C109" s="757" t="s">
        <v>790</v>
      </c>
      <c r="D109" s="354">
        <v>112.55286289999999</v>
      </c>
      <c r="E109" s="771">
        <v>1</v>
      </c>
      <c r="F109" s="358"/>
      <c r="G109" s="350">
        <f t="shared" si="23"/>
        <v>112.55286289999999</v>
      </c>
      <c r="H109" s="350">
        <f t="shared" si="23"/>
        <v>112.55286289999999</v>
      </c>
      <c r="I109" s="350">
        <f t="shared" si="23"/>
        <v>112.55286289999999</v>
      </c>
      <c r="J109" s="350">
        <f t="shared" si="23"/>
        <v>112.55286289999999</v>
      </c>
      <c r="K109" s="350">
        <f t="shared" si="23"/>
        <v>112.55286289999999</v>
      </c>
      <c r="L109" s="350">
        <f t="shared" si="23"/>
        <v>112.55286289999999</v>
      </c>
      <c r="M109" s="350">
        <f t="shared" si="23"/>
        <v>112.55286289999999</v>
      </c>
      <c r="N109" s="350">
        <f t="shared" si="23"/>
        <v>112.55286289999999</v>
      </c>
      <c r="O109" s="350">
        <f t="shared" si="23"/>
        <v>112.55286289999999</v>
      </c>
      <c r="P109" s="350">
        <f t="shared" si="23"/>
        <v>112.55286289999999</v>
      </c>
      <c r="Q109" s="752"/>
      <c r="R109" s="362"/>
    </row>
    <row r="110" spans="2:18" ht="31.25" x14ac:dyDescent="0.25">
      <c r="B110" s="753" t="s">
        <v>791</v>
      </c>
      <c r="C110" s="757" t="s">
        <v>792</v>
      </c>
      <c r="D110" s="354">
        <v>54.066047649999994</v>
      </c>
      <c r="E110" s="771">
        <v>3</v>
      </c>
      <c r="F110" s="358"/>
      <c r="G110" s="350">
        <f t="shared" si="23"/>
        <v>162.19814294999998</v>
      </c>
      <c r="H110" s="350">
        <f t="shared" si="23"/>
        <v>162.19814294999998</v>
      </c>
      <c r="I110" s="350">
        <f t="shared" si="23"/>
        <v>162.19814294999998</v>
      </c>
      <c r="J110" s="350">
        <f t="shared" si="23"/>
        <v>162.19814294999998</v>
      </c>
      <c r="K110" s="350">
        <f t="shared" si="23"/>
        <v>162.19814294999998</v>
      </c>
      <c r="L110" s="350">
        <f t="shared" si="23"/>
        <v>162.19814294999998</v>
      </c>
      <c r="M110" s="350">
        <f t="shared" si="23"/>
        <v>162.19814294999998</v>
      </c>
      <c r="N110" s="350">
        <f t="shared" si="23"/>
        <v>162.19814294999998</v>
      </c>
      <c r="O110" s="350">
        <f t="shared" si="23"/>
        <v>162.19814294999998</v>
      </c>
      <c r="P110" s="350">
        <f t="shared" si="23"/>
        <v>162.19814294999998</v>
      </c>
      <c r="Q110" s="752"/>
      <c r="R110" s="362"/>
    </row>
    <row r="111" spans="2:18" ht="31.25" x14ac:dyDescent="0.25">
      <c r="B111" s="753" t="s">
        <v>793</v>
      </c>
      <c r="C111" s="757" t="s">
        <v>794</v>
      </c>
      <c r="D111" s="354">
        <v>45.474603300000005</v>
      </c>
      <c r="E111" s="771">
        <v>2</v>
      </c>
      <c r="F111" s="358"/>
      <c r="G111" s="350">
        <f t="shared" si="23"/>
        <v>90.949206600000011</v>
      </c>
      <c r="H111" s="350">
        <f t="shared" si="23"/>
        <v>90.949206600000011</v>
      </c>
      <c r="I111" s="350">
        <f t="shared" si="23"/>
        <v>90.949206600000011</v>
      </c>
      <c r="J111" s="350">
        <f t="shared" si="23"/>
        <v>90.949206600000011</v>
      </c>
      <c r="K111" s="350">
        <f t="shared" si="23"/>
        <v>90.949206600000011</v>
      </c>
      <c r="L111" s="350">
        <f t="shared" si="23"/>
        <v>90.949206600000011</v>
      </c>
      <c r="M111" s="350">
        <f t="shared" si="23"/>
        <v>90.949206600000011</v>
      </c>
      <c r="N111" s="350">
        <f t="shared" si="23"/>
        <v>90.949206600000011</v>
      </c>
      <c r="O111" s="350">
        <f t="shared" si="23"/>
        <v>90.949206600000011</v>
      </c>
      <c r="P111" s="350">
        <f t="shared" si="23"/>
        <v>90.949206600000011</v>
      </c>
      <c r="Q111" s="752"/>
      <c r="R111" s="362"/>
    </row>
    <row r="112" spans="2:18" ht="31.25" x14ac:dyDescent="0.25">
      <c r="B112" s="760" t="s">
        <v>797</v>
      </c>
      <c r="C112" s="757" t="s">
        <v>798</v>
      </c>
      <c r="D112" s="354">
        <v>299.44710289999995</v>
      </c>
      <c r="E112" s="771">
        <v>4</v>
      </c>
      <c r="F112" s="358"/>
      <c r="G112" s="350">
        <f t="shared" si="23"/>
        <v>1197.7884115999998</v>
      </c>
      <c r="H112" s="350">
        <f t="shared" si="23"/>
        <v>1197.7884115999998</v>
      </c>
      <c r="I112" s="350">
        <f t="shared" si="23"/>
        <v>1197.7884115999998</v>
      </c>
      <c r="J112" s="350">
        <f t="shared" si="23"/>
        <v>1197.7884115999998</v>
      </c>
      <c r="K112" s="350">
        <f t="shared" si="23"/>
        <v>1197.7884115999998</v>
      </c>
      <c r="L112" s="350">
        <f t="shared" si="23"/>
        <v>1197.7884115999998</v>
      </c>
      <c r="M112" s="350">
        <f t="shared" si="23"/>
        <v>1197.7884115999998</v>
      </c>
      <c r="N112" s="350">
        <f t="shared" si="23"/>
        <v>1197.7884115999998</v>
      </c>
      <c r="O112" s="350">
        <f t="shared" si="23"/>
        <v>1197.7884115999998</v>
      </c>
      <c r="P112" s="350">
        <f t="shared" si="23"/>
        <v>1197.7884115999998</v>
      </c>
      <c r="Q112" s="752"/>
      <c r="R112" s="362"/>
    </row>
    <row r="113" spans="2:18" ht="15.65" x14ac:dyDescent="0.25">
      <c r="B113" s="753" t="s">
        <v>799</v>
      </c>
      <c r="C113" s="757" t="s">
        <v>800</v>
      </c>
      <c r="D113" s="354">
        <v>1584.9065841500001</v>
      </c>
      <c r="E113" s="771">
        <v>1</v>
      </c>
      <c r="F113" s="358"/>
      <c r="G113" s="350">
        <f t="shared" si="23"/>
        <v>1584.9065841500001</v>
      </c>
      <c r="H113" s="350">
        <f t="shared" si="23"/>
        <v>1584.9065841500001</v>
      </c>
      <c r="I113" s="350">
        <f t="shared" si="23"/>
        <v>1584.9065841500001</v>
      </c>
      <c r="J113" s="350">
        <f t="shared" si="23"/>
        <v>1584.9065841500001</v>
      </c>
      <c r="K113" s="350">
        <f t="shared" si="23"/>
        <v>1584.9065841500001</v>
      </c>
      <c r="L113" s="350">
        <f t="shared" si="23"/>
        <v>1584.9065841500001</v>
      </c>
      <c r="M113" s="350">
        <f t="shared" si="23"/>
        <v>1584.9065841500001</v>
      </c>
      <c r="N113" s="350">
        <f t="shared" si="23"/>
        <v>1584.9065841500001</v>
      </c>
      <c r="O113" s="350">
        <f t="shared" si="23"/>
        <v>1584.9065841500001</v>
      </c>
      <c r="P113" s="350">
        <f t="shared" si="23"/>
        <v>1584.9065841500001</v>
      </c>
      <c r="Q113" s="752"/>
      <c r="R113" s="362"/>
    </row>
    <row r="114" spans="2:18" ht="15.65" x14ac:dyDescent="0.25">
      <c r="B114" s="753" t="s">
        <v>801</v>
      </c>
      <c r="C114" s="757" t="s">
        <v>802</v>
      </c>
      <c r="D114" s="354">
        <v>111.55721810513619</v>
      </c>
      <c r="E114" s="771">
        <v>2</v>
      </c>
      <c r="F114" s="358"/>
      <c r="G114" s="350">
        <f t="shared" si="23"/>
        <v>223.11443621027237</v>
      </c>
      <c r="H114" s="350">
        <f t="shared" si="23"/>
        <v>223.11443621027237</v>
      </c>
      <c r="I114" s="350">
        <f t="shared" si="23"/>
        <v>223.11443621027237</v>
      </c>
      <c r="J114" s="350">
        <f t="shared" si="23"/>
        <v>223.11443621027237</v>
      </c>
      <c r="K114" s="350">
        <f t="shared" si="23"/>
        <v>223.11443621027237</v>
      </c>
      <c r="L114" s="350">
        <f t="shared" si="23"/>
        <v>223.11443621027237</v>
      </c>
      <c r="M114" s="350">
        <f t="shared" si="23"/>
        <v>223.11443621027237</v>
      </c>
      <c r="N114" s="350">
        <f t="shared" si="23"/>
        <v>223.11443621027237</v>
      </c>
      <c r="O114" s="350">
        <f t="shared" si="23"/>
        <v>223.11443621027237</v>
      </c>
      <c r="P114" s="350">
        <f t="shared" si="23"/>
        <v>223.11443621027237</v>
      </c>
      <c r="Q114" s="752"/>
      <c r="R114" s="362"/>
    </row>
    <row r="115" spans="2:18" ht="31.25" x14ac:dyDescent="0.25">
      <c r="B115" s="753" t="s">
        <v>803</v>
      </c>
      <c r="C115" s="757" t="s">
        <v>804</v>
      </c>
      <c r="D115" s="354">
        <v>29.808732750000001</v>
      </c>
      <c r="E115" s="771">
        <v>2</v>
      </c>
      <c r="F115" s="358"/>
      <c r="G115" s="350">
        <f t="shared" si="23"/>
        <v>59.617465500000002</v>
      </c>
      <c r="H115" s="350">
        <f t="shared" si="23"/>
        <v>59.617465500000002</v>
      </c>
      <c r="I115" s="350">
        <f t="shared" si="23"/>
        <v>59.617465500000002</v>
      </c>
      <c r="J115" s="350">
        <f t="shared" si="23"/>
        <v>59.617465500000002</v>
      </c>
      <c r="K115" s="350">
        <f t="shared" si="23"/>
        <v>59.617465500000002</v>
      </c>
      <c r="L115" s="350">
        <f t="shared" si="23"/>
        <v>59.617465500000002</v>
      </c>
      <c r="M115" s="350">
        <f t="shared" si="23"/>
        <v>59.617465500000002</v>
      </c>
      <c r="N115" s="350">
        <f t="shared" si="23"/>
        <v>59.617465500000002</v>
      </c>
      <c r="O115" s="350">
        <f t="shared" si="23"/>
        <v>59.617465500000002</v>
      </c>
      <c r="P115" s="350">
        <f t="shared" si="23"/>
        <v>59.617465500000002</v>
      </c>
      <c r="Q115" s="752"/>
      <c r="R115" s="362"/>
    </row>
    <row r="116" spans="2:18" ht="31.25" x14ac:dyDescent="0.25">
      <c r="B116" s="761" t="s">
        <v>805</v>
      </c>
      <c r="C116" s="757" t="s">
        <v>806</v>
      </c>
      <c r="D116" s="354">
        <v>23.902395550000001</v>
      </c>
      <c r="E116" s="771">
        <v>1</v>
      </c>
      <c r="F116" s="358"/>
      <c r="G116" s="350">
        <f t="shared" si="23"/>
        <v>23.902395550000001</v>
      </c>
      <c r="H116" s="350">
        <f t="shared" si="23"/>
        <v>23.902395550000001</v>
      </c>
      <c r="I116" s="350">
        <f t="shared" si="23"/>
        <v>23.902395550000001</v>
      </c>
      <c r="J116" s="350">
        <f t="shared" si="23"/>
        <v>23.902395550000001</v>
      </c>
      <c r="K116" s="350">
        <f t="shared" si="23"/>
        <v>23.902395550000001</v>
      </c>
      <c r="L116" s="350">
        <f t="shared" si="23"/>
        <v>23.902395550000001</v>
      </c>
      <c r="M116" s="350">
        <f t="shared" si="23"/>
        <v>23.902395550000001</v>
      </c>
      <c r="N116" s="350">
        <f t="shared" si="23"/>
        <v>23.902395550000001</v>
      </c>
      <c r="O116" s="350">
        <f t="shared" si="23"/>
        <v>23.902395550000001</v>
      </c>
      <c r="P116" s="350">
        <f t="shared" si="23"/>
        <v>23.902395550000001</v>
      </c>
      <c r="Q116" s="752"/>
      <c r="R116" s="362"/>
    </row>
    <row r="117" spans="2:18" ht="31.25" x14ac:dyDescent="0.25">
      <c r="B117" s="761" t="s">
        <v>807</v>
      </c>
      <c r="C117" s="757" t="s">
        <v>808</v>
      </c>
      <c r="D117" s="354">
        <v>76.430459349999992</v>
      </c>
      <c r="E117" s="771">
        <v>2</v>
      </c>
      <c r="F117" s="358"/>
      <c r="G117" s="350">
        <f t="shared" si="23"/>
        <v>152.86091869999998</v>
      </c>
      <c r="H117" s="350">
        <f t="shared" si="23"/>
        <v>152.86091869999998</v>
      </c>
      <c r="I117" s="350">
        <f t="shared" si="23"/>
        <v>152.86091869999998</v>
      </c>
      <c r="J117" s="350">
        <f t="shared" si="23"/>
        <v>152.86091869999998</v>
      </c>
      <c r="K117" s="350">
        <f t="shared" si="23"/>
        <v>152.86091869999998</v>
      </c>
      <c r="L117" s="350">
        <f t="shared" si="23"/>
        <v>152.86091869999998</v>
      </c>
      <c r="M117" s="350">
        <f t="shared" si="23"/>
        <v>152.86091869999998</v>
      </c>
      <c r="N117" s="350">
        <f t="shared" si="23"/>
        <v>152.86091869999998</v>
      </c>
      <c r="O117" s="350">
        <f t="shared" si="23"/>
        <v>152.86091869999998</v>
      </c>
      <c r="P117" s="350">
        <f t="shared" si="23"/>
        <v>152.86091869999998</v>
      </c>
      <c r="Q117" s="752"/>
      <c r="R117" s="362"/>
    </row>
    <row r="118" spans="2:18" ht="31.25" x14ac:dyDescent="0.25">
      <c r="B118" s="753" t="s">
        <v>809</v>
      </c>
      <c r="C118" s="768" t="s">
        <v>810</v>
      </c>
      <c r="D118" s="354">
        <v>12.034311799999998</v>
      </c>
      <c r="E118" s="771">
        <v>2</v>
      </c>
      <c r="F118" s="358"/>
      <c r="G118" s="350">
        <f t="shared" si="23"/>
        <v>24.068623599999995</v>
      </c>
      <c r="H118" s="350">
        <f t="shared" si="23"/>
        <v>24.068623599999995</v>
      </c>
      <c r="I118" s="350">
        <f t="shared" si="23"/>
        <v>24.068623599999995</v>
      </c>
      <c r="J118" s="350">
        <f t="shared" si="23"/>
        <v>24.068623599999995</v>
      </c>
      <c r="K118" s="350">
        <f t="shared" si="23"/>
        <v>24.068623599999995</v>
      </c>
      <c r="L118" s="350">
        <f t="shared" si="23"/>
        <v>24.068623599999995</v>
      </c>
      <c r="M118" s="350">
        <f t="shared" si="23"/>
        <v>24.068623599999995</v>
      </c>
      <c r="N118" s="350">
        <f t="shared" si="23"/>
        <v>24.068623599999995</v>
      </c>
      <c r="O118" s="350">
        <f t="shared" si="23"/>
        <v>24.068623599999995</v>
      </c>
      <c r="P118" s="350">
        <f t="shared" si="23"/>
        <v>24.068623599999995</v>
      </c>
      <c r="Q118" s="752"/>
      <c r="R118" s="362"/>
    </row>
    <row r="119" spans="2:18" ht="31.25" x14ac:dyDescent="0.25">
      <c r="B119" s="753" t="s">
        <v>811</v>
      </c>
      <c r="C119" s="768" t="s">
        <v>812</v>
      </c>
      <c r="D119" s="354">
        <v>153.66178770926592</v>
      </c>
      <c r="E119" s="771">
        <v>1</v>
      </c>
      <c r="F119" s="358"/>
      <c r="G119" s="350">
        <f t="shared" si="23"/>
        <v>153.66178770926592</v>
      </c>
      <c r="H119" s="350">
        <f t="shared" si="23"/>
        <v>153.66178770926592</v>
      </c>
      <c r="I119" s="350">
        <f t="shared" si="23"/>
        <v>153.66178770926592</v>
      </c>
      <c r="J119" s="350">
        <f t="shared" si="23"/>
        <v>153.66178770926592</v>
      </c>
      <c r="K119" s="350">
        <f t="shared" si="23"/>
        <v>153.66178770926592</v>
      </c>
      <c r="L119" s="350">
        <f t="shared" si="23"/>
        <v>153.66178770926592</v>
      </c>
      <c r="M119" s="350">
        <f t="shared" si="23"/>
        <v>153.66178770926592</v>
      </c>
      <c r="N119" s="350">
        <f t="shared" si="23"/>
        <v>153.66178770926592</v>
      </c>
      <c r="O119" s="350">
        <f t="shared" si="23"/>
        <v>153.66178770926592</v>
      </c>
      <c r="P119" s="350">
        <f t="shared" si="23"/>
        <v>153.66178770926592</v>
      </c>
      <c r="Q119" s="752"/>
      <c r="R119" s="362"/>
    </row>
    <row r="120" spans="2:18" ht="31.25" x14ac:dyDescent="0.25">
      <c r="B120" s="753" t="s">
        <v>813</v>
      </c>
      <c r="C120" s="768" t="s">
        <v>814</v>
      </c>
      <c r="D120" s="354">
        <v>9.1485329499999999</v>
      </c>
      <c r="E120" s="771">
        <v>1</v>
      </c>
      <c r="F120" s="358"/>
      <c r="G120" s="350">
        <f t="shared" si="23"/>
        <v>9.1485329499999999</v>
      </c>
      <c r="H120" s="350">
        <f t="shared" si="23"/>
        <v>9.1485329499999999</v>
      </c>
      <c r="I120" s="350">
        <f t="shared" si="23"/>
        <v>9.1485329499999999</v>
      </c>
      <c r="J120" s="350">
        <f t="shared" si="23"/>
        <v>9.1485329499999999</v>
      </c>
      <c r="K120" s="350">
        <f t="shared" si="23"/>
        <v>9.1485329499999999</v>
      </c>
      <c r="L120" s="350">
        <f t="shared" si="23"/>
        <v>9.1485329499999999</v>
      </c>
      <c r="M120" s="350">
        <f t="shared" si="23"/>
        <v>9.1485329499999999</v>
      </c>
      <c r="N120" s="350">
        <f t="shared" si="23"/>
        <v>9.1485329499999999</v>
      </c>
      <c r="O120" s="350">
        <f t="shared" si="23"/>
        <v>9.1485329499999999</v>
      </c>
      <c r="P120" s="350">
        <f t="shared" si="23"/>
        <v>9.1485329499999999</v>
      </c>
      <c r="Q120" s="752"/>
      <c r="R120" s="362"/>
    </row>
    <row r="121" spans="2:18" ht="31.25" x14ac:dyDescent="0.25">
      <c r="B121" s="760" t="s">
        <v>815</v>
      </c>
      <c r="C121" s="768" t="s">
        <v>816</v>
      </c>
      <c r="D121" s="354">
        <v>62.38493789999999</v>
      </c>
      <c r="E121" s="771">
        <v>1</v>
      </c>
      <c r="F121" s="358"/>
      <c r="G121" s="350">
        <f t="shared" si="23"/>
        <v>62.38493789999999</v>
      </c>
      <c r="H121" s="350">
        <f t="shared" si="23"/>
        <v>62.38493789999999</v>
      </c>
      <c r="I121" s="350">
        <f t="shared" si="23"/>
        <v>62.38493789999999</v>
      </c>
      <c r="J121" s="350">
        <f t="shared" si="23"/>
        <v>62.38493789999999</v>
      </c>
      <c r="K121" s="350">
        <f t="shared" si="23"/>
        <v>62.38493789999999</v>
      </c>
      <c r="L121" s="350">
        <f t="shared" si="23"/>
        <v>62.38493789999999</v>
      </c>
      <c r="M121" s="350">
        <f t="shared" si="23"/>
        <v>62.38493789999999</v>
      </c>
      <c r="N121" s="350">
        <f t="shared" si="23"/>
        <v>62.38493789999999</v>
      </c>
      <c r="O121" s="350">
        <f t="shared" si="23"/>
        <v>62.38493789999999</v>
      </c>
      <c r="P121" s="350">
        <f t="shared" si="23"/>
        <v>62.38493789999999</v>
      </c>
      <c r="Q121" s="752"/>
      <c r="R121" s="362"/>
    </row>
    <row r="122" spans="2:18" ht="15.65" x14ac:dyDescent="0.25">
      <c r="B122" s="753" t="s">
        <v>825</v>
      </c>
      <c r="C122" s="768" t="s">
        <v>826</v>
      </c>
      <c r="D122" s="354">
        <v>27.033772599999999</v>
      </c>
      <c r="E122" s="771">
        <v>1</v>
      </c>
      <c r="F122" s="358"/>
      <c r="G122" s="350">
        <f t="shared" si="23"/>
        <v>27.033772599999999</v>
      </c>
      <c r="H122" s="350">
        <f t="shared" si="23"/>
        <v>27.033772599999999</v>
      </c>
      <c r="I122" s="350">
        <f t="shared" si="23"/>
        <v>27.033772599999999</v>
      </c>
      <c r="J122" s="350">
        <f t="shared" si="23"/>
        <v>27.033772599999999</v>
      </c>
      <c r="K122" s="350">
        <f t="shared" si="23"/>
        <v>27.033772599999999</v>
      </c>
      <c r="L122" s="350">
        <f t="shared" si="23"/>
        <v>27.033772599999999</v>
      </c>
      <c r="M122" s="350">
        <f t="shared" si="23"/>
        <v>27.033772599999999</v>
      </c>
      <c r="N122" s="350">
        <f t="shared" si="23"/>
        <v>27.033772599999999</v>
      </c>
      <c r="O122" s="350">
        <f t="shared" si="23"/>
        <v>27.033772599999999</v>
      </c>
      <c r="P122" s="350">
        <f t="shared" si="23"/>
        <v>27.033772599999999</v>
      </c>
      <c r="Q122" s="752"/>
      <c r="R122" s="362"/>
    </row>
    <row r="123" spans="2:18" ht="31.25" x14ac:dyDescent="0.25">
      <c r="B123" s="753" t="s">
        <v>795</v>
      </c>
      <c r="C123" s="762"/>
      <c r="D123" s="758">
        <v>4.420496</v>
      </c>
      <c r="E123" s="763">
        <v>280</v>
      </c>
      <c r="F123" s="358"/>
      <c r="G123" s="350">
        <f t="shared" ref="G123:P141" si="24">IF(G$21=0,0,G$21/$D$21*$E123*$D123)</f>
        <v>1237.7388799999999</v>
      </c>
      <c r="H123" s="350">
        <f t="shared" si="24"/>
        <v>1237.7388799999999</v>
      </c>
      <c r="I123" s="350">
        <f t="shared" si="24"/>
        <v>1237.7388799999999</v>
      </c>
      <c r="J123" s="350">
        <f t="shared" si="24"/>
        <v>1237.7388799999999</v>
      </c>
      <c r="K123" s="350">
        <f t="shared" si="24"/>
        <v>1237.7388799999999</v>
      </c>
      <c r="L123" s="350">
        <f t="shared" si="24"/>
        <v>1237.7388799999999</v>
      </c>
      <c r="M123" s="350">
        <f t="shared" si="24"/>
        <v>1237.7388799999999</v>
      </c>
      <c r="N123" s="350">
        <f t="shared" si="24"/>
        <v>1237.7388799999999</v>
      </c>
      <c r="O123" s="350">
        <f t="shared" si="24"/>
        <v>1237.7388799999999</v>
      </c>
      <c r="P123" s="350">
        <f t="shared" si="24"/>
        <v>1237.7388799999999</v>
      </c>
      <c r="Q123" s="752">
        <v>346</v>
      </c>
      <c r="R123" s="362">
        <f>Q123*0.012776</f>
        <v>4.420496</v>
      </c>
    </row>
    <row r="124" spans="2:18" ht="46.9" x14ac:dyDescent="0.25">
      <c r="B124" s="753" t="s">
        <v>796</v>
      </c>
      <c r="C124" s="764"/>
      <c r="D124" s="758">
        <v>12.43730824</v>
      </c>
      <c r="E124" s="763">
        <v>41</v>
      </c>
      <c r="F124" s="358"/>
      <c r="G124" s="350">
        <f t="shared" si="24"/>
        <v>509.92963784</v>
      </c>
      <c r="H124" s="350">
        <f t="shared" si="24"/>
        <v>509.92963784</v>
      </c>
      <c r="I124" s="350">
        <f t="shared" si="24"/>
        <v>509.92963784</v>
      </c>
      <c r="J124" s="350">
        <f t="shared" si="24"/>
        <v>509.92963784</v>
      </c>
      <c r="K124" s="350">
        <f t="shared" si="24"/>
        <v>509.92963784</v>
      </c>
      <c r="L124" s="350">
        <f t="shared" si="24"/>
        <v>509.92963784</v>
      </c>
      <c r="M124" s="350">
        <f t="shared" si="24"/>
        <v>509.92963784</v>
      </c>
      <c r="N124" s="350">
        <f t="shared" si="24"/>
        <v>509.92963784</v>
      </c>
      <c r="O124" s="350">
        <f t="shared" si="24"/>
        <v>509.92963784</v>
      </c>
      <c r="P124" s="350">
        <f t="shared" si="24"/>
        <v>509.92963784</v>
      </c>
      <c r="Q124" s="752">
        <v>973.49</v>
      </c>
      <c r="R124" s="362">
        <f t="shared" ref="R124:R125" si="25">Q124*0.012776</f>
        <v>12.43730824</v>
      </c>
    </row>
    <row r="125" spans="2:18" ht="31.25" x14ac:dyDescent="0.25">
      <c r="B125" s="753" t="s">
        <v>827</v>
      </c>
      <c r="C125" s="764"/>
      <c r="D125" s="758">
        <v>3.05972424</v>
      </c>
      <c r="E125" s="772">
        <v>800</v>
      </c>
      <c r="F125" s="358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752">
        <v>239.49</v>
      </c>
      <c r="R125" s="362">
        <f t="shared" si="25"/>
        <v>3.05972424</v>
      </c>
    </row>
    <row r="126" spans="2:18" x14ac:dyDescent="0.25">
      <c r="B126" s="748" t="s">
        <v>784</v>
      </c>
      <c r="C126" s="364"/>
      <c r="D126" s="348"/>
      <c r="E126" s="568">
        <f>VLOOKUP($B126,$B$14:$C$21,2,FALSE)</f>
        <v>6000</v>
      </c>
      <c r="F126" s="562"/>
      <c r="G126" s="350">
        <f>IF(G$21=0,0,G$21/$D$21*$E126*$D126)</f>
        <v>0</v>
      </c>
      <c r="H126" s="350"/>
      <c r="I126" s="350"/>
      <c r="J126" s="350"/>
      <c r="K126" s="350"/>
      <c r="L126" s="350"/>
      <c r="M126" s="350"/>
      <c r="N126" s="350"/>
      <c r="O126" s="350"/>
      <c r="P126" s="350"/>
      <c r="Q126" s="752"/>
      <c r="R126" s="362"/>
    </row>
    <row r="127" spans="2:18" ht="15.65" x14ac:dyDescent="0.25">
      <c r="B127" s="753" t="s">
        <v>786</v>
      </c>
      <c r="C127" s="757" t="s">
        <v>787</v>
      </c>
      <c r="D127" s="354">
        <v>246.41286719999999</v>
      </c>
      <c r="E127" s="771">
        <v>4</v>
      </c>
      <c r="F127" s="562"/>
      <c r="G127" s="350">
        <f t="shared" ref="G127:P142" si="26">IF(G$21=0,0,G$21/$D$21*$E127*$D127)</f>
        <v>985.65146879999998</v>
      </c>
      <c r="H127" s="350">
        <f t="shared" si="24"/>
        <v>985.65146879999998</v>
      </c>
      <c r="I127" s="350">
        <f t="shared" si="24"/>
        <v>985.65146879999998</v>
      </c>
      <c r="J127" s="350">
        <f t="shared" si="24"/>
        <v>985.65146879999998</v>
      </c>
      <c r="K127" s="350">
        <f t="shared" si="24"/>
        <v>985.65146879999998</v>
      </c>
      <c r="L127" s="350">
        <f t="shared" si="24"/>
        <v>985.65146879999998</v>
      </c>
      <c r="M127" s="350">
        <f t="shared" si="24"/>
        <v>985.65146879999998</v>
      </c>
      <c r="N127" s="350">
        <f t="shared" si="24"/>
        <v>985.65146879999998</v>
      </c>
      <c r="O127" s="350">
        <f t="shared" si="24"/>
        <v>985.65146879999998</v>
      </c>
      <c r="P127" s="350">
        <f t="shared" si="24"/>
        <v>985.65146879999998</v>
      </c>
      <c r="Q127" s="752"/>
      <c r="R127" s="362"/>
    </row>
    <row r="128" spans="2:18" ht="15.65" x14ac:dyDescent="0.25">
      <c r="B128" s="753" t="s">
        <v>786</v>
      </c>
      <c r="C128" s="757" t="s">
        <v>788</v>
      </c>
      <c r="D128" s="354">
        <v>54.066047649999994</v>
      </c>
      <c r="E128" s="771">
        <v>1</v>
      </c>
      <c r="F128" s="562"/>
      <c r="G128" s="350">
        <f t="shared" si="26"/>
        <v>54.066047649999994</v>
      </c>
      <c r="H128" s="350">
        <f t="shared" si="24"/>
        <v>54.066047649999994</v>
      </c>
      <c r="I128" s="350">
        <f t="shared" si="24"/>
        <v>54.066047649999994</v>
      </c>
      <c r="J128" s="350">
        <f t="shared" si="24"/>
        <v>54.066047649999994</v>
      </c>
      <c r="K128" s="350">
        <f t="shared" si="24"/>
        <v>54.066047649999994</v>
      </c>
      <c r="L128" s="350">
        <f t="shared" si="24"/>
        <v>54.066047649999994</v>
      </c>
      <c r="M128" s="350">
        <f t="shared" si="24"/>
        <v>54.066047649999994</v>
      </c>
      <c r="N128" s="350">
        <f t="shared" si="24"/>
        <v>54.066047649999994</v>
      </c>
      <c r="O128" s="350">
        <f t="shared" si="24"/>
        <v>54.066047649999994</v>
      </c>
      <c r="P128" s="350">
        <f t="shared" si="24"/>
        <v>54.066047649999994</v>
      </c>
      <c r="Q128" s="752"/>
      <c r="R128" s="362"/>
    </row>
    <row r="129" spans="2:18" ht="31.25" x14ac:dyDescent="0.25">
      <c r="B129" s="753" t="s">
        <v>789</v>
      </c>
      <c r="C129" s="757" t="s">
        <v>790</v>
      </c>
      <c r="D129" s="354">
        <v>112.55286289999999</v>
      </c>
      <c r="E129" s="771">
        <v>1</v>
      </c>
      <c r="F129" s="562"/>
      <c r="G129" s="350">
        <f t="shared" si="26"/>
        <v>112.55286289999999</v>
      </c>
      <c r="H129" s="350">
        <f t="shared" si="24"/>
        <v>112.55286289999999</v>
      </c>
      <c r="I129" s="350">
        <f t="shared" si="24"/>
        <v>112.55286289999999</v>
      </c>
      <c r="J129" s="350">
        <f t="shared" si="24"/>
        <v>112.55286289999999</v>
      </c>
      <c r="K129" s="350">
        <f t="shared" si="24"/>
        <v>112.55286289999999</v>
      </c>
      <c r="L129" s="350">
        <f t="shared" si="24"/>
        <v>112.55286289999999</v>
      </c>
      <c r="M129" s="350">
        <f t="shared" si="24"/>
        <v>112.55286289999999</v>
      </c>
      <c r="N129" s="350">
        <f t="shared" si="24"/>
        <v>112.55286289999999</v>
      </c>
      <c r="O129" s="350">
        <f t="shared" si="24"/>
        <v>112.55286289999999</v>
      </c>
      <c r="P129" s="350">
        <f t="shared" si="24"/>
        <v>112.55286289999999</v>
      </c>
      <c r="Q129" s="752"/>
      <c r="R129" s="362"/>
    </row>
    <row r="130" spans="2:18" ht="31.25" x14ac:dyDescent="0.25">
      <c r="B130" s="753" t="s">
        <v>791</v>
      </c>
      <c r="C130" s="757" t="s">
        <v>792</v>
      </c>
      <c r="D130" s="354">
        <v>54.066047649999994</v>
      </c>
      <c r="E130" s="771">
        <v>3</v>
      </c>
      <c r="F130" s="562"/>
      <c r="G130" s="350">
        <f t="shared" si="26"/>
        <v>162.19814294999998</v>
      </c>
      <c r="H130" s="350">
        <f t="shared" si="24"/>
        <v>162.19814294999998</v>
      </c>
      <c r="I130" s="350">
        <f t="shared" si="24"/>
        <v>162.19814294999998</v>
      </c>
      <c r="J130" s="350">
        <f t="shared" si="24"/>
        <v>162.19814294999998</v>
      </c>
      <c r="K130" s="350">
        <f t="shared" si="24"/>
        <v>162.19814294999998</v>
      </c>
      <c r="L130" s="350">
        <f t="shared" si="24"/>
        <v>162.19814294999998</v>
      </c>
      <c r="M130" s="350">
        <f t="shared" si="24"/>
        <v>162.19814294999998</v>
      </c>
      <c r="N130" s="350">
        <f t="shared" si="24"/>
        <v>162.19814294999998</v>
      </c>
      <c r="O130" s="350">
        <f t="shared" si="24"/>
        <v>162.19814294999998</v>
      </c>
      <c r="P130" s="350">
        <f t="shared" si="24"/>
        <v>162.19814294999998</v>
      </c>
      <c r="Q130" s="752"/>
      <c r="R130" s="362"/>
    </row>
    <row r="131" spans="2:18" ht="31.25" x14ac:dyDescent="0.25">
      <c r="B131" s="753" t="s">
        <v>793</v>
      </c>
      <c r="C131" s="757" t="s">
        <v>794</v>
      </c>
      <c r="D131" s="354">
        <v>45.474603300000005</v>
      </c>
      <c r="E131" s="771">
        <v>2</v>
      </c>
      <c r="F131" s="562"/>
      <c r="G131" s="350">
        <f t="shared" si="26"/>
        <v>90.949206600000011</v>
      </c>
      <c r="H131" s="350">
        <f t="shared" si="24"/>
        <v>90.949206600000011</v>
      </c>
      <c r="I131" s="350">
        <f t="shared" si="24"/>
        <v>90.949206600000011</v>
      </c>
      <c r="J131" s="350">
        <f t="shared" si="24"/>
        <v>90.949206600000011</v>
      </c>
      <c r="K131" s="350">
        <f t="shared" si="24"/>
        <v>90.949206600000011</v>
      </c>
      <c r="L131" s="350">
        <f t="shared" si="24"/>
        <v>90.949206600000011</v>
      </c>
      <c r="M131" s="350">
        <f t="shared" si="24"/>
        <v>90.949206600000011</v>
      </c>
      <c r="N131" s="350">
        <f t="shared" si="24"/>
        <v>90.949206600000011</v>
      </c>
      <c r="O131" s="350">
        <f t="shared" si="24"/>
        <v>90.949206600000011</v>
      </c>
      <c r="P131" s="350">
        <f t="shared" si="24"/>
        <v>90.949206600000011</v>
      </c>
      <c r="Q131" s="752"/>
      <c r="R131" s="362"/>
    </row>
    <row r="132" spans="2:18" ht="31.25" x14ac:dyDescent="0.25">
      <c r="B132" s="760" t="s">
        <v>797</v>
      </c>
      <c r="C132" s="757" t="s">
        <v>798</v>
      </c>
      <c r="D132" s="354">
        <v>299.44710289999995</v>
      </c>
      <c r="E132" s="771">
        <v>4</v>
      </c>
      <c r="F132" s="562"/>
      <c r="G132" s="350">
        <f t="shared" si="26"/>
        <v>1197.7884115999998</v>
      </c>
      <c r="H132" s="350">
        <f t="shared" si="24"/>
        <v>1197.7884115999998</v>
      </c>
      <c r="I132" s="350">
        <f t="shared" si="24"/>
        <v>1197.7884115999998</v>
      </c>
      <c r="J132" s="350">
        <f t="shared" si="24"/>
        <v>1197.7884115999998</v>
      </c>
      <c r="K132" s="350">
        <f t="shared" si="24"/>
        <v>1197.7884115999998</v>
      </c>
      <c r="L132" s="350">
        <f t="shared" si="24"/>
        <v>1197.7884115999998</v>
      </c>
      <c r="M132" s="350">
        <f t="shared" si="24"/>
        <v>1197.7884115999998</v>
      </c>
      <c r="N132" s="350">
        <f t="shared" si="24"/>
        <v>1197.7884115999998</v>
      </c>
      <c r="O132" s="350">
        <f t="shared" si="24"/>
        <v>1197.7884115999998</v>
      </c>
      <c r="P132" s="350">
        <f t="shared" si="24"/>
        <v>1197.7884115999998</v>
      </c>
      <c r="Q132" s="752"/>
      <c r="R132" s="362"/>
    </row>
    <row r="133" spans="2:18" ht="15.65" x14ac:dyDescent="0.25">
      <c r="B133" s="753" t="s">
        <v>799</v>
      </c>
      <c r="C133" s="757" t="s">
        <v>800</v>
      </c>
      <c r="D133" s="354">
        <v>1584.9065841500001</v>
      </c>
      <c r="E133" s="771">
        <v>1</v>
      </c>
      <c r="F133" s="562"/>
      <c r="G133" s="350">
        <f t="shared" si="26"/>
        <v>1584.9065841500001</v>
      </c>
      <c r="H133" s="350">
        <f t="shared" si="24"/>
        <v>1584.9065841500001</v>
      </c>
      <c r="I133" s="350">
        <f t="shared" si="24"/>
        <v>1584.9065841500001</v>
      </c>
      <c r="J133" s="350">
        <f t="shared" si="24"/>
        <v>1584.9065841500001</v>
      </c>
      <c r="K133" s="350">
        <f t="shared" si="24"/>
        <v>1584.9065841500001</v>
      </c>
      <c r="L133" s="350">
        <f t="shared" si="24"/>
        <v>1584.9065841500001</v>
      </c>
      <c r="M133" s="350">
        <f t="shared" si="24"/>
        <v>1584.9065841500001</v>
      </c>
      <c r="N133" s="350">
        <f t="shared" si="24"/>
        <v>1584.9065841500001</v>
      </c>
      <c r="O133" s="350">
        <f t="shared" si="24"/>
        <v>1584.9065841500001</v>
      </c>
      <c r="P133" s="350">
        <f t="shared" si="24"/>
        <v>1584.9065841500001</v>
      </c>
      <c r="Q133" s="752"/>
      <c r="R133" s="362"/>
    </row>
    <row r="134" spans="2:18" ht="15.65" x14ac:dyDescent="0.25">
      <c r="B134" s="753" t="s">
        <v>801</v>
      </c>
      <c r="C134" s="757" t="s">
        <v>802</v>
      </c>
      <c r="D134" s="354">
        <v>111.55721810513619</v>
      </c>
      <c r="E134" s="771">
        <v>2</v>
      </c>
      <c r="F134" s="562"/>
      <c r="G134" s="350">
        <f t="shared" si="26"/>
        <v>223.11443621027237</v>
      </c>
      <c r="H134" s="350">
        <f t="shared" si="24"/>
        <v>223.11443621027237</v>
      </c>
      <c r="I134" s="350">
        <f t="shared" si="24"/>
        <v>223.11443621027237</v>
      </c>
      <c r="J134" s="350">
        <f t="shared" si="24"/>
        <v>223.11443621027237</v>
      </c>
      <c r="K134" s="350">
        <f t="shared" si="24"/>
        <v>223.11443621027237</v>
      </c>
      <c r="L134" s="350">
        <f t="shared" si="24"/>
        <v>223.11443621027237</v>
      </c>
      <c r="M134" s="350">
        <f t="shared" si="24"/>
        <v>223.11443621027237</v>
      </c>
      <c r="N134" s="350">
        <f t="shared" si="24"/>
        <v>223.11443621027237</v>
      </c>
      <c r="O134" s="350">
        <f t="shared" si="24"/>
        <v>223.11443621027237</v>
      </c>
      <c r="P134" s="350">
        <f t="shared" si="24"/>
        <v>223.11443621027237</v>
      </c>
      <c r="Q134" s="752"/>
      <c r="R134" s="362"/>
    </row>
    <row r="135" spans="2:18" ht="31.25" x14ac:dyDescent="0.25">
      <c r="B135" s="753" t="s">
        <v>803</v>
      </c>
      <c r="C135" s="757" t="s">
        <v>804</v>
      </c>
      <c r="D135" s="354">
        <v>29.808732750000001</v>
      </c>
      <c r="E135" s="771">
        <v>2</v>
      </c>
      <c r="F135" s="562"/>
      <c r="G135" s="350">
        <f t="shared" si="26"/>
        <v>59.617465500000002</v>
      </c>
      <c r="H135" s="350">
        <f t="shared" si="24"/>
        <v>59.617465500000002</v>
      </c>
      <c r="I135" s="350">
        <f t="shared" si="24"/>
        <v>59.617465500000002</v>
      </c>
      <c r="J135" s="350">
        <f t="shared" si="24"/>
        <v>59.617465500000002</v>
      </c>
      <c r="K135" s="350">
        <f t="shared" si="24"/>
        <v>59.617465500000002</v>
      </c>
      <c r="L135" s="350">
        <f t="shared" si="24"/>
        <v>59.617465500000002</v>
      </c>
      <c r="M135" s="350">
        <f t="shared" si="24"/>
        <v>59.617465500000002</v>
      </c>
      <c r="N135" s="350">
        <f t="shared" si="24"/>
        <v>59.617465500000002</v>
      </c>
      <c r="O135" s="350">
        <f t="shared" si="24"/>
        <v>59.617465500000002</v>
      </c>
      <c r="P135" s="350">
        <f t="shared" si="24"/>
        <v>59.617465500000002</v>
      </c>
      <c r="Q135" s="752"/>
      <c r="R135" s="362"/>
    </row>
    <row r="136" spans="2:18" ht="31.25" x14ac:dyDescent="0.25">
      <c r="B136" s="761" t="s">
        <v>805</v>
      </c>
      <c r="C136" s="757" t="s">
        <v>806</v>
      </c>
      <c r="D136" s="354">
        <v>23.902395550000001</v>
      </c>
      <c r="E136" s="771">
        <v>1</v>
      </c>
      <c r="F136" s="562"/>
      <c r="G136" s="350">
        <f t="shared" si="26"/>
        <v>23.902395550000001</v>
      </c>
      <c r="H136" s="350">
        <f t="shared" si="24"/>
        <v>23.902395550000001</v>
      </c>
      <c r="I136" s="350">
        <f t="shared" si="24"/>
        <v>23.902395550000001</v>
      </c>
      <c r="J136" s="350">
        <f t="shared" si="24"/>
        <v>23.902395550000001</v>
      </c>
      <c r="K136" s="350">
        <f t="shared" si="24"/>
        <v>23.902395550000001</v>
      </c>
      <c r="L136" s="350">
        <f t="shared" si="24"/>
        <v>23.902395550000001</v>
      </c>
      <c r="M136" s="350">
        <f t="shared" si="24"/>
        <v>23.902395550000001</v>
      </c>
      <c r="N136" s="350">
        <f t="shared" si="24"/>
        <v>23.902395550000001</v>
      </c>
      <c r="O136" s="350">
        <f t="shared" si="24"/>
        <v>23.902395550000001</v>
      </c>
      <c r="P136" s="350">
        <f t="shared" si="24"/>
        <v>23.902395550000001</v>
      </c>
      <c r="Q136" s="752"/>
      <c r="R136" s="362"/>
    </row>
    <row r="137" spans="2:18" ht="31.25" x14ac:dyDescent="0.25">
      <c r="B137" s="761" t="s">
        <v>807</v>
      </c>
      <c r="C137" s="757" t="s">
        <v>808</v>
      </c>
      <c r="D137" s="354">
        <v>76.430459349999992</v>
      </c>
      <c r="E137" s="771">
        <v>2</v>
      </c>
      <c r="F137" s="562"/>
      <c r="G137" s="350">
        <f t="shared" si="26"/>
        <v>152.86091869999998</v>
      </c>
      <c r="H137" s="350">
        <f t="shared" si="24"/>
        <v>152.86091869999998</v>
      </c>
      <c r="I137" s="350">
        <f t="shared" si="24"/>
        <v>152.86091869999998</v>
      </c>
      <c r="J137" s="350">
        <f t="shared" si="24"/>
        <v>152.86091869999998</v>
      </c>
      <c r="K137" s="350">
        <f t="shared" si="24"/>
        <v>152.86091869999998</v>
      </c>
      <c r="L137" s="350">
        <f t="shared" si="24"/>
        <v>152.86091869999998</v>
      </c>
      <c r="M137" s="350">
        <f t="shared" si="24"/>
        <v>152.86091869999998</v>
      </c>
      <c r="N137" s="350">
        <f t="shared" si="24"/>
        <v>152.86091869999998</v>
      </c>
      <c r="O137" s="350">
        <f t="shared" si="24"/>
        <v>152.86091869999998</v>
      </c>
      <c r="P137" s="350">
        <f t="shared" si="24"/>
        <v>152.86091869999998</v>
      </c>
      <c r="Q137" s="752"/>
      <c r="R137" s="362"/>
    </row>
    <row r="138" spans="2:18" ht="31.25" x14ac:dyDescent="0.25">
      <c r="B138" s="753" t="s">
        <v>809</v>
      </c>
      <c r="C138" s="768" t="s">
        <v>810</v>
      </c>
      <c r="D138" s="354">
        <v>12.034311799999998</v>
      </c>
      <c r="E138" s="771">
        <v>2</v>
      </c>
      <c r="F138" s="562"/>
      <c r="G138" s="350">
        <f t="shared" si="26"/>
        <v>24.068623599999995</v>
      </c>
      <c r="H138" s="350">
        <f t="shared" si="24"/>
        <v>24.068623599999995</v>
      </c>
      <c r="I138" s="350">
        <f t="shared" si="24"/>
        <v>24.068623599999995</v>
      </c>
      <c r="J138" s="350">
        <f t="shared" si="24"/>
        <v>24.068623599999995</v>
      </c>
      <c r="K138" s="350">
        <f t="shared" si="24"/>
        <v>24.068623599999995</v>
      </c>
      <c r="L138" s="350">
        <f t="shared" si="24"/>
        <v>24.068623599999995</v>
      </c>
      <c r="M138" s="350">
        <f t="shared" si="24"/>
        <v>24.068623599999995</v>
      </c>
      <c r="N138" s="350">
        <f t="shared" si="24"/>
        <v>24.068623599999995</v>
      </c>
      <c r="O138" s="350">
        <f t="shared" si="24"/>
        <v>24.068623599999995</v>
      </c>
      <c r="P138" s="350">
        <f t="shared" si="24"/>
        <v>24.068623599999995</v>
      </c>
      <c r="Q138" s="752"/>
      <c r="R138" s="362"/>
    </row>
    <row r="139" spans="2:18" ht="31.25" x14ac:dyDescent="0.25">
      <c r="B139" s="753" t="s">
        <v>811</v>
      </c>
      <c r="C139" s="768" t="s">
        <v>812</v>
      </c>
      <c r="D139" s="354">
        <v>153.66178770926592</v>
      </c>
      <c r="E139" s="771">
        <v>1</v>
      </c>
      <c r="F139" s="562"/>
      <c r="G139" s="350">
        <f t="shared" si="26"/>
        <v>153.66178770926592</v>
      </c>
      <c r="H139" s="350">
        <f t="shared" si="24"/>
        <v>153.66178770926592</v>
      </c>
      <c r="I139" s="350">
        <f t="shared" si="24"/>
        <v>153.66178770926592</v>
      </c>
      <c r="J139" s="350">
        <f t="shared" si="24"/>
        <v>153.66178770926592</v>
      </c>
      <c r="K139" s="350">
        <f t="shared" si="24"/>
        <v>153.66178770926592</v>
      </c>
      <c r="L139" s="350">
        <f t="shared" si="24"/>
        <v>153.66178770926592</v>
      </c>
      <c r="M139" s="350">
        <f t="shared" si="24"/>
        <v>153.66178770926592</v>
      </c>
      <c r="N139" s="350">
        <f t="shared" si="24"/>
        <v>153.66178770926592</v>
      </c>
      <c r="O139" s="350">
        <f t="shared" si="24"/>
        <v>153.66178770926592</v>
      </c>
      <c r="P139" s="350">
        <f t="shared" si="24"/>
        <v>153.66178770926592</v>
      </c>
      <c r="Q139" s="752"/>
      <c r="R139" s="362"/>
    </row>
    <row r="140" spans="2:18" ht="31.25" x14ac:dyDescent="0.25">
      <c r="B140" s="753" t="s">
        <v>813</v>
      </c>
      <c r="C140" s="768" t="s">
        <v>814</v>
      </c>
      <c r="D140" s="354">
        <v>9.1485329499999999</v>
      </c>
      <c r="E140" s="771">
        <v>1</v>
      </c>
      <c r="F140" s="562"/>
      <c r="G140" s="350">
        <f t="shared" si="26"/>
        <v>9.1485329499999999</v>
      </c>
      <c r="H140" s="350">
        <f t="shared" si="24"/>
        <v>9.1485329499999999</v>
      </c>
      <c r="I140" s="350">
        <f t="shared" si="24"/>
        <v>9.1485329499999999</v>
      </c>
      <c r="J140" s="350">
        <f t="shared" si="24"/>
        <v>9.1485329499999999</v>
      </c>
      <c r="K140" s="350">
        <f t="shared" si="24"/>
        <v>9.1485329499999999</v>
      </c>
      <c r="L140" s="350">
        <f t="shared" si="24"/>
        <v>9.1485329499999999</v>
      </c>
      <c r="M140" s="350">
        <f t="shared" si="24"/>
        <v>9.1485329499999999</v>
      </c>
      <c r="N140" s="350">
        <f t="shared" si="24"/>
        <v>9.1485329499999999</v>
      </c>
      <c r="O140" s="350">
        <f t="shared" si="24"/>
        <v>9.1485329499999999</v>
      </c>
      <c r="P140" s="350">
        <f t="shared" si="24"/>
        <v>9.1485329499999999</v>
      </c>
      <c r="Q140" s="752"/>
      <c r="R140" s="362"/>
    </row>
    <row r="141" spans="2:18" ht="31.25" x14ac:dyDescent="0.25">
      <c r="B141" s="760" t="s">
        <v>815</v>
      </c>
      <c r="C141" s="768" t="s">
        <v>816</v>
      </c>
      <c r="D141" s="354">
        <v>62.38493789999999</v>
      </c>
      <c r="E141" s="771">
        <v>1</v>
      </c>
      <c r="F141" s="562"/>
      <c r="G141" s="350">
        <f t="shared" si="26"/>
        <v>62.38493789999999</v>
      </c>
      <c r="H141" s="350">
        <f t="shared" si="24"/>
        <v>62.38493789999999</v>
      </c>
      <c r="I141" s="350">
        <f t="shared" si="24"/>
        <v>62.38493789999999</v>
      </c>
      <c r="J141" s="350">
        <f t="shared" si="24"/>
        <v>62.38493789999999</v>
      </c>
      <c r="K141" s="350">
        <f t="shared" si="24"/>
        <v>62.38493789999999</v>
      </c>
      <c r="L141" s="350">
        <f t="shared" si="24"/>
        <v>62.38493789999999</v>
      </c>
      <c r="M141" s="350">
        <f t="shared" si="24"/>
        <v>62.38493789999999</v>
      </c>
      <c r="N141" s="350">
        <f t="shared" si="24"/>
        <v>62.38493789999999</v>
      </c>
      <c r="O141" s="350">
        <f t="shared" si="24"/>
        <v>62.38493789999999</v>
      </c>
      <c r="P141" s="350">
        <f t="shared" si="24"/>
        <v>62.38493789999999</v>
      </c>
      <c r="Q141" s="752"/>
      <c r="R141" s="362"/>
    </row>
    <row r="142" spans="2:18" ht="31.25" x14ac:dyDescent="0.25">
      <c r="B142" s="753" t="s">
        <v>795</v>
      </c>
      <c r="C142" s="762"/>
      <c r="D142" s="758">
        <v>4.420496</v>
      </c>
      <c r="E142" s="763">
        <v>280</v>
      </c>
      <c r="F142" s="562"/>
      <c r="G142" s="350">
        <f t="shared" si="26"/>
        <v>1237.7388799999999</v>
      </c>
      <c r="H142" s="350">
        <f t="shared" si="26"/>
        <v>1237.7388799999999</v>
      </c>
      <c r="I142" s="350">
        <f t="shared" si="26"/>
        <v>1237.7388799999999</v>
      </c>
      <c r="J142" s="350">
        <f t="shared" si="26"/>
        <v>1237.7388799999999</v>
      </c>
      <c r="K142" s="350">
        <f t="shared" si="26"/>
        <v>1237.7388799999999</v>
      </c>
      <c r="L142" s="350">
        <f t="shared" si="26"/>
        <v>1237.7388799999999</v>
      </c>
      <c r="M142" s="350">
        <f t="shared" si="26"/>
        <v>1237.7388799999999</v>
      </c>
      <c r="N142" s="350">
        <f t="shared" si="26"/>
        <v>1237.7388799999999</v>
      </c>
      <c r="O142" s="350">
        <f t="shared" si="26"/>
        <v>1237.7388799999999</v>
      </c>
      <c r="P142" s="350">
        <f t="shared" si="26"/>
        <v>1237.7388799999999</v>
      </c>
      <c r="Q142" s="752">
        <v>346</v>
      </c>
      <c r="R142" s="362">
        <f>Q142*0.012776</f>
        <v>4.420496</v>
      </c>
    </row>
    <row r="143" spans="2:18" ht="46.9" x14ac:dyDescent="0.25">
      <c r="B143" s="753" t="s">
        <v>796</v>
      </c>
      <c r="C143" s="764"/>
      <c r="D143" s="758">
        <v>12.43730824</v>
      </c>
      <c r="E143" s="763">
        <v>41</v>
      </c>
      <c r="F143" s="562"/>
      <c r="G143" s="350">
        <f t="shared" ref="G143:P158" si="27">IF(G$21=0,0,G$21/$D$21*$E143*$D143)</f>
        <v>509.92963784</v>
      </c>
      <c r="H143" s="350">
        <f t="shared" si="27"/>
        <v>509.92963784</v>
      </c>
      <c r="I143" s="350">
        <f t="shared" si="27"/>
        <v>509.92963784</v>
      </c>
      <c r="J143" s="350">
        <f t="shared" si="27"/>
        <v>509.92963784</v>
      </c>
      <c r="K143" s="350">
        <f t="shared" si="27"/>
        <v>509.92963784</v>
      </c>
      <c r="L143" s="350">
        <f t="shared" si="27"/>
        <v>509.92963784</v>
      </c>
      <c r="M143" s="350">
        <f t="shared" si="27"/>
        <v>509.92963784</v>
      </c>
      <c r="N143" s="350">
        <f t="shared" si="27"/>
        <v>509.92963784</v>
      </c>
      <c r="O143" s="350">
        <f t="shared" si="27"/>
        <v>509.92963784</v>
      </c>
      <c r="P143" s="350">
        <f t="shared" si="27"/>
        <v>509.92963784</v>
      </c>
      <c r="Q143" s="752">
        <v>973.49</v>
      </c>
      <c r="R143" s="362">
        <f t="shared" ref="R143:R145" si="28">Q143*0.012776</f>
        <v>12.43730824</v>
      </c>
    </row>
    <row r="144" spans="2:18" ht="31.25" x14ac:dyDescent="0.25">
      <c r="B144" s="753" t="s">
        <v>827</v>
      </c>
      <c r="C144" s="764"/>
      <c r="D144" s="758">
        <v>3.05972424</v>
      </c>
      <c r="E144" s="772">
        <v>800</v>
      </c>
      <c r="F144" s="562"/>
      <c r="G144" s="350">
        <f t="shared" si="27"/>
        <v>2447.7793919999999</v>
      </c>
      <c r="H144" s="350">
        <f t="shared" si="27"/>
        <v>2447.7793919999999</v>
      </c>
      <c r="I144" s="350">
        <f t="shared" si="27"/>
        <v>2447.7793919999999</v>
      </c>
      <c r="J144" s="350">
        <f t="shared" si="27"/>
        <v>2447.7793919999999</v>
      </c>
      <c r="K144" s="350">
        <f t="shared" si="27"/>
        <v>2447.7793919999999</v>
      </c>
      <c r="L144" s="350">
        <f t="shared" si="27"/>
        <v>2447.7793919999999</v>
      </c>
      <c r="M144" s="350">
        <f t="shared" si="27"/>
        <v>2447.7793919999999</v>
      </c>
      <c r="N144" s="350">
        <f t="shared" si="27"/>
        <v>2447.7793919999999</v>
      </c>
      <c r="O144" s="350">
        <f t="shared" si="27"/>
        <v>2447.7793919999999</v>
      </c>
      <c r="P144" s="350">
        <f t="shared" si="27"/>
        <v>2447.7793919999999</v>
      </c>
      <c r="Q144" s="752">
        <v>239.49</v>
      </c>
      <c r="R144" s="362">
        <f t="shared" si="28"/>
        <v>3.05972424</v>
      </c>
    </row>
    <row r="145" spans="2:18" ht="31.25" x14ac:dyDescent="0.25">
      <c r="B145" s="753" t="s">
        <v>824</v>
      </c>
      <c r="C145" s="764"/>
      <c r="D145" s="758">
        <v>19.117878640000001</v>
      </c>
      <c r="E145" s="759">
        <v>208</v>
      </c>
      <c r="F145" s="562"/>
      <c r="G145" s="350">
        <f t="shared" si="27"/>
        <v>3976.5187571200004</v>
      </c>
      <c r="H145" s="350">
        <f t="shared" si="27"/>
        <v>3976.5187571200004</v>
      </c>
      <c r="I145" s="350">
        <f t="shared" si="27"/>
        <v>3976.5187571200004</v>
      </c>
      <c r="J145" s="350">
        <f t="shared" si="27"/>
        <v>3976.5187571200004</v>
      </c>
      <c r="K145" s="350">
        <f t="shared" si="27"/>
        <v>3976.5187571200004</v>
      </c>
      <c r="L145" s="350">
        <f t="shared" si="27"/>
        <v>3976.5187571200004</v>
      </c>
      <c r="M145" s="350">
        <f t="shared" si="27"/>
        <v>3976.5187571200004</v>
      </c>
      <c r="N145" s="350">
        <f t="shared" si="27"/>
        <v>3976.5187571200004</v>
      </c>
      <c r="O145" s="350">
        <f t="shared" si="27"/>
        <v>3976.5187571200004</v>
      </c>
      <c r="P145" s="350">
        <f t="shared" si="27"/>
        <v>3976.5187571200004</v>
      </c>
      <c r="Q145" s="752">
        <v>1496.39</v>
      </c>
      <c r="R145" s="362">
        <f t="shared" si="28"/>
        <v>19.117878640000001</v>
      </c>
    </row>
    <row r="146" spans="2:18" x14ac:dyDescent="0.25">
      <c r="B146" s="748" t="s">
        <v>785</v>
      </c>
      <c r="C146" s="364"/>
      <c r="D146" s="348"/>
      <c r="E146" s="568">
        <f>VLOOKUP($B146,$B$14:$C$21,2,FALSE)</f>
        <v>7000</v>
      </c>
      <c r="F146" s="325"/>
      <c r="G146" s="773"/>
      <c r="H146" s="773"/>
      <c r="I146" s="773"/>
      <c r="J146" s="773"/>
      <c r="K146" s="773"/>
      <c r="L146" s="773"/>
      <c r="M146" s="773"/>
      <c r="N146" s="773"/>
      <c r="O146" s="773"/>
      <c r="P146" s="773"/>
      <c r="Q146" s="752"/>
      <c r="R146" s="362"/>
    </row>
    <row r="147" spans="2:18" ht="15.65" x14ac:dyDescent="0.25">
      <c r="B147" s="753" t="s">
        <v>786</v>
      </c>
      <c r="C147" s="757" t="s">
        <v>787</v>
      </c>
      <c r="D147" s="354">
        <v>246.41286719999999</v>
      </c>
      <c r="E147" s="490">
        <v>4</v>
      </c>
      <c r="F147" s="325"/>
      <c r="G147" s="350">
        <f t="shared" si="27"/>
        <v>985.65146879999998</v>
      </c>
      <c r="H147" s="350">
        <f t="shared" si="27"/>
        <v>985.65146879999998</v>
      </c>
      <c r="I147" s="350">
        <f t="shared" si="27"/>
        <v>985.65146879999998</v>
      </c>
      <c r="J147" s="350">
        <f t="shared" si="27"/>
        <v>985.65146879999998</v>
      </c>
      <c r="K147" s="350">
        <f t="shared" si="27"/>
        <v>985.65146879999998</v>
      </c>
      <c r="L147" s="350">
        <f t="shared" si="27"/>
        <v>985.65146879999998</v>
      </c>
      <c r="M147" s="350">
        <f t="shared" si="27"/>
        <v>985.65146879999998</v>
      </c>
      <c r="N147" s="350">
        <f t="shared" si="27"/>
        <v>985.65146879999998</v>
      </c>
      <c r="O147" s="350">
        <f t="shared" si="27"/>
        <v>985.65146879999998</v>
      </c>
      <c r="P147" s="350">
        <f t="shared" si="27"/>
        <v>985.65146879999998</v>
      </c>
      <c r="Q147" s="752"/>
      <c r="R147" s="362"/>
    </row>
    <row r="148" spans="2:18" ht="15.65" x14ac:dyDescent="0.25">
      <c r="B148" s="753" t="s">
        <v>786</v>
      </c>
      <c r="C148" s="757" t="s">
        <v>788</v>
      </c>
      <c r="D148" s="354">
        <v>54.066047649999994</v>
      </c>
      <c r="E148" s="490">
        <v>1</v>
      </c>
      <c r="F148" s="325"/>
      <c r="G148" s="350">
        <f t="shared" si="27"/>
        <v>54.066047649999994</v>
      </c>
      <c r="H148" s="350">
        <f t="shared" si="27"/>
        <v>54.066047649999994</v>
      </c>
      <c r="I148" s="350">
        <f t="shared" si="27"/>
        <v>54.066047649999994</v>
      </c>
      <c r="J148" s="350">
        <f t="shared" si="27"/>
        <v>54.066047649999994</v>
      </c>
      <c r="K148" s="350">
        <f t="shared" si="27"/>
        <v>54.066047649999994</v>
      </c>
      <c r="L148" s="350">
        <f t="shared" si="27"/>
        <v>54.066047649999994</v>
      </c>
      <c r="M148" s="350">
        <f t="shared" si="27"/>
        <v>54.066047649999994</v>
      </c>
      <c r="N148" s="350">
        <f t="shared" si="27"/>
        <v>54.066047649999994</v>
      </c>
      <c r="O148" s="350">
        <f t="shared" si="27"/>
        <v>54.066047649999994</v>
      </c>
      <c r="P148" s="350">
        <f t="shared" si="27"/>
        <v>54.066047649999994</v>
      </c>
      <c r="Q148" s="752"/>
      <c r="R148" s="362"/>
    </row>
    <row r="149" spans="2:18" ht="31.25" x14ac:dyDescent="0.25">
      <c r="B149" s="753" t="s">
        <v>789</v>
      </c>
      <c r="C149" s="757" t="s">
        <v>790</v>
      </c>
      <c r="D149" s="354">
        <v>112.55286289999999</v>
      </c>
      <c r="E149" s="490">
        <v>1</v>
      </c>
      <c r="F149" s="325"/>
      <c r="G149" s="350">
        <f t="shared" si="27"/>
        <v>112.55286289999999</v>
      </c>
      <c r="H149" s="350">
        <f t="shared" si="27"/>
        <v>112.55286289999999</v>
      </c>
      <c r="I149" s="350">
        <f t="shared" si="27"/>
        <v>112.55286289999999</v>
      </c>
      <c r="J149" s="350">
        <f t="shared" si="27"/>
        <v>112.55286289999999</v>
      </c>
      <c r="K149" s="350">
        <f t="shared" si="27"/>
        <v>112.55286289999999</v>
      </c>
      <c r="L149" s="350">
        <f t="shared" si="27"/>
        <v>112.55286289999999</v>
      </c>
      <c r="M149" s="350">
        <f t="shared" si="27"/>
        <v>112.55286289999999</v>
      </c>
      <c r="N149" s="350">
        <f t="shared" si="27"/>
        <v>112.55286289999999</v>
      </c>
      <c r="O149" s="350">
        <f t="shared" si="27"/>
        <v>112.55286289999999</v>
      </c>
      <c r="P149" s="350">
        <f t="shared" si="27"/>
        <v>112.55286289999999</v>
      </c>
      <c r="Q149" s="752"/>
      <c r="R149" s="362"/>
    </row>
    <row r="150" spans="2:18" ht="31.25" x14ac:dyDescent="0.25">
      <c r="B150" s="753" t="s">
        <v>791</v>
      </c>
      <c r="C150" s="757" t="s">
        <v>792</v>
      </c>
      <c r="D150" s="354">
        <v>54.066047649999994</v>
      </c>
      <c r="E150" s="490">
        <v>3</v>
      </c>
      <c r="F150" s="325"/>
      <c r="G150" s="350">
        <f t="shared" si="27"/>
        <v>162.19814294999998</v>
      </c>
      <c r="H150" s="350">
        <f t="shared" si="27"/>
        <v>162.19814294999998</v>
      </c>
      <c r="I150" s="350">
        <f t="shared" si="27"/>
        <v>162.19814294999998</v>
      </c>
      <c r="J150" s="350">
        <f t="shared" si="27"/>
        <v>162.19814294999998</v>
      </c>
      <c r="K150" s="350">
        <f t="shared" si="27"/>
        <v>162.19814294999998</v>
      </c>
      <c r="L150" s="350">
        <f t="shared" si="27"/>
        <v>162.19814294999998</v>
      </c>
      <c r="M150" s="350">
        <f t="shared" si="27"/>
        <v>162.19814294999998</v>
      </c>
      <c r="N150" s="350">
        <f t="shared" si="27"/>
        <v>162.19814294999998</v>
      </c>
      <c r="O150" s="350">
        <f t="shared" si="27"/>
        <v>162.19814294999998</v>
      </c>
      <c r="P150" s="350">
        <f t="shared" si="27"/>
        <v>162.19814294999998</v>
      </c>
      <c r="Q150" s="752"/>
      <c r="R150" s="362"/>
    </row>
    <row r="151" spans="2:18" ht="31.25" x14ac:dyDescent="0.25">
      <c r="B151" s="753" t="s">
        <v>793</v>
      </c>
      <c r="C151" s="757" t="s">
        <v>794</v>
      </c>
      <c r="D151" s="354">
        <v>45.474603300000005</v>
      </c>
      <c r="E151" s="490">
        <v>2</v>
      </c>
      <c r="F151" s="325"/>
      <c r="G151" s="350">
        <f t="shared" si="27"/>
        <v>90.949206600000011</v>
      </c>
      <c r="H151" s="350">
        <f t="shared" si="27"/>
        <v>90.949206600000011</v>
      </c>
      <c r="I151" s="350">
        <f t="shared" si="27"/>
        <v>90.949206600000011</v>
      </c>
      <c r="J151" s="350">
        <f t="shared" si="27"/>
        <v>90.949206600000011</v>
      </c>
      <c r="K151" s="350">
        <f t="shared" si="27"/>
        <v>90.949206600000011</v>
      </c>
      <c r="L151" s="350">
        <f t="shared" si="27"/>
        <v>90.949206600000011</v>
      </c>
      <c r="M151" s="350">
        <f t="shared" si="27"/>
        <v>90.949206600000011</v>
      </c>
      <c r="N151" s="350">
        <f t="shared" si="27"/>
        <v>90.949206600000011</v>
      </c>
      <c r="O151" s="350">
        <f t="shared" si="27"/>
        <v>90.949206600000011</v>
      </c>
      <c r="P151" s="350">
        <f t="shared" si="27"/>
        <v>90.949206600000011</v>
      </c>
      <c r="Q151" s="752"/>
      <c r="R151" s="362"/>
    </row>
    <row r="152" spans="2:18" ht="31.25" x14ac:dyDescent="0.25">
      <c r="B152" s="760" t="s">
        <v>797</v>
      </c>
      <c r="C152" s="757" t="s">
        <v>798</v>
      </c>
      <c r="D152" s="354">
        <v>299.44710289999995</v>
      </c>
      <c r="E152" s="490">
        <v>4</v>
      </c>
      <c r="F152" s="325"/>
      <c r="G152" s="350">
        <f t="shared" si="27"/>
        <v>1197.7884115999998</v>
      </c>
      <c r="H152" s="350">
        <f t="shared" si="27"/>
        <v>1197.7884115999998</v>
      </c>
      <c r="I152" s="350">
        <f t="shared" si="27"/>
        <v>1197.7884115999998</v>
      </c>
      <c r="J152" s="350">
        <f t="shared" si="27"/>
        <v>1197.7884115999998</v>
      </c>
      <c r="K152" s="350">
        <f t="shared" si="27"/>
        <v>1197.7884115999998</v>
      </c>
      <c r="L152" s="350">
        <f t="shared" si="27"/>
        <v>1197.7884115999998</v>
      </c>
      <c r="M152" s="350">
        <f t="shared" si="27"/>
        <v>1197.7884115999998</v>
      </c>
      <c r="N152" s="350">
        <f t="shared" si="27"/>
        <v>1197.7884115999998</v>
      </c>
      <c r="O152" s="350">
        <f t="shared" si="27"/>
        <v>1197.7884115999998</v>
      </c>
      <c r="P152" s="350">
        <f t="shared" si="27"/>
        <v>1197.7884115999998</v>
      </c>
      <c r="Q152" s="752"/>
      <c r="R152" s="362"/>
    </row>
    <row r="153" spans="2:18" ht="15.65" x14ac:dyDescent="0.25">
      <c r="B153" s="753" t="s">
        <v>799</v>
      </c>
      <c r="C153" s="757" t="s">
        <v>800</v>
      </c>
      <c r="D153" s="354">
        <v>1584.9065841500001</v>
      </c>
      <c r="E153" s="490">
        <v>1</v>
      </c>
      <c r="F153" s="325"/>
      <c r="G153" s="350">
        <f t="shared" si="27"/>
        <v>1584.9065841500001</v>
      </c>
      <c r="H153" s="350">
        <f t="shared" si="27"/>
        <v>1584.9065841500001</v>
      </c>
      <c r="I153" s="350">
        <f t="shared" si="27"/>
        <v>1584.9065841500001</v>
      </c>
      <c r="J153" s="350">
        <f t="shared" si="27"/>
        <v>1584.9065841500001</v>
      </c>
      <c r="K153" s="350">
        <f t="shared" si="27"/>
        <v>1584.9065841500001</v>
      </c>
      <c r="L153" s="350">
        <f t="shared" si="27"/>
        <v>1584.9065841500001</v>
      </c>
      <c r="M153" s="350">
        <f t="shared" si="27"/>
        <v>1584.9065841500001</v>
      </c>
      <c r="N153" s="350">
        <f t="shared" si="27"/>
        <v>1584.9065841500001</v>
      </c>
      <c r="O153" s="350">
        <f t="shared" si="27"/>
        <v>1584.9065841500001</v>
      </c>
      <c r="P153" s="350">
        <f t="shared" si="27"/>
        <v>1584.9065841500001</v>
      </c>
      <c r="Q153" s="752"/>
      <c r="R153" s="362"/>
    </row>
    <row r="154" spans="2:18" ht="15.65" x14ac:dyDescent="0.25">
      <c r="B154" s="753" t="s">
        <v>801</v>
      </c>
      <c r="C154" s="757" t="s">
        <v>802</v>
      </c>
      <c r="D154" s="354">
        <v>111.55721810513619</v>
      </c>
      <c r="E154" s="490">
        <v>2</v>
      </c>
      <c r="F154" s="325"/>
      <c r="G154" s="350">
        <f t="shared" si="27"/>
        <v>223.11443621027237</v>
      </c>
      <c r="H154" s="350">
        <f t="shared" si="27"/>
        <v>223.11443621027237</v>
      </c>
      <c r="I154" s="350">
        <f t="shared" si="27"/>
        <v>223.11443621027237</v>
      </c>
      <c r="J154" s="350">
        <f t="shared" si="27"/>
        <v>223.11443621027237</v>
      </c>
      <c r="K154" s="350">
        <f t="shared" si="27"/>
        <v>223.11443621027237</v>
      </c>
      <c r="L154" s="350">
        <f t="shared" si="27"/>
        <v>223.11443621027237</v>
      </c>
      <c r="M154" s="350">
        <f t="shared" si="27"/>
        <v>223.11443621027237</v>
      </c>
      <c r="N154" s="350">
        <f t="shared" si="27"/>
        <v>223.11443621027237</v>
      </c>
      <c r="O154" s="350">
        <f t="shared" si="27"/>
        <v>223.11443621027237</v>
      </c>
      <c r="P154" s="350">
        <f t="shared" si="27"/>
        <v>223.11443621027237</v>
      </c>
      <c r="Q154" s="752"/>
      <c r="R154" s="362"/>
    </row>
    <row r="155" spans="2:18" ht="31.25" x14ac:dyDescent="0.25">
      <c r="B155" s="753" t="s">
        <v>803</v>
      </c>
      <c r="C155" s="757" t="s">
        <v>804</v>
      </c>
      <c r="D155" s="354">
        <v>29.808732750000001</v>
      </c>
      <c r="E155" s="490">
        <v>2</v>
      </c>
      <c r="F155" s="325"/>
      <c r="G155" s="350">
        <f t="shared" si="27"/>
        <v>59.617465500000002</v>
      </c>
      <c r="H155" s="350">
        <f t="shared" si="27"/>
        <v>59.617465500000002</v>
      </c>
      <c r="I155" s="350">
        <f t="shared" si="27"/>
        <v>59.617465500000002</v>
      </c>
      <c r="J155" s="350">
        <f t="shared" si="27"/>
        <v>59.617465500000002</v>
      </c>
      <c r="K155" s="350">
        <f t="shared" si="27"/>
        <v>59.617465500000002</v>
      </c>
      <c r="L155" s="350">
        <f t="shared" si="27"/>
        <v>59.617465500000002</v>
      </c>
      <c r="M155" s="350">
        <f t="shared" si="27"/>
        <v>59.617465500000002</v>
      </c>
      <c r="N155" s="350">
        <f t="shared" si="27"/>
        <v>59.617465500000002</v>
      </c>
      <c r="O155" s="350">
        <f t="shared" si="27"/>
        <v>59.617465500000002</v>
      </c>
      <c r="P155" s="350">
        <f t="shared" si="27"/>
        <v>59.617465500000002</v>
      </c>
      <c r="Q155" s="752"/>
      <c r="R155" s="362"/>
    </row>
    <row r="156" spans="2:18" ht="31.25" x14ac:dyDescent="0.25">
      <c r="B156" s="761" t="s">
        <v>805</v>
      </c>
      <c r="C156" s="757" t="s">
        <v>806</v>
      </c>
      <c r="D156" s="354">
        <v>23.902395550000001</v>
      </c>
      <c r="E156" s="490">
        <v>1</v>
      </c>
      <c r="F156" s="325"/>
      <c r="G156" s="350">
        <f t="shared" si="27"/>
        <v>23.902395550000001</v>
      </c>
      <c r="H156" s="350">
        <f t="shared" si="27"/>
        <v>23.902395550000001</v>
      </c>
      <c r="I156" s="350">
        <f t="shared" si="27"/>
        <v>23.902395550000001</v>
      </c>
      <c r="J156" s="350">
        <f t="shared" si="27"/>
        <v>23.902395550000001</v>
      </c>
      <c r="K156" s="350">
        <f t="shared" si="27"/>
        <v>23.902395550000001</v>
      </c>
      <c r="L156" s="350">
        <f t="shared" si="27"/>
        <v>23.902395550000001</v>
      </c>
      <c r="M156" s="350">
        <f t="shared" si="27"/>
        <v>23.902395550000001</v>
      </c>
      <c r="N156" s="350">
        <f t="shared" si="27"/>
        <v>23.902395550000001</v>
      </c>
      <c r="O156" s="350">
        <f t="shared" si="27"/>
        <v>23.902395550000001</v>
      </c>
      <c r="P156" s="350">
        <f t="shared" si="27"/>
        <v>23.902395550000001</v>
      </c>
      <c r="Q156" s="752"/>
      <c r="R156" s="362"/>
    </row>
    <row r="157" spans="2:18" ht="31.25" x14ac:dyDescent="0.25">
      <c r="B157" s="761" t="s">
        <v>807</v>
      </c>
      <c r="C157" s="757" t="s">
        <v>808</v>
      </c>
      <c r="D157" s="354">
        <v>76.430459349999992</v>
      </c>
      <c r="E157" s="490">
        <v>2</v>
      </c>
      <c r="F157" s="325"/>
      <c r="G157" s="350">
        <f t="shared" si="27"/>
        <v>152.86091869999998</v>
      </c>
      <c r="H157" s="350">
        <f t="shared" si="27"/>
        <v>152.86091869999998</v>
      </c>
      <c r="I157" s="350">
        <f t="shared" si="27"/>
        <v>152.86091869999998</v>
      </c>
      <c r="J157" s="350">
        <f t="shared" si="27"/>
        <v>152.86091869999998</v>
      </c>
      <c r="K157" s="350">
        <f t="shared" si="27"/>
        <v>152.86091869999998</v>
      </c>
      <c r="L157" s="350">
        <f t="shared" si="27"/>
        <v>152.86091869999998</v>
      </c>
      <c r="M157" s="350">
        <f t="shared" si="27"/>
        <v>152.86091869999998</v>
      </c>
      <c r="N157" s="350">
        <f t="shared" si="27"/>
        <v>152.86091869999998</v>
      </c>
      <c r="O157" s="350">
        <f t="shared" si="27"/>
        <v>152.86091869999998</v>
      </c>
      <c r="P157" s="350">
        <f t="shared" si="27"/>
        <v>152.86091869999998</v>
      </c>
      <c r="Q157" s="752"/>
      <c r="R157" s="362"/>
    </row>
    <row r="158" spans="2:18" ht="31.25" x14ac:dyDescent="0.25">
      <c r="B158" s="753" t="s">
        <v>809</v>
      </c>
      <c r="C158" s="768" t="s">
        <v>810</v>
      </c>
      <c r="D158" s="354">
        <v>12.034311799999998</v>
      </c>
      <c r="E158" s="490">
        <v>2</v>
      </c>
      <c r="F158" s="325"/>
      <c r="G158" s="350">
        <f t="shared" si="27"/>
        <v>24.068623599999995</v>
      </c>
      <c r="H158" s="350">
        <f t="shared" si="27"/>
        <v>24.068623599999995</v>
      </c>
      <c r="I158" s="350">
        <f t="shared" si="27"/>
        <v>24.068623599999995</v>
      </c>
      <c r="J158" s="350">
        <f t="shared" si="27"/>
        <v>24.068623599999995</v>
      </c>
      <c r="K158" s="350">
        <f t="shared" si="27"/>
        <v>24.068623599999995</v>
      </c>
      <c r="L158" s="350">
        <f t="shared" si="27"/>
        <v>24.068623599999995</v>
      </c>
      <c r="M158" s="350">
        <f t="shared" si="27"/>
        <v>24.068623599999995</v>
      </c>
      <c r="N158" s="350">
        <f t="shared" si="27"/>
        <v>24.068623599999995</v>
      </c>
      <c r="O158" s="350">
        <f t="shared" si="27"/>
        <v>24.068623599999995</v>
      </c>
      <c r="P158" s="350">
        <f t="shared" si="27"/>
        <v>24.068623599999995</v>
      </c>
      <c r="Q158" s="752"/>
      <c r="R158" s="362"/>
    </row>
    <row r="159" spans="2:18" ht="31.25" x14ac:dyDescent="0.25">
      <c r="B159" s="753" t="s">
        <v>811</v>
      </c>
      <c r="C159" s="768" t="s">
        <v>812</v>
      </c>
      <c r="D159" s="354">
        <v>153.66178770926592</v>
      </c>
      <c r="E159" s="490">
        <v>1</v>
      </c>
      <c r="F159" s="325"/>
      <c r="G159" s="350">
        <f t="shared" ref="G159:P163" si="29">IF(G$21=0,0,G$21/$D$21*$E159*$D159)</f>
        <v>153.66178770926592</v>
      </c>
      <c r="H159" s="350">
        <f t="shared" si="29"/>
        <v>153.66178770926592</v>
      </c>
      <c r="I159" s="350">
        <f t="shared" si="29"/>
        <v>153.66178770926592</v>
      </c>
      <c r="J159" s="350">
        <f t="shared" si="29"/>
        <v>153.66178770926592</v>
      </c>
      <c r="K159" s="350">
        <f t="shared" si="29"/>
        <v>153.66178770926592</v>
      </c>
      <c r="L159" s="350">
        <f t="shared" si="29"/>
        <v>153.66178770926592</v>
      </c>
      <c r="M159" s="350">
        <f t="shared" si="29"/>
        <v>153.66178770926592</v>
      </c>
      <c r="N159" s="350">
        <f t="shared" si="29"/>
        <v>153.66178770926592</v>
      </c>
      <c r="O159" s="350">
        <f t="shared" si="29"/>
        <v>153.66178770926592</v>
      </c>
      <c r="P159" s="350">
        <f t="shared" si="29"/>
        <v>153.66178770926592</v>
      </c>
      <c r="Q159" s="752"/>
      <c r="R159" s="362"/>
    </row>
    <row r="160" spans="2:18" ht="31.25" x14ac:dyDescent="0.25">
      <c r="B160" s="753" t="s">
        <v>813</v>
      </c>
      <c r="C160" s="768" t="s">
        <v>814</v>
      </c>
      <c r="D160" s="354">
        <v>9.1485329499999999</v>
      </c>
      <c r="E160" s="490">
        <v>1</v>
      </c>
      <c r="F160" s="325"/>
      <c r="G160" s="350">
        <f t="shared" si="29"/>
        <v>9.1485329499999999</v>
      </c>
      <c r="H160" s="350">
        <f t="shared" si="29"/>
        <v>9.1485329499999999</v>
      </c>
      <c r="I160" s="350">
        <f t="shared" si="29"/>
        <v>9.1485329499999999</v>
      </c>
      <c r="J160" s="350">
        <f t="shared" si="29"/>
        <v>9.1485329499999999</v>
      </c>
      <c r="K160" s="350">
        <f t="shared" si="29"/>
        <v>9.1485329499999999</v>
      </c>
      <c r="L160" s="350">
        <f t="shared" si="29"/>
        <v>9.1485329499999999</v>
      </c>
      <c r="M160" s="350">
        <f t="shared" si="29"/>
        <v>9.1485329499999999</v>
      </c>
      <c r="N160" s="350">
        <f t="shared" si="29"/>
        <v>9.1485329499999999</v>
      </c>
      <c r="O160" s="350">
        <f t="shared" si="29"/>
        <v>9.1485329499999999</v>
      </c>
      <c r="P160" s="350">
        <f t="shared" si="29"/>
        <v>9.1485329499999999</v>
      </c>
      <c r="Q160" s="752"/>
      <c r="R160" s="362"/>
    </row>
    <row r="161" spans="2:18" ht="31.25" x14ac:dyDescent="0.25">
      <c r="B161" s="760" t="s">
        <v>815</v>
      </c>
      <c r="C161" s="768" t="s">
        <v>816</v>
      </c>
      <c r="D161" s="354">
        <v>62.38493789999999</v>
      </c>
      <c r="E161" s="490">
        <v>1</v>
      </c>
      <c r="F161" s="325"/>
      <c r="G161" s="350">
        <f t="shared" si="29"/>
        <v>62.38493789999999</v>
      </c>
      <c r="H161" s="350">
        <f t="shared" si="29"/>
        <v>62.38493789999999</v>
      </c>
      <c r="I161" s="350">
        <f t="shared" si="29"/>
        <v>62.38493789999999</v>
      </c>
      <c r="J161" s="350">
        <f t="shared" si="29"/>
        <v>62.38493789999999</v>
      </c>
      <c r="K161" s="350">
        <f t="shared" si="29"/>
        <v>62.38493789999999</v>
      </c>
      <c r="L161" s="350">
        <f t="shared" si="29"/>
        <v>62.38493789999999</v>
      </c>
      <c r="M161" s="350">
        <f t="shared" si="29"/>
        <v>62.38493789999999</v>
      </c>
      <c r="N161" s="350">
        <f t="shared" si="29"/>
        <v>62.38493789999999</v>
      </c>
      <c r="O161" s="350">
        <f t="shared" si="29"/>
        <v>62.38493789999999</v>
      </c>
      <c r="P161" s="350">
        <f t="shared" si="29"/>
        <v>62.38493789999999</v>
      </c>
      <c r="Q161" s="752"/>
      <c r="R161" s="362"/>
    </row>
    <row r="162" spans="2:18" ht="31.25" x14ac:dyDescent="0.25">
      <c r="B162" s="753" t="s">
        <v>795</v>
      </c>
      <c r="C162" s="762"/>
      <c r="D162" s="758">
        <v>4.420496</v>
      </c>
      <c r="E162" s="763">
        <v>280</v>
      </c>
      <c r="F162" s="325"/>
      <c r="G162" s="350">
        <f t="shared" si="29"/>
        <v>1237.7388799999999</v>
      </c>
      <c r="H162" s="350">
        <f t="shared" si="29"/>
        <v>1237.7388799999999</v>
      </c>
      <c r="I162" s="350">
        <f t="shared" si="29"/>
        <v>1237.7388799999999</v>
      </c>
      <c r="J162" s="350">
        <f t="shared" si="29"/>
        <v>1237.7388799999999</v>
      </c>
      <c r="K162" s="350">
        <f t="shared" si="29"/>
        <v>1237.7388799999999</v>
      </c>
      <c r="L162" s="350">
        <f t="shared" si="29"/>
        <v>1237.7388799999999</v>
      </c>
      <c r="M162" s="350">
        <f t="shared" si="29"/>
        <v>1237.7388799999999</v>
      </c>
      <c r="N162" s="350">
        <f t="shared" si="29"/>
        <v>1237.7388799999999</v>
      </c>
      <c r="O162" s="350">
        <f t="shared" si="29"/>
        <v>1237.7388799999999</v>
      </c>
      <c r="P162" s="350">
        <f t="shared" si="29"/>
        <v>1237.7388799999999</v>
      </c>
      <c r="Q162" s="275">
        <v>346</v>
      </c>
      <c r="R162" s="362">
        <f>Q162*0.012776</f>
        <v>4.420496</v>
      </c>
    </row>
    <row r="163" spans="2:18" ht="46.9" x14ac:dyDescent="0.25">
      <c r="B163" s="753" t="s">
        <v>796</v>
      </c>
      <c r="C163" s="764"/>
      <c r="D163" s="758">
        <v>12.43730824</v>
      </c>
      <c r="E163" s="763">
        <v>41</v>
      </c>
      <c r="F163" s="325"/>
      <c r="G163" s="350">
        <f t="shared" si="29"/>
        <v>509.92963784</v>
      </c>
      <c r="H163" s="350">
        <f t="shared" si="29"/>
        <v>509.92963784</v>
      </c>
      <c r="I163" s="350">
        <f t="shared" si="29"/>
        <v>509.92963784</v>
      </c>
      <c r="J163" s="350">
        <f t="shared" si="29"/>
        <v>509.92963784</v>
      </c>
      <c r="K163" s="350">
        <f t="shared" si="29"/>
        <v>509.92963784</v>
      </c>
      <c r="L163" s="350">
        <f t="shared" si="29"/>
        <v>509.92963784</v>
      </c>
      <c r="M163" s="350">
        <f t="shared" si="29"/>
        <v>509.92963784</v>
      </c>
      <c r="N163" s="350">
        <f t="shared" si="29"/>
        <v>509.92963784</v>
      </c>
      <c r="O163" s="350">
        <f t="shared" si="29"/>
        <v>509.92963784</v>
      </c>
      <c r="P163" s="350">
        <f t="shared" si="29"/>
        <v>509.92963784</v>
      </c>
      <c r="Q163" s="275">
        <v>973.49</v>
      </c>
      <c r="R163" s="362">
        <f>Q163*0.012776</f>
        <v>12.43730824</v>
      </c>
    </row>
  </sheetData>
  <mergeCells count="2">
    <mergeCell ref="B11:P11"/>
    <mergeCell ref="B22:P22"/>
  </mergeCells>
  <conditionalFormatting sqref="C30:C31">
    <cfRule type="cellIs" dxfId="72" priority="31" operator="equal">
      <formula>"Заполнить"</formula>
    </cfRule>
  </conditionalFormatting>
  <conditionalFormatting sqref="B26:C29">
    <cfRule type="cellIs" dxfId="71" priority="33" operator="equal">
      <formula>"Заполнить"</formula>
    </cfRule>
  </conditionalFormatting>
  <conditionalFormatting sqref="B31:B32">
    <cfRule type="cellIs" dxfId="70" priority="30" operator="equal">
      <formula>"Заполнить"</formula>
    </cfRule>
  </conditionalFormatting>
  <conditionalFormatting sqref="B30">
    <cfRule type="cellIs" dxfId="69" priority="32" operator="equal">
      <formula>"Заполнить"</formula>
    </cfRule>
  </conditionalFormatting>
  <conditionalFormatting sqref="B44:B45">
    <cfRule type="cellIs" dxfId="68" priority="27" operator="equal">
      <formula>"Заполнить"</formula>
    </cfRule>
  </conditionalFormatting>
  <conditionalFormatting sqref="B34:C43">
    <cfRule type="cellIs" dxfId="67" priority="29" operator="equal">
      <formula>"Заполнить"</formula>
    </cfRule>
  </conditionalFormatting>
  <conditionalFormatting sqref="C44">
    <cfRule type="cellIs" dxfId="66" priority="28" operator="equal">
      <formula>"Заполнить"</formula>
    </cfRule>
  </conditionalFormatting>
  <conditionalFormatting sqref="B47:C61">
    <cfRule type="cellIs" dxfId="65" priority="26" operator="equal">
      <formula>"Заполнить"</formula>
    </cfRule>
  </conditionalFormatting>
  <conditionalFormatting sqref="B62:B63">
    <cfRule type="cellIs" dxfId="64" priority="24" operator="equal">
      <formula>"Заполнить"</formula>
    </cfRule>
  </conditionalFormatting>
  <conditionalFormatting sqref="C62">
    <cfRule type="cellIs" dxfId="63" priority="25" operator="equal">
      <formula>"Заполнить"</formula>
    </cfRule>
  </conditionalFormatting>
  <conditionalFormatting sqref="B65:C82">
    <cfRule type="cellIs" dxfId="62" priority="23" operator="equal">
      <formula>"Заполнить"</formula>
    </cfRule>
  </conditionalFormatting>
  <conditionalFormatting sqref="B85">
    <cfRule type="cellIs" dxfId="61" priority="19" operator="equal">
      <formula>"Заполнить"</formula>
    </cfRule>
  </conditionalFormatting>
  <conditionalFormatting sqref="B83">
    <cfRule type="cellIs" dxfId="60" priority="21" operator="equal">
      <formula>"Заполнить"</formula>
    </cfRule>
  </conditionalFormatting>
  <conditionalFormatting sqref="C83">
    <cfRule type="cellIs" dxfId="59" priority="22" operator="equal">
      <formula>"Заполнить"</formula>
    </cfRule>
  </conditionalFormatting>
  <conditionalFormatting sqref="B84">
    <cfRule type="cellIs" dxfId="58" priority="20" operator="equal">
      <formula>"Заполнить"</formula>
    </cfRule>
  </conditionalFormatting>
  <conditionalFormatting sqref="B88:C102">
    <cfRule type="cellIs" dxfId="57" priority="18" operator="equal">
      <formula>"Заполнить"</formula>
    </cfRule>
  </conditionalFormatting>
  <conditionalFormatting sqref="B105">
    <cfRule type="cellIs" dxfId="56" priority="15" operator="equal">
      <formula>"Заполнить"</formula>
    </cfRule>
  </conditionalFormatting>
  <conditionalFormatting sqref="B103">
    <cfRule type="cellIs" dxfId="55" priority="16" operator="equal">
      <formula>"Заполнить"</formula>
    </cfRule>
  </conditionalFormatting>
  <conditionalFormatting sqref="C103">
    <cfRule type="cellIs" dxfId="54" priority="17" operator="equal">
      <formula>"Заполнить"</formula>
    </cfRule>
  </conditionalFormatting>
  <conditionalFormatting sqref="B104">
    <cfRule type="cellIs" dxfId="53" priority="14" operator="equal">
      <formula>"Заполнить"</formula>
    </cfRule>
  </conditionalFormatting>
  <conditionalFormatting sqref="B107:C121">
    <cfRule type="cellIs" dxfId="52" priority="13" operator="equal">
      <formula>"Заполнить"</formula>
    </cfRule>
  </conditionalFormatting>
  <conditionalFormatting sqref="B122:C122">
    <cfRule type="cellIs" dxfId="51" priority="12" operator="equal">
      <formula>"Заполнить"</formula>
    </cfRule>
  </conditionalFormatting>
  <conditionalFormatting sqref="B123:B124">
    <cfRule type="cellIs" dxfId="50" priority="10" operator="equal">
      <formula>"Заполнить"</formula>
    </cfRule>
  </conditionalFormatting>
  <conditionalFormatting sqref="C123">
    <cfRule type="cellIs" dxfId="49" priority="11" operator="equal">
      <formula>"Заполнить"</formula>
    </cfRule>
  </conditionalFormatting>
  <conditionalFormatting sqref="B127:C141">
    <cfRule type="cellIs" dxfId="48" priority="9" operator="equal">
      <formula>"Заполнить"</formula>
    </cfRule>
  </conditionalFormatting>
  <conditionalFormatting sqref="B125">
    <cfRule type="cellIs" dxfId="47" priority="8" operator="equal">
      <formula>"Заполнить"</formula>
    </cfRule>
  </conditionalFormatting>
  <conditionalFormatting sqref="B142:B143">
    <cfRule type="cellIs" dxfId="46" priority="6" operator="equal">
      <formula>"Заполнить"</formula>
    </cfRule>
  </conditionalFormatting>
  <conditionalFormatting sqref="C142">
    <cfRule type="cellIs" dxfId="45" priority="7" operator="equal">
      <formula>"Заполнить"</formula>
    </cfRule>
  </conditionalFormatting>
  <conditionalFormatting sqref="B144">
    <cfRule type="cellIs" dxfId="44" priority="5" operator="equal">
      <formula>"Заполнить"</formula>
    </cfRule>
  </conditionalFormatting>
  <conditionalFormatting sqref="B145">
    <cfRule type="cellIs" dxfId="43" priority="4" operator="equal">
      <formula>"Заполнить"</formula>
    </cfRule>
  </conditionalFormatting>
  <conditionalFormatting sqref="B147:C161">
    <cfRule type="cellIs" dxfId="42" priority="3" operator="equal">
      <formula>"Заполнить"</formula>
    </cfRule>
  </conditionalFormatting>
  <conditionalFormatting sqref="B162:B163">
    <cfRule type="cellIs" dxfId="41" priority="1" operator="equal">
      <formula>"Заполнить"</formula>
    </cfRule>
  </conditionalFormatting>
  <conditionalFormatting sqref="C162">
    <cfRule type="cellIs" dxfId="40" priority="2" operator="equal">
      <formula>"Заполнить"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3079-1BFB-4EA6-94B7-8D070259890E}">
  <sheetPr>
    <tabColor theme="7" tint="0.39997558519241921"/>
  </sheetPr>
  <dimension ref="B2:P222"/>
  <sheetViews>
    <sheetView showGridLines="0" zoomScale="85" zoomScaleNormal="85" zoomScaleSheetLayoutView="85" workbookViewId="0">
      <pane xSplit="2" ySplit="6" topLeftCell="C7" activePane="bottomRight" state="frozen"/>
      <selection activeCell="O38" sqref="O38"/>
      <selection pane="topRight" activeCell="O38" sqref="O38"/>
      <selection pane="bottomLeft" activeCell="O38" sqref="O38"/>
      <selection pane="bottomRight" activeCell="O38" sqref="O38"/>
    </sheetView>
  </sheetViews>
  <sheetFormatPr defaultRowHeight="14.3" x14ac:dyDescent="0.25"/>
  <cols>
    <col min="1" max="1" width="5.5" style="275" customWidth="1"/>
    <col min="2" max="2" width="58.625" style="275" customWidth="1"/>
    <col min="3" max="3" width="14.375" style="275" customWidth="1"/>
    <col min="4" max="4" width="17.5" style="275" customWidth="1"/>
    <col min="5" max="5" width="11.5" style="275" customWidth="1"/>
    <col min="6" max="10" width="11.125" style="275" customWidth="1"/>
    <col min="11" max="11" width="14.125" style="275" customWidth="1"/>
    <col min="12" max="15" width="11.125" style="275" customWidth="1"/>
    <col min="16" max="16" width="19.5" style="275" customWidth="1"/>
    <col min="17" max="18" width="9" style="275"/>
    <col min="19" max="19" width="11.875" style="275" customWidth="1"/>
    <col min="20" max="16384" width="9" style="275"/>
  </cols>
  <sheetData>
    <row r="2" spans="2:15" x14ac:dyDescent="0.25">
      <c r="B2" s="365" t="s">
        <v>259</v>
      </c>
    </row>
    <row r="3" spans="2:15" ht="14.95" thickBot="1" x14ac:dyDescent="0.3">
      <c r="B3" s="275" t="s">
        <v>298</v>
      </c>
      <c r="F3" s="277">
        <f>ESDE240!E12</f>
        <v>0.91162480974124804</v>
      </c>
      <c r="G3" s="277">
        <f>ESDE240!F12</f>
        <v>0.89608701166920346</v>
      </c>
      <c r="H3" s="277">
        <f>ESDE240!G12</f>
        <v>0.84869672754946723</v>
      </c>
      <c r="I3" s="277">
        <f>ESDE240!H12</f>
        <v>0.80563483003551495</v>
      </c>
      <c r="J3" s="277">
        <f>ESDE240!I12</f>
        <v>0.89852866565195333</v>
      </c>
      <c r="K3" s="277">
        <f>ESDE240!J12</f>
        <v>0.82206050228310501</v>
      </c>
      <c r="L3" s="277">
        <f>ESDE240!K12</f>
        <v>0.88942795535261288</v>
      </c>
      <c r="M3" s="277">
        <f>ESDE240!L12</f>
        <v>0.81118404363267382</v>
      </c>
      <c r="N3" s="277">
        <f>ESDE240!M12</f>
        <v>0.85613267376966007</v>
      </c>
      <c r="O3" s="277">
        <f>ESDE240!N12</f>
        <v>0.83393581938102479</v>
      </c>
    </row>
    <row r="4" spans="2:15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O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  <c r="N4" s="337">
        <f t="shared" si="0"/>
        <v>9</v>
      </c>
      <c r="O4" s="337">
        <f t="shared" si="0"/>
        <v>10</v>
      </c>
    </row>
    <row r="5" spans="2:15" x14ac:dyDescent="0.25">
      <c r="B5" s="369" t="s">
        <v>300</v>
      </c>
      <c r="C5" s="370" t="s">
        <v>301</v>
      </c>
      <c r="D5" s="292"/>
      <c r="E5" s="370"/>
      <c r="F5" s="476">
        <v>0</v>
      </c>
      <c r="G5" s="476">
        <f>F6+1</f>
        <v>7001</v>
      </c>
      <c r="H5" s="476">
        <f t="shared" ref="H5:O5" si="1">G6+1</f>
        <v>14001</v>
      </c>
      <c r="I5" s="476">
        <f t="shared" si="1"/>
        <v>21001</v>
      </c>
      <c r="J5" s="476">
        <f t="shared" si="1"/>
        <v>28001</v>
      </c>
      <c r="K5" s="476">
        <f t="shared" si="1"/>
        <v>35001</v>
      </c>
      <c r="L5" s="476">
        <f t="shared" si="1"/>
        <v>42001</v>
      </c>
      <c r="M5" s="476">
        <f t="shared" si="1"/>
        <v>49001</v>
      </c>
      <c r="N5" s="476">
        <f t="shared" si="1"/>
        <v>56001</v>
      </c>
      <c r="O5" s="476">
        <f t="shared" si="1"/>
        <v>63001</v>
      </c>
    </row>
    <row r="6" spans="2:15" ht="14.95" thickBot="1" x14ac:dyDescent="0.3">
      <c r="B6" s="371" t="s">
        <v>302</v>
      </c>
      <c r="C6" s="372" t="s">
        <v>301</v>
      </c>
      <c r="D6" s="373"/>
      <c r="E6" s="374">
        <f>'ESDE240 ТО'!F6</f>
        <v>7000</v>
      </c>
      <c r="F6" s="493">
        <f>E6</f>
        <v>7000</v>
      </c>
      <c r="G6" s="493">
        <f t="shared" ref="G6:O6" si="2">F6+$E6</f>
        <v>14000</v>
      </c>
      <c r="H6" s="493">
        <f t="shared" si="2"/>
        <v>21000</v>
      </c>
      <c r="I6" s="493">
        <f t="shared" si="2"/>
        <v>28000</v>
      </c>
      <c r="J6" s="493">
        <f t="shared" si="2"/>
        <v>35000</v>
      </c>
      <c r="K6" s="493">
        <f t="shared" si="2"/>
        <v>42000</v>
      </c>
      <c r="L6" s="493">
        <f t="shared" si="2"/>
        <v>49000</v>
      </c>
      <c r="M6" s="493">
        <f t="shared" si="2"/>
        <v>56000</v>
      </c>
      <c r="N6" s="493">
        <f t="shared" si="2"/>
        <v>63000</v>
      </c>
      <c r="O6" s="493">
        <f t="shared" si="2"/>
        <v>70000</v>
      </c>
    </row>
    <row r="7" spans="2:15" ht="14.95" thickBot="1" x14ac:dyDescent="0.3"/>
    <row r="8" spans="2:15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316</v>
      </c>
      <c r="G8" s="378">
        <f t="shared" ref="G8:O8" si="3">G16</f>
        <v>456</v>
      </c>
      <c r="H8" s="378">
        <f t="shared" si="3"/>
        <v>883</v>
      </c>
      <c r="I8" s="378">
        <f t="shared" si="3"/>
        <v>1271</v>
      </c>
      <c r="J8" s="378">
        <f t="shared" si="3"/>
        <v>434</v>
      </c>
      <c r="K8" s="378">
        <f t="shared" si="3"/>
        <v>1123</v>
      </c>
      <c r="L8" s="378">
        <f t="shared" si="3"/>
        <v>516</v>
      </c>
      <c r="M8" s="378">
        <f t="shared" si="3"/>
        <v>1221</v>
      </c>
      <c r="N8" s="378">
        <f t="shared" si="3"/>
        <v>816</v>
      </c>
      <c r="O8" s="378">
        <f t="shared" si="3"/>
        <v>1016</v>
      </c>
    </row>
    <row r="9" spans="2:15" ht="21.1" customHeight="1" x14ac:dyDescent="0.25">
      <c r="B9" s="390" t="s">
        <v>357</v>
      </c>
      <c r="C9" s="380" t="s">
        <v>358</v>
      </c>
      <c r="D9" s="253"/>
      <c r="E9" s="253"/>
      <c r="F9" s="302">
        <f>SUM(F10:F12)</f>
        <v>6371.0352762000002</v>
      </c>
      <c r="G9" s="302">
        <f t="shared" ref="G9:O9" si="4">SUM(G10:G12)</f>
        <v>102570.26918215459</v>
      </c>
      <c r="H9" s="302">
        <f t="shared" si="4"/>
        <v>753981.1192794001</v>
      </c>
      <c r="I9" s="302">
        <f t="shared" si="4"/>
        <v>2577179.9267764832</v>
      </c>
      <c r="J9" s="302">
        <f t="shared" si="4"/>
        <v>10074.0352762</v>
      </c>
      <c r="K9" s="302">
        <f t="shared" si="4"/>
        <v>850180.35318535462</v>
      </c>
      <c r="L9" s="302">
        <f t="shared" si="4"/>
        <v>6371.0352762000002</v>
      </c>
      <c r="M9" s="302">
        <f t="shared" si="4"/>
        <v>2577179.9267764832</v>
      </c>
      <c r="N9" s="302">
        <f t="shared" si="4"/>
        <v>6371.0352762000002</v>
      </c>
      <c r="O9" s="302">
        <f t="shared" si="4"/>
        <v>6371.0352762000002</v>
      </c>
    </row>
    <row r="10" spans="2:15" ht="18.7" customHeight="1" x14ac:dyDescent="0.25">
      <c r="B10" s="381" t="s">
        <v>283</v>
      </c>
      <c r="C10" s="260" t="s">
        <v>358</v>
      </c>
      <c r="D10" s="260"/>
      <c r="E10" s="260"/>
      <c r="F10" s="263">
        <f t="shared" ref="F10:O10" si="5">F152</f>
        <v>0</v>
      </c>
      <c r="G10" s="263">
        <f t="shared" si="5"/>
        <v>0</v>
      </c>
      <c r="H10" s="263">
        <f t="shared" si="5"/>
        <v>0</v>
      </c>
      <c r="I10" s="263">
        <f t="shared" si="5"/>
        <v>0</v>
      </c>
      <c r="J10" s="263">
        <f t="shared" si="5"/>
        <v>0</v>
      </c>
      <c r="K10" s="263">
        <f t="shared" si="5"/>
        <v>0</v>
      </c>
      <c r="L10" s="263">
        <f t="shared" si="5"/>
        <v>0</v>
      </c>
      <c r="M10" s="263">
        <f t="shared" si="5"/>
        <v>0</v>
      </c>
      <c r="N10" s="263">
        <f t="shared" si="5"/>
        <v>0</v>
      </c>
      <c r="O10" s="263">
        <f t="shared" si="5"/>
        <v>0</v>
      </c>
    </row>
    <row r="11" spans="2:15" ht="18.7" customHeight="1" x14ac:dyDescent="0.25">
      <c r="B11" s="381" t="s">
        <v>284</v>
      </c>
      <c r="C11" s="260" t="s">
        <v>358</v>
      </c>
      <c r="D11" s="260"/>
      <c r="E11" s="260"/>
      <c r="F11" s="263">
        <f t="shared" ref="F11:O11" si="6">F158</f>
        <v>4931.0352762000002</v>
      </c>
      <c r="G11" s="263">
        <f t="shared" si="6"/>
        <v>88530.269182154589</v>
      </c>
      <c r="H11" s="263">
        <f t="shared" si="6"/>
        <v>701511.1192794001</v>
      </c>
      <c r="I11" s="263">
        <f t="shared" si="6"/>
        <v>2494289.9267764832</v>
      </c>
      <c r="J11" s="263">
        <f t="shared" si="6"/>
        <v>7014.0352762000002</v>
      </c>
      <c r="K11" s="263">
        <f t="shared" si="6"/>
        <v>785110.35318535462</v>
      </c>
      <c r="L11" s="263">
        <f t="shared" si="6"/>
        <v>4931.0352762000002</v>
      </c>
      <c r="M11" s="263">
        <f t="shared" si="6"/>
        <v>2494289.9267764832</v>
      </c>
      <c r="N11" s="263">
        <f t="shared" si="6"/>
        <v>4931.0352762000002</v>
      </c>
      <c r="O11" s="263">
        <f t="shared" si="6"/>
        <v>4931.0352762000002</v>
      </c>
    </row>
    <row r="12" spans="2:15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F82</f>
        <v>1440</v>
      </c>
      <c r="G12" s="314">
        <f t="shared" ref="G12:O12" si="7">G82</f>
        <v>14040</v>
      </c>
      <c r="H12" s="314">
        <f t="shared" si="7"/>
        <v>52470</v>
      </c>
      <c r="I12" s="314">
        <f t="shared" si="7"/>
        <v>82890</v>
      </c>
      <c r="J12" s="314">
        <f t="shared" si="7"/>
        <v>3060</v>
      </c>
      <c r="K12" s="314">
        <f t="shared" si="7"/>
        <v>65070</v>
      </c>
      <c r="L12" s="314">
        <f t="shared" si="7"/>
        <v>1440</v>
      </c>
      <c r="M12" s="314">
        <f t="shared" si="7"/>
        <v>82890</v>
      </c>
      <c r="N12" s="314">
        <f t="shared" si="7"/>
        <v>1440</v>
      </c>
      <c r="O12" s="314">
        <f t="shared" si="7"/>
        <v>1440</v>
      </c>
    </row>
    <row r="13" spans="2:15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  <c r="N13" s="386"/>
      <c r="O13" s="386"/>
    </row>
    <row r="14" spans="2:15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</row>
    <row r="15" spans="2:15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O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  <c r="N15" s="389">
        <f t="shared" si="8"/>
        <v>9</v>
      </c>
      <c r="O15" s="389">
        <f t="shared" si="8"/>
        <v>10</v>
      </c>
    </row>
    <row r="16" spans="2:15" ht="16.5" customHeight="1" x14ac:dyDescent="0.25">
      <c r="B16" s="390" t="s">
        <v>362</v>
      </c>
      <c r="C16" s="246"/>
      <c r="D16" s="260"/>
      <c r="E16" s="260"/>
      <c r="F16" s="391">
        <f>SUM(F17:F78)</f>
        <v>316</v>
      </c>
      <c r="G16" s="391">
        <f t="shared" ref="G16:O16" si="9">SUM(G17:G78)</f>
        <v>456</v>
      </c>
      <c r="H16" s="391">
        <f t="shared" si="9"/>
        <v>883</v>
      </c>
      <c r="I16" s="391">
        <f t="shared" si="9"/>
        <v>1271</v>
      </c>
      <c r="J16" s="391">
        <f t="shared" si="9"/>
        <v>434</v>
      </c>
      <c r="K16" s="391">
        <f t="shared" si="9"/>
        <v>1123</v>
      </c>
      <c r="L16" s="391">
        <f t="shared" si="9"/>
        <v>516</v>
      </c>
      <c r="M16" s="391">
        <f t="shared" si="9"/>
        <v>1221</v>
      </c>
      <c r="N16" s="391">
        <f t="shared" si="9"/>
        <v>816</v>
      </c>
      <c r="O16" s="391">
        <f t="shared" si="9"/>
        <v>1016</v>
      </c>
    </row>
    <row r="17" spans="2:15" ht="16.5" customHeight="1" x14ac:dyDescent="0.25">
      <c r="B17" s="774" t="s">
        <v>828</v>
      </c>
      <c r="C17" s="246"/>
      <c r="D17" s="260">
        <f>E83/2</f>
        <v>543</v>
      </c>
      <c r="E17" s="260"/>
      <c r="F17" s="501"/>
      <c r="G17" s="501"/>
      <c r="H17" s="501">
        <f>$D17</f>
        <v>543</v>
      </c>
      <c r="I17" s="501"/>
      <c r="J17" s="501"/>
      <c r="K17" s="501">
        <f>$D17</f>
        <v>543</v>
      </c>
      <c r="L17" s="501"/>
      <c r="M17" s="501"/>
      <c r="N17" s="501"/>
      <c r="O17" s="501"/>
    </row>
    <row r="18" spans="2:15" ht="16.5" customHeight="1" x14ac:dyDescent="0.25">
      <c r="B18" s="775" t="s">
        <v>829</v>
      </c>
      <c r="C18" s="257" t="s">
        <v>304</v>
      </c>
      <c r="D18" s="260">
        <f t="shared" ref="D18:D77" si="10">E84/2</f>
        <v>24</v>
      </c>
      <c r="E18" s="260"/>
      <c r="F18" s="501"/>
      <c r="G18" s="501"/>
      <c r="H18" s="501">
        <f>$D18</f>
        <v>24</v>
      </c>
      <c r="I18" s="501"/>
      <c r="J18" s="501"/>
      <c r="K18" s="501">
        <f>$D18</f>
        <v>24</v>
      </c>
      <c r="L18" s="501"/>
      <c r="M18" s="501"/>
      <c r="N18" s="501"/>
      <c r="O18" s="501"/>
    </row>
    <row r="19" spans="2:15" ht="16.5" customHeight="1" x14ac:dyDescent="0.25">
      <c r="B19" s="775" t="s">
        <v>830</v>
      </c>
      <c r="C19" s="257" t="s">
        <v>304</v>
      </c>
      <c r="D19" s="260">
        <f t="shared" si="10"/>
        <v>3</v>
      </c>
      <c r="E19" s="260"/>
      <c r="F19" s="501"/>
      <c r="G19" s="501">
        <f>$D19</f>
        <v>3</v>
      </c>
      <c r="H19" s="501"/>
      <c r="I19" s="501">
        <f>$D19</f>
        <v>3</v>
      </c>
      <c r="J19" s="501"/>
      <c r="K19" s="501">
        <f>$D19</f>
        <v>3</v>
      </c>
      <c r="L19" s="501"/>
      <c r="M19" s="501">
        <f>$D19</f>
        <v>3</v>
      </c>
      <c r="N19" s="501"/>
      <c r="O19" s="501"/>
    </row>
    <row r="20" spans="2:15" ht="16.5" customHeight="1" x14ac:dyDescent="0.25">
      <c r="B20" s="775" t="s">
        <v>831</v>
      </c>
      <c r="C20" s="257" t="s">
        <v>304</v>
      </c>
      <c r="D20" s="260">
        <f t="shared" si="10"/>
        <v>4</v>
      </c>
      <c r="E20" s="260"/>
      <c r="F20" s="501"/>
      <c r="G20" s="501">
        <f>$D20</f>
        <v>4</v>
      </c>
      <c r="H20" s="501"/>
      <c r="I20" s="501">
        <f>$D20</f>
        <v>4</v>
      </c>
      <c r="J20" s="501"/>
      <c r="K20" s="501">
        <f>$D20</f>
        <v>4</v>
      </c>
      <c r="L20" s="501"/>
      <c r="M20" s="501">
        <f>$D20</f>
        <v>4</v>
      </c>
      <c r="N20" s="501"/>
      <c r="O20" s="501"/>
    </row>
    <row r="21" spans="2:15" ht="16.5" customHeight="1" x14ac:dyDescent="0.25">
      <c r="B21" s="776" t="s">
        <v>396</v>
      </c>
      <c r="C21" s="257"/>
      <c r="D21" s="260"/>
      <c r="E21" s="260"/>
      <c r="F21" s="501"/>
      <c r="G21" s="501"/>
      <c r="H21" s="501"/>
      <c r="I21" s="501"/>
      <c r="J21" s="501"/>
      <c r="K21" s="501"/>
      <c r="L21" s="501"/>
      <c r="M21" s="501"/>
      <c r="N21" s="501"/>
      <c r="O21" s="501"/>
    </row>
    <row r="22" spans="2:15" ht="16.5" customHeight="1" thickBot="1" x14ac:dyDescent="0.3">
      <c r="B22" s="777" t="s">
        <v>832</v>
      </c>
      <c r="C22" s="374" t="s">
        <v>304</v>
      </c>
      <c r="D22" s="260">
        <f t="shared" si="10"/>
        <v>220</v>
      </c>
      <c r="E22" s="260"/>
      <c r="F22" s="501"/>
      <c r="G22" s="501"/>
      <c r="H22" s="501"/>
      <c r="I22" s="501">
        <f>$D22</f>
        <v>220</v>
      </c>
      <c r="J22" s="501"/>
      <c r="K22" s="501"/>
      <c r="L22" s="501"/>
      <c r="M22" s="501">
        <f>$D22</f>
        <v>220</v>
      </c>
      <c r="N22" s="501"/>
      <c r="O22" s="501"/>
    </row>
    <row r="23" spans="2:15" ht="16.5" customHeight="1" thickBot="1" x14ac:dyDescent="0.3">
      <c r="B23" s="777" t="s">
        <v>833</v>
      </c>
      <c r="C23" s="374" t="s">
        <v>304</v>
      </c>
      <c r="D23" s="260">
        <f t="shared" si="10"/>
        <v>80</v>
      </c>
      <c r="E23" s="260"/>
      <c r="F23" s="501"/>
      <c r="G23" s="501"/>
      <c r="H23" s="501"/>
      <c r="I23" s="501">
        <f>$D23</f>
        <v>80</v>
      </c>
      <c r="J23" s="501"/>
      <c r="K23" s="501"/>
      <c r="L23" s="501"/>
      <c r="M23" s="501">
        <f>$D23</f>
        <v>80</v>
      </c>
      <c r="N23" s="501"/>
      <c r="O23" s="501"/>
    </row>
    <row r="24" spans="2:15" ht="16.5" customHeight="1" thickBot="1" x14ac:dyDescent="0.3">
      <c r="B24" s="778" t="s">
        <v>834</v>
      </c>
      <c r="C24" s="374" t="s">
        <v>304</v>
      </c>
      <c r="D24" s="260">
        <f t="shared" si="10"/>
        <v>40</v>
      </c>
      <c r="E24" s="260"/>
      <c r="F24" s="501"/>
      <c r="G24" s="501"/>
      <c r="H24" s="501"/>
      <c r="I24" s="501">
        <f>$D24</f>
        <v>40</v>
      </c>
      <c r="J24" s="501"/>
      <c r="K24" s="501"/>
      <c r="L24" s="501"/>
      <c r="M24" s="501">
        <f>$D24</f>
        <v>40</v>
      </c>
      <c r="N24" s="501"/>
      <c r="O24" s="501"/>
    </row>
    <row r="25" spans="2:15" ht="16.5" customHeight="1" thickBot="1" x14ac:dyDescent="0.3">
      <c r="B25" s="776" t="s">
        <v>835</v>
      </c>
      <c r="C25" s="374"/>
      <c r="D25" s="260"/>
      <c r="E25" s="260"/>
      <c r="F25" s="501"/>
      <c r="G25" s="501"/>
      <c r="H25" s="501"/>
      <c r="I25" s="501"/>
      <c r="J25" s="501"/>
      <c r="K25" s="501"/>
      <c r="L25" s="501"/>
      <c r="M25" s="501"/>
      <c r="N25" s="501"/>
      <c r="O25" s="501"/>
    </row>
    <row r="26" spans="2:15" ht="16.5" customHeight="1" thickBot="1" x14ac:dyDescent="0.3">
      <c r="B26" s="779" t="s">
        <v>836</v>
      </c>
      <c r="C26" s="374" t="s">
        <v>304</v>
      </c>
      <c r="D26" s="260">
        <f t="shared" si="10"/>
        <v>25</v>
      </c>
      <c r="E26" s="260"/>
      <c r="F26" s="501"/>
      <c r="G26" s="501">
        <f>$D26</f>
        <v>25</v>
      </c>
      <c r="H26" s="501"/>
      <c r="I26" s="501">
        <f>$D26</f>
        <v>25</v>
      </c>
      <c r="J26" s="501"/>
      <c r="K26" s="501">
        <f>$D26</f>
        <v>25</v>
      </c>
      <c r="L26" s="501"/>
      <c r="M26" s="501">
        <f>$D26</f>
        <v>25</v>
      </c>
      <c r="N26" s="501"/>
      <c r="O26" s="501"/>
    </row>
    <row r="27" spans="2:15" ht="16.5" customHeight="1" thickBot="1" x14ac:dyDescent="0.3">
      <c r="B27" s="779" t="s">
        <v>837</v>
      </c>
      <c r="C27" s="374" t="s">
        <v>304</v>
      </c>
      <c r="D27" s="260">
        <f t="shared" si="10"/>
        <v>24</v>
      </c>
      <c r="E27" s="260"/>
      <c r="F27" s="501"/>
      <c r="G27" s="501">
        <f>$D27</f>
        <v>24</v>
      </c>
      <c r="H27" s="501"/>
      <c r="I27" s="501">
        <f t="shared" ref="I27:I51" si="11">$D27</f>
        <v>24</v>
      </c>
      <c r="J27" s="501"/>
      <c r="K27" s="501">
        <f>$D27</f>
        <v>24</v>
      </c>
      <c r="L27" s="501"/>
      <c r="M27" s="501">
        <f t="shared" ref="M27:M51" si="12">$D27</f>
        <v>24</v>
      </c>
      <c r="N27" s="501"/>
      <c r="O27" s="501"/>
    </row>
    <row r="28" spans="2:15" ht="16.5" customHeight="1" thickBot="1" x14ac:dyDescent="0.3">
      <c r="B28" s="780" t="s">
        <v>838</v>
      </c>
      <c r="C28" s="374" t="s">
        <v>304</v>
      </c>
      <c r="D28" s="260">
        <f t="shared" si="10"/>
        <v>10</v>
      </c>
      <c r="E28" s="260"/>
      <c r="F28" s="501"/>
      <c r="G28" s="501"/>
      <c r="H28" s="501"/>
      <c r="I28" s="501">
        <f t="shared" si="11"/>
        <v>10</v>
      </c>
      <c r="J28" s="501"/>
      <c r="K28" s="501"/>
      <c r="L28" s="501"/>
      <c r="M28" s="501">
        <f t="shared" si="12"/>
        <v>10</v>
      </c>
      <c r="N28" s="501"/>
      <c r="O28" s="501"/>
    </row>
    <row r="29" spans="2:15" ht="16.5" customHeight="1" thickBot="1" x14ac:dyDescent="0.3">
      <c r="B29" s="780" t="s">
        <v>839</v>
      </c>
      <c r="C29" s="374" t="s">
        <v>304</v>
      </c>
      <c r="D29" s="260">
        <f t="shared" si="10"/>
        <v>2</v>
      </c>
      <c r="E29" s="260"/>
      <c r="F29" s="501"/>
      <c r="G29" s="501"/>
      <c r="H29" s="501"/>
      <c r="I29" s="501">
        <f t="shared" si="11"/>
        <v>2</v>
      </c>
      <c r="J29" s="501"/>
      <c r="K29" s="501"/>
      <c r="L29" s="501"/>
      <c r="M29" s="501">
        <f t="shared" si="12"/>
        <v>2</v>
      </c>
      <c r="N29" s="501"/>
      <c r="O29" s="501"/>
    </row>
    <row r="30" spans="2:15" ht="16.5" customHeight="1" thickBot="1" x14ac:dyDescent="0.3">
      <c r="B30" s="780" t="s">
        <v>840</v>
      </c>
      <c r="C30" s="374" t="s">
        <v>304</v>
      </c>
      <c r="D30" s="260">
        <f t="shared" si="10"/>
        <v>3</v>
      </c>
      <c r="E30" s="260"/>
      <c r="F30" s="501"/>
      <c r="G30" s="501"/>
      <c r="H30" s="501"/>
      <c r="I30" s="501">
        <f t="shared" si="11"/>
        <v>3</v>
      </c>
      <c r="J30" s="501"/>
      <c r="K30" s="501"/>
      <c r="L30" s="501"/>
      <c r="M30" s="501">
        <f t="shared" si="12"/>
        <v>3</v>
      </c>
      <c r="N30" s="501"/>
      <c r="O30" s="501"/>
    </row>
    <row r="31" spans="2:15" ht="16.5" customHeight="1" thickBot="1" x14ac:dyDescent="0.3">
      <c r="B31" s="780" t="s">
        <v>841</v>
      </c>
      <c r="C31" s="374" t="s">
        <v>304</v>
      </c>
      <c r="D31" s="260">
        <f t="shared" si="10"/>
        <v>2</v>
      </c>
      <c r="E31" s="260"/>
      <c r="F31" s="501"/>
      <c r="G31" s="501"/>
      <c r="H31" s="501"/>
      <c r="I31" s="501">
        <f t="shared" si="11"/>
        <v>2</v>
      </c>
      <c r="J31" s="501"/>
      <c r="K31" s="501"/>
      <c r="L31" s="501"/>
      <c r="M31" s="501">
        <f t="shared" si="12"/>
        <v>2</v>
      </c>
      <c r="N31" s="501"/>
      <c r="O31" s="501"/>
    </row>
    <row r="32" spans="2:15" ht="16.5" customHeight="1" thickBot="1" x14ac:dyDescent="0.3">
      <c r="B32" s="780" t="s">
        <v>842</v>
      </c>
      <c r="C32" s="374" t="s">
        <v>304</v>
      </c>
      <c r="D32" s="260">
        <f t="shared" si="10"/>
        <v>2</v>
      </c>
      <c r="E32" s="260"/>
      <c r="F32" s="501"/>
      <c r="G32" s="501"/>
      <c r="H32" s="501"/>
      <c r="I32" s="501">
        <f t="shared" si="11"/>
        <v>2</v>
      </c>
      <c r="J32" s="501"/>
      <c r="K32" s="501"/>
      <c r="L32" s="501"/>
      <c r="M32" s="501">
        <f t="shared" si="12"/>
        <v>2</v>
      </c>
      <c r="N32" s="501"/>
      <c r="O32" s="501"/>
    </row>
    <row r="33" spans="2:15" ht="16.5" customHeight="1" thickBot="1" x14ac:dyDescent="0.3">
      <c r="B33" s="780" t="s">
        <v>843</v>
      </c>
      <c r="C33" s="374" t="s">
        <v>304</v>
      </c>
      <c r="D33" s="260">
        <f t="shared" si="10"/>
        <v>2</v>
      </c>
      <c r="E33" s="260"/>
      <c r="F33" s="501"/>
      <c r="G33" s="501"/>
      <c r="H33" s="501"/>
      <c r="I33" s="501">
        <f t="shared" si="11"/>
        <v>2</v>
      </c>
      <c r="J33" s="501"/>
      <c r="K33" s="501"/>
      <c r="L33" s="501"/>
      <c r="M33" s="501">
        <f t="shared" si="12"/>
        <v>2</v>
      </c>
      <c r="N33" s="501"/>
      <c r="O33" s="501"/>
    </row>
    <row r="34" spans="2:15" ht="16.5" customHeight="1" thickBot="1" x14ac:dyDescent="0.3">
      <c r="B34" s="780" t="s">
        <v>844</v>
      </c>
      <c r="C34" s="374" t="s">
        <v>304</v>
      </c>
      <c r="D34" s="260">
        <f t="shared" si="10"/>
        <v>2</v>
      </c>
      <c r="E34" s="260"/>
      <c r="F34" s="418"/>
      <c r="G34" s="418"/>
      <c r="H34" s="501"/>
      <c r="I34" s="501">
        <f t="shared" si="11"/>
        <v>2</v>
      </c>
      <c r="J34" s="418"/>
      <c r="K34" s="501"/>
      <c r="L34" s="418"/>
      <c r="M34" s="418">
        <f t="shared" si="12"/>
        <v>2</v>
      </c>
      <c r="N34" s="418"/>
      <c r="O34" s="418"/>
    </row>
    <row r="35" spans="2:15" ht="16.5" customHeight="1" thickBot="1" x14ac:dyDescent="0.3">
      <c r="B35" s="780" t="s">
        <v>845</v>
      </c>
      <c r="C35" s="374" t="s">
        <v>304</v>
      </c>
      <c r="D35" s="260">
        <f t="shared" si="10"/>
        <v>3</v>
      </c>
      <c r="E35" s="260"/>
      <c r="F35" s="501"/>
      <c r="G35" s="501"/>
      <c r="H35" s="501"/>
      <c r="I35" s="501">
        <f t="shared" si="11"/>
        <v>3</v>
      </c>
      <c r="J35" s="501"/>
      <c r="K35" s="501"/>
      <c r="L35" s="501"/>
      <c r="M35" s="501">
        <f t="shared" si="12"/>
        <v>3</v>
      </c>
      <c r="N35" s="501"/>
      <c r="O35" s="501"/>
    </row>
    <row r="36" spans="2:15" ht="16.5" customHeight="1" thickBot="1" x14ac:dyDescent="0.3">
      <c r="B36" s="780" t="s">
        <v>846</v>
      </c>
      <c r="C36" s="374" t="s">
        <v>304</v>
      </c>
      <c r="D36" s="260">
        <f t="shared" si="10"/>
        <v>4</v>
      </c>
      <c r="E36" s="260"/>
      <c r="F36" s="501"/>
      <c r="G36" s="501">
        <f>$D36</f>
        <v>4</v>
      </c>
      <c r="H36" s="501"/>
      <c r="I36" s="501">
        <f t="shared" si="11"/>
        <v>4</v>
      </c>
      <c r="J36" s="501"/>
      <c r="K36" s="501">
        <f>$D36</f>
        <v>4</v>
      </c>
      <c r="L36" s="501"/>
      <c r="M36" s="501">
        <f t="shared" si="12"/>
        <v>4</v>
      </c>
      <c r="N36" s="501"/>
      <c r="O36" s="501"/>
    </row>
    <row r="37" spans="2:15" ht="16.5" customHeight="1" thickBot="1" x14ac:dyDescent="0.3">
      <c r="B37" s="780" t="s">
        <v>847</v>
      </c>
      <c r="C37" s="374" t="s">
        <v>304</v>
      </c>
      <c r="D37" s="260">
        <f t="shared" si="10"/>
        <v>4</v>
      </c>
      <c r="E37" s="260"/>
      <c r="F37" s="501"/>
      <c r="G37" s="501"/>
      <c r="H37" s="501"/>
      <c r="I37" s="501">
        <f t="shared" si="11"/>
        <v>4</v>
      </c>
      <c r="J37" s="501"/>
      <c r="K37" s="501"/>
      <c r="L37" s="501"/>
      <c r="M37" s="501">
        <f t="shared" si="12"/>
        <v>4</v>
      </c>
      <c r="N37" s="501"/>
      <c r="O37" s="501"/>
    </row>
    <row r="38" spans="2:15" ht="16.5" customHeight="1" thickBot="1" x14ac:dyDescent="0.3">
      <c r="B38" s="780" t="s">
        <v>848</v>
      </c>
      <c r="C38" s="374" t="s">
        <v>304</v>
      </c>
      <c r="D38" s="260">
        <f t="shared" si="10"/>
        <v>4</v>
      </c>
      <c r="E38" s="260"/>
      <c r="F38" s="501"/>
      <c r="G38" s="501"/>
      <c r="H38" s="501"/>
      <c r="I38" s="501">
        <f t="shared" si="11"/>
        <v>4</v>
      </c>
      <c r="J38" s="501"/>
      <c r="K38" s="501"/>
      <c r="L38" s="501"/>
      <c r="M38" s="501">
        <f t="shared" si="12"/>
        <v>4</v>
      </c>
      <c r="N38" s="501"/>
      <c r="O38" s="501"/>
    </row>
    <row r="39" spans="2:15" ht="16.5" customHeight="1" thickBot="1" x14ac:dyDescent="0.3">
      <c r="B39" s="780" t="s">
        <v>849</v>
      </c>
      <c r="C39" s="374" t="s">
        <v>304</v>
      </c>
      <c r="D39" s="260">
        <f t="shared" si="10"/>
        <v>3</v>
      </c>
      <c r="E39" s="260"/>
      <c r="F39" s="501"/>
      <c r="G39" s="501"/>
      <c r="H39" s="501"/>
      <c r="I39" s="501">
        <f t="shared" si="11"/>
        <v>3</v>
      </c>
      <c r="J39" s="501"/>
      <c r="K39" s="501"/>
      <c r="L39" s="501"/>
      <c r="M39" s="501">
        <f t="shared" si="12"/>
        <v>3</v>
      </c>
      <c r="N39" s="501"/>
      <c r="O39" s="501"/>
    </row>
    <row r="40" spans="2:15" ht="16.5" customHeight="1" thickBot="1" x14ac:dyDescent="0.3">
      <c r="B40" s="780" t="s">
        <v>850</v>
      </c>
      <c r="C40" s="374" t="s">
        <v>304</v>
      </c>
      <c r="D40" s="260">
        <f t="shared" si="10"/>
        <v>2</v>
      </c>
      <c r="E40" s="260"/>
      <c r="F40" s="501"/>
      <c r="G40" s="501"/>
      <c r="H40" s="501"/>
      <c r="I40" s="501">
        <f t="shared" si="11"/>
        <v>2</v>
      </c>
      <c r="J40" s="501"/>
      <c r="K40" s="501"/>
      <c r="L40" s="501"/>
      <c r="M40" s="501">
        <f t="shared" si="12"/>
        <v>2</v>
      </c>
      <c r="N40" s="501"/>
      <c r="O40" s="501"/>
    </row>
    <row r="41" spans="2:15" ht="16.5" customHeight="1" thickBot="1" x14ac:dyDescent="0.3">
      <c r="B41" s="780" t="s">
        <v>851</v>
      </c>
      <c r="C41" s="374" t="s">
        <v>304</v>
      </c>
      <c r="D41" s="260">
        <f t="shared" si="10"/>
        <v>2</v>
      </c>
      <c r="E41" s="260"/>
      <c r="F41" s="501"/>
      <c r="G41" s="501"/>
      <c r="H41" s="501"/>
      <c r="I41" s="501">
        <f t="shared" si="11"/>
        <v>2</v>
      </c>
      <c r="J41" s="501"/>
      <c r="K41" s="501"/>
      <c r="L41" s="501"/>
      <c r="M41" s="501">
        <f t="shared" si="12"/>
        <v>2</v>
      </c>
      <c r="N41" s="501"/>
      <c r="O41" s="501"/>
    </row>
    <row r="42" spans="2:15" ht="16.5" customHeight="1" thickBot="1" x14ac:dyDescent="0.3">
      <c r="B42" s="780" t="s">
        <v>852</v>
      </c>
      <c r="C42" s="374" t="s">
        <v>304</v>
      </c>
      <c r="D42" s="260">
        <f t="shared" si="10"/>
        <v>3</v>
      </c>
      <c r="E42" s="260"/>
      <c r="F42" s="501"/>
      <c r="G42" s="501"/>
      <c r="H42" s="501"/>
      <c r="I42" s="501">
        <f t="shared" si="11"/>
        <v>3</v>
      </c>
      <c r="J42" s="501"/>
      <c r="K42" s="501"/>
      <c r="L42" s="501"/>
      <c r="M42" s="501">
        <f t="shared" si="12"/>
        <v>3</v>
      </c>
      <c r="N42" s="501"/>
      <c r="O42" s="501"/>
    </row>
    <row r="43" spans="2:15" ht="16.5" customHeight="1" thickBot="1" x14ac:dyDescent="0.3">
      <c r="B43" s="780" t="s">
        <v>853</v>
      </c>
      <c r="C43" s="374" t="s">
        <v>304</v>
      </c>
      <c r="D43" s="260">
        <f t="shared" si="10"/>
        <v>8</v>
      </c>
      <c r="E43" s="260"/>
      <c r="F43" s="501"/>
      <c r="G43" s="501"/>
      <c r="H43" s="501"/>
      <c r="I43" s="501">
        <f t="shared" si="11"/>
        <v>8</v>
      </c>
      <c r="J43" s="501"/>
      <c r="K43" s="501"/>
      <c r="L43" s="501"/>
      <c r="M43" s="501">
        <f t="shared" si="12"/>
        <v>8</v>
      </c>
      <c r="N43" s="501"/>
      <c r="O43" s="501"/>
    </row>
    <row r="44" spans="2:15" ht="16.5" customHeight="1" thickBot="1" x14ac:dyDescent="0.3">
      <c r="B44" s="780" t="s">
        <v>854</v>
      </c>
      <c r="C44" s="374" t="s">
        <v>304</v>
      </c>
      <c r="D44" s="260">
        <f t="shared" si="10"/>
        <v>3</v>
      </c>
      <c r="E44" s="260"/>
      <c r="F44" s="501"/>
      <c r="G44" s="501"/>
      <c r="H44" s="501"/>
      <c r="I44" s="501">
        <f t="shared" si="11"/>
        <v>3</v>
      </c>
      <c r="J44" s="501"/>
      <c r="K44" s="501"/>
      <c r="L44" s="501"/>
      <c r="M44" s="501">
        <f t="shared" si="12"/>
        <v>3</v>
      </c>
      <c r="N44" s="501"/>
      <c r="O44" s="501"/>
    </row>
    <row r="45" spans="2:15" ht="16.5" customHeight="1" thickBot="1" x14ac:dyDescent="0.3">
      <c r="B45" s="780" t="s">
        <v>855</v>
      </c>
      <c r="C45" s="374" t="s">
        <v>304</v>
      </c>
      <c r="D45" s="260">
        <f t="shared" si="10"/>
        <v>2</v>
      </c>
      <c r="E45" s="260"/>
      <c r="F45" s="501"/>
      <c r="G45" s="501"/>
      <c r="H45" s="501"/>
      <c r="I45" s="501">
        <f t="shared" si="11"/>
        <v>2</v>
      </c>
      <c r="J45" s="501"/>
      <c r="K45" s="501"/>
      <c r="L45" s="501"/>
      <c r="M45" s="501">
        <f t="shared" si="12"/>
        <v>2</v>
      </c>
      <c r="N45" s="501"/>
      <c r="O45" s="501"/>
    </row>
    <row r="46" spans="2:15" ht="16.5" customHeight="1" thickBot="1" x14ac:dyDescent="0.3">
      <c r="B46" s="780" t="s">
        <v>856</v>
      </c>
      <c r="C46" s="374" t="s">
        <v>304</v>
      </c>
      <c r="D46" s="260">
        <f t="shared" si="10"/>
        <v>49</v>
      </c>
      <c r="E46" s="260"/>
      <c r="F46" s="501"/>
      <c r="G46" s="501"/>
      <c r="H46" s="501"/>
      <c r="I46" s="501">
        <f t="shared" si="11"/>
        <v>49</v>
      </c>
      <c r="J46" s="501"/>
      <c r="K46" s="501"/>
      <c r="L46" s="501"/>
      <c r="M46" s="501">
        <f t="shared" si="12"/>
        <v>49</v>
      </c>
      <c r="N46" s="501"/>
      <c r="O46" s="501"/>
    </row>
    <row r="47" spans="2:15" ht="16.5" customHeight="1" thickBot="1" x14ac:dyDescent="0.3">
      <c r="B47" s="780" t="s">
        <v>857</v>
      </c>
      <c r="C47" s="374" t="s">
        <v>304</v>
      </c>
      <c r="D47" s="260">
        <f t="shared" si="10"/>
        <v>70</v>
      </c>
      <c r="E47" s="260"/>
      <c r="F47" s="501"/>
      <c r="G47" s="501"/>
      <c r="H47" s="501"/>
      <c r="I47" s="501">
        <f t="shared" si="11"/>
        <v>70</v>
      </c>
      <c r="J47" s="501"/>
      <c r="K47" s="501"/>
      <c r="L47" s="501"/>
      <c r="M47" s="501">
        <f t="shared" si="12"/>
        <v>70</v>
      </c>
      <c r="N47" s="501"/>
      <c r="O47" s="501"/>
    </row>
    <row r="48" spans="2:15" ht="16.5" customHeight="1" thickBot="1" x14ac:dyDescent="0.3">
      <c r="B48" s="780" t="s">
        <v>858</v>
      </c>
      <c r="C48" s="374" t="s">
        <v>304</v>
      </c>
      <c r="D48" s="260">
        <f t="shared" si="10"/>
        <v>20</v>
      </c>
      <c r="E48" s="260"/>
      <c r="F48" s="501"/>
      <c r="G48" s="501"/>
      <c r="H48" s="501"/>
      <c r="I48" s="501">
        <f t="shared" si="11"/>
        <v>20</v>
      </c>
      <c r="J48" s="501"/>
      <c r="K48" s="501"/>
      <c r="L48" s="501"/>
      <c r="M48" s="501">
        <f t="shared" si="12"/>
        <v>20</v>
      </c>
      <c r="N48" s="501"/>
      <c r="O48" s="501"/>
    </row>
    <row r="49" spans="2:15" ht="16.5" customHeight="1" thickBot="1" x14ac:dyDescent="0.3">
      <c r="B49" s="780" t="s">
        <v>859</v>
      </c>
      <c r="C49" s="374" t="s">
        <v>304</v>
      </c>
      <c r="D49" s="260">
        <f t="shared" si="10"/>
        <v>40</v>
      </c>
      <c r="E49" s="260"/>
      <c r="F49" s="501"/>
      <c r="G49" s="501"/>
      <c r="H49" s="501"/>
      <c r="I49" s="501">
        <f t="shared" si="11"/>
        <v>40</v>
      </c>
      <c r="J49" s="501"/>
      <c r="K49" s="501"/>
      <c r="L49" s="501"/>
      <c r="M49" s="501">
        <f t="shared" si="12"/>
        <v>40</v>
      </c>
      <c r="N49" s="501"/>
      <c r="O49" s="501"/>
    </row>
    <row r="50" spans="2:15" ht="16.5" customHeight="1" thickBot="1" x14ac:dyDescent="0.3">
      <c r="B50" s="780" t="s">
        <v>860</v>
      </c>
      <c r="C50" s="374" t="s">
        <v>304</v>
      </c>
      <c r="D50" s="260">
        <f t="shared" si="10"/>
        <v>5</v>
      </c>
      <c r="E50" s="260"/>
      <c r="F50" s="501"/>
      <c r="G50" s="501"/>
      <c r="H50" s="501"/>
      <c r="I50" s="501">
        <f t="shared" si="11"/>
        <v>5</v>
      </c>
      <c r="J50" s="501"/>
      <c r="K50" s="501"/>
      <c r="L50" s="501"/>
      <c r="M50" s="501">
        <f t="shared" si="12"/>
        <v>5</v>
      </c>
      <c r="N50" s="501"/>
      <c r="O50" s="501"/>
    </row>
    <row r="51" spans="2:15" ht="16.5" customHeight="1" thickBot="1" x14ac:dyDescent="0.3">
      <c r="B51" s="780" t="s">
        <v>845</v>
      </c>
      <c r="C51" s="374" t="s">
        <v>304</v>
      </c>
      <c r="D51" s="260">
        <f t="shared" si="10"/>
        <v>2</v>
      </c>
      <c r="E51" s="260"/>
      <c r="F51" s="501"/>
      <c r="G51" s="501"/>
      <c r="H51" s="501"/>
      <c r="I51" s="501">
        <f t="shared" si="11"/>
        <v>2</v>
      </c>
      <c r="J51" s="501"/>
      <c r="K51" s="501"/>
      <c r="L51" s="501"/>
      <c r="M51" s="501">
        <f t="shared" si="12"/>
        <v>2</v>
      </c>
      <c r="N51" s="501"/>
      <c r="O51" s="501"/>
    </row>
    <row r="52" spans="2:15" ht="16.5" customHeight="1" thickBot="1" x14ac:dyDescent="0.3">
      <c r="B52" s="781" t="s">
        <v>861</v>
      </c>
      <c r="C52" s="374"/>
      <c r="D52" s="260"/>
      <c r="E52" s="260"/>
      <c r="F52" s="501"/>
      <c r="G52" s="501"/>
      <c r="H52" s="501"/>
      <c r="I52" s="501"/>
      <c r="J52" s="501"/>
      <c r="K52" s="501"/>
      <c r="L52" s="501"/>
      <c r="M52" s="501"/>
      <c r="N52" s="501"/>
      <c r="O52" s="501"/>
    </row>
    <row r="53" spans="2:15" ht="16.5" customHeight="1" thickBot="1" x14ac:dyDescent="0.3">
      <c r="B53" s="779" t="s">
        <v>862</v>
      </c>
      <c r="C53" s="374" t="s">
        <v>304</v>
      </c>
      <c r="D53" s="260">
        <f t="shared" si="10"/>
        <v>4</v>
      </c>
      <c r="E53" s="260"/>
      <c r="F53" s="501">
        <f>$D53</f>
        <v>4</v>
      </c>
      <c r="G53" s="501">
        <f t="shared" ref="G53:O53" si="13">$D53</f>
        <v>4</v>
      </c>
      <c r="H53" s="501">
        <f t="shared" si="13"/>
        <v>4</v>
      </c>
      <c r="I53" s="501">
        <f t="shared" si="13"/>
        <v>4</v>
      </c>
      <c r="J53" s="501">
        <f t="shared" si="13"/>
        <v>4</v>
      </c>
      <c r="K53" s="501">
        <f t="shared" si="13"/>
        <v>4</v>
      </c>
      <c r="L53" s="501">
        <f t="shared" si="13"/>
        <v>4</v>
      </c>
      <c r="M53" s="501">
        <f t="shared" si="13"/>
        <v>4</v>
      </c>
      <c r="N53" s="501">
        <f t="shared" si="13"/>
        <v>4</v>
      </c>
      <c r="O53" s="501">
        <f t="shared" si="13"/>
        <v>4</v>
      </c>
    </row>
    <row r="54" spans="2:15" ht="16.5" customHeight="1" thickBot="1" x14ac:dyDescent="0.3">
      <c r="B54" s="779" t="s">
        <v>863</v>
      </c>
      <c r="C54" s="374" t="s">
        <v>304</v>
      </c>
      <c r="D54" s="260">
        <f t="shared" si="10"/>
        <v>8</v>
      </c>
      <c r="E54" s="260"/>
      <c r="F54" s="501">
        <f t="shared" ref="F54:O69" si="14">$D54</f>
        <v>8</v>
      </c>
      <c r="G54" s="501">
        <f t="shared" si="14"/>
        <v>8</v>
      </c>
      <c r="H54" s="501">
        <f t="shared" si="14"/>
        <v>8</v>
      </c>
      <c r="I54" s="501">
        <f t="shared" si="14"/>
        <v>8</v>
      </c>
      <c r="J54" s="501">
        <f t="shared" si="14"/>
        <v>8</v>
      </c>
      <c r="K54" s="501">
        <f t="shared" si="14"/>
        <v>8</v>
      </c>
      <c r="L54" s="501">
        <f t="shared" si="14"/>
        <v>8</v>
      </c>
      <c r="M54" s="501">
        <f t="shared" si="14"/>
        <v>8</v>
      </c>
      <c r="N54" s="501">
        <f t="shared" si="14"/>
        <v>8</v>
      </c>
      <c r="O54" s="501">
        <f t="shared" si="14"/>
        <v>8</v>
      </c>
    </row>
    <row r="55" spans="2:15" ht="16.5" customHeight="1" thickBot="1" x14ac:dyDescent="0.3">
      <c r="B55" s="779" t="s">
        <v>864</v>
      </c>
      <c r="C55" s="374" t="s">
        <v>304</v>
      </c>
      <c r="D55" s="260">
        <f t="shared" si="10"/>
        <v>4</v>
      </c>
      <c r="E55" s="260"/>
      <c r="F55" s="501">
        <f t="shared" si="14"/>
        <v>4</v>
      </c>
      <c r="G55" s="501">
        <f t="shared" si="14"/>
        <v>4</v>
      </c>
      <c r="H55" s="501">
        <f t="shared" si="14"/>
        <v>4</v>
      </c>
      <c r="I55" s="501">
        <f t="shared" si="14"/>
        <v>4</v>
      </c>
      <c r="J55" s="501">
        <f t="shared" si="14"/>
        <v>4</v>
      </c>
      <c r="K55" s="501">
        <f t="shared" si="14"/>
        <v>4</v>
      </c>
      <c r="L55" s="501">
        <f t="shared" si="14"/>
        <v>4</v>
      </c>
      <c r="M55" s="501">
        <f t="shared" si="14"/>
        <v>4</v>
      </c>
      <c r="N55" s="501">
        <f t="shared" si="14"/>
        <v>4</v>
      </c>
      <c r="O55" s="501">
        <f t="shared" si="14"/>
        <v>4</v>
      </c>
    </row>
    <row r="56" spans="2:15" ht="16.5" customHeight="1" thickBot="1" x14ac:dyDescent="0.3">
      <c r="B56" s="780" t="s">
        <v>865</v>
      </c>
      <c r="C56" s="374" t="s">
        <v>304</v>
      </c>
      <c r="D56" s="260">
        <f t="shared" si="10"/>
        <v>10</v>
      </c>
      <c r="E56" s="260"/>
      <c r="F56" s="501"/>
      <c r="G56" s="501">
        <f t="shared" si="14"/>
        <v>10</v>
      </c>
      <c r="H56" s="501"/>
      <c r="I56" s="501">
        <f t="shared" si="14"/>
        <v>10</v>
      </c>
      <c r="J56" s="501"/>
      <c r="K56" s="501">
        <f t="shared" si="14"/>
        <v>10</v>
      </c>
      <c r="L56" s="501"/>
      <c r="M56" s="501">
        <f t="shared" si="14"/>
        <v>10</v>
      </c>
      <c r="N56" s="501"/>
      <c r="O56" s="501"/>
    </row>
    <row r="57" spans="2:15" ht="16.5" customHeight="1" thickBot="1" x14ac:dyDescent="0.3">
      <c r="B57" s="780" t="s">
        <v>866</v>
      </c>
      <c r="C57" s="374" t="s">
        <v>304</v>
      </c>
      <c r="D57" s="260">
        <f t="shared" si="10"/>
        <v>20</v>
      </c>
      <c r="E57" s="260"/>
      <c r="F57" s="501"/>
      <c r="G57" s="501">
        <f t="shared" si="14"/>
        <v>20</v>
      </c>
      <c r="H57" s="501"/>
      <c r="I57" s="501">
        <f t="shared" si="14"/>
        <v>20</v>
      </c>
      <c r="J57" s="501"/>
      <c r="K57" s="501">
        <f t="shared" si="14"/>
        <v>20</v>
      </c>
      <c r="L57" s="501"/>
      <c r="M57" s="501">
        <f t="shared" si="14"/>
        <v>20</v>
      </c>
      <c r="N57" s="501"/>
      <c r="O57" s="501"/>
    </row>
    <row r="58" spans="2:15" ht="16.5" customHeight="1" thickBot="1" x14ac:dyDescent="0.3">
      <c r="B58" s="780" t="s">
        <v>867</v>
      </c>
      <c r="C58" s="374" t="s">
        <v>304</v>
      </c>
      <c r="D58" s="260">
        <f t="shared" si="10"/>
        <v>10</v>
      </c>
      <c r="E58" s="260"/>
      <c r="F58" s="501"/>
      <c r="G58" s="501">
        <f t="shared" si="14"/>
        <v>10</v>
      </c>
      <c r="H58" s="501"/>
      <c r="I58" s="501">
        <f t="shared" si="14"/>
        <v>10</v>
      </c>
      <c r="J58" s="501"/>
      <c r="K58" s="501">
        <f t="shared" si="14"/>
        <v>10</v>
      </c>
      <c r="L58" s="501"/>
      <c r="M58" s="501">
        <f t="shared" si="14"/>
        <v>10</v>
      </c>
      <c r="N58" s="501"/>
      <c r="O58" s="501"/>
    </row>
    <row r="59" spans="2:15" ht="16.5" customHeight="1" thickBot="1" x14ac:dyDescent="0.3">
      <c r="B59" s="780" t="s">
        <v>868</v>
      </c>
      <c r="C59" s="374" t="s">
        <v>304</v>
      </c>
      <c r="D59" s="260">
        <f t="shared" si="10"/>
        <v>40</v>
      </c>
      <c r="E59" s="260"/>
      <c r="F59" s="501"/>
      <c r="G59" s="501">
        <f t="shared" si="14"/>
        <v>40</v>
      </c>
      <c r="H59" s="501"/>
      <c r="I59" s="501">
        <f t="shared" si="14"/>
        <v>40</v>
      </c>
      <c r="J59" s="501"/>
      <c r="K59" s="501">
        <f t="shared" si="14"/>
        <v>40</v>
      </c>
      <c r="L59" s="501"/>
      <c r="M59" s="501">
        <f t="shared" si="14"/>
        <v>40</v>
      </c>
      <c r="N59" s="501"/>
      <c r="O59" s="501"/>
    </row>
    <row r="60" spans="2:15" ht="16.5" customHeight="1" thickBot="1" x14ac:dyDescent="0.3">
      <c r="B60" s="779" t="s">
        <v>869</v>
      </c>
      <c r="C60" s="374" t="s">
        <v>304</v>
      </c>
      <c r="D60" s="260">
        <f t="shared" si="10"/>
        <v>10</v>
      </c>
      <c r="E60" s="260"/>
      <c r="F60" s="501"/>
      <c r="G60" s="501"/>
      <c r="H60" s="501"/>
      <c r="I60" s="501">
        <f t="shared" si="14"/>
        <v>10</v>
      </c>
      <c r="J60" s="501"/>
      <c r="K60" s="501"/>
      <c r="L60" s="501"/>
      <c r="M60" s="501">
        <f t="shared" si="14"/>
        <v>10</v>
      </c>
      <c r="N60" s="501"/>
      <c r="O60" s="501"/>
    </row>
    <row r="61" spans="2:15" ht="16.5" customHeight="1" thickBot="1" x14ac:dyDescent="0.3">
      <c r="B61" s="779" t="s">
        <v>870</v>
      </c>
      <c r="C61" s="374" t="s">
        <v>304</v>
      </c>
      <c r="D61" s="260">
        <f t="shared" si="10"/>
        <v>40</v>
      </c>
      <c r="E61" s="260"/>
      <c r="F61" s="501"/>
      <c r="G61" s="501"/>
      <c r="H61" s="501"/>
      <c r="I61" s="501">
        <f t="shared" si="14"/>
        <v>40</v>
      </c>
      <c r="J61" s="501"/>
      <c r="K61" s="501"/>
      <c r="L61" s="501"/>
      <c r="M61" s="501">
        <f t="shared" si="14"/>
        <v>40</v>
      </c>
      <c r="N61" s="501"/>
      <c r="O61" s="501"/>
    </row>
    <row r="62" spans="2:15" ht="16.5" customHeight="1" thickBot="1" x14ac:dyDescent="0.3">
      <c r="B62" s="779" t="s">
        <v>871</v>
      </c>
      <c r="C62" s="374" t="s">
        <v>304</v>
      </c>
      <c r="D62" s="260">
        <f t="shared" si="10"/>
        <v>5</v>
      </c>
      <c r="E62" s="260"/>
      <c r="F62" s="501"/>
      <c r="G62" s="501"/>
      <c r="H62" s="501"/>
      <c r="I62" s="501">
        <f t="shared" si="14"/>
        <v>5</v>
      </c>
      <c r="J62" s="501"/>
      <c r="K62" s="501"/>
      <c r="L62" s="501"/>
      <c r="M62" s="501">
        <f t="shared" si="14"/>
        <v>5</v>
      </c>
      <c r="N62" s="501"/>
      <c r="O62" s="501"/>
    </row>
    <row r="63" spans="2:15" ht="16.5" customHeight="1" thickBot="1" x14ac:dyDescent="0.3">
      <c r="B63" s="779" t="s">
        <v>872</v>
      </c>
      <c r="C63" s="374" t="s">
        <v>304</v>
      </c>
      <c r="D63" s="260">
        <f t="shared" si="10"/>
        <v>20</v>
      </c>
      <c r="E63" s="260"/>
      <c r="F63" s="501"/>
      <c r="G63" s="501"/>
      <c r="H63" s="501"/>
      <c r="I63" s="501">
        <f t="shared" si="14"/>
        <v>20</v>
      </c>
      <c r="J63" s="501"/>
      <c r="K63" s="501"/>
      <c r="L63" s="501"/>
      <c r="M63" s="501">
        <f t="shared" si="14"/>
        <v>20</v>
      </c>
      <c r="N63" s="501"/>
      <c r="O63" s="501"/>
    </row>
    <row r="64" spans="2:15" ht="16.5" customHeight="1" thickBot="1" x14ac:dyDescent="0.3">
      <c r="B64" s="780" t="s">
        <v>873</v>
      </c>
      <c r="C64" s="374" t="s">
        <v>304</v>
      </c>
      <c r="D64" s="260">
        <f t="shared" si="10"/>
        <v>44</v>
      </c>
      <c r="E64" s="260"/>
      <c r="F64" s="501"/>
      <c r="G64" s="501"/>
      <c r="H64" s="501"/>
      <c r="I64" s="501">
        <f t="shared" si="14"/>
        <v>44</v>
      </c>
      <c r="J64" s="501"/>
      <c r="K64" s="501"/>
      <c r="L64" s="501"/>
      <c r="M64" s="501">
        <f t="shared" si="14"/>
        <v>44</v>
      </c>
      <c r="N64" s="501"/>
      <c r="O64" s="501"/>
    </row>
    <row r="65" spans="2:15" ht="16.5" customHeight="1" thickBot="1" x14ac:dyDescent="0.3">
      <c r="B65" s="781" t="s">
        <v>874</v>
      </c>
      <c r="C65" s="374"/>
      <c r="D65" s="260"/>
      <c r="E65" s="260"/>
      <c r="F65" s="501"/>
      <c r="G65" s="501"/>
      <c r="H65" s="501"/>
      <c r="I65" s="501"/>
      <c r="J65" s="501"/>
      <c r="K65" s="501"/>
      <c r="L65" s="501"/>
      <c r="M65" s="501"/>
      <c r="N65" s="501"/>
      <c r="O65" s="501"/>
    </row>
    <row r="66" spans="2:15" ht="16.5" customHeight="1" thickBot="1" x14ac:dyDescent="0.3">
      <c r="B66" s="780" t="s">
        <v>875</v>
      </c>
      <c r="C66" s="374" t="s">
        <v>304</v>
      </c>
      <c r="D66" s="260">
        <f t="shared" si="10"/>
        <v>2</v>
      </c>
      <c r="E66" s="260"/>
      <c r="F66" s="501"/>
      <c r="G66" s="501"/>
      <c r="H66" s="501"/>
      <c r="I66" s="501">
        <f t="shared" si="14"/>
        <v>2</v>
      </c>
      <c r="J66" s="501"/>
      <c r="K66" s="501"/>
      <c r="L66" s="501"/>
      <c r="M66" s="501">
        <f t="shared" si="14"/>
        <v>2</v>
      </c>
      <c r="N66" s="501"/>
      <c r="O66" s="501"/>
    </row>
    <row r="67" spans="2:15" ht="16.5" customHeight="1" thickBot="1" x14ac:dyDescent="0.3">
      <c r="B67" s="780" t="s">
        <v>876</v>
      </c>
      <c r="C67" s="374" t="s">
        <v>304</v>
      </c>
      <c r="D67" s="260">
        <f t="shared" si="10"/>
        <v>2</v>
      </c>
      <c r="E67" s="260"/>
      <c r="F67" s="418"/>
      <c r="G67" s="418"/>
      <c r="H67" s="418"/>
      <c r="I67" s="501">
        <f t="shared" si="14"/>
        <v>2</v>
      </c>
      <c r="J67" s="418"/>
      <c r="K67" s="418"/>
      <c r="L67" s="418"/>
      <c r="M67" s="418">
        <f t="shared" si="14"/>
        <v>2</v>
      </c>
      <c r="N67" s="418"/>
      <c r="O67" s="418"/>
    </row>
    <row r="68" spans="2:15" ht="16.5" customHeight="1" thickBot="1" x14ac:dyDescent="0.3">
      <c r="B68" s="780" t="s">
        <v>877</v>
      </c>
      <c r="C68" s="374" t="s">
        <v>304</v>
      </c>
      <c r="D68" s="260">
        <f t="shared" si="10"/>
        <v>2</v>
      </c>
      <c r="E68" s="260"/>
      <c r="F68" s="501"/>
      <c r="G68" s="501"/>
      <c r="H68" s="501"/>
      <c r="I68" s="501">
        <f t="shared" si="14"/>
        <v>2</v>
      </c>
      <c r="J68" s="501"/>
      <c r="K68" s="501"/>
      <c r="L68" s="501"/>
      <c r="M68" s="501">
        <f t="shared" si="14"/>
        <v>2</v>
      </c>
      <c r="N68" s="501"/>
      <c r="O68" s="501"/>
    </row>
    <row r="69" spans="2:15" ht="16.5" customHeight="1" thickBot="1" x14ac:dyDescent="0.3">
      <c r="B69" s="780" t="s">
        <v>878</v>
      </c>
      <c r="C69" s="374" t="s">
        <v>304</v>
      </c>
      <c r="D69" s="260">
        <f t="shared" si="10"/>
        <v>1</v>
      </c>
      <c r="E69" s="260"/>
      <c r="F69" s="501"/>
      <c r="G69" s="501"/>
      <c r="H69" s="501"/>
      <c r="I69" s="501">
        <f t="shared" si="14"/>
        <v>1</v>
      </c>
      <c r="J69" s="501"/>
      <c r="K69" s="501"/>
      <c r="L69" s="501"/>
      <c r="M69" s="501">
        <f t="shared" si="14"/>
        <v>1</v>
      </c>
      <c r="N69" s="501"/>
      <c r="O69" s="501"/>
    </row>
    <row r="70" spans="2:15" ht="16.5" customHeight="1" thickBot="1" x14ac:dyDescent="0.3">
      <c r="B70" s="780" t="s">
        <v>879</v>
      </c>
      <c r="C70" s="374" t="s">
        <v>304</v>
      </c>
      <c r="D70" s="260">
        <f t="shared" si="10"/>
        <v>12</v>
      </c>
      <c r="E70" s="260"/>
      <c r="F70" s="501"/>
      <c r="G70" s="501"/>
      <c r="H70" s="501"/>
      <c r="I70" s="501">
        <f t="shared" ref="I70:J77" si="15">$D70</f>
        <v>12</v>
      </c>
      <c r="J70" s="501"/>
      <c r="K70" s="501"/>
      <c r="L70" s="501"/>
      <c r="M70" s="501">
        <f t="shared" ref="M70:M76" si="16">$D70</f>
        <v>12</v>
      </c>
      <c r="N70" s="501"/>
      <c r="O70" s="501"/>
    </row>
    <row r="71" spans="2:15" ht="16.5" customHeight="1" thickBot="1" x14ac:dyDescent="0.3">
      <c r="B71" s="780" t="s">
        <v>880</v>
      </c>
      <c r="C71" s="374" t="s">
        <v>304</v>
      </c>
      <c r="D71" s="260">
        <f t="shared" si="10"/>
        <v>12</v>
      </c>
      <c r="E71" s="260"/>
      <c r="F71" s="501"/>
      <c r="G71" s="501"/>
      <c r="H71" s="501"/>
      <c r="I71" s="501">
        <f t="shared" si="15"/>
        <v>12</v>
      </c>
      <c r="J71" s="501"/>
      <c r="K71" s="501"/>
      <c r="L71" s="501"/>
      <c r="M71" s="501">
        <f t="shared" si="16"/>
        <v>12</v>
      </c>
      <c r="N71" s="501"/>
      <c r="O71" s="501"/>
    </row>
    <row r="72" spans="2:15" ht="16.5" customHeight="1" thickBot="1" x14ac:dyDescent="0.3">
      <c r="B72" s="780" t="s">
        <v>881</v>
      </c>
      <c r="C72" s="374" t="s">
        <v>304</v>
      </c>
      <c r="D72" s="260">
        <f t="shared" si="10"/>
        <v>12</v>
      </c>
      <c r="E72" s="260"/>
      <c r="F72" s="501"/>
      <c r="G72" s="501"/>
      <c r="H72" s="501"/>
      <c r="I72" s="501">
        <f t="shared" si="15"/>
        <v>12</v>
      </c>
      <c r="J72" s="501"/>
      <c r="K72" s="501"/>
      <c r="L72" s="501"/>
      <c r="M72" s="501">
        <f t="shared" si="16"/>
        <v>12</v>
      </c>
      <c r="N72" s="501"/>
      <c r="O72" s="501"/>
    </row>
    <row r="73" spans="2:15" ht="16.5" customHeight="1" thickBot="1" x14ac:dyDescent="0.3">
      <c r="B73" s="780" t="s">
        <v>882</v>
      </c>
      <c r="C73" s="374" t="s">
        <v>304</v>
      </c>
      <c r="D73" s="260">
        <f t="shared" si="10"/>
        <v>12</v>
      </c>
      <c r="E73" s="260"/>
      <c r="F73" s="418"/>
      <c r="G73" s="418"/>
      <c r="H73" s="418"/>
      <c r="I73" s="501">
        <f t="shared" si="15"/>
        <v>12</v>
      </c>
      <c r="J73" s="418"/>
      <c r="K73" s="418"/>
      <c r="L73" s="418"/>
      <c r="M73" s="418">
        <f t="shared" si="16"/>
        <v>12</v>
      </c>
      <c r="N73" s="418"/>
      <c r="O73" s="418"/>
    </row>
    <row r="74" spans="2:15" ht="16.5" customHeight="1" thickBot="1" x14ac:dyDescent="0.3">
      <c r="B74" s="780" t="s">
        <v>883</v>
      </c>
      <c r="C74" s="374" t="s">
        <v>304</v>
      </c>
      <c r="D74" s="260">
        <f t="shared" si="10"/>
        <v>2</v>
      </c>
      <c r="E74" s="260"/>
      <c r="F74" s="501"/>
      <c r="G74" s="501"/>
      <c r="H74" s="501"/>
      <c r="I74" s="501">
        <f t="shared" si="15"/>
        <v>2</v>
      </c>
      <c r="J74" s="501"/>
      <c r="K74" s="501"/>
      <c r="L74" s="501"/>
      <c r="M74" s="501">
        <f t="shared" si="16"/>
        <v>2</v>
      </c>
      <c r="N74" s="501"/>
      <c r="O74" s="501"/>
    </row>
    <row r="75" spans="2:15" ht="16.5" customHeight="1" thickBot="1" x14ac:dyDescent="0.3">
      <c r="B75" s="780" t="s">
        <v>884</v>
      </c>
      <c r="C75" s="374" t="s">
        <v>304</v>
      </c>
      <c r="D75" s="260">
        <f t="shared" si="10"/>
        <v>4</v>
      </c>
      <c r="E75" s="260"/>
      <c r="F75" s="501"/>
      <c r="G75" s="501"/>
      <c r="H75" s="501"/>
      <c r="I75" s="501">
        <f t="shared" si="15"/>
        <v>4</v>
      </c>
      <c r="J75" s="501"/>
      <c r="K75" s="501"/>
      <c r="L75" s="501"/>
      <c r="M75" s="501">
        <f t="shared" si="16"/>
        <v>4</v>
      </c>
      <c r="N75" s="501"/>
      <c r="O75" s="501"/>
    </row>
    <row r="76" spans="2:15" ht="16.5" customHeight="1" thickBot="1" x14ac:dyDescent="0.3">
      <c r="B76" s="780" t="s">
        <v>885</v>
      </c>
      <c r="C76" s="374" t="s">
        <v>304</v>
      </c>
      <c r="D76" s="260">
        <f t="shared" si="10"/>
        <v>2</v>
      </c>
      <c r="E76" s="260"/>
      <c r="F76" s="501"/>
      <c r="G76" s="501"/>
      <c r="H76" s="501"/>
      <c r="I76" s="501">
        <f t="shared" si="15"/>
        <v>2</v>
      </c>
      <c r="J76" s="501"/>
      <c r="K76" s="501"/>
      <c r="L76" s="501"/>
      <c r="M76" s="501">
        <f t="shared" si="16"/>
        <v>2</v>
      </c>
      <c r="N76" s="501"/>
      <c r="O76" s="501"/>
    </row>
    <row r="77" spans="2:15" ht="16.5" customHeight="1" thickBot="1" x14ac:dyDescent="0.3">
      <c r="B77" s="776" t="s">
        <v>886</v>
      </c>
      <c r="C77" s="374" t="s">
        <v>304</v>
      </c>
      <c r="D77" s="260">
        <f t="shared" si="10"/>
        <v>18</v>
      </c>
      <c r="E77" s="260"/>
      <c r="F77" s="501"/>
      <c r="G77" s="501"/>
      <c r="H77" s="501"/>
      <c r="I77" s="501"/>
      <c r="J77" s="501">
        <f t="shared" si="15"/>
        <v>18</v>
      </c>
      <c r="K77" s="501"/>
      <c r="L77" s="501"/>
      <c r="M77" s="501"/>
      <c r="N77" s="501"/>
      <c r="O77" s="501"/>
    </row>
    <row r="78" spans="2:15" ht="16.5" customHeight="1" thickBot="1" x14ac:dyDescent="0.3">
      <c r="B78" s="782" t="s">
        <v>887</v>
      </c>
      <c r="C78" s="374" t="s">
        <v>304</v>
      </c>
      <c r="D78" s="383"/>
      <c r="E78" s="383"/>
      <c r="F78" s="394">
        <v>300</v>
      </c>
      <c r="G78" s="394">
        <v>300</v>
      </c>
      <c r="H78" s="394">
        <v>300</v>
      </c>
      <c r="I78" s="394">
        <v>350</v>
      </c>
      <c r="J78" s="394">
        <v>400</v>
      </c>
      <c r="K78" s="394">
        <v>400</v>
      </c>
      <c r="L78" s="394">
        <v>500</v>
      </c>
      <c r="M78" s="394">
        <v>300</v>
      </c>
      <c r="N78" s="394">
        <v>800</v>
      </c>
      <c r="O78" s="394">
        <v>1000</v>
      </c>
    </row>
    <row r="79" spans="2:15" ht="16.5" customHeight="1" x14ac:dyDescent="0.25">
      <c r="B79" s="384"/>
      <c r="C79" s="400"/>
      <c r="D79" s="385"/>
      <c r="E79" s="385"/>
      <c r="F79" s="386"/>
      <c r="G79" s="386"/>
      <c r="H79" s="386"/>
      <c r="I79" s="386"/>
      <c r="J79" s="386"/>
      <c r="K79" s="386"/>
      <c r="L79" s="386"/>
      <c r="M79" s="386"/>
      <c r="N79" s="386"/>
      <c r="O79" s="386"/>
    </row>
    <row r="80" spans="2:15" ht="16.5" customHeight="1" thickBot="1" x14ac:dyDescent="0.3">
      <c r="B80" s="401" t="s">
        <v>372</v>
      </c>
      <c r="C80" s="400"/>
      <c r="D80" s="402">
        <f>'ESDE240 ТО'!F10</f>
        <v>45</v>
      </c>
      <c r="E80" s="385"/>
      <c r="F80" s="386"/>
      <c r="G80" s="386"/>
      <c r="H80" s="386"/>
      <c r="I80" s="386"/>
      <c r="J80" s="386"/>
      <c r="K80" s="386"/>
      <c r="L80" s="386"/>
      <c r="M80" s="386"/>
      <c r="N80" s="386"/>
      <c r="O80" s="386"/>
    </row>
    <row r="81" spans="2:15" ht="24.8" customHeight="1" x14ac:dyDescent="0.25">
      <c r="B81" s="336" t="s">
        <v>361</v>
      </c>
      <c r="C81" s="367" t="s">
        <v>355</v>
      </c>
      <c r="D81" s="403" t="s">
        <v>373</v>
      </c>
      <c r="E81" s="388"/>
      <c r="F81" s="389">
        <f t="shared" ref="F81:O81" si="17">F15</f>
        <v>1</v>
      </c>
      <c r="G81" s="389">
        <f t="shared" si="17"/>
        <v>2</v>
      </c>
      <c r="H81" s="389">
        <f t="shared" si="17"/>
        <v>3</v>
      </c>
      <c r="I81" s="389">
        <f t="shared" si="17"/>
        <v>4</v>
      </c>
      <c r="J81" s="389">
        <f t="shared" si="17"/>
        <v>5</v>
      </c>
      <c r="K81" s="389">
        <f t="shared" si="17"/>
        <v>6</v>
      </c>
      <c r="L81" s="389">
        <f t="shared" si="17"/>
        <v>7</v>
      </c>
      <c r="M81" s="389">
        <f t="shared" si="17"/>
        <v>8</v>
      </c>
      <c r="N81" s="389">
        <f t="shared" si="17"/>
        <v>9</v>
      </c>
      <c r="O81" s="389">
        <f t="shared" si="17"/>
        <v>10</v>
      </c>
    </row>
    <row r="82" spans="2:15" ht="14.95" customHeight="1" x14ac:dyDescent="0.25">
      <c r="B82" s="390" t="s">
        <v>374</v>
      </c>
      <c r="C82" s="302" t="s">
        <v>375</v>
      </c>
      <c r="D82" s="260"/>
      <c r="E82" s="260"/>
      <c r="F82" s="391">
        <f>SUM(F83:F143)</f>
        <v>1440</v>
      </c>
      <c r="G82" s="391">
        <f t="shared" ref="G82:O82" si="18">SUM(G83:G143)</f>
        <v>14040</v>
      </c>
      <c r="H82" s="391">
        <f t="shared" si="18"/>
        <v>52470</v>
      </c>
      <c r="I82" s="391">
        <f t="shared" si="18"/>
        <v>82890</v>
      </c>
      <c r="J82" s="391">
        <f t="shared" si="18"/>
        <v>3060</v>
      </c>
      <c r="K82" s="391">
        <f t="shared" si="18"/>
        <v>65070</v>
      </c>
      <c r="L82" s="391">
        <f t="shared" si="18"/>
        <v>1440</v>
      </c>
      <c r="M82" s="391">
        <f t="shared" si="18"/>
        <v>82890</v>
      </c>
      <c r="N82" s="391">
        <f t="shared" si="18"/>
        <v>1440</v>
      </c>
      <c r="O82" s="391">
        <f t="shared" si="18"/>
        <v>1440</v>
      </c>
    </row>
    <row r="83" spans="2:15" ht="14.95" customHeight="1" x14ac:dyDescent="0.25">
      <c r="B83" s="774" t="s">
        <v>828</v>
      </c>
      <c r="C83" s="257" t="s">
        <v>375</v>
      </c>
      <c r="D83" s="405">
        <f t="shared" ref="D83:D143" si="19">$D$80</f>
        <v>45</v>
      </c>
      <c r="E83" s="260">
        <v>1086</v>
      </c>
      <c r="F83" s="501"/>
      <c r="G83" s="501"/>
      <c r="H83" s="501">
        <f>$D83*$E83</f>
        <v>48870</v>
      </c>
      <c r="I83" s="501"/>
      <c r="J83" s="501"/>
      <c r="K83" s="501">
        <f>$D83*$E83</f>
        <v>48870</v>
      </c>
      <c r="L83" s="501"/>
      <c r="M83" s="501"/>
      <c r="N83" s="501"/>
      <c r="O83" s="501"/>
    </row>
    <row r="84" spans="2:15" ht="14.95" customHeight="1" x14ac:dyDescent="0.25">
      <c r="B84" s="775" t="s">
        <v>829</v>
      </c>
      <c r="C84" s="257" t="s">
        <v>375</v>
      </c>
      <c r="D84" s="405">
        <f t="shared" si="19"/>
        <v>45</v>
      </c>
      <c r="E84" s="260">
        <v>48</v>
      </c>
      <c r="F84" s="501"/>
      <c r="G84" s="501"/>
      <c r="H84" s="501">
        <f>$D84*$E84</f>
        <v>2160</v>
      </c>
      <c r="I84" s="501"/>
      <c r="J84" s="501"/>
      <c r="K84" s="501">
        <f>$D84*$E84</f>
        <v>2160</v>
      </c>
      <c r="L84" s="501"/>
      <c r="M84" s="501"/>
      <c r="N84" s="501"/>
      <c r="O84" s="501"/>
    </row>
    <row r="85" spans="2:15" ht="14.95" customHeight="1" x14ac:dyDescent="0.25">
      <c r="B85" s="775" t="s">
        <v>830</v>
      </c>
      <c r="C85" s="257" t="s">
        <v>375</v>
      </c>
      <c r="D85" s="405">
        <f t="shared" si="19"/>
        <v>45</v>
      </c>
      <c r="E85" s="260">
        <v>6</v>
      </c>
      <c r="F85" s="501"/>
      <c r="G85" s="501">
        <f>$D85*$E85</f>
        <v>270</v>
      </c>
      <c r="H85" s="501"/>
      <c r="I85" s="501">
        <f>$D85*$E85</f>
        <v>270</v>
      </c>
      <c r="J85" s="501"/>
      <c r="K85" s="501">
        <f>$D85*$E85</f>
        <v>270</v>
      </c>
      <c r="L85" s="501"/>
      <c r="M85" s="501">
        <f>$D85*$E85</f>
        <v>270</v>
      </c>
      <c r="N85" s="501"/>
      <c r="O85" s="501"/>
    </row>
    <row r="86" spans="2:15" ht="14.95" customHeight="1" x14ac:dyDescent="0.25">
      <c r="B86" s="775" t="s">
        <v>831</v>
      </c>
      <c r="C86" s="257" t="s">
        <v>375</v>
      </c>
      <c r="D86" s="405">
        <f t="shared" si="19"/>
        <v>45</v>
      </c>
      <c r="E86" s="260">
        <v>8</v>
      </c>
      <c r="F86" s="501"/>
      <c r="G86" s="501">
        <f>$D86*$E86</f>
        <v>360</v>
      </c>
      <c r="H86" s="501"/>
      <c r="I86" s="501">
        <f>$D86*$E86</f>
        <v>360</v>
      </c>
      <c r="J86" s="501"/>
      <c r="K86" s="501">
        <f>$D86*$E86</f>
        <v>360</v>
      </c>
      <c r="L86" s="501"/>
      <c r="M86" s="501">
        <f>$D86*$E86</f>
        <v>360</v>
      </c>
      <c r="N86" s="501"/>
      <c r="O86" s="501"/>
    </row>
    <row r="87" spans="2:15" ht="14.95" customHeight="1" x14ac:dyDescent="0.25">
      <c r="B87" s="776" t="s">
        <v>396</v>
      </c>
      <c r="C87" s="257" t="s">
        <v>375</v>
      </c>
      <c r="D87" s="405">
        <f t="shared" si="19"/>
        <v>45</v>
      </c>
      <c r="E87" s="260"/>
      <c r="F87" s="501"/>
      <c r="G87" s="501"/>
      <c r="H87" s="501"/>
      <c r="I87" s="501"/>
      <c r="J87" s="501"/>
      <c r="K87" s="501"/>
      <c r="L87" s="501"/>
      <c r="M87" s="501"/>
      <c r="N87" s="501"/>
      <c r="O87" s="501"/>
    </row>
    <row r="88" spans="2:15" ht="14.95" customHeight="1" x14ac:dyDescent="0.25">
      <c r="B88" s="777" t="s">
        <v>832</v>
      </c>
      <c r="C88" s="257" t="s">
        <v>375</v>
      </c>
      <c r="D88" s="405">
        <f t="shared" si="19"/>
        <v>45</v>
      </c>
      <c r="E88" s="260">
        <v>440</v>
      </c>
      <c r="F88" s="501"/>
      <c r="G88" s="501"/>
      <c r="H88" s="501"/>
      <c r="I88" s="501">
        <f>$D88*$E88</f>
        <v>19800</v>
      </c>
      <c r="J88" s="501"/>
      <c r="K88" s="501"/>
      <c r="L88" s="501"/>
      <c r="M88" s="501">
        <f>$D88*$E88</f>
        <v>19800</v>
      </c>
      <c r="N88" s="501"/>
      <c r="O88" s="501"/>
    </row>
    <row r="89" spans="2:15" ht="14.95" customHeight="1" x14ac:dyDescent="0.25">
      <c r="B89" s="777" t="s">
        <v>833</v>
      </c>
      <c r="C89" s="257" t="s">
        <v>375</v>
      </c>
      <c r="D89" s="405">
        <f t="shared" si="19"/>
        <v>45</v>
      </c>
      <c r="E89" s="260">
        <v>160</v>
      </c>
      <c r="F89" s="501"/>
      <c r="G89" s="501"/>
      <c r="H89" s="501"/>
      <c r="I89" s="501">
        <f t="shared" ref="I89:I90" si="20">$D89*$E89</f>
        <v>7200</v>
      </c>
      <c r="J89" s="501"/>
      <c r="K89" s="501"/>
      <c r="L89" s="501"/>
      <c r="M89" s="501">
        <f t="shared" ref="M89:M90" si="21">$D89*$E89</f>
        <v>7200</v>
      </c>
      <c r="N89" s="501"/>
      <c r="O89" s="501"/>
    </row>
    <row r="90" spans="2:15" ht="14.95" customHeight="1" x14ac:dyDescent="0.25">
      <c r="B90" s="778" t="s">
        <v>834</v>
      </c>
      <c r="C90" s="257" t="s">
        <v>375</v>
      </c>
      <c r="D90" s="405">
        <f t="shared" si="19"/>
        <v>45</v>
      </c>
      <c r="E90" s="260">
        <v>80</v>
      </c>
      <c r="F90" s="501"/>
      <c r="G90" s="501"/>
      <c r="H90" s="501"/>
      <c r="I90" s="501">
        <f t="shared" si="20"/>
        <v>3600</v>
      </c>
      <c r="J90" s="501"/>
      <c r="K90" s="501"/>
      <c r="L90" s="501"/>
      <c r="M90" s="501">
        <f t="shared" si="21"/>
        <v>3600</v>
      </c>
      <c r="N90" s="501"/>
      <c r="O90" s="501"/>
    </row>
    <row r="91" spans="2:15" ht="14.95" customHeight="1" x14ac:dyDescent="0.25">
      <c r="B91" s="776" t="s">
        <v>835</v>
      </c>
      <c r="C91" s="257" t="s">
        <v>375</v>
      </c>
      <c r="D91" s="405">
        <f t="shared" si="19"/>
        <v>45</v>
      </c>
      <c r="E91" s="260"/>
      <c r="F91" s="501"/>
      <c r="G91" s="501"/>
      <c r="H91" s="501"/>
      <c r="I91" s="501"/>
      <c r="J91" s="501"/>
      <c r="K91" s="501"/>
      <c r="L91" s="501"/>
      <c r="M91" s="501"/>
      <c r="N91" s="501"/>
      <c r="O91" s="501"/>
    </row>
    <row r="92" spans="2:15" ht="14.95" customHeight="1" x14ac:dyDescent="0.25">
      <c r="B92" s="779" t="s">
        <v>836</v>
      </c>
      <c r="C92" s="257" t="s">
        <v>375</v>
      </c>
      <c r="D92" s="405">
        <f t="shared" si="19"/>
        <v>45</v>
      </c>
      <c r="E92" s="260">
        <v>50</v>
      </c>
      <c r="F92" s="501"/>
      <c r="G92" s="501">
        <f>$D92*$E92</f>
        <v>2250</v>
      </c>
      <c r="H92" s="501"/>
      <c r="I92" s="501">
        <f>$D92*$E92</f>
        <v>2250</v>
      </c>
      <c r="J92" s="501"/>
      <c r="K92" s="501">
        <f>$D92*$E92</f>
        <v>2250</v>
      </c>
      <c r="L92" s="501"/>
      <c r="M92" s="501">
        <f>$D92*$E92</f>
        <v>2250</v>
      </c>
      <c r="N92" s="501"/>
      <c r="O92" s="501"/>
    </row>
    <row r="93" spans="2:15" ht="14.95" customHeight="1" x14ac:dyDescent="0.25">
      <c r="B93" s="779" t="s">
        <v>837</v>
      </c>
      <c r="C93" s="257" t="s">
        <v>375</v>
      </c>
      <c r="D93" s="405">
        <f t="shared" si="19"/>
        <v>45</v>
      </c>
      <c r="E93" s="260">
        <v>48</v>
      </c>
      <c r="F93" s="501"/>
      <c r="G93" s="501">
        <f t="shared" ref="G93:M108" si="22">$D93*$E93</f>
        <v>2160</v>
      </c>
      <c r="H93" s="501"/>
      <c r="I93" s="501">
        <f t="shared" si="22"/>
        <v>2160</v>
      </c>
      <c r="J93" s="501"/>
      <c r="K93" s="501">
        <f t="shared" si="22"/>
        <v>2160</v>
      </c>
      <c r="L93" s="501"/>
      <c r="M93" s="501">
        <f t="shared" si="22"/>
        <v>2160</v>
      </c>
      <c r="N93" s="501"/>
      <c r="O93" s="501"/>
    </row>
    <row r="94" spans="2:15" ht="14.95" customHeight="1" x14ac:dyDescent="0.25">
      <c r="B94" s="780" t="s">
        <v>838</v>
      </c>
      <c r="C94" s="257" t="s">
        <v>375</v>
      </c>
      <c r="D94" s="405">
        <f t="shared" si="19"/>
        <v>45</v>
      </c>
      <c r="E94" s="260">
        <v>20</v>
      </c>
      <c r="F94" s="501"/>
      <c r="G94" s="501"/>
      <c r="H94" s="501"/>
      <c r="I94" s="501">
        <f t="shared" si="22"/>
        <v>900</v>
      </c>
      <c r="J94" s="501"/>
      <c r="K94" s="501"/>
      <c r="L94" s="501"/>
      <c r="M94" s="501">
        <f t="shared" si="22"/>
        <v>900</v>
      </c>
      <c r="N94" s="501"/>
      <c r="O94" s="501"/>
    </row>
    <row r="95" spans="2:15" ht="14.95" customHeight="1" x14ac:dyDescent="0.25">
      <c r="B95" s="780" t="s">
        <v>839</v>
      </c>
      <c r="C95" s="257" t="s">
        <v>375</v>
      </c>
      <c r="D95" s="405">
        <f t="shared" si="19"/>
        <v>45</v>
      </c>
      <c r="E95" s="260">
        <v>4</v>
      </c>
      <c r="F95" s="501"/>
      <c r="G95" s="501"/>
      <c r="H95" s="501"/>
      <c r="I95" s="501">
        <f t="shared" si="22"/>
        <v>180</v>
      </c>
      <c r="J95" s="501"/>
      <c r="K95" s="501"/>
      <c r="L95" s="501"/>
      <c r="M95" s="501">
        <f t="shared" si="22"/>
        <v>180</v>
      </c>
      <c r="N95" s="501"/>
      <c r="O95" s="501"/>
    </row>
    <row r="96" spans="2:15" ht="14.95" customHeight="1" x14ac:dyDescent="0.25">
      <c r="B96" s="780" t="s">
        <v>840</v>
      </c>
      <c r="C96" s="257" t="s">
        <v>375</v>
      </c>
      <c r="D96" s="405">
        <f t="shared" si="19"/>
        <v>45</v>
      </c>
      <c r="E96" s="260">
        <v>6</v>
      </c>
      <c r="F96" s="501"/>
      <c r="G96" s="501"/>
      <c r="H96" s="501"/>
      <c r="I96" s="501">
        <f t="shared" si="22"/>
        <v>270</v>
      </c>
      <c r="J96" s="501"/>
      <c r="K96" s="501"/>
      <c r="L96" s="501"/>
      <c r="M96" s="501">
        <f t="shared" si="22"/>
        <v>270</v>
      </c>
      <c r="N96" s="501"/>
      <c r="O96" s="501"/>
    </row>
    <row r="97" spans="2:15" ht="14.95" customHeight="1" x14ac:dyDescent="0.25">
      <c r="B97" s="780" t="s">
        <v>841</v>
      </c>
      <c r="C97" s="257" t="s">
        <v>375</v>
      </c>
      <c r="D97" s="405">
        <f t="shared" si="19"/>
        <v>45</v>
      </c>
      <c r="E97" s="260">
        <v>4</v>
      </c>
      <c r="F97" s="501"/>
      <c r="G97" s="501"/>
      <c r="H97" s="501"/>
      <c r="I97" s="501">
        <f t="shared" si="22"/>
        <v>180</v>
      </c>
      <c r="J97" s="501"/>
      <c r="K97" s="501"/>
      <c r="L97" s="501"/>
      <c r="M97" s="501">
        <f t="shared" si="22"/>
        <v>180</v>
      </c>
      <c r="N97" s="501"/>
      <c r="O97" s="501"/>
    </row>
    <row r="98" spans="2:15" ht="14.95" customHeight="1" x14ac:dyDescent="0.25">
      <c r="B98" s="780" t="s">
        <v>842</v>
      </c>
      <c r="C98" s="257" t="s">
        <v>375</v>
      </c>
      <c r="D98" s="405">
        <f t="shared" si="19"/>
        <v>45</v>
      </c>
      <c r="E98" s="260">
        <v>4</v>
      </c>
      <c r="F98" s="501"/>
      <c r="G98" s="501"/>
      <c r="H98" s="501"/>
      <c r="I98" s="501">
        <f t="shared" si="22"/>
        <v>180</v>
      </c>
      <c r="J98" s="501"/>
      <c r="K98" s="501"/>
      <c r="L98" s="501"/>
      <c r="M98" s="501">
        <f t="shared" si="22"/>
        <v>180</v>
      </c>
      <c r="N98" s="501"/>
      <c r="O98" s="501"/>
    </row>
    <row r="99" spans="2:15" ht="14.95" customHeight="1" x14ac:dyDescent="0.25">
      <c r="B99" s="780" t="s">
        <v>843</v>
      </c>
      <c r="C99" s="257" t="s">
        <v>375</v>
      </c>
      <c r="D99" s="405">
        <f t="shared" si="19"/>
        <v>45</v>
      </c>
      <c r="E99" s="260">
        <v>4</v>
      </c>
      <c r="F99" s="501"/>
      <c r="G99" s="501"/>
      <c r="H99" s="501"/>
      <c r="I99" s="501">
        <f t="shared" si="22"/>
        <v>180</v>
      </c>
      <c r="J99" s="501"/>
      <c r="K99" s="501"/>
      <c r="L99" s="501"/>
      <c r="M99" s="501">
        <f t="shared" si="22"/>
        <v>180</v>
      </c>
      <c r="N99" s="501"/>
      <c r="O99" s="501"/>
    </row>
    <row r="100" spans="2:15" ht="14.95" customHeight="1" x14ac:dyDescent="0.25">
      <c r="B100" s="780" t="s">
        <v>844</v>
      </c>
      <c r="C100" s="257" t="s">
        <v>375</v>
      </c>
      <c r="D100" s="405">
        <f t="shared" si="19"/>
        <v>45</v>
      </c>
      <c r="E100" s="260">
        <v>4</v>
      </c>
      <c r="F100" s="418"/>
      <c r="G100" s="418"/>
      <c r="H100" s="501"/>
      <c r="I100" s="501">
        <f t="shared" si="22"/>
        <v>180</v>
      </c>
      <c r="J100" s="418"/>
      <c r="K100" s="501"/>
      <c r="L100" s="418"/>
      <c r="M100" s="418">
        <f t="shared" si="22"/>
        <v>180</v>
      </c>
      <c r="N100" s="418"/>
      <c r="O100" s="418"/>
    </row>
    <row r="101" spans="2:15" ht="14.95" customHeight="1" x14ac:dyDescent="0.25">
      <c r="B101" s="780" t="s">
        <v>845</v>
      </c>
      <c r="C101" s="257" t="s">
        <v>375</v>
      </c>
      <c r="D101" s="405">
        <f t="shared" si="19"/>
        <v>45</v>
      </c>
      <c r="E101" s="260">
        <v>6</v>
      </c>
      <c r="F101" s="501"/>
      <c r="G101" s="501"/>
      <c r="H101" s="501"/>
      <c r="I101" s="501">
        <f t="shared" si="22"/>
        <v>270</v>
      </c>
      <c r="J101" s="501"/>
      <c r="K101" s="501"/>
      <c r="L101" s="501"/>
      <c r="M101" s="501">
        <f t="shared" si="22"/>
        <v>270</v>
      </c>
      <c r="N101" s="501"/>
      <c r="O101" s="501"/>
    </row>
    <row r="102" spans="2:15" ht="14.95" customHeight="1" x14ac:dyDescent="0.25">
      <c r="B102" s="780" t="s">
        <v>846</v>
      </c>
      <c r="C102" s="257" t="s">
        <v>375</v>
      </c>
      <c r="D102" s="405">
        <f t="shared" si="19"/>
        <v>45</v>
      </c>
      <c r="E102" s="260">
        <v>8</v>
      </c>
      <c r="F102" s="501"/>
      <c r="G102" s="501">
        <f t="shared" si="22"/>
        <v>360</v>
      </c>
      <c r="H102" s="501"/>
      <c r="I102" s="501">
        <f t="shared" si="22"/>
        <v>360</v>
      </c>
      <c r="J102" s="501"/>
      <c r="K102" s="501">
        <f t="shared" si="22"/>
        <v>360</v>
      </c>
      <c r="L102" s="501"/>
      <c r="M102" s="501">
        <f t="shared" si="22"/>
        <v>360</v>
      </c>
      <c r="N102" s="501"/>
      <c r="O102" s="501"/>
    </row>
    <row r="103" spans="2:15" ht="14.95" customHeight="1" x14ac:dyDescent="0.25">
      <c r="B103" s="780" t="s">
        <v>847</v>
      </c>
      <c r="C103" s="257" t="s">
        <v>375</v>
      </c>
      <c r="D103" s="405">
        <f t="shared" si="19"/>
        <v>45</v>
      </c>
      <c r="E103" s="260">
        <v>8</v>
      </c>
      <c r="F103" s="501"/>
      <c r="G103" s="501"/>
      <c r="H103" s="501"/>
      <c r="I103" s="501">
        <f t="shared" si="22"/>
        <v>360</v>
      </c>
      <c r="J103" s="501"/>
      <c r="K103" s="501"/>
      <c r="L103" s="501"/>
      <c r="M103" s="501">
        <f t="shared" si="22"/>
        <v>360</v>
      </c>
      <c r="N103" s="501"/>
      <c r="O103" s="501"/>
    </row>
    <row r="104" spans="2:15" ht="14.95" customHeight="1" x14ac:dyDescent="0.25">
      <c r="B104" s="780" t="s">
        <v>848</v>
      </c>
      <c r="C104" s="257" t="s">
        <v>375</v>
      </c>
      <c r="D104" s="405">
        <f t="shared" si="19"/>
        <v>45</v>
      </c>
      <c r="E104" s="260">
        <v>8</v>
      </c>
      <c r="F104" s="501"/>
      <c r="G104" s="501"/>
      <c r="H104" s="501"/>
      <c r="I104" s="501">
        <f t="shared" si="22"/>
        <v>360</v>
      </c>
      <c r="J104" s="501"/>
      <c r="K104" s="501"/>
      <c r="L104" s="501"/>
      <c r="M104" s="501">
        <f t="shared" si="22"/>
        <v>360</v>
      </c>
      <c r="N104" s="501"/>
      <c r="O104" s="501"/>
    </row>
    <row r="105" spans="2:15" ht="14.95" customHeight="1" x14ac:dyDescent="0.25">
      <c r="B105" s="780" t="s">
        <v>849</v>
      </c>
      <c r="C105" s="257" t="s">
        <v>375</v>
      </c>
      <c r="D105" s="405">
        <f t="shared" si="19"/>
        <v>45</v>
      </c>
      <c r="E105" s="260">
        <v>6</v>
      </c>
      <c r="F105" s="501"/>
      <c r="G105" s="501"/>
      <c r="H105" s="501"/>
      <c r="I105" s="501">
        <f t="shared" si="22"/>
        <v>270</v>
      </c>
      <c r="J105" s="501"/>
      <c r="K105" s="501"/>
      <c r="L105" s="501"/>
      <c r="M105" s="501">
        <f t="shared" si="22"/>
        <v>270</v>
      </c>
      <c r="N105" s="501"/>
      <c r="O105" s="501"/>
    </row>
    <row r="106" spans="2:15" ht="14.95" customHeight="1" x14ac:dyDescent="0.25">
      <c r="B106" s="780" t="s">
        <v>850</v>
      </c>
      <c r="C106" s="257" t="s">
        <v>375</v>
      </c>
      <c r="D106" s="405">
        <f t="shared" si="19"/>
        <v>45</v>
      </c>
      <c r="E106" s="260">
        <v>4</v>
      </c>
      <c r="F106" s="501"/>
      <c r="G106" s="501"/>
      <c r="H106" s="501"/>
      <c r="I106" s="501">
        <f t="shared" si="22"/>
        <v>180</v>
      </c>
      <c r="J106" s="501"/>
      <c r="K106" s="501"/>
      <c r="L106" s="501"/>
      <c r="M106" s="501">
        <f t="shared" si="22"/>
        <v>180</v>
      </c>
      <c r="N106" s="501"/>
      <c r="O106" s="501"/>
    </row>
    <row r="107" spans="2:15" ht="14.95" customHeight="1" x14ac:dyDescent="0.25">
      <c r="B107" s="780" t="s">
        <v>851</v>
      </c>
      <c r="C107" s="257" t="s">
        <v>375</v>
      </c>
      <c r="D107" s="405">
        <f t="shared" si="19"/>
        <v>45</v>
      </c>
      <c r="E107" s="260">
        <v>4</v>
      </c>
      <c r="F107" s="501"/>
      <c r="G107" s="501"/>
      <c r="H107" s="501"/>
      <c r="I107" s="501">
        <f t="shared" si="22"/>
        <v>180</v>
      </c>
      <c r="J107" s="501"/>
      <c r="K107" s="501"/>
      <c r="L107" s="501"/>
      <c r="M107" s="501">
        <f t="shared" si="22"/>
        <v>180</v>
      </c>
      <c r="N107" s="501"/>
      <c r="O107" s="501"/>
    </row>
    <row r="108" spans="2:15" ht="14.95" customHeight="1" x14ac:dyDescent="0.25">
      <c r="B108" s="780" t="s">
        <v>852</v>
      </c>
      <c r="C108" s="257" t="s">
        <v>375</v>
      </c>
      <c r="D108" s="405">
        <f t="shared" si="19"/>
        <v>45</v>
      </c>
      <c r="E108" s="260">
        <v>6</v>
      </c>
      <c r="F108" s="501"/>
      <c r="G108" s="501"/>
      <c r="H108" s="501"/>
      <c r="I108" s="501">
        <f t="shared" si="22"/>
        <v>270</v>
      </c>
      <c r="J108" s="501"/>
      <c r="K108" s="501"/>
      <c r="L108" s="501"/>
      <c r="M108" s="501">
        <f t="shared" si="22"/>
        <v>270</v>
      </c>
      <c r="N108" s="501"/>
      <c r="O108" s="501"/>
    </row>
    <row r="109" spans="2:15" ht="14.95" customHeight="1" x14ac:dyDescent="0.25">
      <c r="B109" s="780" t="s">
        <v>853</v>
      </c>
      <c r="C109" s="257" t="s">
        <v>375</v>
      </c>
      <c r="D109" s="405">
        <f t="shared" si="19"/>
        <v>45</v>
      </c>
      <c r="E109" s="260">
        <v>16</v>
      </c>
      <c r="F109" s="501"/>
      <c r="G109" s="501"/>
      <c r="H109" s="501"/>
      <c r="I109" s="501">
        <f t="shared" ref="I109:I117" si="23">$D109*$E109</f>
        <v>720</v>
      </c>
      <c r="J109" s="501"/>
      <c r="K109" s="501"/>
      <c r="L109" s="501"/>
      <c r="M109" s="501">
        <f t="shared" ref="M109:M117" si="24">$D109*$E109</f>
        <v>720</v>
      </c>
      <c r="N109" s="501"/>
      <c r="O109" s="501"/>
    </row>
    <row r="110" spans="2:15" ht="14.95" customHeight="1" x14ac:dyDescent="0.25">
      <c r="B110" s="780" t="s">
        <v>854</v>
      </c>
      <c r="C110" s="257" t="s">
        <v>375</v>
      </c>
      <c r="D110" s="405">
        <f t="shared" si="19"/>
        <v>45</v>
      </c>
      <c r="E110" s="260">
        <v>6</v>
      </c>
      <c r="F110" s="501"/>
      <c r="G110" s="501"/>
      <c r="H110" s="501"/>
      <c r="I110" s="501">
        <f t="shared" si="23"/>
        <v>270</v>
      </c>
      <c r="J110" s="501"/>
      <c r="K110" s="501"/>
      <c r="L110" s="501"/>
      <c r="M110" s="501">
        <f t="shared" si="24"/>
        <v>270</v>
      </c>
      <c r="N110" s="501"/>
      <c r="O110" s="501"/>
    </row>
    <row r="111" spans="2:15" ht="14.95" customHeight="1" x14ac:dyDescent="0.25">
      <c r="B111" s="780" t="s">
        <v>855</v>
      </c>
      <c r="C111" s="257" t="s">
        <v>375</v>
      </c>
      <c r="D111" s="405">
        <f t="shared" si="19"/>
        <v>45</v>
      </c>
      <c r="E111" s="260">
        <v>4</v>
      </c>
      <c r="F111" s="501"/>
      <c r="G111" s="501"/>
      <c r="H111" s="501"/>
      <c r="I111" s="501">
        <f t="shared" si="23"/>
        <v>180</v>
      </c>
      <c r="J111" s="501"/>
      <c r="K111" s="501"/>
      <c r="L111" s="501"/>
      <c r="M111" s="501">
        <f t="shared" si="24"/>
        <v>180</v>
      </c>
      <c r="N111" s="501"/>
      <c r="O111" s="501"/>
    </row>
    <row r="112" spans="2:15" ht="14.95" customHeight="1" x14ac:dyDescent="0.25">
      <c r="B112" s="780" t="s">
        <v>856</v>
      </c>
      <c r="C112" s="257" t="s">
        <v>375</v>
      </c>
      <c r="D112" s="405">
        <f t="shared" si="19"/>
        <v>45</v>
      </c>
      <c r="E112" s="260">
        <v>98</v>
      </c>
      <c r="F112" s="501"/>
      <c r="G112" s="501"/>
      <c r="H112" s="501"/>
      <c r="I112" s="501">
        <f t="shared" si="23"/>
        <v>4410</v>
      </c>
      <c r="J112" s="501"/>
      <c r="K112" s="501"/>
      <c r="L112" s="501"/>
      <c r="M112" s="501">
        <f t="shared" si="24"/>
        <v>4410</v>
      </c>
      <c r="N112" s="501"/>
      <c r="O112" s="501"/>
    </row>
    <row r="113" spans="2:15" ht="14.95" customHeight="1" x14ac:dyDescent="0.25">
      <c r="B113" s="780" t="s">
        <v>857</v>
      </c>
      <c r="C113" s="257" t="s">
        <v>375</v>
      </c>
      <c r="D113" s="405">
        <f t="shared" si="19"/>
        <v>45</v>
      </c>
      <c r="E113" s="260">
        <v>140</v>
      </c>
      <c r="F113" s="501"/>
      <c r="G113" s="501"/>
      <c r="H113" s="501"/>
      <c r="I113" s="501">
        <f t="shared" si="23"/>
        <v>6300</v>
      </c>
      <c r="J113" s="501"/>
      <c r="K113" s="501"/>
      <c r="L113" s="501"/>
      <c r="M113" s="501">
        <f t="shared" si="24"/>
        <v>6300</v>
      </c>
      <c r="N113" s="501"/>
      <c r="O113" s="501"/>
    </row>
    <row r="114" spans="2:15" ht="14.95" customHeight="1" x14ac:dyDescent="0.25">
      <c r="B114" s="780" t="s">
        <v>858</v>
      </c>
      <c r="C114" s="257" t="s">
        <v>375</v>
      </c>
      <c r="D114" s="405">
        <f t="shared" si="19"/>
        <v>45</v>
      </c>
      <c r="E114" s="260">
        <v>40</v>
      </c>
      <c r="F114" s="501"/>
      <c r="G114" s="501"/>
      <c r="H114" s="501"/>
      <c r="I114" s="501">
        <f t="shared" si="23"/>
        <v>1800</v>
      </c>
      <c r="J114" s="501"/>
      <c r="K114" s="501"/>
      <c r="L114" s="501"/>
      <c r="M114" s="501">
        <f t="shared" si="24"/>
        <v>1800</v>
      </c>
      <c r="N114" s="501"/>
      <c r="O114" s="501"/>
    </row>
    <row r="115" spans="2:15" ht="14.95" customHeight="1" x14ac:dyDescent="0.25">
      <c r="B115" s="780" t="s">
        <v>859</v>
      </c>
      <c r="C115" s="257" t="s">
        <v>375</v>
      </c>
      <c r="D115" s="405">
        <f t="shared" si="19"/>
        <v>45</v>
      </c>
      <c r="E115" s="260">
        <v>80</v>
      </c>
      <c r="F115" s="501"/>
      <c r="G115" s="501"/>
      <c r="H115" s="501"/>
      <c r="I115" s="501">
        <f t="shared" si="23"/>
        <v>3600</v>
      </c>
      <c r="J115" s="501"/>
      <c r="K115" s="501"/>
      <c r="L115" s="501"/>
      <c r="M115" s="501">
        <f t="shared" si="24"/>
        <v>3600</v>
      </c>
      <c r="N115" s="501"/>
      <c r="O115" s="501"/>
    </row>
    <row r="116" spans="2:15" ht="14.95" customHeight="1" x14ac:dyDescent="0.25">
      <c r="B116" s="780" t="s">
        <v>860</v>
      </c>
      <c r="C116" s="257" t="s">
        <v>375</v>
      </c>
      <c r="D116" s="405">
        <f t="shared" si="19"/>
        <v>45</v>
      </c>
      <c r="E116" s="260">
        <v>10</v>
      </c>
      <c r="F116" s="501"/>
      <c r="G116" s="501"/>
      <c r="H116" s="501"/>
      <c r="I116" s="501">
        <f t="shared" si="23"/>
        <v>450</v>
      </c>
      <c r="J116" s="501"/>
      <c r="K116" s="501"/>
      <c r="L116" s="501"/>
      <c r="M116" s="501">
        <f t="shared" si="24"/>
        <v>450</v>
      </c>
      <c r="N116" s="501"/>
      <c r="O116" s="501"/>
    </row>
    <row r="117" spans="2:15" ht="14.95" customHeight="1" x14ac:dyDescent="0.25">
      <c r="B117" s="780" t="s">
        <v>845</v>
      </c>
      <c r="C117" s="257" t="s">
        <v>375</v>
      </c>
      <c r="D117" s="405">
        <f t="shared" si="19"/>
        <v>45</v>
      </c>
      <c r="E117" s="260">
        <v>4</v>
      </c>
      <c r="F117" s="501"/>
      <c r="G117" s="501"/>
      <c r="H117" s="501"/>
      <c r="I117" s="501">
        <f t="shared" si="23"/>
        <v>180</v>
      </c>
      <c r="J117" s="501"/>
      <c r="K117" s="501"/>
      <c r="L117" s="501"/>
      <c r="M117" s="501">
        <f t="shared" si="24"/>
        <v>180</v>
      </c>
      <c r="N117" s="501"/>
      <c r="O117" s="501"/>
    </row>
    <row r="118" spans="2:15" ht="14.95" customHeight="1" x14ac:dyDescent="0.25">
      <c r="B118" s="781" t="s">
        <v>861</v>
      </c>
      <c r="C118" s="257" t="s">
        <v>375</v>
      </c>
      <c r="D118" s="405">
        <f t="shared" si="19"/>
        <v>45</v>
      </c>
      <c r="E118" s="260"/>
      <c r="F118" s="501"/>
      <c r="G118" s="501"/>
      <c r="H118" s="501"/>
      <c r="I118" s="501"/>
      <c r="J118" s="501"/>
      <c r="K118" s="501"/>
      <c r="L118" s="501"/>
      <c r="M118" s="501"/>
      <c r="N118" s="501"/>
      <c r="O118" s="501"/>
    </row>
    <row r="119" spans="2:15" ht="14.95" customHeight="1" x14ac:dyDescent="0.25">
      <c r="B119" s="779" t="s">
        <v>862</v>
      </c>
      <c r="C119" s="257" t="s">
        <v>375</v>
      </c>
      <c r="D119" s="405">
        <f t="shared" si="19"/>
        <v>45</v>
      </c>
      <c r="E119" s="260">
        <v>8</v>
      </c>
      <c r="F119" s="501">
        <f t="shared" ref="F119:O134" si="25">$D119*$E119</f>
        <v>360</v>
      </c>
      <c r="G119" s="501">
        <f t="shared" si="25"/>
        <v>360</v>
      </c>
      <c r="H119" s="501">
        <f t="shared" si="25"/>
        <v>360</v>
      </c>
      <c r="I119" s="501">
        <f t="shared" si="25"/>
        <v>360</v>
      </c>
      <c r="J119" s="501">
        <f t="shared" si="25"/>
        <v>360</v>
      </c>
      <c r="K119" s="501">
        <f t="shared" si="25"/>
        <v>360</v>
      </c>
      <c r="L119" s="501">
        <f t="shared" si="25"/>
        <v>360</v>
      </c>
      <c r="M119" s="501">
        <f t="shared" si="25"/>
        <v>360</v>
      </c>
      <c r="N119" s="501">
        <f t="shared" si="25"/>
        <v>360</v>
      </c>
      <c r="O119" s="501">
        <f t="shared" si="25"/>
        <v>360</v>
      </c>
    </row>
    <row r="120" spans="2:15" ht="14.95" customHeight="1" x14ac:dyDescent="0.25">
      <c r="B120" s="779" t="s">
        <v>863</v>
      </c>
      <c r="C120" s="257" t="s">
        <v>375</v>
      </c>
      <c r="D120" s="405">
        <f t="shared" si="19"/>
        <v>45</v>
      </c>
      <c r="E120" s="260">
        <v>16</v>
      </c>
      <c r="F120" s="501">
        <f t="shared" si="25"/>
        <v>720</v>
      </c>
      <c r="G120" s="501">
        <f t="shared" si="25"/>
        <v>720</v>
      </c>
      <c r="H120" s="501">
        <f t="shared" si="25"/>
        <v>720</v>
      </c>
      <c r="I120" s="501">
        <f t="shared" si="25"/>
        <v>720</v>
      </c>
      <c r="J120" s="501">
        <f t="shared" si="25"/>
        <v>720</v>
      </c>
      <c r="K120" s="501">
        <f t="shared" si="25"/>
        <v>720</v>
      </c>
      <c r="L120" s="501">
        <f t="shared" si="25"/>
        <v>720</v>
      </c>
      <c r="M120" s="501">
        <f t="shared" si="25"/>
        <v>720</v>
      </c>
      <c r="N120" s="501">
        <f t="shared" si="25"/>
        <v>720</v>
      </c>
      <c r="O120" s="501">
        <f t="shared" si="25"/>
        <v>720</v>
      </c>
    </row>
    <row r="121" spans="2:15" ht="14.95" customHeight="1" x14ac:dyDescent="0.25">
      <c r="B121" s="779" t="s">
        <v>864</v>
      </c>
      <c r="C121" s="257" t="s">
        <v>375</v>
      </c>
      <c r="D121" s="405">
        <f t="shared" si="19"/>
        <v>45</v>
      </c>
      <c r="E121" s="260">
        <v>8</v>
      </c>
      <c r="F121" s="501">
        <f t="shared" si="25"/>
        <v>360</v>
      </c>
      <c r="G121" s="501">
        <f t="shared" si="25"/>
        <v>360</v>
      </c>
      <c r="H121" s="501">
        <f t="shared" si="25"/>
        <v>360</v>
      </c>
      <c r="I121" s="501">
        <f t="shared" si="25"/>
        <v>360</v>
      </c>
      <c r="J121" s="501">
        <f t="shared" si="25"/>
        <v>360</v>
      </c>
      <c r="K121" s="501">
        <f t="shared" si="25"/>
        <v>360</v>
      </c>
      <c r="L121" s="501">
        <f t="shared" si="25"/>
        <v>360</v>
      </c>
      <c r="M121" s="501">
        <f t="shared" si="25"/>
        <v>360</v>
      </c>
      <c r="N121" s="501">
        <f t="shared" si="25"/>
        <v>360</v>
      </c>
      <c r="O121" s="501">
        <f t="shared" si="25"/>
        <v>360</v>
      </c>
    </row>
    <row r="122" spans="2:15" ht="14.95" customHeight="1" x14ac:dyDescent="0.25">
      <c r="B122" s="780" t="s">
        <v>865</v>
      </c>
      <c r="C122" s="257" t="s">
        <v>375</v>
      </c>
      <c r="D122" s="405">
        <f t="shared" si="19"/>
        <v>45</v>
      </c>
      <c r="E122" s="260">
        <v>20</v>
      </c>
      <c r="F122" s="501"/>
      <c r="G122" s="501">
        <f t="shared" si="25"/>
        <v>900</v>
      </c>
      <c r="H122" s="501"/>
      <c r="I122" s="501">
        <f t="shared" si="25"/>
        <v>900</v>
      </c>
      <c r="J122" s="501"/>
      <c r="K122" s="501">
        <f t="shared" si="25"/>
        <v>900</v>
      </c>
      <c r="L122" s="501"/>
      <c r="M122" s="501">
        <f t="shared" si="25"/>
        <v>900</v>
      </c>
      <c r="N122" s="501"/>
      <c r="O122" s="501"/>
    </row>
    <row r="123" spans="2:15" ht="14.95" customHeight="1" x14ac:dyDescent="0.25">
      <c r="B123" s="780" t="s">
        <v>866</v>
      </c>
      <c r="C123" s="257" t="s">
        <v>375</v>
      </c>
      <c r="D123" s="405">
        <f t="shared" si="19"/>
        <v>45</v>
      </c>
      <c r="E123" s="260">
        <v>40</v>
      </c>
      <c r="F123" s="501"/>
      <c r="G123" s="501">
        <f t="shared" si="25"/>
        <v>1800</v>
      </c>
      <c r="H123" s="501"/>
      <c r="I123" s="501">
        <f t="shared" si="25"/>
        <v>1800</v>
      </c>
      <c r="J123" s="501"/>
      <c r="K123" s="501">
        <f t="shared" si="25"/>
        <v>1800</v>
      </c>
      <c r="L123" s="501"/>
      <c r="M123" s="501">
        <f t="shared" si="25"/>
        <v>1800</v>
      </c>
      <c r="N123" s="501"/>
      <c r="O123" s="501"/>
    </row>
    <row r="124" spans="2:15" ht="14.95" customHeight="1" x14ac:dyDescent="0.25">
      <c r="B124" s="780" t="s">
        <v>867</v>
      </c>
      <c r="C124" s="257" t="s">
        <v>375</v>
      </c>
      <c r="D124" s="405">
        <f t="shared" si="19"/>
        <v>45</v>
      </c>
      <c r="E124" s="260">
        <v>20</v>
      </c>
      <c r="F124" s="501"/>
      <c r="G124" s="501">
        <f t="shared" si="25"/>
        <v>900</v>
      </c>
      <c r="H124" s="501"/>
      <c r="I124" s="501">
        <f t="shared" si="25"/>
        <v>900</v>
      </c>
      <c r="J124" s="501"/>
      <c r="K124" s="501">
        <f t="shared" si="25"/>
        <v>900</v>
      </c>
      <c r="L124" s="501"/>
      <c r="M124" s="501">
        <f t="shared" si="25"/>
        <v>900</v>
      </c>
      <c r="N124" s="501"/>
      <c r="O124" s="501"/>
    </row>
    <row r="125" spans="2:15" ht="14.95" customHeight="1" x14ac:dyDescent="0.25">
      <c r="B125" s="780" t="s">
        <v>868</v>
      </c>
      <c r="C125" s="257" t="s">
        <v>375</v>
      </c>
      <c r="D125" s="405">
        <f t="shared" si="19"/>
        <v>45</v>
      </c>
      <c r="E125" s="260">
        <v>80</v>
      </c>
      <c r="F125" s="501"/>
      <c r="G125" s="501">
        <f t="shared" si="25"/>
        <v>3600</v>
      </c>
      <c r="H125" s="501"/>
      <c r="I125" s="501">
        <f t="shared" si="25"/>
        <v>3600</v>
      </c>
      <c r="J125" s="501"/>
      <c r="K125" s="501">
        <f t="shared" si="25"/>
        <v>3600</v>
      </c>
      <c r="L125" s="501"/>
      <c r="M125" s="501">
        <f t="shared" si="25"/>
        <v>3600</v>
      </c>
      <c r="N125" s="501"/>
      <c r="O125" s="501"/>
    </row>
    <row r="126" spans="2:15" ht="14.95" customHeight="1" x14ac:dyDescent="0.25">
      <c r="B126" s="779" t="s">
        <v>869</v>
      </c>
      <c r="C126" s="257" t="s">
        <v>375</v>
      </c>
      <c r="D126" s="405">
        <f t="shared" si="19"/>
        <v>45</v>
      </c>
      <c r="E126" s="260">
        <v>20</v>
      </c>
      <c r="F126" s="501"/>
      <c r="G126" s="501"/>
      <c r="H126" s="501"/>
      <c r="I126" s="501">
        <f t="shared" si="25"/>
        <v>900</v>
      </c>
      <c r="J126" s="501"/>
      <c r="K126" s="501"/>
      <c r="L126" s="501"/>
      <c r="M126" s="501">
        <f t="shared" si="25"/>
        <v>900</v>
      </c>
      <c r="N126" s="501"/>
      <c r="O126" s="501"/>
    </row>
    <row r="127" spans="2:15" ht="14.95" customHeight="1" x14ac:dyDescent="0.25">
      <c r="B127" s="779" t="s">
        <v>870</v>
      </c>
      <c r="C127" s="257" t="s">
        <v>375</v>
      </c>
      <c r="D127" s="405">
        <f t="shared" si="19"/>
        <v>45</v>
      </c>
      <c r="E127" s="260">
        <v>80</v>
      </c>
      <c r="F127" s="501"/>
      <c r="G127" s="501"/>
      <c r="H127" s="501"/>
      <c r="I127" s="501">
        <f t="shared" si="25"/>
        <v>3600</v>
      </c>
      <c r="J127" s="501"/>
      <c r="K127" s="501"/>
      <c r="L127" s="501"/>
      <c r="M127" s="501">
        <f t="shared" si="25"/>
        <v>3600</v>
      </c>
      <c r="N127" s="501"/>
      <c r="O127" s="501"/>
    </row>
    <row r="128" spans="2:15" ht="14.95" customHeight="1" x14ac:dyDescent="0.25">
      <c r="B128" s="779" t="s">
        <v>871</v>
      </c>
      <c r="C128" s="257" t="s">
        <v>375</v>
      </c>
      <c r="D128" s="405">
        <f t="shared" si="19"/>
        <v>45</v>
      </c>
      <c r="E128" s="260">
        <v>10</v>
      </c>
      <c r="F128" s="501"/>
      <c r="G128" s="501"/>
      <c r="H128" s="501"/>
      <c r="I128" s="501">
        <f t="shared" si="25"/>
        <v>450</v>
      </c>
      <c r="J128" s="501"/>
      <c r="K128" s="501"/>
      <c r="L128" s="501"/>
      <c r="M128" s="501">
        <f t="shared" si="25"/>
        <v>450</v>
      </c>
      <c r="N128" s="501"/>
      <c r="O128" s="501"/>
    </row>
    <row r="129" spans="2:15" ht="14.95" customHeight="1" x14ac:dyDescent="0.25">
      <c r="B129" s="779" t="s">
        <v>872</v>
      </c>
      <c r="C129" s="257" t="s">
        <v>375</v>
      </c>
      <c r="D129" s="405">
        <f t="shared" si="19"/>
        <v>45</v>
      </c>
      <c r="E129" s="260">
        <v>40</v>
      </c>
      <c r="F129" s="501"/>
      <c r="G129" s="501"/>
      <c r="H129" s="501"/>
      <c r="I129" s="501">
        <f t="shared" si="25"/>
        <v>1800</v>
      </c>
      <c r="J129" s="501"/>
      <c r="K129" s="501"/>
      <c r="L129" s="501"/>
      <c r="M129" s="501">
        <f t="shared" si="25"/>
        <v>1800</v>
      </c>
      <c r="N129" s="501"/>
      <c r="O129" s="501"/>
    </row>
    <row r="130" spans="2:15" ht="14.95" customHeight="1" x14ac:dyDescent="0.25">
      <c r="B130" s="780" t="s">
        <v>873</v>
      </c>
      <c r="C130" s="257" t="s">
        <v>375</v>
      </c>
      <c r="D130" s="405">
        <f t="shared" si="19"/>
        <v>45</v>
      </c>
      <c r="E130" s="260">
        <v>88</v>
      </c>
      <c r="F130" s="501"/>
      <c r="G130" s="501"/>
      <c r="H130" s="501"/>
      <c r="I130" s="501">
        <f t="shared" si="25"/>
        <v>3960</v>
      </c>
      <c r="J130" s="501"/>
      <c r="K130" s="501"/>
      <c r="L130" s="501"/>
      <c r="M130" s="501">
        <f t="shared" si="25"/>
        <v>3960</v>
      </c>
      <c r="N130" s="501"/>
      <c r="O130" s="501"/>
    </row>
    <row r="131" spans="2:15" ht="14.95" customHeight="1" x14ac:dyDescent="0.25">
      <c r="B131" s="781" t="s">
        <v>874</v>
      </c>
      <c r="C131" s="257" t="s">
        <v>375</v>
      </c>
      <c r="D131" s="405">
        <f t="shared" si="19"/>
        <v>45</v>
      </c>
      <c r="E131" s="260"/>
      <c r="F131" s="501"/>
      <c r="G131" s="501"/>
      <c r="H131" s="501"/>
      <c r="I131" s="501"/>
      <c r="J131" s="501"/>
      <c r="K131" s="501"/>
      <c r="L131" s="501"/>
      <c r="M131" s="501"/>
      <c r="N131" s="501"/>
      <c r="O131" s="501"/>
    </row>
    <row r="132" spans="2:15" ht="14.95" customHeight="1" x14ac:dyDescent="0.25">
      <c r="B132" s="780" t="s">
        <v>875</v>
      </c>
      <c r="C132" s="257" t="s">
        <v>375</v>
      </c>
      <c r="D132" s="405">
        <f t="shared" si="19"/>
        <v>45</v>
      </c>
      <c r="E132" s="260">
        <v>4</v>
      </c>
      <c r="F132" s="501"/>
      <c r="G132" s="501"/>
      <c r="H132" s="501"/>
      <c r="I132" s="501">
        <f t="shared" si="25"/>
        <v>180</v>
      </c>
      <c r="J132" s="501"/>
      <c r="K132" s="501"/>
      <c r="L132" s="501"/>
      <c r="M132" s="501">
        <f t="shared" si="25"/>
        <v>180</v>
      </c>
      <c r="N132" s="501"/>
      <c r="O132" s="501"/>
    </row>
    <row r="133" spans="2:15" ht="14.95" customHeight="1" x14ac:dyDescent="0.25">
      <c r="B133" s="780" t="s">
        <v>876</v>
      </c>
      <c r="C133" s="257" t="s">
        <v>375</v>
      </c>
      <c r="D133" s="405">
        <f t="shared" si="19"/>
        <v>45</v>
      </c>
      <c r="E133" s="260">
        <v>4</v>
      </c>
      <c r="F133" s="418"/>
      <c r="G133" s="418"/>
      <c r="H133" s="418"/>
      <c r="I133" s="501">
        <f t="shared" si="25"/>
        <v>180</v>
      </c>
      <c r="J133" s="418"/>
      <c r="K133" s="418"/>
      <c r="L133" s="418"/>
      <c r="M133" s="418">
        <f t="shared" si="25"/>
        <v>180</v>
      </c>
      <c r="N133" s="418"/>
      <c r="O133" s="418"/>
    </row>
    <row r="134" spans="2:15" ht="14.95" customHeight="1" x14ac:dyDescent="0.25">
      <c r="B134" s="780" t="s">
        <v>877</v>
      </c>
      <c r="C134" s="257" t="s">
        <v>375</v>
      </c>
      <c r="D134" s="405">
        <f t="shared" si="19"/>
        <v>45</v>
      </c>
      <c r="E134" s="260">
        <v>4</v>
      </c>
      <c r="F134" s="501"/>
      <c r="G134" s="501"/>
      <c r="H134" s="501"/>
      <c r="I134" s="501">
        <f t="shared" si="25"/>
        <v>180</v>
      </c>
      <c r="J134" s="501"/>
      <c r="K134" s="501"/>
      <c r="L134" s="501"/>
      <c r="M134" s="501">
        <f t="shared" si="25"/>
        <v>180</v>
      </c>
      <c r="N134" s="501"/>
      <c r="O134" s="501"/>
    </row>
    <row r="135" spans="2:15" ht="14.95" customHeight="1" x14ac:dyDescent="0.25">
      <c r="B135" s="780" t="s">
        <v>878</v>
      </c>
      <c r="C135" s="257" t="s">
        <v>375</v>
      </c>
      <c r="D135" s="405">
        <f t="shared" si="19"/>
        <v>45</v>
      </c>
      <c r="E135" s="260">
        <v>2</v>
      </c>
      <c r="F135" s="501"/>
      <c r="G135" s="501"/>
      <c r="H135" s="501"/>
      <c r="I135" s="501">
        <f t="shared" ref="I135:J143" si="26">$D135*$E135</f>
        <v>90</v>
      </c>
      <c r="J135" s="501"/>
      <c r="K135" s="501"/>
      <c r="L135" s="501"/>
      <c r="M135" s="501">
        <f t="shared" ref="M135:M142" si="27">$D135*$E135</f>
        <v>90</v>
      </c>
      <c r="N135" s="501"/>
      <c r="O135" s="501"/>
    </row>
    <row r="136" spans="2:15" ht="14.95" customHeight="1" x14ac:dyDescent="0.25">
      <c r="B136" s="780" t="s">
        <v>879</v>
      </c>
      <c r="C136" s="257" t="s">
        <v>375</v>
      </c>
      <c r="D136" s="405">
        <f t="shared" si="19"/>
        <v>45</v>
      </c>
      <c r="E136" s="260">
        <v>24</v>
      </c>
      <c r="F136" s="501"/>
      <c r="G136" s="501"/>
      <c r="H136" s="501"/>
      <c r="I136" s="501">
        <f t="shared" si="26"/>
        <v>1080</v>
      </c>
      <c r="J136" s="501"/>
      <c r="K136" s="501"/>
      <c r="L136" s="501"/>
      <c r="M136" s="501">
        <f t="shared" si="27"/>
        <v>1080</v>
      </c>
      <c r="N136" s="501"/>
      <c r="O136" s="501"/>
    </row>
    <row r="137" spans="2:15" ht="14.95" customHeight="1" x14ac:dyDescent="0.25">
      <c r="B137" s="780" t="s">
        <v>880</v>
      </c>
      <c r="C137" s="257" t="s">
        <v>375</v>
      </c>
      <c r="D137" s="405">
        <f t="shared" si="19"/>
        <v>45</v>
      </c>
      <c r="E137" s="260">
        <v>24</v>
      </c>
      <c r="F137" s="501"/>
      <c r="G137" s="501"/>
      <c r="H137" s="501"/>
      <c r="I137" s="501">
        <f t="shared" si="26"/>
        <v>1080</v>
      </c>
      <c r="J137" s="501"/>
      <c r="K137" s="501"/>
      <c r="L137" s="501"/>
      <c r="M137" s="501">
        <f t="shared" si="27"/>
        <v>1080</v>
      </c>
      <c r="N137" s="501"/>
      <c r="O137" s="501"/>
    </row>
    <row r="138" spans="2:15" ht="14.95" customHeight="1" x14ac:dyDescent="0.25">
      <c r="B138" s="780" t="s">
        <v>881</v>
      </c>
      <c r="C138" s="257" t="s">
        <v>375</v>
      </c>
      <c r="D138" s="405">
        <f t="shared" si="19"/>
        <v>45</v>
      </c>
      <c r="E138" s="260">
        <v>24</v>
      </c>
      <c r="F138" s="501"/>
      <c r="G138" s="501"/>
      <c r="H138" s="501"/>
      <c r="I138" s="501">
        <f t="shared" si="26"/>
        <v>1080</v>
      </c>
      <c r="J138" s="501"/>
      <c r="K138" s="501"/>
      <c r="L138" s="501"/>
      <c r="M138" s="501">
        <f t="shared" si="27"/>
        <v>1080</v>
      </c>
      <c r="N138" s="501"/>
      <c r="O138" s="501"/>
    </row>
    <row r="139" spans="2:15" ht="14.95" customHeight="1" x14ac:dyDescent="0.25">
      <c r="B139" s="780" t="s">
        <v>882</v>
      </c>
      <c r="C139" s="257" t="s">
        <v>375</v>
      </c>
      <c r="D139" s="405">
        <f t="shared" si="19"/>
        <v>45</v>
      </c>
      <c r="E139" s="260">
        <v>24</v>
      </c>
      <c r="F139" s="418"/>
      <c r="G139" s="418"/>
      <c r="H139" s="418"/>
      <c r="I139" s="501">
        <f t="shared" si="26"/>
        <v>1080</v>
      </c>
      <c r="J139" s="418"/>
      <c r="K139" s="418"/>
      <c r="L139" s="418"/>
      <c r="M139" s="418">
        <f t="shared" si="27"/>
        <v>1080</v>
      </c>
      <c r="N139" s="418"/>
      <c r="O139" s="418"/>
    </row>
    <row r="140" spans="2:15" ht="14.95" customHeight="1" x14ac:dyDescent="0.25">
      <c r="B140" s="780" t="s">
        <v>883</v>
      </c>
      <c r="C140" s="257" t="s">
        <v>375</v>
      </c>
      <c r="D140" s="405">
        <f t="shared" si="19"/>
        <v>45</v>
      </c>
      <c r="E140" s="260">
        <v>4</v>
      </c>
      <c r="F140" s="501"/>
      <c r="G140" s="501"/>
      <c r="H140" s="501"/>
      <c r="I140" s="501">
        <f t="shared" si="26"/>
        <v>180</v>
      </c>
      <c r="J140" s="501"/>
      <c r="K140" s="501"/>
      <c r="L140" s="501"/>
      <c r="M140" s="501">
        <f t="shared" si="27"/>
        <v>180</v>
      </c>
      <c r="N140" s="501"/>
      <c r="O140" s="501"/>
    </row>
    <row r="141" spans="2:15" ht="14.95" customHeight="1" x14ac:dyDescent="0.25">
      <c r="B141" s="780" t="s">
        <v>884</v>
      </c>
      <c r="C141" s="257" t="s">
        <v>375</v>
      </c>
      <c r="D141" s="405">
        <f t="shared" si="19"/>
        <v>45</v>
      </c>
      <c r="E141" s="260">
        <v>8</v>
      </c>
      <c r="F141" s="501"/>
      <c r="G141" s="501"/>
      <c r="H141" s="501"/>
      <c r="I141" s="501">
        <f t="shared" si="26"/>
        <v>360</v>
      </c>
      <c r="J141" s="501"/>
      <c r="K141" s="501"/>
      <c r="L141" s="501"/>
      <c r="M141" s="501">
        <f t="shared" si="27"/>
        <v>360</v>
      </c>
      <c r="N141" s="501"/>
      <c r="O141" s="501"/>
    </row>
    <row r="142" spans="2:15" ht="14.95" customHeight="1" x14ac:dyDescent="0.25">
      <c r="B142" s="780" t="s">
        <v>885</v>
      </c>
      <c r="C142" s="257" t="s">
        <v>375</v>
      </c>
      <c r="D142" s="405">
        <f t="shared" si="19"/>
        <v>45</v>
      </c>
      <c r="E142" s="260">
        <v>4</v>
      </c>
      <c r="F142" s="501"/>
      <c r="G142" s="501"/>
      <c r="H142" s="501"/>
      <c r="I142" s="501">
        <f t="shared" si="26"/>
        <v>180</v>
      </c>
      <c r="J142" s="501"/>
      <c r="K142" s="501"/>
      <c r="L142" s="501"/>
      <c r="M142" s="501">
        <f t="shared" si="27"/>
        <v>180</v>
      </c>
      <c r="N142" s="501"/>
      <c r="O142" s="501"/>
    </row>
    <row r="143" spans="2:15" ht="14.95" customHeight="1" x14ac:dyDescent="0.25">
      <c r="B143" s="776" t="s">
        <v>886</v>
      </c>
      <c r="C143" s="257" t="s">
        <v>375</v>
      </c>
      <c r="D143" s="405">
        <f t="shared" si="19"/>
        <v>45</v>
      </c>
      <c r="E143" s="260">
        <v>36</v>
      </c>
      <c r="F143" s="501"/>
      <c r="G143" s="501"/>
      <c r="H143" s="501"/>
      <c r="I143" s="501"/>
      <c r="J143" s="501">
        <f t="shared" si="26"/>
        <v>1620</v>
      </c>
      <c r="K143" s="501"/>
      <c r="L143" s="501"/>
      <c r="M143" s="501"/>
      <c r="N143" s="501"/>
      <c r="O143" s="501"/>
    </row>
    <row r="144" spans="2:15" ht="16.5" customHeight="1" x14ac:dyDescent="0.25">
      <c r="B144" s="404"/>
      <c r="C144" s="257"/>
      <c r="D144" s="405"/>
      <c r="E144" s="260"/>
      <c r="F144" s="394"/>
      <c r="G144" s="394"/>
      <c r="H144" s="394"/>
      <c r="I144" s="394"/>
      <c r="J144" s="394"/>
      <c r="K144" s="394"/>
      <c r="L144" s="394"/>
      <c r="M144" s="394"/>
      <c r="N144" s="394"/>
      <c r="O144" s="394"/>
    </row>
    <row r="145" spans="2:15" ht="16.5" customHeight="1" x14ac:dyDescent="0.25">
      <c r="B145" s="404"/>
      <c r="C145" s="257"/>
      <c r="D145" s="405"/>
      <c r="E145" s="260"/>
      <c r="F145" s="394"/>
      <c r="G145" s="394"/>
      <c r="H145" s="394"/>
      <c r="I145" s="394"/>
      <c r="J145" s="394"/>
      <c r="K145" s="394"/>
      <c r="L145" s="394"/>
      <c r="M145" s="394"/>
      <c r="N145" s="394"/>
      <c r="O145" s="394"/>
    </row>
    <row r="146" spans="2:15" ht="16.5" customHeight="1" x14ac:dyDescent="0.25">
      <c r="B146" s="404"/>
      <c r="C146" s="257"/>
      <c r="D146" s="405"/>
      <c r="E146" s="260"/>
      <c r="F146" s="394"/>
      <c r="G146" s="394"/>
      <c r="H146" s="394"/>
      <c r="I146" s="394"/>
      <c r="J146" s="394"/>
      <c r="K146" s="394"/>
      <c r="L146" s="394"/>
      <c r="M146" s="394"/>
      <c r="N146" s="394"/>
      <c r="O146" s="394"/>
    </row>
    <row r="147" spans="2:15" ht="16.5" customHeight="1" x14ac:dyDescent="0.25">
      <c r="B147" s="404"/>
      <c r="C147" s="257"/>
      <c r="D147" s="405"/>
      <c r="E147" s="260"/>
      <c r="F147" s="394"/>
      <c r="G147" s="394"/>
      <c r="H147" s="394"/>
      <c r="I147" s="394"/>
      <c r="J147" s="394"/>
      <c r="K147" s="394"/>
      <c r="L147" s="394"/>
      <c r="M147" s="394"/>
      <c r="N147" s="394"/>
      <c r="O147" s="394"/>
    </row>
    <row r="148" spans="2:15" ht="16.5" customHeight="1" thickBot="1" x14ac:dyDescent="0.3">
      <c r="B148" s="576"/>
      <c r="C148" s="374"/>
      <c r="D148" s="577"/>
      <c r="E148" s="383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</row>
    <row r="149" spans="2:15" x14ac:dyDescent="0.25">
      <c r="B149" s="384"/>
      <c r="E149" s="412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</row>
    <row r="150" spans="2:15" ht="14.95" thickBot="1" x14ac:dyDescent="0.3">
      <c r="B150" s="387" t="s">
        <v>389</v>
      </c>
      <c r="F150" s="303"/>
    </row>
    <row r="151" spans="2:15" ht="43.5" customHeight="1" x14ac:dyDescent="0.25">
      <c r="B151" s="336" t="s">
        <v>390</v>
      </c>
      <c r="C151" s="337" t="s">
        <v>391</v>
      </c>
      <c r="D151" s="337" t="s">
        <v>392</v>
      </c>
      <c r="E151" s="337" t="s">
        <v>393</v>
      </c>
      <c r="F151" s="340" t="s">
        <v>292</v>
      </c>
      <c r="G151" s="340" t="s">
        <v>292</v>
      </c>
      <c r="H151" s="340" t="s">
        <v>292</v>
      </c>
      <c r="I151" s="340" t="s">
        <v>292</v>
      </c>
      <c r="J151" s="340" t="s">
        <v>292</v>
      </c>
      <c r="K151" s="340" t="s">
        <v>292</v>
      </c>
      <c r="L151" s="340" t="s">
        <v>292</v>
      </c>
      <c r="M151" s="340" t="s">
        <v>292</v>
      </c>
      <c r="N151" s="340" t="s">
        <v>292</v>
      </c>
      <c r="O151" s="340" t="s">
        <v>292</v>
      </c>
    </row>
    <row r="152" spans="2:15" ht="28.55" customHeight="1" x14ac:dyDescent="0.25">
      <c r="B152" s="379" t="s">
        <v>394</v>
      </c>
      <c r="C152" s="247"/>
      <c r="D152" s="247"/>
      <c r="E152" s="247"/>
      <c r="F152" s="346">
        <f>SUM(F153:F157)</f>
        <v>0</v>
      </c>
      <c r="G152" s="346">
        <f t="shared" ref="G152:O152" si="28">SUM(G153:G157)</f>
        <v>0</v>
      </c>
      <c r="H152" s="346">
        <f t="shared" si="28"/>
        <v>0</v>
      </c>
      <c r="I152" s="346">
        <f t="shared" si="28"/>
        <v>0</v>
      </c>
      <c r="J152" s="346">
        <f t="shared" si="28"/>
        <v>0</v>
      </c>
      <c r="K152" s="346">
        <f t="shared" si="28"/>
        <v>0</v>
      </c>
      <c r="L152" s="346">
        <f t="shared" si="28"/>
        <v>0</v>
      </c>
      <c r="M152" s="346">
        <f t="shared" si="28"/>
        <v>0</v>
      </c>
      <c r="N152" s="346">
        <f t="shared" si="28"/>
        <v>0</v>
      </c>
      <c r="O152" s="346">
        <f t="shared" si="28"/>
        <v>0</v>
      </c>
    </row>
    <row r="153" spans="2:15" x14ac:dyDescent="0.25">
      <c r="B153" s="496" t="s">
        <v>482</v>
      </c>
      <c r="C153" s="354">
        <v>0</v>
      </c>
      <c r="D153" s="497">
        <v>500</v>
      </c>
      <c r="E153" s="258">
        <v>5</v>
      </c>
      <c r="F153" s="476">
        <f>$E153*$C153</f>
        <v>0</v>
      </c>
      <c r="G153" s="476">
        <f t="shared" ref="G153:O153" si="29">$E153*$C153</f>
        <v>0</v>
      </c>
      <c r="H153" s="476">
        <f t="shared" si="29"/>
        <v>0</v>
      </c>
      <c r="I153" s="476">
        <f t="shared" si="29"/>
        <v>0</v>
      </c>
      <c r="J153" s="476">
        <f t="shared" si="29"/>
        <v>0</v>
      </c>
      <c r="K153" s="476">
        <f t="shared" si="29"/>
        <v>0</v>
      </c>
      <c r="L153" s="476">
        <f t="shared" si="29"/>
        <v>0</v>
      </c>
      <c r="M153" s="476">
        <f t="shared" si="29"/>
        <v>0</v>
      </c>
      <c r="N153" s="476">
        <f t="shared" si="29"/>
        <v>0</v>
      </c>
      <c r="O153" s="476">
        <f t="shared" si="29"/>
        <v>0</v>
      </c>
    </row>
    <row r="154" spans="2:15" x14ac:dyDescent="0.25">
      <c r="B154" s="496" t="s">
        <v>483</v>
      </c>
      <c r="C154" s="354">
        <v>0</v>
      </c>
      <c r="D154" s="497">
        <v>1000</v>
      </c>
      <c r="E154" s="258">
        <v>4</v>
      </c>
      <c r="F154" s="476">
        <f t="shared" ref="F154:O157" si="30">$E154*$C154</f>
        <v>0</v>
      </c>
      <c r="G154" s="476">
        <f t="shared" si="30"/>
        <v>0</v>
      </c>
      <c r="H154" s="476">
        <f t="shared" si="30"/>
        <v>0</v>
      </c>
      <c r="I154" s="476">
        <f t="shared" si="30"/>
        <v>0</v>
      </c>
      <c r="J154" s="476">
        <f t="shared" si="30"/>
        <v>0</v>
      </c>
      <c r="K154" s="476">
        <f t="shared" si="30"/>
        <v>0</v>
      </c>
      <c r="L154" s="476">
        <f t="shared" si="30"/>
        <v>0</v>
      </c>
      <c r="M154" s="476">
        <f t="shared" si="30"/>
        <v>0</v>
      </c>
      <c r="N154" s="476">
        <f t="shared" si="30"/>
        <v>0</v>
      </c>
      <c r="O154" s="476">
        <f t="shared" si="30"/>
        <v>0</v>
      </c>
    </row>
    <row r="155" spans="2:15" x14ac:dyDescent="0.25">
      <c r="B155" s="496" t="s">
        <v>484</v>
      </c>
      <c r="C155" s="354">
        <v>0</v>
      </c>
      <c r="D155" s="497">
        <v>2000</v>
      </c>
      <c r="E155" s="258">
        <v>3</v>
      </c>
      <c r="F155" s="476">
        <f t="shared" si="30"/>
        <v>0</v>
      </c>
      <c r="G155" s="476">
        <f t="shared" si="30"/>
        <v>0</v>
      </c>
      <c r="H155" s="476">
        <f t="shared" si="30"/>
        <v>0</v>
      </c>
      <c r="I155" s="476">
        <f t="shared" si="30"/>
        <v>0</v>
      </c>
      <c r="J155" s="476">
        <f t="shared" si="30"/>
        <v>0</v>
      </c>
      <c r="K155" s="476">
        <f t="shared" si="30"/>
        <v>0</v>
      </c>
      <c r="L155" s="476">
        <f t="shared" si="30"/>
        <v>0</v>
      </c>
      <c r="M155" s="476">
        <f t="shared" si="30"/>
        <v>0</v>
      </c>
      <c r="N155" s="476">
        <f t="shared" si="30"/>
        <v>0</v>
      </c>
      <c r="O155" s="476">
        <f t="shared" si="30"/>
        <v>0</v>
      </c>
    </row>
    <row r="156" spans="2:15" x14ac:dyDescent="0.25">
      <c r="B156" s="496" t="s">
        <v>485</v>
      </c>
      <c r="C156" s="354">
        <v>0</v>
      </c>
      <c r="D156" s="497">
        <v>4000</v>
      </c>
      <c r="E156" s="258">
        <v>2</v>
      </c>
      <c r="F156" s="476">
        <f t="shared" si="30"/>
        <v>0</v>
      </c>
      <c r="G156" s="476">
        <f t="shared" si="30"/>
        <v>0</v>
      </c>
      <c r="H156" s="476">
        <f t="shared" si="30"/>
        <v>0</v>
      </c>
      <c r="I156" s="476">
        <f t="shared" si="30"/>
        <v>0</v>
      </c>
      <c r="J156" s="476">
        <f t="shared" si="30"/>
        <v>0</v>
      </c>
      <c r="K156" s="476">
        <f t="shared" si="30"/>
        <v>0</v>
      </c>
      <c r="L156" s="476">
        <f t="shared" si="30"/>
        <v>0</v>
      </c>
      <c r="M156" s="476">
        <f t="shared" si="30"/>
        <v>0</v>
      </c>
      <c r="N156" s="476">
        <f t="shared" si="30"/>
        <v>0</v>
      </c>
      <c r="O156" s="476">
        <f t="shared" si="30"/>
        <v>0</v>
      </c>
    </row>
    <row r="157" spans="2:15" x14ac:dyDescent="0.25">
      <c r="B157" s="496" t="s">
        <v>486</v>
      </c>
      <c r="C157" s="354">
        <v>0</v>
      </c>
      <c r="D157" s="497">
        <v>6000</v>
      </c>
      <c r="E157" s="258">
        <v>1</v>
      </c>
      <c r="F157" s="476">
        <f t="shared" si="30"/>
        <v>0</v>
      </c>
      <c r="G157" s="476">
        <f t="shared" si="30"/>
        <v>0</v>
      </c>
      <c r="H157" s="476">
        <f t="shared" si="30"/>
        <v>0</v>
      </c>
      <c r="I157" s="476">
        <f t="shared" si="30"/>
        <v>0</v>
      </c>
      <c r="J157" s="476">
        <f t="shared" si="30"/>
        <v>0</v>
      </c>
      <c r="K157" s="476">
        <f t="shared" si="30"/>
        <v>0</v>
      </c>
      <c r="L157" s="476">
        <f t="shared" si="30"/>
        <v>0</v>
      </c>
      <c r="M157" s="476">
        <f t="shared" si="30"/>
        <v>0</v>
      </c>
      <c r="N157" s="476">
        <f t="shared" si="30"/>
        <v>0</v>
      </c>
      <c r="O157" s="476">
        <f t="shared" si="30"/>
        <v>0</v>
      </c>
    </row>
    <row r="158" spans="2:15" ht="47.25" customHeight="1" x14ac:dyDescent="0.25">
      <c r="B158" s="379" t="s">
        <v>284</v>
      </c>
      <c r="C158" s="247" t="s">
        <v>391</v>
      </c>
      <c r="D158" s="247" t="s">
        <v>392</v>
      </c>
      <c r="E158" s="247" t="s">
        <v>393</v>
      </c>
      <c r="F158" s="346">
        <f t="shared" ref="F158:O158" si="31">SUM(F159:F222)</f>
        <v>4931.0352762000002</v>
      </c>
      <c r="G158" s="346">
        <f t="shared" si="31"/>
        <v>88530.269182154589</v>
      </c>
      <c r="H158" s="346">
        <f t="shared" si="31"/>
        <v>701511.1192794001</v>
      </c>
      <c r="I158" s="346">
        <f t="shared" si="31"/>
        <v>2494289.9267764832</v>
      </c>
      <c r="J158" s="346">
        <f t="shared" si="31"/>
        <v>7014.0352762000002</v>
      </c>
      <c r="K158" s="346">
        <f t="shared" si="31"/>
        <v>785110.35318535462</v>
      </c>
      <c r="L158" s="346">
        <f t="shared" si="31"/>
        <v>4931.0352762000002</v>
      </c>
      <c r="M158" s="346">
        <f t="shared" si="31"/>
        <v>2494289.9267764832</v>
      </c>
      <c r="N158" s="346">
        <f t="shared" si="31"/>
        <v>4931.0352762000002</v>
      </c>
      <c r="O158" s="346">
        <f t="shared" si="31"/>
        <v>4931.0352762000002</v>
      </c>
    </row>
    <row r="159" spans="2:15" ht="15.65" x14ac:dyDescent="0.25">
      <c r="B159" s="783" t="s">
        <v>395</v>
      </c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</row>
    <row r="160" spans="2:15" ht="15.65" x14ac:dyDescent="0.25">
      <c r="B160" s="784" t="s">
        <v>828</v>
      </c>
      <c r="C160" s="292">
        <v>551673.79392299999</v>
      </c>
      <c r="D160" s="785">
        <v>21000</v>
      </c>
      <c r="E160" s="268">
        <v>1</v>
      </c>
      <c r="F160" s="501"/>
      <c r="G160" s="501"/>
      <c r="H160" s="501">
        <f>$C160*$E160</f>
        <v>551673.79392299999</v>
      </c>
      <c r="I160" s="501"/>
      <c r="J160" s="501"/>
      <c r="K160" s="501">
        <f>$C160*$E160</f>
        <v>551673.79392299999</v>
      </c>
      <c r="L160" s="501"/>
      <c r="M160" s="501"/>
      <c r="N160" s="501"/>
      <c r="O160" s="501"/>
    </row>
    <row r="161" spans="2:16" ht="15.65" x14ac:dyDescent="0.25">
      <c r="B161" s="775" t="s">
        <v>829</v>
      </c>
      <c r="C161" s="292">
        <v>144906.29008020001</v>
      </c>
      <c r="D161" s="785">
        <v>21000</v>
      </c>
      <c r="E161" s="268">
        <v>1</v>
      </c>
      <c r="F161" s="501"/>
      <c r="G161" s="501"/>
      <c r="H161" s="501">
        <f>$C161*$E161</f>
        <v>144906.29008020001</v>
      </c>
      <c r="I161" s="501"/>
      <c r="J161" s="501"/>
      <c r="K161" s="501">
        <f>$C161*$E161</f>
        <v>144906.29008020001</v>
      </c>
      <c r="L161" s="501"/>
      <c r="M161" s="501"/>
      <c r="N161" s="501"/>
      <c r="O161" s="501"/>
    </row>
    <row r="162" spans="2:16" ht="15.65" x14ac:dyDescent="0.25">
      <c r="B162" s="775" t="s">
        <v>830</v>
      </c>
      <c r="C162" s="292">
        <v>1252.146</v>
      </c>
      <c r="D162" s="785">
        <v>14000</v>
      </c>
      <c r="E162" s="268">
        <v>1</v>
      </c>
      <c r="F162" s="501"/>
      <c r="G162" s="501">
        <f>$C162*$E162</f>
        <v>1252.146</v>
      </c>
      <c r="H162" s="501"/>
      <c r="I162" s="501">
        <f>$C162*$E162</f>
        <v>1252.146</v>
      </c>
      <c r="J162" s="501"/>
      <c r="K162" s="501">
        <f>$C162*$E162</f>
        <v>1252.146</v>
      </c>
      <c r="L162" s="501"/>
      <c r="M162" s="501">
        <f>$C162*$E162</f>
        <v>1252.146</v>
      </c>
      <c r="N162" s="501"/>
      <c r="O162" s="501"/>
    </row>
    <row r="163" spans="2:16" ht="15.65" x14ac:dyDescent="0.25">
      <c r="B163" s="775" t="s">
        <v>831</v>
      </c>
      <c r="C163" s="292">
        <v>1533.24</v>
      </c>
      <c r="D163" s="785">
        <v>14000</v>
      </c>
      <c r="E163" s="268">
        <v>2</v>
      </c>
      <c r="F163" s="501"/>
      <c r="G163" s="501">
        <f>$C163*$E163</f>
        <v>3066.48</v>
      </c>
      <c r="H163" s="501"/>
      <c r="I163" s="501">
        <f>$C163*$E163</f>
        <v>3066.48</v>
      </c>
      <c r="J163" s="501"/>
      <c r="K163" s="501">
        <f>$C163*$E163</f>
        <v>3066.48</v>
      </c>
      <c r="L163" s="501"/>
      <c r="M163" s="501">
        <f>$C163*$E163</f>
        <v>3066.48</v>
      </c>
      <c r="N163" s="501"/>
      <c r="O163" s="501"/>
    </row>
    <row r="164" spans="2:16" ht="15.65" x14ac:dyDescent="0.25">
      <c r="B164" s="776" t="s">
        <v>396</v>
      </c>
      <c r="C164" s="292"/>
      <c r="D164" s="269"/>
      <c r="E164" s="268"/>
      <c r="F164" s="501"/>
      <c r="G164" s="501"/>
      <c r="H164" s="501"/>
      <c r="I164" s="501"/>
      <c r="J164" s="501"/>
      <c r="K164" s="501"/>
      <c r="L164" s="501"/>
      <c r="M164" s="501"/>
      <c r="N164" s="501"/>
      <c r="O164" s="501"/>
    </row>
    <row r="165" spans="2:16" ht="15.65" x14ac:dyDescent="0.25">
      <c r="B165" s="777" t="s">
        <v>832</v>
      </c>
      <c r="C165" s="292">
        <v>364783.99949750002</v>
      </c>
      <c r="D165" s="785">
        <v>28000</v>
      </c>
      <c r="E165" s="268">
        <v>2</v>
      </c>
      <c r="F165" s="501"/>
      <c r="G165" s="501"/>
      <c r="H165" s="501"/>
      <c r="I165" s="501">
        <f>$C165*$E165</f>
        <v>729567.99899500003</v>
      </c>
      <c r="J165" s="501"/>
      <c r="K165" s="501"/>
      <c r="L165" s="501"/>
      <c r="M165" s="501">
        <f>$C165*$E165</f>
        <v>729567.99899500003</v>
      </c>
      <c r="N165" s="501"/>
      <c r="O165" s="501"/>
      <c r="P165" s="786"/>
    </row>
    <row r="166" spans="2:16" ht="15.65" x14ac:dyDescent="0.25">
      <c r="B166" s="777" t="s">
        <v>833</v>
      </c>
      <c r="C166" s="292">
        <v>567576.92254716309</v>
      </c>
      <c r="D166" s="785">
        <v>28000</v>
      </c>
      <c r="E166" s="268">
        <v>1</v>
      </c>
      <c r="F166" s="501"/>
      <c r="G166" s="501"/>
      <c r="H166" s="501"/>
      <c r="I166" s="501">
        <f>$C166*$E166</f>
        <v>567576.92254716309</v>
      </c>
      <c r="J166" s="501"/>
      <c r="K166" s="501"/>
      <c r="L166" s="501"/>
      <c r="M166" s="501">
        <f>$C166*$E166</f>
        <v>567576.92254716309</v>
      </c>
      <c r="N166" s="501"/>
      <c r="O166" s="501"/>
    </row>
    <row r="167" spans="2:16" ht="15.65" x14ac:dyDescent="0.25">
      <c r="B167" s="778" t="s">
        <v>834</v>
      </c>
      <c r="C167" s="292">
        <v>188665.84640400001</v>
      </c>
      <c r="D167" s="785">
        <v>28000</v>
      </c>
      <c r="E167" s="268">
        <v>1</v>
      </c>
      <c r="F167" s="501"/>
      <c r="G167" s="501"/>
      <c r="H167" s="501"/>
      <c r="I167" s="501">
        <f>$C167*$E167</f>
        <v>188665.84640400001</v>
      </c>
      <c r="J167" s="501"/>
      <c r="K167" s="501"/>
      <c r="L167" s="501"/>
      <c r="M167" s="501">
        <f>$C167*$E167</f>
        <v>188665.84640400001</v>
      </c>
      <c r="N167" s="501"/>
      <c r="O167" s="501"/>
    </row>
    <row r="168" spans="2:16" ht="15.65" x14ac:dyDescent="0.25">
      <c r="B168" s="776" t="s">
        <v>835</v>
      </c>
      <c r="C168" s="292"/>
      <c r="D168" s="269"/>
      <c r="E168" s="268"/>
      <c r="F168" s="501"/>
      <c r="G168" s="501"/>
      <c r="H168" s="501"/>
      <c r="I168" s="501"/>
      <c r="J168" s="501"/>
      <c r="K168" s="501"/>
      <c r="L168" s="501"/>
      <c r="M168" s="501"/>
      <c r="N168" s="501"/>
      <c r="O168" s="501"/>
    </row>
    <row r="169" spans="2:16" ht="15.65" x14ac:dyDescent="0.25">
      <c r="B169" s="779" t="s">
        <v>836</v>
      </c>
      <c r="C169" s="292">
        <v>22237.972027915417</v>
      </c>
      <c r="D169" s="269">
        <v>14000</v>
      </c>
      <c r="E169" s="268">
        <v>1</v>
      </c>
      <c r="F169" s="501"/>
      <c r="G169" s="501">
        <f>$C169*$E169</f>
        <v>22237.972027915417</v>
      </c>
      <c r="H169" s="501"/>
      <c r="I169" s="501">
        <f>$C169*$E169</f>
        <v>22237.972027915417</v>
      </c>
      <c r="J169" s="501"/>
      <c r="K169" s="501">
        <f>$C169*$E169</f>
        <v>22237.972027915417</v>
      </c>
      <c r="L169" s="501"/>
      <c r="M169" s="501">
        <f>$C169*$E169</f>
        <v>22237.972027915417</v>
      </c>
      <c r="N169" s="501"/>
      <c r="O169" s="501"/>
    </row>
    <row r="170" spans="2:16" ht="15.65" x14ac:dyDescent="0.25">
      <c r="B170" s="779" t="s">
        <v>837</v>
      </c>
      <c r="C170" s="292">
        <v>3217.0400154750005</v>
      </c>
      <c r="D170" s="269">
        <v>14000</v>
      </c>
      <c r="E170" s="268">
        <v>2</v>
      </c>
      <c r="F170" s="501"/>
      <c r="G170" s="501">
        <f>$C170*$E170</f>
        <v>6434.0800309500009</v>
      </c>
      <c r="H170" s="501"/>
      <c r="I170" s="501">
        <f>$C170*$E170</f>
        <v>6434.0800309500009</v>
      </c>
      <c r="J170" s="501"/>
      <c r="K170" s="501">
        <f>$C170*$E170</f>
        <v>6434.0800309500009</v>
      </c>
      <c r="L170" s="501"/>
      <c r="M170" s="501">
        <f>$C170*$E170</f>
        <v>6434.0800309500009</v>
      </c>
      <c r="N170" s="501"/>
      <c r="O170" s="501"/>
    </row>
    <row r="171" spans="2:16" ht="15.65" x14ac:dyDescent="0.25">
      <c r="B171" s="780" t="s">
        <v>838</v>
      </c>
      <c r="C171" s="292">
        <v>5395.6628103949997</v>
      </c>
      <c r="D171" s="269">
        <v>28000</v>
      </c>
      <c r="E171" s="268">
        <v>1</v>
      </c>
      <c r="F171" s="501"/>
      <c r="G171" s="501"/>
      <c r="H171" s="501"/>
      <c r="I171" s="501">
        <f>$C171*$E171</f>
        <v>5395.6628103949997</v>
      </c>
      <c r="J171" s="501"/>
      <c r="K171" s="501"/>
      <c r="L171" s="501"/>
      <c r="M171" s="501">
        <f>$C171*$E171</f>
        <v>5395.6628103949997</v>
      </c>
      <c r="N171" s="501"/>
      <c r="O171" s="501"/>
    </row>
    <row r="172" spans="2:16" ht="15.65" x14ac:dyDescent="0.25">
      <c r="B172" s="780" t="s">
        <v>839</v>
      </c>
      <c r="C172" s="292">
        <v>2431.0544205566671</v>
      </c>
      <c r="D172" s="269">
        <v>28000</v>
      </c>
      <c r="E172" s="268">
        <v>1</v>
      </c>
      <c r="F172" s="501"/>
      <c r="G172" s="501"/>
      <c r="H172" s="501"/>
      <c r="I172" s="501">
        <f t="shared" ref="I172:I178" si="32">$C172*$E172</f>
        <v>2431.0544205566671</v>
      </c>
      <c r="J172" s="501"/>
      <c r="K172" s="501"/>
      <c r="L172" s="501"/>
      <c r="M172" s="501">
        <f t="shared" ref="M172:M178" si="33">$C172*$E172</f>
        <v>2431.0544205566671</v>
      </c>
      <c r="N172" s="501"/>
      <c r="O172" s="501"/>
    </row>
    <row r="173" spans="2:16" ht="15.65" x14ac:dyDescent="0.25">
      <c r="B173" s="780" t="s">
        <v>840</v>
      </c>
      <c r="C173" s="292">
        <v>83.998753927916681</v>
      </c>
      <c r="D173" s="269">
        <v>28000</v>
      </c>
      <c r="E173" s="268">
        <v>3</v>
      </c>
      <c r="F173" s="501"/>
      <c r="G173" s="501"/>
      <c r="H173" s="501"/>
      <c r="I173" s="501">
        <f t="shared" si="32"/>
        <v>251.99626178375004</v>
      </c>
      <c r="J173" s="501"/>
      <c r="K173" s="501"/>
      <c r="L173" s="501"/>
      <c r="M173" s="501">
        <f t="shared" si="33"/>
        <v>251.99626178375004</v>
      </c>
      <c r="N173" s="501"/>
      <c r="O173" s="501"/>
    </row>
    <row r="174" spans="2:16" ht="15.65" x14ac:dyDescent="0.25">
      <c r="B174" s="780" t="s">
        <v>841</v>
      </c>
      <c r="C174" s="292">
        <v>2876.4503621700005</v>
      </c>
      <c r="D174" s="269">
        <v>28000</v>
      </c>
      <c r="E174" s="268">
        <v>2</v>
      </c>
      <c r="F174" s="501"/>
      <c r="G174" s="501"/>
      <c r="H174" s="501"/>
      <c r="I174" s="501">
        <f t="shared" si="32"/>
        <v>5752.900724340001</v>
      </c>
      <c r="J174" s="501"/>
      <c r="K174" s="501"/>
      <c r="L174" s="501"/>
      <c r="M174" s="501">
        <f t="shared" si="33"/>
        <v>5752.900724340001</v>
      </c>
      <c r="N174" s="501"/>
      <c r="O174" s="501"/>
    </row>
    <row r="175" spans="2:16" ht="15.65" x14ac:dyDescent="0.25">
      <c r="B175" s="780" t="s">
        <v>842</v>
      </c>
      <c r="C175" s="292">
        <v>8.1077855420833345</v>
      </c>
      <c r="D175" s="269">
        <v>28000</v>
      </c>
      <c r="E175" s="268">
        <v>1</v>
      </c>
      <c r="F175" s="501"/>
      <c r="G175" s="501"/>
      <c r="H175" s="501"/>
      <c r="I175" s="501">
        <f t="shared" si="32"/>
        <v>8.1077855420833345</v>
      </c>
      <c r="J175" s="501"/>
      <c r="K175" s="501"/>
      <c r="L175" s="501"/>
      <c r="M175" s="501">
        <f t="shared" si="33"/>
        <v>8.1077855420833345</v>
      </c>
      <c r="N175" s="501"/>
      <c r="O175" s="501"/>
    </row>
    <row r="176" spans="2:16" ht="18" customHeight="1" x14ac:dyDescent="0.25">
      <c r="B176" s="780" t="s">
        <v>843</v>
      </c>
      <c r="C176" s="292">
        <v>5339.9621212941665</v>
      </c>
      <c r="D176" s="269">
        <v>28000</v>
      </c>
      <c r="E176" s="268">
        <v>1</v>
      </c>
      <c r="F176" s="501"/>
      <c r="G176" s="501"/>
      <c r="H176" s="501"/>
      <c r="I176" s="501">
        <f t="shared" si="32"/>
        <v>5339.9621212941665</v>
      </c>
      <c r="J176" s="501"/>
      <c r="K176" s="501"/>
      <c r="L176" s="501"/>
      <c r="M176" s="501">
        <f t="shared" si="33"/>
        <v>5339.9621212941665</v>
      </c>
      <c r="N176" s="501"/>
      <c r="O176" s="501"/>
    </row>
    <row r="177" spans="2:15" ht="15.65" x14ac:dyDescent="0.25">
      <c r="B177" s="780" t="s">
        <v>844</v>
      </c>
      <c r="C177" s="292">
        <v>7465.9654272820844</v>
      </c>
      <c r="D177" s="269">
        <v>28000</v>
      </c>
      <c r="E177" s="268">
        <v>1</v>
      </c>
      <c r="F177" s="418"/>
      <c r="G177" s="418"/>
      <c r="H177" s="501"/>
      <c r="I177" s="501">
        <f t="shared" si="32"/>
        <v>7465.9654272820844</v>
      </c>
      <c r="J177" s="418"/>
      <c r="K177" s="501"/>
      <c r="L177" s="418"/>
      <c r="M177" s="418">
        <f t="shared" si="33"/>
        <v>7465.9654272820844</v>
      </c>
      <c r="N177" s="418"/>
      <c r="O177" s="418"/>
    </row>
    <row r="178" spans="2:15" ht="15.65" x14ac:dyDescent="0.25">
      <c r="B178" s="780" t="s">
        <v>845</v>
      </c>
      <c r="C178" s="292">
        <v>33635.790728485001</v>
      </c>
      <c r="D178" s="269">
        <v>28000</v>
      </c>
      <c r="E178" s="268">
        <v>1</v>
      </c>
      <c r="F178" s="501"/>
      <c r="G178" s="501"/>
      <c r="H178" s="501"/>
      <c r="I178" s="501">
        <f t="shared" si="32"/>
        <v>33635.790728485001</v>
      </c>
      <c r="J178" s="501"/>
      <c r="K178" s="501"/>
      <c r="L178" s="501"/>
      <c r="M178" s="501">
        <f t="shared" si="33"/>
        <v>33635.790728485001</v>
      </c>
      <c r="N178" s="501"/>
      <c r="O178" s="501"/>
    </row>
    <row r="179" spans="2:15" ht="15.65" x14ac:dyDescent="0.25">
      <c r="B179" s="780" t="s">
        <v>846</v>
      </c>
      <c r="C179" s="292">
        <v>31651.406347137505</v>
      </c>
      <c r="D179" s="269">
        <v>14000</v>
      </c>
      <c r="E179" s="268">
        <v>1</v>
      </c>
      <c r="F179" s="501"/>
      <c r="G179" s="501">
        <f>$C179*$E179</f>
        <v>31651.406347137505</v>
      </c>
      <c r="H179" s="501"/>
      <c r="I179" s="501">
        <f>$C179*$E179</f>
        <v>31651.406347137505</v>
      </c>
      <c r="J179" s="501"/>
      <c r="K179" s="501">
        <f>$C179*$E179</f>
        <v>31651.406347137505</v>
      </c>
      <c r="L179" s="501"/>
      <c r="M179" s="501">
        <f>$C179*$E179</f>
        <v>31651.406347137505</v>
      </c>
      <c r="N179" s="501"/>
      <c r="O179" s="501"/>
    </row>
    <row r="180" spans="2:15" ht="15.65" x14ac:dyDescent="0.25">
      <c r="B180" s="780" t="s">
        <v>847</v>
      </c>
      <c r="C180" s="292">
        <v>44929.362224999997</v>
      </c>
      <c r="D180" s="269">
        <v>28000</v>
      </c>
      <c r="E180" s="268">
        <v>1</v>
      </c>
      <c r="F180" s="501"/>
      <c r="G180" s="501"/>
      <c r="H180" s="501"/>
      <c r="I180" s="501">
        <f>$C180*$E180</f>
        <v>44929.362224999997</v>
      </c>
      <c r="J180" s="501"/>
      <c r="K180" s="501"/>
      <c r="L180" s="501"/>
      <c r="M180" s="501">
        <f>$C180*$E180</f>
        <v>44929.362224999997</v>
      </c>
      <c r="N180" s="501"/>
      <c r="O180" s="501"/>
    </row>
    <row r="181" spans="2:15" ht="15.65" x14ac:dyDescent="0.25">
      <c r="B181" s="780" t="s">
        <v>848</v>
      </c>
      <c r="C181" s="292">
        <v>1954.9736332500004</v>
      </c>
      <c r="D181" s="269">
        <v>28000</v>
      </c>
      <c r="E181" s="268">
        <v>1</v>
      </c>
      <c r="F181" s="501"/>
      <c r="G181" s="501"/>
      <c r="H181" s="501"/>
      <c r="I181" s="501">
        <f t="shared" ref="I181:I194" si="34">$C181*$E181</f>
        <v>1954.9736332500004</v>
      </c>
      <c r="J181" s="501"/>
      <c r="K181" s="501"/>
      <c r="L181" s="501"/>
      <c r="M181" s="501">
        <f t="shared" ref="M181:M194" si="35">$C181*$E181</f>
        <v>1954.9736332500004</v>
      </c>
      <c r="N181" s="501"/>
      <c r="O181" s="501"/>
    </row>
    <row r="182" spans="2:15" ht="15.65" x14ac:dyDescent="0.25">
      <c r="B182" s="780" t="s">
        <v>849</v>
      </c>
      <c r="C182" s="292">
        <v>1995.8763239250004</v>
      </c>
      <c r="D182" s="269">
        <v>28000</v>
      </c>
      <c r="E182" s="268">
        <v>1</v>
      </c>
      <c r="F182" s="501"/>
      <c r="G182" s="501"/>
      <c r="H182" s="501"/>
      <c r="I182" s="501">
        <f t="shared" si="34"/>
        <v>1995.8763239250004</v>
      </c>
      <c r="J182" s="501"/>
      <c r="K182" s="501"/>
      <c r="L182" s="501"/>
      <c r="M182" s="501">
        <f t="shared" si="35"/>
        <v>1995.8763239250004</v>
      </c>
      <c r="N182" s="501"/>
      <c r="O182" s="501"/>
    </row>
    <row r="183" spans="2:15" ht="15.65" x14ac:dyDescent="0.25">
      <c r="B183" s="780" t="s">
        <v>850</v>
      </c>
      <c r="C183" s="292">
        <v>4686.9882941750002</v>
      </c>
      <c r="D183" s="269">
        <v>28000</v>
      </c>
      <c r="E183" s="268">
        <v>1</v>
      </c>
      <c r="F183" s="501"/>
      <c r="G183" s="501"/>
      <c r="H183" s="501"/>
      <c r="I183" s="501">
        <f t="shared" si="34"/>
        <v>4686.9882941750002</v>
      </c>
      <c r="J183" s="501"/>
      <c r="K183" s="501"/>
      <c r="L183" s="501"/>
      <c r="M183" s="501">
        <f t="shared" si="35"/>
        <v>4686.9882941750002</v>
      </c>
      <c r="N183" s="501"/>
      <c r="O183" s="501"/>
    </row>
    <row r="184" spans="2:15" ht="15.65" x14ac:dyDescent="0.25">
      <c r="B184" s="780" t="s">
        <v>851</v>
      </c>
      <c r="C184" s="292">
        <v>874.58884424999997</v>
      </c>
      <c r="D184" s="269">
        <v>28000</v>
      </c>
      <c r="E184" s="268">
        <v>1</v>
      </c>
      <c r="F184" s="501"/>
      <c r="G184" s="501"/>
      <c r="H184" s="501"/>
      <c r="I184" s="501">
        <f t="shared" si="34"/>
        <v>874.58884424999997</v>
      </c>
      <c r="J184" s="501"/>
      <c r="K184" s="501"/>
      <c r="L184" s="501"/>
      <c r="M184" s="501">
        <f t="shared" si="35"/>
        <v>874.58884424999997</v>
      </c>
      <c r="N184" s="501"/>
      <c r="O184" s="501"/>
    </row>
    <row r="185" spans="2:15" ht="15.65" x14ac:dyDescent="0.25">
      <c r="B185" s="780" t="s">
        <v>852</v>
      </c>
      <c r="C185" s="292">
        <v>13157.591583225836</v>
      </c>
      <c r="D185" s="269">
        <v>28000</v>
      </c>
      <c r="E185" s="268">
        <v>1</v>
      </c>
      <c r="F185" s="501"/>
      <c r="G185" s="501"/>
      <c r="H185" s="501"/>
      <c r="I185" s="501">
        <f t="shared" si="34"/>
        <v>13157.591583225836</v>
      </c>
      <c r="J185" s="501"/>
      <c r="K185" s="501"/>
      <c r="L185" s="501"/>
      <c r="M185" s="501">
        <f t="shared" si="35"/>
        <v>13157.591583225836</v>
      </c>
      <c r="N185" s="501"/>
      <c r="O185" s="501"/>
    </row>
    <row r="186" spans="2:15" ht="15.65" x14ac:dyDescent="0.25">
      <c r="B186" s="780" t="s">
        <v>853</v>
      </c>
      <c r="C186" s="292">
        <v>312.6909371620834</v>
      </c>
      <c r="D186" s="269">
        <v>28000</v>
      </c>
      <c r="E186" s="268">
        <v>1</v>
      </c>
      <c r="F186" s="501"/>
      <c r="G186" s="501"/>
      <c r="H186" s="501"/>
      <c r="I186" s="501">
        <f t="shared" si="34"/>
        <v>312.6909371620834</v>
      </c>
      <c r="J186" s="501"/>
      <c r="K186" s="501"/>
      <c r="L186" s="501"/>
      <c r="M186" s="501">
        <f t="shared" si="35"/>
        <v>312.6909371620834</v>
      </c>
      <c r="N186" s="501"/>
      <c r="O186" s="501"/>
    </row>
    <row r="187" spans="2:15" ht="15.65" x14ac:dyDescent="0.25">
      <c r="B187" s="780" t="s">
        <v>854</v>
      </c>
      <c r="C187" s="292">
        <v>17293.599348946253</v>
      </c>
      <c r="D187" s="269">
        <v>28000</v>
      </c>
      <c r="E187" s="268">
        <v>1</v>
      </c>
      <c r="F187" s="501"/>
      <c r="G187" s="501"/>
      <c r="H187" s="501"/>
      <c r="I187" s="501">
        <f t="shared" si="34"/>
        <v>17293.599348946253</v>
      </c>
      <c r="J187" s="501"/>
      <c r="K187" s="501"/>
      <c r="L187" s="501"/>
      <c r="M187" s="501">
        <f t="shared" si="35"/>
        <v>17293.599348946253</v>
      </c>
      <c r="N187" s="501"/>
      <c r="O187" s="501"/>
    </row>
    <row r="188" spans="2:15" ht="15.65" x14ac:dyDescent="0.25">
      <c r="B188" s="780" t="s">
        <v>855</v>
      </c>
      <c r="C188" s="292">
        <v>2852.1496297066669</v>
      </c>
      <c r="D188" s="269">
        <v>28000</v>
      </c>
      <c r="E188" s="268">
        <v>4</v>
      </c>
      <c r="F188" s="501"/>
      <c r="G188" s="501"/>
      <c r="H188" s="501"/>
      <c r="I188" s="501">
        <f t="shared" si="34"/>
        <v>11408.598518826668</v>
      </c>
      <c r="J188" s="501"/>
      <c r="K188" s="501"/>
      <c r="L188" s="501"/>
      <c r="M188" s="501">
        <f t="shared" si="35"/>
        <v>11408.598518826668</v>
      </c>
      <c r="N188" s="501"/>
      <c r="O188" s="501"/>
    </row>
    <row r="189" spans="2:15" ht="15.65" x14ac:dyDescent="0.25">
      <c r="B189" s="780" t="s">
        <v>856</v>
      </c>
      <c r="C189" s="292">
        <v>76171.343683132509</v>
      </c>
      <c r="D189" s="269">
        <v>28000</v>
      </c>
      <c r="E189" s="268">
        <v>2</v>
      </c>
      <c r="F189" s="501"/>
      <c r="G189" s="501"/>
      <c r="H189" s="501"/>
      <c r="I189" s="501">
        <f t="shared" si="34"/>
        <v>152342.68736626502</v>
      </c>
      <c r="J189" s="501"/>
      <c r="K189" s="501"/>
      <c r="L189" s="501"/>
      <c r="M189" s="501">
        <f t="shared" si="35"/>
        <v>152342.68736626502</v>
      </c>
      <c r="N189" s="501"/>
      <c r="O189" s="501"/>
    </row>
    <row r="190" spans="2:15" ht="15.65" x14ac:dyDescent="0.25">
      <c r="B190" s="780" t="s">
        <v>857</v>
      </c>
      <c r="C190" s="292">
        <v>69245.714711025415</v>
      </c>
      <c r="D190" s="269">
        <v>28000</v>
      </c>
      <c r="E190" s="268">
        <v>2</v>
      </c>
      <c r="F190" s="501"/>
      <c r="G190" s="501"/>
      <c r="H190" s="501"/>
      <c r="I190" s="501">
        <f t="shared" si="34"/>
        <v>138491.42942205083</v>
      </c>
      <c r="J190" s="501"/>
      <c r="K190" s="501"/>
      <c r="L190" s="501"/>
      <c r="M190" s="501">
        <f t="shared" si="35"/>
        <v>138491.42942205083</v>
      </c>
      <c r="N190" s="501"/>
      <c r="O190" s="501"/>
    </row>
    <row r="191" spans="2:15" ht="15.65" x14ac:dyDescent="0.25">
      <c r="B191" s="780" t="s">
        <v>858</v>
      </c>
      <c r="C191" s="292">
        <v>8263.9633205249993</v>
      </c>
      <c r="D191" s="269">
        <v>28000</v>
      </c>
      <c r="E191" s="268">
        <v>2</v>
      </c>
      <c r="F191" s="501"/>
      <c r="G191" s="501"/>
      <c r="H191" s="501"/>
      <c r="I191" s="501">
        <f t="shared" si="34"/>
        <v>16527.926641049999</v>
      </c>
      <c r="J191" s="501"/>
      <c r="K191" s="501"/>
      <c r="L191" s="501"/>
      <c r="M191" s="501">
        <f t="shared" si="35"/>
        <v>16527.926641049999</v>
      </c>
      <c r="N191" s="501"/>
      <c r="O191" s="501"/>
    </row>
    <row r="192" spans="2:15" ht="15.65" x14ac:dyDescent="0.25">
      <c r="B192" s="780" t="s">
        <v>859</v>
      </c>
      <c r="C192" s="292">
        <v>90149.878023443336</v>
      </c>
      <c r="D192" s="269">
        <v>28000</v>
      </c>
      <c r="E192" s="268">
        <v>2</v>
      </c>
      <c r="F192" s="501"/>
      <c r="G192" s="501"/>
      <c r="H192" s="501"/>
      <c r="I192" s="501">
        <f t="shared" si="34"/>
        <v>180299.75604688667</v>
      </c>
      <c r="J192" s="501"/>
      <c r="K192" s="501"/>
      <c r="L192" s="501"/>
      <c r="M192" s="501">
        <f t="shared" si="35"/>
        <v>180299.75604688667</v>
      </c>
      <c r="N192" s="501"/>
      <c r="O192" s="501"/>
    </row>
    <row r="193" spans="2:15" ht="15.65" x14ac:dyDescent="0.25">
      <c r="B193" s="780" t="s">
        <v>860</v>
      </c>
      <c r="C193" s="292">
        <v>7465.9654272820844</v>
      </c>
      <c r="D193" s="269">
        <v>28000</v>
      </c>
      <c r="E193" s="268">
        <v>1</v>
      </c>
      <c r="F193" s="501"/>
      <c r="G193" s="501"/>
      <c r="H193" s="501"/>
      <c r="I193" s="501">
        <f t="shared" si="34"/>
        <v>7465.9654272820844</v>
      </c>
      <c r="J193" s="501"/>
      <c r="K193" s="501"/>
      <c r="L193" s="501"/>
      <c r="M193" s="501">
        <f t="shared" si="35"/>
        <v>7465.9654272820844</v>
      </c>
      <c r="N193" s="501"/>
      <c r="O193" s="501"/>
    </row>
    <row r="194" spans="2:15" ht="15.65" x14ac:dyDescent="0.25">
      <c r="B194" s="780" t="s">
        <v>845</v>
      </c>
      <c r="C194" s="292">
        <v>33635.790728485001</v>
      </c>
      <c r="D194" s="269">
        <v>28000</v>
      </c>
      <c r="E194" s="268">
        <v>1</v>
      </c>
      <c r="F194" s="501"/>
      <c r="G194" s="501"/>
      <c r="H194" s="501"/>
      <c r="I194" s="501">
        <f t="shared" si="34"/>
        <v>33635.790728485001</v>
      </c>
      <c r="J194" s="501"/>
      <c r="K194" s="501"/>
      <c r="L194" s="501"/>
      <c r="M194" s="501">
        <f t="shared" si="35"/>
        <v>33635.790728485001</v>
      </c>
      <c r="N194" s="501"/>
      <c r="O194" s="501"/>
    </row>
    <row r="195" spans="2:15" ht="15.65" x14ac:dyDescent="0.25">
      <c r="B195" s="781" t="s">
        <v>861</v>
      </c>
      <c r="C195" s="292"/>
      <c r="D195" s="269"/>
      <c r="E195" s="268"/>
      <c r="F195" s="501"/>
      <c r="G195" s="501"/>
      <c r="H195" s="501"/>
      <c r="I195" s="501"/>
      <c r="J195" s="501"/>
      <c r="K195" s="501"/>
      <c r="L195" s="501"/>
      <c r="M195" s="501"/>
      <c r="N195" s="501"/>
      <c r="O195" s="501"/>
    </row>
    <row r="196" spans="2:15" ht="31.25" x14ac:dyDescent="0.25">
      <c r="B196" s="779" t="s">
        <v>862</v>
      </c>
      <c r="C196" s="292">
        <v>433.41883860000002</v>
      </c>
      <c r="D196" s="269">
        <v>7000</v>
      </c>
      <c r="E196" s="268">
        <v>2</v>
      </c>
      <c r="F196" s="501">
        <f>$C196*$E196</f>
        <v>866.83767720000003</v>
      </c>
      <c r="G196" s="501">
        <f t="shared" ref="G196:O198" si="36">$C196*$E196</f>
        <v>866.83767720000003</v>
      </c>
      <c r="H196" s="501">
        <f t="shared" si="36"/>
        <v>866.83767720000003</v>
      </c>
      <c r="I196" s="501">
        <f t="shared" si="36"/>
        <v>866.83767720000003</v>
      </c>
      <c r="J196" s="501">
        <f t="shared" si="36"/>
        <v>866.83767720000003</v>
      </c>
      <c r="K196" s="501">
        <f t="shared" si="36"/>
        <v>866.83767720000003</v>
      </c>
      <c r="L196" s="501">
        <f t="shared" si="36"/>
        <v>866.83767720000003</v>
      </c>
      <c r="M196" s="501">
        <f t="shared" si="36"/>
        <v>866.83767720000003</v>
      </c>
      <c r="N196" s="501">
        <f t="shared" si="36"/>
        <v>866.83767720000003</v>
      </c>
      <c r="O196" s="501">
        <f t="shared" si="36"/>
        <v>866.83767720000003</v>
      </c>
    </row>
    <row r="197" spans="2:15" ht="31.25" x14ac:dyDescent="0.25">
      <c r="B197" s="779" t="s">
        <v>863</v>
      </c>
      <c r="C197" s="292">
        <v>589.73521200000005</v>
      </c>
      <c r="D197" s="269">
        <v>7000</v>
      </c>
      <c r="E197" s="268">
        <v>6</v>
      </c>
      <c r="F197" s="501">
        <f t="shared" ref="F197:F198" si="37">$C197*$E197</f>
        <v>3538.4112720000003</v>
      </c>
      <c r="G197" s="501">
        <f t="shared" si="36"/>
        <v>3538.4112720000003</v>
      </c>
      <c r="H197" s="501">
        <f t="shared" si="36"/>
        <v>3538.4112720000003</v>
      </c>
      <c r="I197" s="501">
        <f t="shared" si="36"/>
        <v>3538.4112720000003</v>
      </c>
      <c r="J197" s="501">
        <f t="shared" si="36"/>
        <v>3538.4112720000003</v>
      </c>
      <c r="K197" s="501">
        <f t="shared" si="36"/>
        <v>3538.4112720000003</v>
      </c>
      <c r="L197" s="501">
        <f t="shared" si="36"/>
        <v>3538.4112720000003</v>
      </c>
      <c r="M197" s="501">
        <f t="shared" si="36"/>
        <v>3538.4112720000003</v>
      </c>
      <c r="N197" s="501">
        <f t="shared" si="36"/>
        <v>3538.4112720000003</v>
      </c>
      <c r="O197" s="501">
        <f t="shared" si="36"/>
        <v>3538.4112720000003</v>
      </c>
    </row>
    <row r="198" spans="2:15" ht="15.65" x14ac:dyDescent="0.25">
      <c r="B198" s="779" t="s">
        <v>864</v>
      </c>
      <c r="C198" s="292">
        <v>262.89316350000001</v>
      </c>
      <c r="D198" s="269">
        <v>7000</v>
      </c>
      <c r="E198" s="268">
        <v>2</v>
      </c>
      <c r="F198" s="501">
        <f t="shared" si="37"/>
        <v>525.78632700000003</v>
      </c>
      <c r="G198" s="501">
        <f t="shared" si="36"/>
        <v>525.78632700000003</v>
      </c>
      <c r="H198" s="501">
        <f t="shared" si="36"/>
        <v>525.78632700000003</v>
      </c>
      <c r="I198" s="501">
        <f t="shared" si="36"/>
        <v>525.78632700000003</v>
      </c>
      <c r="J198" s="501">
        <f t="shared" si="36"/>
        <v>525.78632700000003</v>
      </c>
      <c r="K198" s="501">
        <f t="shared" si="36"/>
        <v>525.78632700000003</v>
      </c>
      <c r="L198" s="501">
        <f t="shared" si="36"/>
        <v>525.78632700000003</v>
      </c>
      <c r="M198" s="501">
        <f t="shared" si="36"/>
        <v>525.78632700000003</v>
      </c>
      <c r="N198" s="501">
        <f t="shared" si="36"/>
        <v>525.78632700000003</v>
      </c>
      <c r="O198" s="501">
        <f t="shared" si="36"/>
        <v>525.78632700000003</v>
      </c>
    </row>
    <row r="199" spans="2:15" ht="31.25" x14ac:dyDescent="0.25">
      <c r="B199" s="780" t="s">
        <v>865</v>
      </c>
      <c r="C199" s="292">
        <v>737.04252269999995</v>
      </c>
      <c r="D199" s="269">
        <v>14000</v>
      </c>
      <c r="E199" s="268">
        <v>2</v>
      </c>
      <c r="F199" s="501"/>
      <c r="G199" s="501">
        <f>$C199*$E199</f>
        <v>1474.0850453999999</v>
      </c>
      <c r="H199" s="501"/>
      <c r="I199" s="501">
        <f>$C199*$E199</f>
        <v>1474.0850453999999</v>
      </c>
      <c r="J199" s="501"/>
      <c r="K199" s="501">
        <f>$C199*$E199</f>
        <v>1474.0850453999999</v>
      </c>
      <c r="L199" s="501"/>
      <c r="M199" s="501">
        <f>$C199*$E199</f>
        <v>1474.0850453999999</v>
      </c>
      <c r="N199" s="501"/>
      <c r="O199" s="501"/>
    </row>
    <row r="200" spans="2:15" ht="31.25" x14ac:dyDescent="0.25">
      <c r="B200" s="780" t="s">
        <v>866</v>
      </c>
      <c r="C200" s="292">
        <v>1028.8989092249999</v>
      </c>
      <c r="D200" s="269">
        <v>14000</v>
      </c>
      <c r="E200" s="268">
        <v>6</v>
      </c>
      <c r="F200" s="501"/>
      <c r="G200" s="501">
        <f t="shared" ref="G200:M202" si="38">$C200*$E200</f>
        <v>6173.3934553499994</v>
      </c>
      <c r="H200" s="501"/>
      <c r="I200" s="501">
        <f t="shared" si="38"/>
        <v>6173.3934553499994</v>
      </c>
      <c r="J200" s="501"/>
      <c r="K200" s="501">
        <f t="shared" si="38"/>
        <v>6173.3934553499994</v>
      </c>
      <c r="L200" s="501"/>
      <c r="M200" s="501">
        <f t="shared" si="38"/>
        <v>6173.3934553499994</v>
      </c>
      <c r="N200" s="501"/>
      <c r="O200" s="501"/>
    </row>
    <row r="201" spans="2:15" ht="15.65" x14ac:dyDescent="0.25">
      <c r="B201" s="780" t="s">
        <v>867</v>
      </c>
      <c r="C201" s="292">
        <v>985.44880417500008</v>
      </c>
      <c r="D201" s="269">
        <v>14000</v>
      </c>
      <c r="E201" s="268">
        <v>2</v>
      </c>
      <c r="F201" s="501"/>
      <c r="G201" s="501">
        <f t="shared" si="38"/>
        <v>1970.8976083500002</v>
      </c>
      <c r="H201" s="501"/>
      <c r="I201" s="501">
        <f t="shared" si="38"/>
        <v>1970.8976083500002</v>
      </c>
      <c r="J201" s="501"/>
      <c r="K201" s="501">
        <f t="shared" si="38"/>
        <v>1970.8976083500002</v>
      </c>
      <c r="L201" s="501"/>
      <c r="M201" s="501">
        <f t="shared" si="38"/>
        <v>1970.8976083500002</v>
      </c>
      <c r="N201" s="501"/>
      <c r="O201" s="501"/>
    </row>
    <row r="202" spans="2:15" ht="15.65" x14ac:dyDescent="0.25">
      <c r="B202" s="780" t="s">
        <v>868</v>
      </c>
      <c r="C202" s="292">
        <v>2334.6933477129173</v>
      </c>
      <c r="D202" s="269">
        <v>14000</v>
      </c>
      <c r="E202" s="268">
        <v>4</v>
      </c>
      <c r="F202" s="501"/>
      <c r="G202" s="501">
        <f t="shared" si="38"/>
        <v>9338.7733908516693</v>
      </c>
      <c r="H202" s="501"/>
      <c r="I202" s="501">
        <f t="shared" si="38"/>
        <v>9338.7733908516693</v>
      </c>
      <c r="J202" s="501"/>
      <c r="K202" s="501">
        <f t="shared" si="38"/>
        <v>9338.7733908516693</v>
      </c>
      <c r="L202" s="501"/>
      <c r="M202" s="501">
        <f t="shared" si="38"/>
        <v>9338.7733908516693</v>
      </c>
      <c r="N202" s="501"/>
      <c r="O202" s="501"/>
    </row>
    <row r="203" spans="2:15" ht="15.65" x14ac:dyDescent="0.25">
      <c r="B203" s="779" t="s">
        <v>869</v>
      </c>
      <c r="C203" s="292">
        <v>13987.86025841417</v>
      </c>
      <c r="D203" s="269">
        <v>28000</v>
      </c>
      <c r="E203" s="268">
        <v>2</v>
      </c>
      <c r="F203" s="501"/>
      <c r="G203" s="501"/>
      <c r="H203" s="501"/>
      <c r="I203" s="501">
        <f>$C203*$E203</f>
        <v>27975.72051682834</v>
      </c>
      <c r="J203" s="501"/>
      <c r="K203" s="501"/>
      <c r="L203" s="501"/>
      <c r="M203" s="501">
        <f>$C203*$E203</f>
        <v>27975.72051682834</v>
      </c>
      <c r="N203" s="501"/>
      <c r="O203" s="501"/>
    </row>
    <row r="204" spans="2:15" ht="15.65" x14ac:dyDescent="0.25">
      <c r="B204" s="779" t="s">
        <v>870</v>
      </c>
      <c r="C204" s="292">
        <v>14158.746514650835</v>
      </c>
      <c r="D204" s="269">
        <v>28000</v>
      </c>
      <c r="E204" s="268">
        <v>8</v>
      </c>
      <c r="F204" s="501"/>
      <c r="G204" s="501"/>
      <c r="H204" s="501"/>
      <c r="I204" s="501">
        <f t="shared" ref="I204:I207" si="39">$C204*$E204</f>
        <v>113269.97211720668</v>
      </c>
      <c r="J204" s="501"/>
      <c r="K204" s="501"/>
      <c r="L204" s="501"/>
      <c r="M204" s="501">
        <f t="shared" ref="M204:M207" si="40">$C204*$E204</f>
        <v>113269.97211720668</v>
      </c>
      <c r="N204" s="501"/>
      <c r="O204" s="501"/>
    </row>
    <row r="205" spans="2:15" ht="15.65" x14ac:dyDescent="0.25">
      <c r="B205" s="779" t="s">
        <v>871</v>
      </c>
      <c r="C205" s="292">
        <v>5670.2772813683332</v>
      </c>
      <c r="D205" s="269">
        <v>28000</v>
      </c>
      <c r="E205" s="268">
        <v>2</v>
      </c>
      <c r="F205" s="501"/>
      <c r="G205" s="501"/>
      <c r="H205" s="501"/>
      <c r="I205" s="501">
        <f t="shared" si="39"/>
        <v>11340.554562736666</v>
      </c>
      <c r="J205" s="501"/>
      <c r="K205" s="501"/>
      <c r="L205" s="501"/>
      <c r="M205" s="501">
        <f t="shared" si="40"/>
        <v>11340.554562736666</v>
      </c>
      <c r="N205" s="501"/>
      <c r="O205" s="501"/>
    </row>
    <row r="206" spans="2:15" ht="15.65" x14ac:dyDescent="0.25">
      <c r="B206" s="779" t="s">
        <v>872</v>
      </c>
      <c r="C206" s="292">
        <v>7829.6476554220835</v>
      </c>
      <c r="D206" s="269">
        <v>28000</v>
      </c>
      <c r="E206" s="268">
        <v>4</v>
      </c>
      <c r="F206" s="501"/>
      <c r="G206" s="501"/>
      <c r="H206" s="501"/>
      <c r="I206" s="501">
        <f t="shared" si="39"/>
        <v>31318.590621688334</v>
      </c>
      <c r="J206" s="501"/>
      <c r="K206" s="501"/>
      <c r="L206" s="501"/>
      <c r="M206" s="501">
        <f t="shared" si="40"/>
        <v>31318.590621688334</v>
      </c>
      <c r="N206" s="501"/>
      <c r="O206" s="501"/>
    </row>
    <row r="207" spans="2:15" ht="15.65" x14ac:dyDescent="0.25">
      <c r="B207" s="780" t="s">
        <v>873</v>
      </c>
      <c r="C207" s="292">
        <v>13882.89165</v>
      </c>
      <c r="D207" s="269">
        <v>28000</v>
      </c>
      <c r="E207" s="268">
        <v>2</v>
      </c>
      <c r="F207" s="501"/>
      <c r="G207" s="501"/>
      <c r="H207" s="501"/>
      <c r="I207" s="501">
        <f t="shared" si="39"/>
        <v>27765.783299999999</v>
      </c>
      <c r="J207" s="501"/>
      <c r="K207" s="501"/>
      <c r="L207" s="501"/>
      <c r="M207" s="501">
        <f t="shared" si="40"/>
        <v>27765.783299999999</v>
      </c>
      <c r="N207" s="501"/>
      <c r="O207" s="501"/>
    </row>
    <row r="208" spans="2:15" ht="15.65" x14ac:dyDescent="0.25">
      <c r="B208" s="781" t="s">
        <v>874</v>
      </c>
      <c r="C208" s="292"/>
      <c r="D208" s="269"/>
      <c r="E208" s="268"/>
      <c r="F208" s="501"/>
      <c r="G208" s="501"/>
      <c r="H208" s="501"/>
      <c r="I208" s="501"/>
      <c r="J208" s="501"/>
      <c r="K208" s="501"/>
      <c r="L208" s="501"/>
      <c r="M208" s="501"/>
      <c r="N208" s="501"/>
      <c r="O208" s="501"/>
    </row>
    <row r="209" spans="2:15" ht="15.65" x14ac:dyDescent="0.25">
      <c r="B209" s="780" t="s">
        <v>875</v>
      </c>
      <c r="C209" s="292">
        <v>1260.5885890812503</v>
      </c>
      <c r="D209" s="269">
        <v>28000</v>
      </c>
      <c r="E209" s="268">
        <v>1</v>
      </c>
      <c r="F209" s="501"/>
      <c r="G209" s="501"/>
      <c r="H209" s="501"/>
      <c r="I209" s="501">
        <f>$C209*$E209</f>
        <v>1260.5885890812503</v>
      </c>
      <c r="J209" s="501"/>
      <c r="K209" s="501"/>
      <c r="L209" s="501"/>
      <c r="M209" s="501">
        <f>$C209*$E209</f>
        <v>1260.5885890812503</v>
      </c>
      <c r="N209" s="501"/>
      <c r="O209" s="501"/>
    </row>
    <row r="210" spans="2:15" ht="15.65" x14ac:dyDescent="0.25">
      <c r="B210" s="780" t="s">
        <v>876</v>
      </c>
      <c r="C210" s="292">
        <v>3813.600345958333</v>
      </c>
      <c r="D210" s="269">
        <v>28000</v>
      </c>
      <c r="E210" s="268">
        <v>1</v>
      </c>
      <c r="F210" s="418"/>
      <c r="G210" s="418"/>
      <c r="H210" s="418"/>
      <c r="I210" s="418">
        <f t="shared" ref="I210:J220" si="41">$C210*$E210</f>
        <v>3813.600345958333</v>
      </c>
      <c r="J210" s="418"/>
      <c r="K210" s="418"/>
      <c r="L210" s="418"/>
      <c r="M210" s="418">
        <f t="shared" ref="M210:M219" si="42">$C210*$E210</f>
        <v>3813.600345958333</v>
      </c>
      <c r="N210" s="418"/>
      <c r="O210" s="418"/>
    </row>
    <row r="211" spans="2:15" ht="15.65" x14ac:dyDescent="0.25">
      <c r="B211" s="780" t="s">
        <v>877</v>
      </c>
      <c r="C211" s="292">
        <v>2187.5683772250004</v>
      </c>
      <c r="D211" s="269">
        <v>28000</v>
      </c>
      <c r="E211" s="268">
        <v>1</v>
      </c>
      <c r="F211" s="501"/>
      <c r="G211" s="501"/>
      <c r="H211" s="501"/>
      <c r="I211" s="501">
        <f t="shared" si="41"/>
        <v>2187.5683772250004</v>
      </c>
      <c r="J211" s="501"/>
      <c r="K211" s="501"/>
      <c r="L211" s="501"/>
      <c r="M211" s="501">
        <f t="shared" si="42"/>
        <v>2187.5683772250004</v>
      </c>
      <c r="N211" s="501"/>
      <c r="O211" s="501"/>
    </row>
    <row r="212" spans="2:15" ht="15.65" x14ac:dyDescent="0.25">
      <c r="B212" s="780" t="s">
        <v>878</v>
      </c>
      <c r="C212" s="292">
        <v>99.742789827083328</v>
      </c>
      <c r="D212" s="269">
        <v>28000</v>
      </c>
      <c r="E212" s="268">
        <v>1</v>
      </c>
      <c r="F212" s="501"/>
      <c r="G212" s="501"/>
      <c r="H212" s="501"/>
      <c r="I212" s="501">
        <f t="shared" si="41"/>
        <v>99.742789827083328</v>
      </c>
      <c r="J212" s="501"/>
      <c r="K212" s="501"/>
      <c r="L212" s="501"/>
      <c r="M212" s="501">
        <f t="shared" si="42"/>
        <v>99.742789827083328</v>
      </c>
      <c r="N212" s="501"/>
      <c r="O212" s="501"/>
    </row>
    <row r="213" spans="2:15" ht="15.65" x14ac:dyDescent="0.25">
      <c r="B213" s="780" t="s">
        <v>879</v>
      </c>
      <c r="C213" s="292">
        <v>1935.862754925</v>
      </c>
      <c r="D213" s="269">
        <v>28000</v>
      </c>
      <c r="E213" s="268">
        <v>1</v>
      </c>
      <c r="F213" s="501"/>
      <c r="G213" s="501"/>
      <c r="H213" s="501"/>
      <c r="I213" s="501">
        <f t="shared" si="41"/>
        <v>1935.862754925</v>
      </c>
      <c r="J213" s="501"/>
      <c r="K213" s="501"/>
      <c r="L213" s="501"/>
      <c r="M213" s="501">
        <f t="shared" si="42"/>
        <v>1935.862754925</v>
      </c>
      <c r="N213" s="501"/>
      <c r="O213" s="501"/>
    </row>
    <row r="214" spans="2:15" ht="15.65" x14ac:dyDescent="0.25">
      <c r="B214" s="780" t="s">
        <v>880</v>
      </c>
      <c r="C214" s="292">
        <v>791.9401809000002</v>
      </c>
      <c r="D214" s="269">
        <v>28000</v>
      </c>
      <c r="E214" s="268">
        <v>1</v>
      </c>
      <c r="F214" s="501"/>
      <c r="G214" s="501"/>
      <c r="H214" s="501"/>
      <c r="I214" s="501">
        <f t="shared" si="41"/>
        <v>791.9401809000002</v>
      </c>
      <c r="J214" s="501"/>
      <c r="K214" s="501"/>
      <c r="L214" s="501"/>
      <c r="M214" s="501">
        <f t="shared" si="42"/>
        <v>791.9401809000002</v>
      </c>
      <c r="N214" s="501"/>
      <c r="O214" s="501"/>
    </row>
    <row r="215" spans="2:15" ht="31.25" x14ac:dyDescent="0.25">
      <c r="B215" s="780" t="s">
        <v>881</v>
      </c>
      <c r="C215" s="292">
        <v>755.71067797500007</v>
      </c>
      <c r="D215" s="269">
        <v>28000</v>
      </c>
      <c r="E215" s="268">
        <v>1</v>
      </c>
      <c r="F215" s="501"/>
      <c r="G215" s="501"/>
      <c r="H215" s="501"/>
      <c r="I215" s="501">
        <f t="shared" si="41"/>
        <v>755.71067797500007</v>
      </c>
      <c r="J215" s="501"/>
      <c r="K215" s="501"/>
      <c r="L215" s="501"/>
      <c r="M215" s="501">
        <f t="shared" si="42"/>
        <v>755.71067797500007</v>
      </c>
      <c r="N215" s="501"/>
      <c r="O215" s="501"/>
    </row>
    <row r="216" spans="2:15" ht="15.65" x14ac:dyDescent="0.25">
      <c r="B216" s="780" t="s">
        <v>882</v>
      </c>
      <c r="C216" s="292">
        <v>3053.9071125750006</v>
      </c>
      <c r="D216" s="269">
        <v>28000</v>
      </c>
      <c r="E216" s="268">
        <v>1</v>
      </c>
      <c r="F216" s="418"/>
      <c r="G216" s="418"/>
      <c r="H216" s="418"/>
      <c r="I216" s="501">
        <f t="shared" si="41"/>
        <v>3053.9071125750006</v>
      </c>
      <c r="J216" s="418"/>
      <c r="K216" s="418"/>
      <c r="L216" s="418"/>
      <c r="M216" s="418">
        <f t="shared" si="42"/>
        <v>3053.9071125750006</v>
      </c>
      <c r="N216" s="418"/>
      <c r="O216" s="418"/>
    </row>
    <row r="217" spans="2:15" ht="15.65" x14ac:dyDescent="0.25">
      <c r="B217" s="780" t="s">
        <v>883</v>
      </c>
      <c r="C217" s="292">
        <v>2595.7904767162499</v>
      </c>
      <c r="D217" s="269">
        <v>28000</v>
      </c>
      <c r="E217" s="268">
        <v>2</v>
      </c>
      <c r="F217" s="501"/>
      <c r="G217" s="501"/>
      <c r="H217" s="501"/>
      <c r="I217" s="501">
        <f t="shared" si="41"/>
        <v>5191.5809534324999</v>
      </c>
      <c r="J217" s="501"/>
      <c r="K217" s="501"/>
      <c r="L217" s="501"/>
      <c r="M217" s="501">
        <f t="shared" si="42"/>
        <v>5191.5809534324999</v>
      </c>
      <c r="N217" s="501"/>
      <c r="O217" s="501"/>
    </row>
    <row r="218" spans="2:15" ht="15.65" x14ac:dyDescent="0.25">
      <c r="B218" s="780" t="s">
        <v>884</v>
      </c>
      <c r="C218" s="292">
        <v>2215.3720874999999</v>
      </c>
      <c r="D218" s="269">
        <v>28000</v>
      </c>
      <c r="E218" s="268">
        <v>1</v>
      </c>
      <c r="F218" s="501"/>
      <c r="G218" s="501"/>
      <c r="H218" s="501"/>
      <c r="I218" s="501">
        <f t="shared" si="41"/>
        <v>2215.3720874999999</v>
      </c>
      <c r="J218" s="501"/>
      <c r="K218" s="501"/>
      <c r="L218" s="501"/>
      <c r="M218" s="501">
        <f t="shared" si="42"/>
        <v>2215.3720874999999</v>
      </c>
      <c r="N218" s="501"/>
      <c r="O218" s="501"/>
    </row>
    <row r="219" spans="2:15" ht="15.65" x14ac:dyDescent="0.25">
      <c r="B219" s="780" t="s">
        <v>885</v>
      </c>
      <c r="C219" s="292">
        <v>1313.1290398462502</v>
      </c>
      <c r="D219" s="269">
        <v>28000</v>
      </c>
      <c r="E219" s="268">
        <v>1</v>
      </c>
      <c r="F219" s="501"/>
      <c r="G219" s="501"/>
      <c r="H219" s="501"/>
      <c r="I219" s="501">
        <f t="shared" si="41"/>
        <v>1313.1290398462502</v>
      </c>
      <c r="J219" s="501"/>
      <c r="K219" s="501"/>
      <c r="L219" s="501"/>
      <c r="M219" s="501">
        <f t="shared" si="42"/>
        <v>1313.1290398462502</v>
      </c>
      <c r="N219" s="501"/>
      <c r="O219" s="501"/>
    </row>
    <row r="220" spans="2:15" ht="15.65" x14ac:dyDescent="0.25">
      <c r="B220" s="776" t="s">
        <v>886</v>
      </c>
      <c r="C220" s="292">
        <v>2083</v>
      </c>
      <c r="D220" s="269">
        <v>35000</v>
      </c>
      <c r="E220" s="268">
        <v>1</v>
      </c>
      <c r="F220" s="501"/>
      <c r="G220" s="501"/>
      <c r="H220" s="501"/>
      <c r="I220" s="501"/>
      <c r="J220" s="501">
        <f t="shared" si="41"/>
        <v>2083</v>
      </c>
      <c r="K220" s="501"/>
      <c r="L220" s="501"/>
      <c r="M220" s="501"/>
      <c r="N220" s="501"/>
      <c r="O220" s="501"/>
    </row>
    <row r="221" spans="2:15" x14ac:dyDescent="0.25">
      <c r="B221" s="420"/>
      <c r="C221" s="348"/>
      <c r="D221" s="295"/>
      <c r="E221" s="370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</row>
    <row r="222" spans="2:15" ht="14.95" thickBot="1" x14ac:dyDescent="0.3">
      <c r="B222" s="421"/>
      <c r="C222" s="422"/>
      <c r="D222" s="375"/>
      <c r="E222" s="372"/>
      <c r="F222" s="493"/>
      <c r="G222" s="493"/>
      <c r="H222" s="493"/>
      <c r="I222" s="493"/>
      <c r="J222" s="493"/>
      <c r="K222" s="493"/>
      <c r="L222" s="493"/>
      <c r="M222" s="493"/>
      <c r="N222" s="493"/>
      <c r="O222" s="493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6DB4-98B5-4DB2-91DF-BE973D8D6702}">
  <sheetPr>
    <tabColor theme="9" tint="0.39997558519241921"/>
    <pageSetUpPr fitToPage="1"/>
  </sheetPr>
  <dimension ref="A2:AF35"/>
  <sheetViews>
    <sheetView showGridLines="0" zoomScale="85" zoomScaleNormal="85" zoomScaleSheetLayoutView="100" workbookViewId="0">
      <selection activeCell="AF18" sqref="AF18"/>
    </sheetView>
  </sheetViews>
  <sheetFormatPr defaultColWidth="9.125" defaultRowHeight="12.9" x14ac:dyDescent="0.25"/>
  <cols>
    <col min="1" max="1" width="3" style="238" bestFit="1" customWidth="1"/>
    <col min="2" max="2" width="39" style="744" customWidth="1"/>
    <col min="3" max="3" width="14" style="238" bestFit="1" customWidth="1"/>
    <col min="4" max="4" width="10.875" style="238" bestFit="1" customWidth="1"/>
    <col min="5" max="14" width="10" style="239" bestFit="1" customWidth="1"/>
    <col min="15" max="15" width="10.5" style="239" customWidth="1"/>
    <col min="16" max="24" width="10" style="239" bestFit="1" customWidth="1"/>
    <col min="25" max="25" width="71.375" style="236" bestFit="1" customWidth="1"/>
    <col min="26" max="26" width="14" style="236" bestFit="1" customWidth="1"/>
    <col min="27" max="16384" width="9.125" style="236"/>
  </cols>
  <sheetData>
    <row r="2" spans="1:30" ht="14.3" x14ac:dyDescent="0.25">
      <c r="B2" s="237" t="s">
        <v>259</v>
      </c>
    </row>
    <row r="3" spans="1:30" s="241" customFormat="1" ht="27" customHeight="1" x14ac:dyDescent="0.25">
      <c r="A3" s="787"/>
      <c r="B3" s="242" t="s">
        <v>261</v>
      </c>
      <c r="C3" s="243" t="s">
        <v>419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5" t="s">
        <v>263</v>
      </c>
    </row>
    <row r="4" spans="1:30" s="249" customFormat="1" ht="13.6" x14ac:dyDescent="0.25">
      <c r="A4" s="238">
        <v>1</v>
      </c>
      <c r="B4" s="788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247">
        <f>N4+1</f>
        <v>11</v>
      </c>
      <c r="P4" s="247">
        <f>O4+1</f>
        <v>12</v>
      </c>
      <c r="Q4" s="247">
        <v>13</v>
      </c>
      <c r="R4" s="247">
        <v>14</v>
      </c>
      <c r="S4" s="247">
        <v>15</v>
      </c>
      <c r="T4" s="247">
        <v>16</v>
      </c>
      <c r="U4" s="247">
        <v>17</v>
      </c>
      <c r="V4" s="247">
        <v>18</v>
      </c>
      <c r="W4" s="247">
        <v>19</v>
      </c>
      <c r="X4" s="247">
        <v>20</v>
      </c>
      <c r="Y4" s="789" t="s">
        <v>891</v>
      </c>
      <c r="Z4" s="248"/>
    </row>
    <row r="5" spans="1:30" s="249" customFormat="1" ht="13.6" x14ac:dyDescent="0.25">
      <c r="A5" s="238">
        <f>A4+1</f>
        <v>2</v>
      </c>
      <c r="B5" s="788" t="s">
        <v>265</v>
      </c>
      <c r="C5" s="247"/>
      <c r="Y5" s="789"/>
      <c r="Z5" s="248"/>
    </row>
    <row r="6" spans="1:30" s="249" customFormat="1" ht="13.6" x14ac:dyDescent="0.2">
      <c r="A6" s="238">
        <f t="shared" ref="A6:A10" si="1">A5+1</f>
        <v>3</v>
      </c>
      <c r="B6" s="790" t="s">
        <v>266</v>
      </c>
      <c r="C6" s="251" t="s">
        <v>29</v>
      </c>
      <c r="D6" s="247">
        <v>8500</v>
      </c>
      <c r="E6" s="247">
        <f>D6</f>
        <v>8500</v>
      </c>
      <c r="F6" s="247">
        <f t="shared" ref="F6:X8" si="2">E6</f>
        <v>8500</v>
      </c>
      <c r="G6" s="247">
        <f t="shared" si="2"/>
        <v>8500</v>
      </c>
      <c r="H6" s="247">
        <f t="shared" si="2"/>
        <v>8500</v>
      </c>
      <c r="I6" s="247">
        <f t="shared" si="2"/>
        <v>8500</v>
      </c>
      <c r="J6" s="247">
        <f t="shared" si="2"/>
        <v>8500</v>
      </c>
      <c r="K6" s="247">
        <f t="shared" si="2"/>
        <v>8500</v>
      </c>
      <c r="L6" s="247">
        <f t="shared" si="2"/>
        <v>8500</v>
      </c>
      <c r="M6" s="247">
        <f t="shared" si="2"/>
        <v>8500</v>
      </c>
      <c r="N6" s="247">
        <f t="shared" si="2"/>
        <v>8500</v>
      </c>
      <c r="O6" s="247">
        <f t="shared" si="2"/>
        <v>8500</v>
      </c>
      <c r="P6" s="247">
        <f t="shared" si="2"/>
        <v>8500</v>
      </c>
      <c r="Q6" s="247">
        <f t="shared" si="2"/>
        <v>8500</v>
      </c>
      <c r="R6" s="247">
        <f t="shared" si="2"/>
        <v>8500</v>
      </c>
      <c r="S6" s="247">
        <f t="shared" si="2"/>
        <v>8500</v>
      </c>
      <c r="T6" s="247">
        <f t="shared" si="2"/>
        <v>8500</v>
      </c>
      <c r="U6" s="247">
        <f t="shared" si="2"/>
        <v>8500</v>
      </c>
      <c r="V6" s="247">
        <f t="shared" si="2"/>
        <v>8500</v>
      </c>
      <c r="W6" s="247">
        <f t="shared" si="2"/>
        <v>8500</v>
      </c>
      <c r="X6" s="247">
        <f t="shared" si="2"/>
        <v>8500</v>
      </c>
      <c r="Y6" s="789" t="s">
        <v>892</v>
      </c>
      <c r="Z6" s="248"/>
    </row>
    <row r="7" spans="1:30" s="249" customFormat="1" ht="13.6" x14ac:dyDescent="0.2">
      <c r="A7" s="238">
        <f t="shared" si="1"/>
        <v>4</v>
      </c>
      <c r="B7" s="790" t="s">
        <v>267</v>
      </c>
      <c r="C7" s="251" t="s">
        <v>29</v>
      </c>
      <c r="D7" s="252">
        <v>7300</v>
      </c>
      <c r="E7" s="247">
        <f>D7</f>
        <v>7300</v>
      </c>
      <c r="F7" s="247">
        <f t="shared" si="2"/>
        <v>7300</v>
      </c>
      <c r="G7" s="247">
        <f t="shared" si="2"/>
        <v>7300</v>
      </c>
      <c r="H7" s="247">
        <f t="shared" si="2"/>
        <v>7300</v>
      </c>
      <c r="I7" s="247">
        <f t="shared" si="2"/>
        <v>7300</v>
      </c>
      <c r="J7" s="247">
        <f t="shared" si="2"/>
        <v>7300</v>
      </c>
      <c r="K7" s="247">
        <f t="shared" si="2"/>
        <v>7300</v>
      </c>
      <c r="L7" s="247">
        <f t="shared" si="2"/>
        <v>7300</v>
      </c>
      <c r="M7" s="247">
        <f t="shared" si="2"/>
        <v>7300</v>
      </c>
      <c r="N7" s="247">
        <f t="shared" si="2"/>
        <v>7300</v>
      </c>
      <c r="O7" s="247">
        <f t="shared" si="2"/>
        <v>7300</v>
      </c>
      <c r="P7" s="247">
        <f t="shared" si="2"/>
        <v>7300</v>
      </c>
      <c r="Q7" s="247">
        <f t="shared" si="2"/>
        <v>7300</v>
      </c>
      <c r="R7" s="247">
        <f t="shared" si="2"/>
        <v>7300</v>
      </c>
      <c r="S7" s="247">
        <f t="shared" si="2"/>
        <v>7300</v>
      </c>
      <c r="T7" s="247">
        <f t="shared" si="2"/>
        <v>7300</v>
      </c>
      <c r="U7" s="247">
        <f t="shared" si="2"/>
        <v>7300</v>
      </c>
      <c r="V7" s="247">
        <f t="shared" si="2"/>
        <v>7300</v>
      </c>
      <c r="W7" s="247">
        <f t="shared" si="2"/>
        <v>7300</v>
      </c>
      <c r="X7" s="247">
        <f t="shared" si="2"/>
        <v>7300</v>
      </c>
      <c r="Y7" s="789" t="s">
        <v>893</v>
      </c>
      <c r="Z7" s="248"/>
    </row>
    <row r="8" spans="1:30" s="249" customFormat="1" ht="13.6" x14ac:dyDescent="0.2">
      <c r="A8" s="238">
        <f t="shared" si="1"/>
        <v>5</v>
      </c>
      <c r="B8" s="790" t="s">
        <v>268</v>
      </c>
      <c r="C8" s="251" t="s">
        <v>29</v>
      </c>
      <c r="D8" s="252">
        <v>15600</v>
      </c>
      <c r="E8" s="247">
        <f>D8</f>
        <v>15600</v>
      </c>
      <c r="F8" s="247">
        <f t="shared" si="2"/>
        <v>15600</v>
      </c>
      <c r="G8" s="247">
        <f t="shared" si="2"/>
        <v>15600</v>
      </c>
      <c r="H8" s="247">
        <f t="shared" si="2"/>
        <v>15600</v>
      </c>
      <c r="I8" s="247">
        <f t="shared" si="2"/>
        <v>15600</v>
      </c>
      <c r="J8" s="247">
        <f t="shared" si="2"/>
        <v>15600</v>
      </c>
      <c r="K8" s="247">
        <f t="shared" si="2"/>
        <v>15600</v>
      </c>
      <c r="L8" s="247">
        <f t="shared" si="2"/>
        <v>15600</v>
      </c>
      <c r="M8" s="247">
        <f t="shared" si="2"/>
        <v>15600</v>
      </c>
      <c r="N8" s="247">
        <f t="shared" si="2"/>
        <v>15600</v>
      </c>
      <c r="O8" s="247">
        <f t="shared" si="2"/>
        <v>15600</v>
      </c>
      <c r="P8" s="247">
        <f t="shared" si="2"/>
        <v>15600</v>
      </c>
      <c r="Q8" s="247">
        <f t="shared" si="2"/>
        <v>15600</v>
      </c>
      <c r="R8" s="247">
        <f t="shared" si="2"/>
        <v>15600</v>
      </c>
      <c r="S8" s="247">
        <f t="shared" si="2"/>
        <v>15600</v>
      </c>
      <c r="T8" s="247">
        <f t="shared" si="2"/>
        <v>15600</v>
      </c>
      <c r="U8" s="247">
        <f t="shared" si="2"/>
        <v>15600</v>
      </c>
      <c r="V8" s="247">
        <f t="shared" si="2"/>
        <v>15600</v>
      </c>
      <c r="W8" s="247">
        <f t="shared" si="2"/>
        <v>15600</v>
      </c>
      <c r="X8" s="247">
        <f t="shared" si="2"/>
        <v>15600</v>
      </c>
      <c r="Y8" s="789" t="s">
        <v>894</v>
      </c>
      <c r="Z8" s="248"/>
    </row>
    <row r="9" spans="1:30" s="249" customFormat="1" ht="13.6" x14ac:dyDescent="0.2">
      <c r="A9" s="238">
        <f t="shared" si="1"/>
        <v>6</v>
      </c>
      <c r="B9" s="788" t="s">
        <v>10</v>
      </c>
      <c r="C9" s="251" t="s">
        <v>269</v>
      </c>
      <c r="D9" s="252">
        <v>236</v>
      </c>
      <c r="E9" s="247">
        <v>236</v>
      </c>
      <c r="F9" s="247">
        <v>236</v>
      </c>
      <c r="G9" s="247">
        <v>236</v>
      </c>
      <c r="H9" s="247">
        <v>236</v>
      </c>
      <c r="I9" s="247">
        <v>236</v>
      </c>
      <c r="J9" s="247">
        <v>236</v>
      </c>
      <c r="K9" s="247">
        <v>236</v>
      </c>
      <c r="L9" s="247">
        <v>236</v>
      </c>
      <c r="M9" s="247">
        <v>236</v>
      </c>
      <c r="N9" s="247">
        <v>236</v>
      </c>
      <c r="O9" s="247">
        <v>236</v>
      </c>
      <c r="P9" s="247">
        <v>236</v>
      </c>
      <c r="Q9" s="247">
        <v>236</v>
      </c>
      <c r="R9" s="247">
        <v>236</v>
      </c>
      <c r="S9" s="247">
        <v>236</v>
      </c>
      <c r="T9" s="247">
        <v>236</v>
      </c>
      <c r="U9" s="247">
        <v>236</v>
      </c>
      <c r="V9" s="247">
        <v>236</v>
      </c>
      <c r="W9" s="247">
        <v>236</v>
      </c>
      <c r="X9" s="247">
        <v>236</v>
      </c>
      <c r="Y9" s="789" t="s">
        <v>421</v>
      </c>
      <c r="Z9" s="248"/>
    </row>
    <row r="10" spans="1:30" ht="27.2" x14ac:dyDescent="0.25">
      <c r="A10" s="238">
        <f t="shared" si="1"/>
        <v>7</v>
      </c>
      <c r="B10" s="788" t="s">
        <v>270</v>
      </c>
      <c r="C10" s="253" t="s">
        <v>271</v>
      </c>
      <c r="D10" s="252">
        <v>140</v>
      </c>
      <c r="E10" s="247">
        <f>D10</f>
        <v>140</v>
      </c>
      <c r="F10" s="247">
        <f t="shared" ref="F10:X10" si="3">E10</f>
        <v>140</v>
      </c>
      <c r="G10" s="247">
        <f t="shared" si="3"/>
        <v>140</v>
      </c>
      <c r="H10" s="247">
        <f t="shared" si="3"/>
        <v>140</v>
      </c>
      <c r="I10" s="247">
        <f t="shared" si="3"/>
        <v>140</v>
      </c>
      <c r="J10" s="247">
        <f t="shared" si="3"/>
        <v>140</v>
      </c>
      <c r="K10" s="247">
        <f t="shared" si="3"/>
        <v>140</v>
      </c>
      <c r="L10" s="247">
        <f t="shared" si="3"/>
        <v>140</v>
      </c>
      <c r="M10" s="247">
        <f t="shared" si="3"/>
        <v>140</v>
      </c>
      <c r="N10" s="247">
        <f t="shared" si="3"/>
        <v>140</v>
      </c>
      <c r="O10" s="247">
        <f t="shared" si="3"/>
        <v>140</v>
      </c>
      <c r="P10" s="247">
        <f t="shared" si="3"/>
        <v>140</v>
      </c>
      <c r="Q10" s="247">
        <f t="shared" si="3"/>
        <v>140</v>
      </c>
      <c r="R10" s="247">
        <f t="shared" si="3"/>
        <v>140</v>
      </c>
      <c r="S10" s="247">
        <f t="shared" si="3"/>
        <v>140</v>
      </c>
      <c r="T10" s="247">
        <f t="shared" si="3"/>
        <v>140</v>
      </c>
      <c r="U10" s="247">
        <f t="shared" si="3"/>
        <v>140</v>
      </c>
      <c r="V10" s="247">
        <f t="shared" si="3"/>
        <v>140</v>
      </c>
      <c r="W10" s="247">
        <f t="shared" si="3"/>
        <v>140</v>
      </c>
      <c r="X10" s="247">
        <f t="shared" si="3"/>
        <v>140</v>
      </c>
      <c r="Y10" s="789" t="s">
        <v>422</v>
      </c>
      <c r="Z10" s="254"/>
    </row>
    <row r="11" spans="1:30" ht="18.7" customHeight="1" x14ac:dyDescent="0.25">
      <c r="A11" s="238">
        <f>A10+1</f>
        <v>8</v>
      </c>
      <c r="B11" s="788" t="s">
        <v>12</v>
      </c>
      <c r="C11" s="253" t="s">
        <v>13</v>
      </c>
      <c r="D11" s="252">
        <v>2500</v>
      </c>
      <c r="E11" s="253">
        <v>2500</v>
      </c>
      <c r="F11" s="253">
        <v>2500</v>
      </c>
      <c r="G11" s="253">
        <v>2500</v>
      </c>
      <c r="H11" s="253">
        <v>2500</v>
      </c>
      <c r="I11" s="253">
        <v>2500</v>
      </c>
      <c r="J11" s="253">
        <v>2500</v>
      </c>
      <c r="K11" s="253">
        <v>2500</v>
      </c>
      <c r="L11" s="253">
        <v>2500</v>
      </c>
      <c r="M11" s="253">
        <v>2500</v>
      </c>
      <c r="N11" s="253">
        <v>2500</v>
      </c>
      <c r="O11" s="253">
        <v>2500</v>
      </c>
      <c r="P11" s="253">
        <v>2500</v>
      </c>
      <c r="Q11" s="253">
        <v>2500</v>
      </c>
      <c r="R11" s="253">
        <v>2500</v>
      </c>
      <c r="S11" s="253">
        <v>2500</v>
      </c>
      <c r="T11" s="253">
        <v>2500</v>
      </c>
      <c r="U11" s="253">
        <v>2500</v>
      </c>
      <c r="V11" s="253">
        <v>2500</v>
      </c>
      <c r="W11" s="253">
        <v>2500</v>
      </c>
      <c r="X11" s="253">
        <v>2500</v>
      </c>
      <c r="Y11" s="789" t="s">
        <v>895</v>
      </c>
      <c r="Z11" s="254"/>
    </row>
    <row r="12" spans="1:30" ht="13.6" x14ac:dyDescent="0.25">
      <c r="A12" s="238">
        <f>A11+1</f>
        <v>9</v>
      </c>
      <c r="B12" s="788" t="s">
        <v>50</v>
      </c>
      <c r="C12" s="253"/>
      <c r="D12" s="253"/>
      <c r="E12" s="255">
        <f>(8760-E13-E14-E15)/8760</f>
        <v>0.93755029173008619</v>
      </c>
      <c r="F12" s="255">
        <f>(8760-F13-F14-F15)/8760</f>
        <v>0.93038070776255699</v>
      </c>
      <c r="G12" s="255">
        <f t="shared" ref="G12:X12" si="4">(8760-G13-G14-G15)/8760</f>
        <v>0.92090265093860979</v>
      </c>
      <c r="H12" s="255">
        <f t="shared" si="4"/>
        <v>0.90840582191780817</v>
      </c>
      <c r="I12" s="255">
        <f t="shared" si="4"/>
        <v>0.93333288939624548</v>
      </c>
      <c r="J12" s="255">
        <f t="shared" si="4"/>
        <v>0.92172393455098933</v>
      </c>
      <c r="K12" s="255">
        <f t="shared" si="4"/>
        <v>0.93126858193810236</v>
      </c>
      <c r="L12" s="255">
        <f t="shared" si="4"/>
        <v>0.91113603500761031</v>
      </c>
      <c r="M12" s="255">
        <f t="shared" si="4"/>
        <v>0.91706259512937582</v>
      </c>
      <c r="N12" s="255">
        <f t="shared" si="4"/>
        <v>0.93222304667681377</v>
      </c>
      <c r="O12" s="255">
        <f t="shared" si="4"/>
        <v>0.91462094114662595</v>
      </c>
      <c r="P12" s="255">
        <f t="shared" si="4"/>
        <v>0.91328912988330779</v>
      </c>
      <c r="Q12" s="255">
        <f t="shared" si="4"/>
        <v>0.93377682648401816</v>
      </c>
      <c r="R12" s="255">
        <f t="shared" si="4"/>
        <v>0.93266698376458645</v>
      </c>
      <c r="S12" s="255">
        <f t="shared" si="4"/>
        <v>0.89848382800608828</v>
      </c>
      <c r="T12" s="255">
        <f t="shared" si="4"/>
        <v>0.92556399036022319</v>
      </c>
      <c r="U12" s="255">
        <f t="shared" si="4"/>
        <v>0.93422076357179096</v>
      </c>
      <c r="V12" s="255">
        <f t="shared" si="4"/>
        <v>0.90469894723490607</v>
      </c>
      <c r="W12" s="255">
        <f t="shared" si="4"/>
        <v>0.9344427321156773</v>
      </c>
      <c r="X12" s="255">
        <f t="shared" si="4"/>
        <v>0.9220124936580415</v>
      </c>
      <c r="Y12" s="789"/>
    </row>
    <row r="13" spans="1:30" x14ac:dyDescent="0.25">
      <c r="A13" s="238">
        <f t="shared" ref="A13:A30" si="5">A12+1</f>
        <v>10</v>
      </c>
      <c r="B13" s="791" t="s">
        <v>272</v>
      </c>
      <c r="C13" s="253" t="s">
        <v>273</v>
      </c>
      <c r="D13" s="253"/>
      <c r="E13" s="257">
        <f>'NHL NTE240 ТО'!G7</f>
        <v>173.404</v>
      </c>
      <c r="F13" s="257">
        <f>'NHL NTE240 ТО'!H7</f>
        <v>202.00399999999999</v>
      </c>
      <c r="G13" s="257">
        <f>'NHL NTE240 ТО'!I7</f>
        <v>173.404</v>
      </c>
      <c r="H13" s="257">
        <f>'NHL NTE240 ТО'!J7</f>
        <v>202.00399999999999</v>
      </c>
      <c r="I13" s="257">
        <f>'NHL NTE240 ТО'!K7</f>
        <v>173.404</v>
      </c>
      <c r="J13" s="257">
        <f>'NHL NTE240 ТО'!L7</f>
        <v>202.00399999999999</v>
      </c>
      <c r="K13" s="257">
        <f>'NHL NTE240 ТО'!M7</f>
        <v>202.00399999999999</v>
      </c>
      <c r="L13" s="257">
        <f>'NHL NTE240 ТО'!N7</f>
        <v>173.404</v>
      </c>
      <c r="M13" s="257">
        <f>'NHL NTE240 ТО'!O7</f>
        <v>202.00399999999999</v>
      </c>
      <c r="N13" s="257">
        <f>'NHL NTE240 ТО'!P7</f>
        <v>173.404</v>
      </c>
      <c r="O13" s="257">
        <f>'NHL NTE240 ТО'!Q7</f>
        <v>202.00399999999999</v>
      </c>
      <c r="P13" s="257">
        <f>'NHL NTE240 ТО'!R7</f>
        <v>202.00399999999999</v>
      </c>
      <c r="Q13" s="257">
        <f>'NHL NTE240 ТО'!S7</f>
        <v>173.404</v>
      </c>
      <c r="R13" s="257">
        <f>'NHL NTE240 ТО'!T7</f>
        <v>197.404</v>
      </c>
      <c r="S13" s="257">
        <f>'NHL NTE240 ТО'!U7</f>
        <v>197.404</v>
      </c>
      <c r="T13" s="257">
        <f>'NHL NTE240 ТО'!V7</f>
        <v>173.404</v>
      </c>
      <c r="U13" s="257">
        <f>'NHL NTE240 ТО'!W7</f>
        <v>197.404</v>
      </c>
      <c r="V13" s="257">
        <f>'NHL NTE240 ТО'!X7</f>
        <v>197.404</v>
      </c>
      <c r="W13" s="257">
        <f>'NHL NTE240 ТО'!Y7</f>
        <v>173.404</v>
      </c>
      <c r="X13" s="257">
        <f>'NHL NTE240 ТО'!Z7</f>
        <v>197.404</v>
      </c>
      <c r="Y13" s="1044"/>
    </row>
    <row r="14" spans="1:30" x14ac:dyDescent="0.25">
      <c r="A14" s="238">
        <f t="shared" si="5"/>
        <v>11</v>
      </c>
      <c r="B14" s="791" t="s">
        <v>274</v>
      </c>
      <c r="C14" s="253" t="s">
        <v>273</v>
      </c>
      <c r="D14" s="253"/>
      <c r="E14" s="1047">
        <f>'NHL NTE240 Рем'!G8</f>
        <v>139</v>
      </c>
      <c r="F14" s="1047">
        <f>'NHL NTE240 Рем'!H8</f>
        <v>175</v>
      </c>
      <c r="G14" s="1047">
        <f>'NHL NTE240 Рем'!I8</f>
        <v>289</v>
      </c>
      <c r="H14" s="1047">
        <f>'NHL NTE240 Рем'!J8</f>
        <v>373</v>
      </c>
      <c r="I14" s="1047">
        <f>'NHL NTE240 Рем'!K8</f>
        <v>177</v>
      </c>
      <c r="J14" s="1047">
        <f>'NHL NTE240 Рем'!L8</f>
        <v>253</v>
      </c>
      <c r="K14" s="1047">
        <f>'NHL NTE240 Рем'!M8</f>
        <v>167</v>
      </c>
      <c r="L14" s="1047">
        <f>'NHL NTE240 Рем'!N8</f>
        <v>377</v>
      </c>
      <c r="M14" s="1047">
        <f>'NHL NTE240 Рем'!O8</f>
        <v>295</v>
      </c>
      <c r="N14" s="1047">
        <f>'NHL NTE240 Рем'!P8</f>
        <v>187</v>
      </c>
      <c r="O14" s="1047">
        <f>'NHL NTE240 Рем'!Q8</f>
        <v>317</v>
      </c>
      <c r="P14" s="1047">
        <f>'NHL NTE240 Рем'!R8</f>
        <v>329</v>
      </c>
      <c r="Q14" s="1047">
        <f>'NHL NTE240 Рем'!S8</f>
        <v>173</v>
      </c>
      <c r="R14" s="1047">
        <f>'NHL NTE240 Рем'!T8</f>
        <v>159</v>
      </c>
      <c r="S14" s="1047">
        <f>'NHL NTE240 Рем'!U8</f>
        <v>467</v>
      </c>
      <c r="T14" s="1047">
        <f>'NHL NTE240 Рем'!V8</f>
        <v>247</v>
      </c>
      <c r="U14" s="1047">
        <f>'NHL NTE240 Рем'!W8</f>
        <v>145</v>
      </c>
      <c r="V14" s="1047">
        <f>'NHL NTE240 Рем'!X8</f>
        <v>411</v>
      </c>
      <c r="W14" s="1047">
        <f>'NHL NTE240 Рем'!Y8</f>
        <v>167</v>
      </c>
      <c r="X14" s="1047">
        <f>'NHL NTE240 Рем'!Z8</f>
        <v>255</v>
      </c>
      <c r="Y14" s="1044"/>
    </row>
    <row r="15" spans="1:30" x14ac:dyDescent="0.25">
      <c r="A15" s="238">
        <f t="shared" si="5"/>
        <v>12</v>
      </c>
      <c r="B15" s="791" t="s">
        <v>275</v>
      </c>
      <c r="C15" s="253" t="s">
        <v>273</v>
      </c>
      <c r="D15" s="253"/>
      <c r="E15" s="1047">
        <f>(8760-E13-E14)/12*20/60</f>
        <v>234.65544444444444</v>
      </c>
      <c r="F15" s="1047">
        <f t="shared" ref="F15:X15" si="6">(8760-F13-F14)/12*20/60</f>
        <v>232.86099999999999</v>
      </c>
      <c r="G15" s="1047">
        <f t="shared" si="6"/>
        <v>230.48877777777776</v>
      </c>
      <c r="H15" s="1047">
        <f t="shared" si="6"/>
        <v>227.36099999999999</v>
      </c>
      <c r="I15" s="1047">
        <f t="shared" si="6"/>
        <v>233.5998888888889</v>
      </c>
      <c r="J15" s="1047">
        <f t="shared" si="6"/>
        <v>230.69433333333333</v>
      </c>
      <c r="K15" s="1047">
        <f t="shared" si="6"/>
        <v>233.08322222222219</v>
      </c>
      <c r="L15" s="1047">
        <f t="shared" si="6"/>
        <v>228.0443333333333</v>
      </c>
      <c r="M15" s="1047">
        <f t="shared" si="6"/>
        <v>229.52766666666668</v>
      </c>
      <c r="N15" s="1047">
        <f t="shared" si="6"/>
        <v>233.3221111111111</v>
      </c>
      <c r="O15" s="1047">
        <f t="shared" si="6"/>
        <v>228.91655555555553</v>
      </c>
      <c r="P15" s="1047">
        <f t="shared" si="6"/>
        <v>228.58322222222219</v>
      </c>
      <c r="Q15" s="1047">
        <f t="shared" si="6"/>
        <v>233.71099999999996</v>
      </c>
      <c r="R15" s="1047">
        <f t="shared" si="6"/>
        <v>233.43322222222224</v>
      </c>
      <c r="S15" s="1047">
        <f t="shared" si="6"/>
        <v>224.87766666666664</v>
      </c>
      <c r="T15" s="1047">
        <f t="shared" si="6"/>
        <v>231.65544444444444</v>
      </c>
      <c r="U15" s="1047">
        <f t="shared" si="6"/>
        <v>233.8221111111111</v>
      </c>
      <c r="V15" s="1047">
        <f t="shared" si="6"/>
        <v>226.43322222222224</v>
      </c>
      <c r="W15" s="1047">
        <f t="shared" si="6"/>
        <v>233.87766666666664</v>
      </c>
      <c r="X15" s="1047">
        <f t="shared" si="6"/>
        <v>230.76655555555556</v>
      </c>
      <c r="Y15" s="1044"/>
      <c r="AD15" s="1049">
        <f>'ФОТ, МТР, макро'!AJ8/'ФОТ, МТР, макро'!AJ7</f>
        <v>0.13578313317065133</v>
      </c>
    </row>
    <row r="16" spans="1:30" ht="13.6" x14ac:dyDescent="0.25">
      <c r="A16" s="238">
        <f t="shared" si="5"/>
        <v>13</v>
      </c>
      <c r="B16" s="788" t="s">
        <v>276</v>
      </c>
      <c r="C16" s="253" t="s">
        <v>277</v>
      </c>
      <c r="D16" s="258">
        <v>22</v>
      </c>
      <c r="E16" s="259">
        <f>D16</f>
        <v>22</v>
      </c>
      <c r="F16" s="259">
        <f t="shared" ref="F16:X17" si="7">E16</f>
        <v>22</v>
      </c>
      <c r="G16" s="259">
        <f t="shared" si="7"/>
        <v>22</v>
      </c>
      <c r="H16" s="259">
        <f t="shared" si="7"/>
        <v>22</v>
      </c>
      <c r="I16" s="259">
        <f t="shared" si="7"/>
        <v>22</v>
      </c>
      <c r="J16" s="259">
        <f t="shared" si="7"/>
        <v>22</v>
      </c>
      <c r="K16" s="259">
        <f t="shared" si="7"/>
        <v>22</v>
      </c>
      <c r="L16" s="259">
        <f t="shared" si="7"/>
        <v>22</v>
      </c>
      <c r="M16" s="259">
        <f t="shared" si="7"/>
        <v>22</v>
      </c>
      <c r="N16" s="259">
        <f t="shared" si="7"/>
        <v>22</v>
      </c>
      <c r="O16" s="259">
        <f t="shared" si="7"/>
        <v>22</v>
      </c>
      <c r="P16" s="259">
        <f t="shared" si="7"/>
        <v>22</v>
      </c>
      <c r="Q16" s="259">
        <f t="shared" si="7"/>
        <v>22</v>
      </c>
      <c r="R16" s="259">
        <f t="shared" si="7"/>
        <v>22</v>
      </c>
      <c r="S16" s="259">
        <f t="shared" si="7"/>
        <v>22</v>
      </c>
      <c r="T16" s="259">
        <f t="shared" si="7"/>
        <v>22</v>
      </c>
      <c r="U16" s="259">
        <f t="shared" si="7"/>
        <v>22</v>
      </c>
      <c r="V16" s="259">
        <f t="shared" si="7"/>
        <v>22</v>
      </c>
      <c r="W16" s="259">
        <f t="shared" si="7"/>
        <v>22</v>
      </c>
      <c r="X16" s="259">
        <f t="shared" si="7"/>
        <v>22</v>
      </c>
      <c r="Y16" s="789"/>
      <c r="AA16" s="236" t="s">
        <v>155</v>
      </c>
      <c r="AD16" s="236" t="s">
        <v>942</v>
      </c>
    </row>
    <row r="17" spans="1:32" ht="16.5" customHeight="1" x14ac:dyDescent="0.25">
      <c r="A17" s="238">
        <f t="shared" si="5"/>
        <v>14</v>
      </c>
      <c r="B17" s="788" t="s">
        <v>278</v>
      </c>
      <c r="C17" s="253" t="s">
        <v>277</v>
      </c>
      <c r="D17" s="258">
        <v>15</v>
      </c>
      <c r="E17" s="259">
        <f>D17</f>
        <v>15</v>
      </c>
      <c r="F17" s="259">
        <f t="shared" si="7"/>
        <v>15</v>
      </c>
      <c r="G17" s="259">
        <f t="shared" si="7"/>
        <v>15</v>
      </c>
      <c r="H17" s="259">
        <f t="shared" si="7"/>
        <v>15</v>
      </c>
      <c r="I17" s="259">
        <f t="shared" si="7"/>
        <v>15</v>
      </c>
      <c r="J17" s="259">
        <f t="shared" si="7"/>
        <v>15</v>
      </c>
      <c r="K17" s="259">
        <f t="shared" si="7"/>
        <v>15</v>
      </c>
      <c r="L17" s="259">
        <f t="shared" si="7"/>
        <v>15</v>
      </c>
      <c r="M17" s="259">
        <f t="shared" si="7"/>
        <v>15</v>
      </c>
      <c r="N17" s="259">
        <f t="shared" si="7"/>
        <v>15</v>
      </c>
      <c r="O17" s="259">
        <f t="shared" si="7"/>
        <v>15</v>
      </c>
      <c r="P17" s="259">
        <f t="shared" si="7"/>
        <v>15</v>
      </c>
      <c r="Q17" s="259">
        <f t="shared" si="7"/>
        <v>15</v>
      </c>
      <c r="R17" s="259">
        <f t="shared" si="7"/>
        <v>15</v>
      </c>
      <c r="S17" s="259">
        <f t="shared" si="7"/>
        <v>15</v>
      </c>
      <c r="T17" s="259">
        <f t="shared" si="7"/>
        <v>15</v>
      </c>
      <c r="U17" s="259">
        <f t="shared" si="7"/>
        <v>15</v>
      </c>
      <c r="V17" s="259">
        <f t="shared" si="7"/>
        <v>15</v>
      </c>
      <c r="W17" s="259">
        <f t="shared" si="7"/>
        <v>15</v>
      </c>
      <c r="X17" s="259">
        <f t="shared" si="7"/>
        <v>15</v>
      </c>
      <c r="Y17" s="789"/>
      <c r="AA17" s="531" t="s">
        <v>523</v>
      </c>
      <c r="AB17" s="531" t="s">
        <v>524</v>
      </c>
      <c r="AD17" s="531" t="s">
        <v>523</v>
      </c>
      <c r="AE17" s="531" t="s">
        <v>524</v>
      </c>
    </row>
    <row r="18" spans="1:32" ht="27.2" x14ac:dyDescent="0.25">
      <c r="A18" s="238">
        <f t="shared" si="5"/>
        <v>15</v>
      </c>
      <c r="B18" s="788" t="s">
        <v>423</v>
      </c>
      <c r="C18" s="260" t="s">
        <v>896</v>
      </c>
      <c r="D18" s="260"/>
      <c r="E18" s="792">
        <f t="shared" ref="E18:X18" si="8">SUM(E19:E22)</f>
        <v>470.70529599999998</v>
      </c>
      <c r="F18" s="792">
        <f t="shared" si="8"/>
        <v>654.09809599999994</v>
      </c>
      <c r="G18" s="792">
        <f t="shared" si="8"/>
        <v>3875.4080660000004</v>
      </c>
      <c r="H18" s="792">
        <f t="shared" si="8"/>
        <v>2060.9562960000003</v>
      </c>
      <c r="I18" s="792">
        <f t="shared" si="8"/>
        <v>687.31743599999982</v>
      </c>
      <c r="J18" s="792">
        <f t="shared" si="8"/>
        <v>3784.5746859999999</v>
      </c>
      <c r="K18" s="792">
        <f t="shared" si="8"/>
        <v>637.16343599999993</v>
      </c>
      <c r="L18" s="792">
        <f t="shared" si="8"/>
        <v>2184.2222959999999</v>
      </c>
      <c r="M18" s="792">
        <f t="shared" si="8"/>
        <v>7060.2275659999996</v>
      </c>
      <c r="N18" s="792">
        <f t="shared" si="8"/>
        <v>541.46829600000001</v>
      </c>
      <c r="O18" s="792">
        <f t="shared" si="8"/>
        <v>15567.830995999999</v>
      </c>
      <c r="P18" s="792">
        <f t="shared" si="8"/>
        <v>3794.5066860000002</v>
      </c>
      <c r="Q18" s="792">
        <f t="shared" si="8"/>
        <v>590.42603599999995</v>
      </c>
      <c r="R18" s="792">
        <f t="shared" si="8"/>
        <v>600.44869599999993</v>
      </c>
      <c r="S18" s="792">
        <f t="shared" si="8"/>
        <v>5399.6669259999999</v>
      </c>
      <c r="T18" s="792">
        <f t="shared" si="8"/>
        <v>601.65023599999995</v>
      </c>
      <c r="U18" s="792">
        <f t="shared" si="8"/>
        <v>593.57269599999995</v>
      </c>
      <c r="V18" s="792">
        <f t="shared" si="8"/>
        <v>8618.8377259999997</v>
      </c>
      <c r="W18" s="792">
        <f t="shared" si="8"/>
        <v>611.37429599999996</v>
      </c>
      <c r="X18" s="792">
        <f t="shared" si="8"/>
        <v>747.02156600000001</v>
      </c>
      <c r="Y18" s="1044"/>
      <c r="AA18" s="528">
        <f>SUM(E18:X18)</f>
        <v>59081.477330000002</v>
      </c>
      <c r="AB18" s="528">
        <f>AA18/$X$4</f>
        <v>2954.0738664999999</v>
      </c>
      <c r="AD18" s="528">
        <f>AA18*$AD$15</f>
        <v>8022.2681042182076</v>
      </c>
      <c r="AE18" s="528">
        <f t="shared" ref="AE18:AE22" si="9">AB18*$AD$15</f>
        <v>401.11340521091034</v>
      </c>
      <c r="AF18" s="1050">
        <f>AE18*'ФОТ, МТР, макро'!$AJ$7</f>
        <v>37724.114089978306</v>
      </c>
    </row>
    <row r="19" spans="1:32" x14ac:dyDescent="0.25">
      <c r="A19" s="238">
        <f t="shared" si="5"/>
        <v>16</v>
      </c>
      <c r="B19" s="791" t="s">
        <v>281</v>
      </c>
      <c r="C19" s="260" t="s">
        <v>896</v>
      </c>
      <c r="D19" s="260"/>
      <c r="E19" s="1045">
        <f>'NHL NTE240 ТО'!G9/1000</f>
        <v>297.27423999999996</v>
      </c>
      <c r="F19" s="1045">
        <f>'NHL NTE240 ТО'!H9/1000</f>
        <v>297.27423999999996</v>
      </c>
      <c r="G19" s="1045">
        <f>'NHL NTE240 ТО'!I9/1000</f>
        <v>297.27423999999996</v>
      </c>
      <c r="H19" s="1045">
        <f>'NHL NTE240 ТО'!J9/1000</f>
        <v>297.27423999999996</v>
      </c>
      <c r="I19" s="1045">
        <f>'NHL NTE240 ТО'!K9/1000</f>
        <v>297.27423999999996</v>
      </c>
      <c r="J19" s="1045">
        <f>'NHL NTE240 ТО'!L9/1000</f>
        <v>297.27423999999996</v>
      </c>
      <c r="K19" s="1045">
        <f>'NHL NTE240 ТО'!M9/1000</f>
        <v>297.27423999999996</v>
      </c>
      <c r="L19" s="1045">
        <f>'NHL NTE240 ТО'!N9/1000</f>
        <v>297.27423999999996</v>
      </c>
      <c r="M19" s="1045">
        <f>'NHL NTE240 ТО'!O9/1000</f>
        <v>297.27423999999996</v>
      </c>
      <c r="N19" s="1045">
        <f>'NHL NTE240 ТО'!P9/1000</f>
        <v>297.27423999999996</v>
      </c>
      <c r="O19" s="1045">
        <f>'NHL NTE240 ТО'!Q9/1000</f>
        <v>297.27423999999996</v>
      </c>
      <c r="P19" s="1045">
        <f>'NHL NTE240 ТО'!R9/1000</f>
        <v>297.27423999999996</v>
      </c>
      <c r="Q19" s="1045">
        <f>'NHL NTE240 ТО'!S9/1000</f>
        <v>297.27423999999996</v>
      </c>
      <c r="R19" s="1045">
        <f>'NHL NTE240 ТО'!T9/1000</f>
        <v>297.27423999999996</v>
      </c>
      <c r="S19" s="1045">
        <f>'NHL NTE240 ТО'!U9/1000</f>
        <v>297.27423999999996</v>
      </c>
      <c r="T19" s="1045">
        <f>'NHL NTE240 ТО'!V9/1000</f>
        <v>297.27423999999996</v>
      </c>
      <c r="U19" s="1045">
        <f>'NHL NTE240 ТО'!W9/1000</f>
        <v>297.27423999999996</v>
      </c>
      <c r="V19" s="1045">
        <f>'NHL NTE240 ТО'!X9/1000</f>
        <v>297.27423999999996</v>
      </c>
      <c r="W19" s="1045">
        <f>'NHL NTE240 ТО'!Y9/1000</f>
        <v>297.27423999999996</v>
      </c>
      <c r="X19" s="1045">
        <f>'NHL NTE240 ТО'!Z9/1000</f>
        <v>297.27423999999996</v>
      </c>
      <c r="Y19" s="1044" t="s">
        <v>897</v>
      </c>
      <c r="AA19" s="529">
        <f>SUM(E19:X19)</f>
        <v>5945.4847999999965</v>
      </c>
      <c r="AB19" s="529">
        <f>AA19/$X$4</f>
        <v>297.27423999999985</v>
      </c>
      <c r="AD19" s="529">
        <f t="shared" ref="AD19:AD22" si="10">AA19*$AD$15</f>
        <v>807.29655436248277</v>
      </c>
      <c r="AE19" s="529">
        <f t="shared" si="9"/>
        <v>40.36482771812414</v>
      </c>
    </row>
    <row r="20" spans="1:32" ht="25.85" x14ac:dyDescent="0.25">
      <c r="A20" s="238">
        <f t="shared" si="5"/>
        <v>17</v>
      </c>
      <c r="B20" s="791" t="s">
        <v>284</v>
      </c>
      <c r="C20" s="260" t="s">
        <v>896</v>
      </c>
      <c r="D20" s="260"/>
      <c r="E20" s="1046">
        <f>'NHL NTE240 Рем'!G10/1000</f>
        <v>0</v>
      </c>
      <c r="F20" s="1046">
        <f>'NHL NTE240 Рем'!H10/1000</f>
        <v>151.6104</v>
      </c>
      <c r="G20" s="1046">
        <f>'NHL NTE240 Рем'!I10/1000</f>
        <v>3293.5407700000005</v>
      </c>
      <c r="H20" s="1046">
        <f>'NHL NTE240 Рем'!J10/1000</f>
        <v>1329.6506000000002</v>
      </c>
      <c r="I20" s="1046">
        <f>'NHL NTE240 Рем'!K10/1000</f>
        <v>207.44413999999998</v>
      </c>
      <c r="J20" s="1046">
        <f>'NHL NTE240 Рем'!L10/1000</f>
        <v>3259.1669900000002</v>
      </c>
      <c r="K20" s="1046">
        <f>'NHL NTE240 Рем'!M10/1000</f>
        <v>47.961739999999999</v>
      </c>
      <c r="L20" s="1046">
        <f>'NHL NTE240 Рем'!N10/1000</f>
        <v>1481.261</v>
      </c>
      <c r="M20" s="1046">
        <f>'NHL NTE240 Рем'!O10/1000</f>
        <v>6533.29187</v>
      </c>
      <c r="N20" s="1046">
        <f>'NHL NTE240 Рем'!P10/1000</f>
        <v>44.023000000000003</v>
      </c>
      <c r="O20" s="1046">
        <f>'NHL NTE240 Рем'!Q10/1000</f>
        <v>14777.315299999998</v>
      </c>
      <c r="P20" s="1046">
        <f>'NHL NTE240 Рем'!R10/1000</f>
        <v>3259.1669900000002</v>
      </c>
      <c r="Q20" s="1046">
        <f>'NHL NTE240 Рем'!S10/1000</f>
        <v>99.856739999999988</v>
      </c>
      <c r="R20" s="1046">
        <f>'NHL NTE240 Рем'!T10/1000</f>
        <v>107.58739999999999</v>
      </c>
      <c r="S20" s="1046">
        <f>'NHL NTE240 Рем'!U10/1000</f>
        <v>4575.2296299999998</v>
      </c>
      <c r="T20" s="1046">
        <f>'NHL NTE240 Рем'!V10/1000</f>
        <v>96.182940000000002</v>
      </c>
      <c r="U20" s="1046">
        <f>'NHL NTE240 Рем'!W10/1000</f>
        <v>107.58739999999999</v>
      </c>
      <c r="V20" s="1046">
        <f>'NHL NTE240 Рем'!X10/1000</f>
        <v>7876.5304299999998</v>
      </c>
      <c r="W20" s="1046">
        <f>'NHL NTE240 Рем'!Y10/1000</f>
        <v>44.023000000000003</v>
      </c>
      <c r="X20" s="1046">
        <f>'NHL NTE240 Рем'!Z10/1000</f>
        <v>237.35227000000003</v>
      </c>
      <c r="Y20" s="1044"/>
      <c r="AA20" s="529">
        <f>SUM(E20:X20)</f>
        <v>47528.782609999995</v>
      </c>
      <c r="AB20" s="529">
        <f>AA20/$X$4</f>
        <v>2376.4391304999999</v>
      </c>
      <c r="AD20" s="529">
        <f t="shared" si="10"/>
        <v>6453.6070185725666</v>
      </c>
      <c r="AE20" s="529">
        <f t="shared" si="9"/>
        <v>322.68035092862834</v>
      </c>
    </row>
    <row r="21" spans="1:32" ht="16.5" customHeight="1" x14ac:dyDescent="0.25">
      <c r="A21" s="238">
        <f t="shared" si="5"/>
        <v>18</v>
      </c>
      <c r="B21" s="791" t="s">
        <v>285</v>
      </c>
      <c r="C21" s="260" t="s">
        <v>896</v>
      </c>
      <c r="D21" s="260"/>
      <c r="E21" s="1046">
        <f>'NHL NTE240 ТО'!G10/1000</f>
        <v>126.063056</v>
      </c>
      <c r="F21" s="1046">
        <f>'NHL NTE240 ТО'!H10/1000</f>
        <v>147.91345599999997</v>
      </c>
      <c r="G21" s="1046">
        <f>'NHL NTE240 ТО'!I10/1000</f>
        <v>126.063056</v>
      </c>
      <c r="H21" s="1046">
        <f>'NHL NTE240 ТО'!J10/1000</f>
        <v>147.91345599999997</v>
      </c>
      <c r="I21" s="1046">
        <f>'NHL NTE240 ТО'!K10/1000</f>
        <v>126.063056</v>
      </c>
      <c r="J21" s="1046">
        <f>'NHL NTE240 ТО'!L10/1000</f>
        <v>147.91345599999997</v>
      </c>
      <c r="K21" s="1046">
        <f>'NHL NTE240 ТО'!M10/1000</f>
        <v>147.91345599999997</v>
      </c>
      <c r="L21" s="1046">
        <f>'NHL NTE240 ТО'!N10/1000</f>
        <v>126.063056</v>
      </c>
      <c r="M21" s="1046">
        <f>'NHL NTE240 ТО'!O10/1000</f>
        <v>147.91345599999997</v>
      </c>
      <c r="N21" s="1046">
        <f>'NHL NTE240 ТО'!P10/1000</f>
        <v>126.063056</v>
      </c>
      <c r="O21" s="1046">
        <f>'NHL NTE240 ТО'!Q10/1000</f>
        <v>147.91345599999997</v>
      </c>
      <c r="P21" s="1046">
        <f>'NHL NTE240 ТО'!R10/1000</f>
        <v>147.91345599999997</v>
      </c>
      <c r="Q21" s="1046">
        <f>'NHL NTE240 ТО'!S10/1000</f>
        <v>126.063056</v>
      </c>
      <c r="R21" s="1046">
        <f>'NHL NTE240 ТО'!T10/1000</f>
        <v>144.39905599999997</v>
      </c>
      <c r="S21" s="1046">
        <f>'NHL NTE240 ТО'!U10/1000</f>
        <v>144.39905599999997</v>
      </c>
      <c r="T21" s="1046">
        <f>'NHL NTE240 ТО'!V10/1000</f>
        <v>126.063056</v>
      </c>
      <c r="U21" s="1046">
        <f>'NHL NTE240 ТО'!W10/1000</f>
        <v>144.39905599999997</v>
      </c>
      <c r="V21" s="1046">
        <f>'NHL NTE240 ТО'!X10/1000</f>
        <v>144.39905599999997</v>
      </c>
      <c r="W21" s="1046">
        <f>'NHL NTE240 ТО'!Y10/1000</f>
        <v>126.063056</v>
      </c>
      <c r="X21" s="1046">
        <f>'NHL NTE240 ТО'!Z10/1000</f>
        <v>144.39905599999997</v>
      </c>
      <c r="Y21" s="1044"/>
      <c r="AA21" s="529">
        <f>SUM(E21:X21)</f>
        <v>2765.8939200000004</v>
      </c>
      <c r="AB21" s="529">
        <f>AA21/$X$4</f>
        <v>138.29469600000002</v>
      </c>
      <c r="AD21" s="529">
        <f t="shared" si="10"/>
        <v>375.5617424752549</v>
      </c>
      <c r="AE21" s="529">
        <f t="shared" si="9"/>
        <v>18.778087123762745</v>
      </c>
    </row>
    <row r="22" spans="1:32" x14ac:dyDescent="0.25">
      <c r="A22" s="238">
        <f t="shared" si="5"/>
        <v>19</v>
      </c>
      <c r="B22" s="791" t="s">
        <v>286</v>
      </c>
      <c r="C22" s="260" t="s">
        <v>896</v>
      </c>
      <c r="D22" s="260"/>
      <c r="E22" s="1046">
        <f>'NHL NTE240 Рем'!G11/1000</f>
        <v>47.368000000000002</v>
      </c>
      <c r="F22" s="1046">
        <f>'NHL NTE240 Рем'!H11/1000</f>
        <v>57.3</v>
      </c>
      <c r="G22" s="1046">
        <f>'NHL NTE240 Рем'!I11/1000</f>
        <v>158.53</v>
      </c>
      <c r="H22" s="1046">
        <f>'NHL NTE240 Рем'!J11/1000</f>
        <v>286.11799999999999</v>
      </c>
      <c r="I22" s="1046">
        <f>'NHL NTE240 Рем'!K11/1000</f>
        <v>56.536000000000001</v>
      </c>
      <c r="J22" s="1046">
        <f>'NHL NTE240 Рем'!L11/1000</f>
        <v>80.22</v>
      </c>
      <c r="K22" s="1046">
        <f>'NHL NTE240 Рем'!M11/1000</f>
        <v>144.01400000000001</v>
      </c>
      <c r="L22" s="1046">
        <f>'NHL NTE240 Рем'!N11/1000</f>
        <v>279.62400000000002</v>
      </c>
      <c r="M22" s="1046">
        <f>'NHL NTE240 Рем'!O11/1000</f>
        <v>81.748000000000005</v>
      </c>
      <c r="N22" s="1046">
        <f>'NHL NTE240 Рем'!P11/1000</f>
        <v>74.108000000000004</v>
      </c>
      <c r="O22" s="1046">
        <f>'NHL NTE240 Рем'!Q11/1000</f>
        <v>345.32799999999997</v>
      </c>
      <c r="P22" s="1046">
        <f>'NHL NTE240 Рем'!R11/1000</f>
        <v>90.152000000000001</v>
      </c>
      <c r="Q22" s="1046">
        <f>'NHL NTE240 Рем'!S11/1000</f>
        <v>67.231999999999999</v>
      </c>
      <c r="R22" s="1046">
        <f>'NHL NTE240 Рем'!T11/1000</f>
        <v>51.188000000000002</v>
      </c>
      <c r="S22" s="1046">
        <f>'NHL NTE240 Рем'!U11/1000</f>
        <v>382.76400000000001</v>
      </c>
      <c r="T22" s="1046">
        <f>'NHL NTE240 Рем'!V11/1000</f>
        <v>82.13</v>
      </c>
      <c r="U22" s="1046">
        <f>'NHL NTE240 Рем'!W11/1000</f>
        <v>44.311999999999998</v>
      </c>
      <c r="V22" s="1046">
        <f>'NHL NTE240 Рем'!X11/1000</f>
        <v>300.63400000000001</v>
      </c>
      <c r="W22" s="1046">
        <f>'NHL NTE240 Рем'!Y11/1000</f>
        <v>144.01400000000001</v>
      </c>
      <c r="X22" s="1046">
        <f>'NHL NTE240 Рем'!Z11/1000</f>
        <v>67.995999999999995</v>
      </c>
      <c r="Y22" s="1044" t="s">
        <v>898</v>
      </c>
      <c r="AA22" s="529">
        <f>SUM(E22:X22)</f>
        <v>2841.3160000000003</v>
      </c>
      <c r="AB22" s="529">
        <f>AA22/$X$4</f>
        <v>142.06580000000002</v>
      </c>
      <c r="AD22" s="529">
        <f t="shared" si="10"/>
        <v>385.8027888079024</v>
      </c>
      <c r="AE22" s="529">
        <f t="shared" si="9"/>
        <v>19.290139440395119</v>
      </c>
    </row>
    <row r="23" spans="1:32" ht="13.6" x14ac:dyDescent="0.25">
      <c r="A23" s="238">
        <f t="shared" si="5"/>
        <v>20</v>
      </c>
      <c r="B23" s="264" t="s">
        <v>39</v>
      </c>
      <c r="C23" s="260"/>
      <c r="D23" s="260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469"/>
      <c r="AA23" s="529"/>
      <c r="AB23" s="529"/>
    </row>
    <row r="24" spans="1:32" ht="14.95" customHeight="1" x14ac:dyDescent="0.25">
      <c r="A24" s="238">
        <f t="shared" si="5"/>
        <v>21</v>
      </c>
      <c r="B24" s="793" t="s">
        <v>287</v>
      </c>
      <c r="C24" s="260"/>
      <c r="D24" s="268" t="s">
        <v>166</v>
      </c>
      <c r="E24" s="794" t="s">
        <v>166</v>
      </c>
      <c r="F24" s="794" t="s">
        <v>166</v>
      </c>
      <c r="G24" s="794" t="s">
        <v>166</v>
      </c>
      <c r="H24" s="794" t="s">
        <v>166</v>
      </c>
      <c r="I24" s="794" t="s">
        <v>166</v>
      </c>
      <c r="J24" s="794" t="s">
        <v>166</v>
      </c>
      <c r="K24" s="794" t="s">
        <v>166</v>
      </c>
      <c r="L24" s="794" t="s">
        <v>166</v>
      </c>
      <c r="M24" s="794" t="s">
        <v>166</v>
      </c>
      <c r="N24" s="794" t="s">
        <v>166</v>
      </c>
      <c r="O24" s="794" t="s">
        <v>166</v>
      </c>
      <c r="P24" s="794" t="s">
        <v>166</v>
      </c>
      <c r="Q24" s="794" t="s">
        <v>166</v>
      </c>
      <c r="R24" s="794" t="s">
        <v>166</v>
      </c>
      <c r="S24" s="794" t="s">
        <v>166</v>
      </c>
      <c r="T24" s="794" t="s">
        <v>166</v>
      </c>
      <c r="U24" s="794" t="s">
        <v>166</v>
      </c>
      <c r="V24" s="794" t="s">
        <v>166</v>
      </c>
      <c r="W24" s="794" t="s">
        <v>166</v>
      </c>
      <c r="X24" s="794" t="s">
        <v>166</v>
      </c>
      <c r="Y24" s="789" t="s">
        <v>899</v>
      </c>
    </row>
    <row r="25" spans="1:32" ht="25.85" x14ac:dyDescent="0.25">
      <c r="A25" s="238">
        <f t="shared" si="5"/>
        <v>22</v>
      </c>
      <c r="B25" s="793" t="s">
        <v>290</v>
      </c>
      <c r="C25" s="260"/>
      <c r="D25" s="795">
        <v>0</v>
      </c>
      <c r="E25" s="796">
        <f>D25</f>
        <v>0</v>
      </c>
      <c r="F25" s="796">
        <f t="shared" ref="F25:X25" si="11">E25</f>
        <v>0</v>
      </c>
      <c r="G25" s="796">
        <f t="shared" si="11"/>
        <v>0</v>
      </c>
      <c r="H25" s="796">
        <f t="shared" si="11"/>
        <v>0</v>
      </c>
      <c r="I25" s="796">
        <f t="shared" si="11"/>
        <v>0</v>
      </c>
      <c r="J25" s="796">
        <f t="shared" si="11"/>
        <v>0</v>
      </c>
      <c r="K25" s="796">
        <f t="shared" si="11"/>
        <v>0</v>
      </c>
      <c r="L25" s="796">
        <f t="shared" si="11"/>
        <v>0</v>
      </c>
      <c r="M25" s="796">
        <f t="shared" si="11"/>
        <v>0</v>
      </c>
      <c r="N25" s="796">
        <f t="shared" si="11"/>
        <v>0</v>
      </c>
      <c r="O25" s="796">
        <f t="shared" si="11"/>
        <v>0</v>
      </c>
      <c r="P25" s="796">
        <f t="shared" si="11"/>
        <v>0</v>
      </c>
      <c r="Q25" s="796">
        <f t="shared" si="11"/>
        <v>0</v>
      </c>
      <c r="R25" s="796">
        <f t="shared" si="11"/>
        <v>0</v>
      </c>
      <c r="S25" s="796">
        <f t="shared" si="11"/>
        <v>0</v>
      </c>
      <c r="T25" s="796">
        <f t="shared" si="11"/>
        <v>0</v>
      </c>
      <c r="U25" s="796">
        <f t="shared" si="11"/>
        <v>0</v>
      </c>
      <c r="V25" s="796">
        <f t="shared" si="11"/>
        <v>0</v>
      </c>
      <c r="W25" s="796">
        <f t="shared" si="11"/>
        <v>0</v>
      </c>
      <c r="X25" s="796">
        <f t="shared" si="11"/>
        <v>0</v>
      </c>
      <c r="Y25" s="789" t="s">
        <v>900</v>
      </c>
    </row>
    <row r="26" spans="1:32" ht="13.6" x14ac:dyDescent="0.25">
      <c r="A26" s="238">
        <f t="shared" si="5"/>
        <v>23</v>
      </c>
      <c r="B26" s="264" t="s">
        <v>70</v>
      </c>
      <c r="C26" s="260"/>
      <c r="D26" s="26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469" t="s">
        <v>901</v>
      </c>
    </row>
    <row r="27" spans="1:32" x14ac:dyDescent="0.25">
      <c r="A27" s="238">
        <f t="shared" si="5"/>
        <v>24</v>
      </c>
      <c r="B27" s="793" t="s">
        <v>293</v>
      </c>
      <c r="C27" s="260" t="s">
        <v>145</v>
      </c>
      <c r="D27" s="271">
        <v>140</v>
      </c>
      <c r="E27" s="797">
        <f>D27</f>
        <v>140</v>
      </c>
      <c r="F27" s="797">
        <f t="shared" ref="F27:X30" si="12">E27</f>
        <v>140</v>
      </c>
      <c r="G27" s="797">
        <f t="shared" si="12"/>
        <v>140</v>
      </c>
      <c r="H27" s="797">
        <f t="shared" si="12"/>
        <v>140</v>
      </c>
      <c r="I27" s="797">
        <f t="shared" si="12"/>
        <v>140</v>
      </c>
      <c r="J27" s="797">
        <f t="shared" si="12"/>
        <v>140</v>
      </c>
      <c r="K27" s="797">
        <f t="shared" si="12"/>
        <v>140</v>
      </c>
      <c r="L27" s="797">
        <f t="shared" si="12"/>
        <v>140</v>
      </c>
      <c r="M27" s="797">
        <f t="shared" si="12"/>
        <v>140</v>
      </c>
      <c r="N27" s="797">
        <f t="shared" si="12"/>
        <v>140</v>
      </c>
      <c r="O27" s="797">
        <f t="shared" si="12"/>
        <v>140</v>
      </c>
      <c r="P27" s="797">
        <f t="shared" si="12"/>
        <v>140</v>
      </c>
      <c r="Q27" s="797">
        <f t="shared" si="12"/>
        <v>140</v>
      </c>
      <c r="R27" s="797">
        <f t="shared" si="12"/>
        <v>140</v>
      </c>
      <c r="S27" s="797">
        <f t="shared" si="12"/>
        <v>140</v>
      </c>
      <c r="T27" s="797">
        <f t="shared" si="12"/>
        <v>140</v>
      </c>
      <c r="U27" s="797">
        <f t="shared" si="12"/>
        <v>140</v>
      </c>
      <c r="V27" s="797">
        <f t="shared" si="12"/>
        <v>140</v>
      </c>
      <c r="W27" s="797">
        <f t="shared" si="12"/>
        <v>140</v>
      </c>
      <c r="X27" s="797">
        <f t="shared" si="12"/>
        <v>140</v>
      </c>
      <c r="Y27" s="789" t="s">
        <v>902</v>
      </c>
    </row>
    <row r="28" spans="1:32" x14ac:dyDescent="0.25">
      <c r="A28" s="238">
        <f t="shared" si="5"/>
        <v>25</v>
      </c>
      <c r="B28" s="793" t="s">
        <v>294</v>
      </c>
      <c r="C28" s="260" t="s">
        <v>145</v>
      </c>
      <c r="D28" s="271">
        <v>165</v>
      </c>
      <c r="E28" s="797">
        <f>D28</f>
        <v>165</v>
      </c>
      <c r="F28" s="797">
        <f t="shared" si="12"/>
        <v>165</v>
      </c>
      <c r="G28" s="797">
        <f t="shared" si="12"/>
        <v>165</v>
      </c>
      <c r="H28" s="797">
        <f t="shared" si="12"/>
        <v>165</v>
      </c>
      <c r="I28" s="797">
        <f t="shared" si="12"/>
        <v>165</v>
      </c>
      <c r="J28" s="797">
        <f t="shared" si="12"/>
        <v>165</v>
      </c>
      <c r="K28" s="797">
        <f t="shared" si="12"/>
        <v>165</v>
      </c>
      <c r="L28" s="797">
        <f t="shared" si="12"/>
        <v>165</v>
      </c>
      <c r="M28" s="797">
        <f t="shared" si="12"/>
        <v>165</v>
      </c>
      <c r="N28" s="797">
        <f t="shared" si="12"/>
        <v>165</v>
      </c>
      <c r="O28" s="797">
        <f t="shared" si="12"/>
        <v>165</v>
      </c>
      <c r="P28" s="797">
        <f t="shared" si="12"/>
        <v>165</v>
      </c>
      <c r="Q28" s="797">
        <f t="shared" si="12"/>
        <v>165</v>
      </c>
      <c r="R28" s="797">
        <f t="shared" si="12"/>
        <v>165</v>
      </c>
      <c r="S28" s="797">
        <f t="shared" si="12"/>
        <v>165</v>
      </c>
      <c r="T28" s="797">
        <f t="shared" si="12"/>
        <v>165</v>
      </c>
      <c r="U28" s="797">
        <f t="shared" si="12"/>
        <v>165</v>
      </c>
      <c r="V28" s="797">
        <f t="shared" si="12"/>
        <v>165</v>
      </c>
      <c r="W28" s="797">
        <f t="shared" si="12"/>
        <v>165</v>
      </c>
      <c r="X28" s="797">
        <f t="shared" si="12"/>
        <v>165</v>
      </c>
      <c r="Y28" s="789" t="s">
        <v>903</v>
      </c>
    </row>
    <row r="29" spans="1:32" x14ac:dyDescent="0.25">
      <c r="A29" s="238">
        <f t="shared" si="5"/>
        <v>26</v>
      </c>
      <c r="B29" s="793" t="s">
        <v>295</v>
      </c>
      <c r="C29" s="260" t="s">
        <v>145</v>
      </c>
      <c r="D29" s="271">
        <v>190</v>
      </c>
      <c r="E29" s="797">
        <f>D29</f>
        <v>190</v>
      </c>
      <c r="F29" s="797">
        <f t="shared" si="12"/>
        <v>190</v>
      </c>
      <c r="G29" s="797">
        <f t="shared" si="12"/>
        <v>190</v>
      </c>
      <c r="H29" s="797">
        <f t="shared" si="12"/>
        <v>190</v>
      </c>
      <c r="I29" s="797">
        <f t="shared" si="12"/>
        <v>190</v>
      </c>
      <c r="J29" s="797">
        <f t="shared" si="12"/>
        <v>190</v>
      </c>
      <c r="K29" s="797">
        <f t="shared" si="12"/>
        <v>190</v>
      </c>
      <c r="L29" s="797">
        <f t="shared" si="12"/>
        <v>190</v>
      </c>
      <c r="M29" s="797">
        <f t="shared" si="12"/>
        <v>190</v>
      </c>
      <c r="N29" s="797">
        <f t="shared" si="12"/>
        <v>190</v>
      </c>
      <c r="O29" s="797">
        <f t="shared" si="12"/>
        <v>190</v>
      </c>
      <c r="P29" s="797">
        <f t="shared" si="12"/>
        <v>190</v>
      </c>
      <c r="Q29" s="797">
        <f t="shared" si="12"/>
        <v>190</v>
      </c>
      <c r="R29" s="797">
        <f t="shared" si="12"/>
        <v>190</v>
      </c>
      <c r="S29" s="797">
        <f t="shared" si="12"/>
        <v>190</v>
      </c>
      <c r="T29" s="797">
        <f t="shared" si="12"/>
        <v>190</v>
      </c>
      <c r="U29" s="797">
        <f t="shared" si="12"/>
        <v>190</v>
      </c>
      <c r="V29" s="797">
        <f t="shared" si="12"/>
        <v>190</v>
      </c>
      <c r="W29" s="797">
        <f t="shared" si="12"/>
        <v>190</v>
      </c>
      <c r="X29" s="797">
        <f t="shared" si="12"/>
        <v>190</v>
      </c>
      <c r="Y29" s="789" t="s">
        <v>904</v>
      </c>
    </row>
    <row r="30" spans="1:32" ht="18" customHeight="1" x14ac:dyDescent="0.25">
      <c r="A30" s="238">
        <f t="shared" si="5"/>
        <v>27</v>
      </c>
      <c r="B30" s="788" t="s">
        <v>296</v>
      </c>
      <c r="C30" s="272" t="s">
        <v>297</v>
      </c>
      <c r="D30" s="273" t="s">
        <v>905</v>
      </c>
      <c r="E30" s="798" t="str">
        <f>D30</f>
        <v>От 6 до 14</v>
      </c>
      <c r="F30" s="798" t="str">
        <f t="shared" si="12"/>
        <v>От 6 до 14</v>
      </c>
      <c r="G30" s="798" t="str">
        <f t="shared" si="12"/>
        <v>От 6 до 14</v>
      </c>
      <c r="H30" s="798" t="str">
        <f t="shared" si="12"/>
        <v>От 6 до 14</v>
      </c>
      <c r="I30" s="798" t="str">
        <f t="shared" si="12"/>
        <v>От 6 до 14</v>
      </c>
      <c r="J30" s="798" t="str">
        <f t="shared" si="12"/>
        <v>От 6 до 14</v>
      </c>
      <c r="K30" s="798" t="str">
        <f t="shared" si="12"/>
        <v>От 6 до 14</v>
      </c>
      <c r="L30" s="798" t="str">
        <f t="shared" si="12"/>
        <v>От 6 до 14</v>
      </c>
      <c r="M30" s="798" t="str">
        <f t="shared" si="12"/>
        <v>От 6 до 14</v>
      </c>
      <c r="N30" s="798" t="str">
        <f t="shared" si="12"/>
        <v>От 6 до 14</v>
      </c>
      <c r="O30" s="798" t="str">
        <f t="shared" si="12"/>
        <v>От 6 до 14</v>
      </c>
      <c r="P30" s="798" t="str">
        <f t="shared" si="12"/>
        <v>От 6 до 14</v>
      </c>
      <c r="Q30" s="798" t="str">
        <f t="shared" si="12"/>
        <v>От 6 до 14</v>
      </c>
      <c r="R30" s="798" t="str">
        <f t="shared" si="12"/>
        <v>От 6 до 14</v>
      </c>
      <c r="S30" s="798" t="str">
        <f t="shared" si="12"/>
        <v>От 6 до 14</v>
      </c>
      <c r="T30" s="798" t="str">
        <f t="shared" si="12"/>
        <v>От 6 до 14</v>
      </c>
      <c r="U30" s="798" t="str">
        <f t="shared" si="12"/>
        <v>От 6 до 14</v>
      </c>
      <c r="V30" s="798" t="str">
        <f t="shared" si="12"/>
        <v>От 6 до 14</v>
      </c>
      <c r="W30" s="798" t="str">
        <f t="shared" si="12"/>
        <v>От 6 до 14</v>
      </c>
      <c r="X30" s="798" t="str">
        <f t="shared" si="12"/>
        <v>От 6 до 14</v>
      </c>
      <c r="Y30" s="473" t="s">
        <v>906</v>
      </c>
    </row>
    <row r="33" spans="4:25" ht="13.6" x14ac:dyDescent="0.25">
      <c r="D33" s="238" t="s">
        <v>155</v>
      </c>
      <c r="E33" s="527">
        <f>E18/(365*24*E12)*1000</f>
        <v>57.312638855226638</v>
      </c>
      <c r="F33" s="527">
        <f t="shared" ref="F33:X33" si="13">F18/(365*24*F12)*1000</f>
        <v>80.256105696408696</v>
      </c>
      <c r="G33" s="527">
        <f t="shared" si="13"/>
        <v>480.39625100364702</v>
      </c>
      <c r="H33" s="527">
        <f t="shared" si="13"/>
        <v>258.99105651365016</v>
      </c>
      <c r="I33" s="527">
        <f t="shared" si="13"/>
        <v>84.065284114548589</v>
      </c>
      <c r="J33" s="527">
        <f t="shared" si="13"/>
        <v>468.71851489323848</v>
      </c>
      <c r="K33" s="527">
        <f t="shared" si="13"/>
        <v>78.103732334039975</v>
      </c>
      <c r="L33" s="527">
        <f t="shared" si="13"/>
        <v>273.65885572375129</v>
      </c>
      <c r="M33" s="527">
        <f t="shared" si="13"/>
        <v>878.85173290656326</v>
      </c>
      <c r="N33" s="527">
        <f t="shared" si="13"/>
        <v>66.30542930193991</v>
      </c>
      <c r="O33" s="527">
        <f t="shared" si="13"/>
        <v>1943.0450114663672</v>
      </c>
      <c r="P33" s="527">
        <f t="shared" si="13"/>
        <v>474.28886376209908</v>
      </c>
      <c r="Q33" s="527">
        <f t="shared" si="13"/>
        <v>72.18023676371979</v>
      </c>
      <c r="R33" s="527">
        <f t="shared" si="13"/>
        <v>73.492868175549063</v>
      </c>
      <c r="S33" s="527">
        <f t="shared" si="13"/>
        <v>686.04499580830293</v>
      </c>
      <c r="T33" s="527">
        <f t="shared" si="13"/>
        <v>74.205062540542386</v>
      </c>
      <c r="U33" s="527">
        <f t="shared" si="13"/>
        <v>72.53043694253256</v>
      </c>
      <c r="V33" s="527">
        <f t="shared" si="13"/>
        <v>1087.5281641113154</v>
      </c>
      <c r="W33" s="527">
        <f t="shared" si="13"/>
        <v>74.687922440527004</v>
      </c>
      <c r="X33" s="527">
        <f t="shared" si="13"/>
        <v>92.489456554493714</v>
      </c>
      <c r="Y33" s="532">
        <f>SUMPRODUCT(E33:X33,E12:X12)/SUM(E12:X12)</f>
        <v>365.39968643701968</v>
      </c>
    </row>
    <row r="35" spans="4:25" ht="13.6" x14ac:dyDescent="0.25">
      <c r="D35" s="238" t="s">
        <v>942</v>
      </c>
      <c r="E35" s="527">
        <f>E33*$AD$15</f>
        <v>7.7820896740406837</v>
      </c>
      <c r="F35" s="527">
        <f t="shared" ref="F35:X35" si="14">F33*$AD$15</f>
        <v>10.897425487533331</v>
      </c>
      <c r="G35" s="527">
        <f t="shared" si="14"/>
        <v>65.229708124709845</v>
      </c>
      <c r="H35" s="527">
        <f t="shared" si="14"/>
        <v>35.166617116600641</v>
      </c>
      <c r="I35" s="527">
        <f t="shared" si="14"/>
        <v>11.414647667954391</v>
      </c>
      <c r="J35" s="527">
        <f t="shared" si="14"/>
        <v>63.644068527298515</v>
      </c>
      <c r="K35" s="527">
        <f t="shared" si="14"/>
        <v>10.605169488637856</v>
      </c>
      <c r="L35" s="527">
        <f t="shared" si="14"/>
        <v>37.158256850066181</v>
      </c>
      <c r="M35" s="527">
        <f t="shared" si="14"/>
        <v>119.33324188650957</v>
      </c>
      <c r="N35" s="527">
        <f t="shared" si="14"/>
        <v>9.0031589368425138</v>
      </c>
      <c r="O35" s="527">
        <f t="shared" si="14"/>
        <v>263.83273954850745</v>
      </c>
      <c r="P35" s="527">
        <f t="shared" si="14"/>
        <v>64.400427949566009</v>
      </c>
      <c r="Q35" s="527">
        <f t="shared" si="14"/>
        <v>9.8008587007773063</v>
      </c>
      <c r="R35" s="527">
        <f t="shared" si="14"/>
        <v>9.9790919065737018</v>
      </c>
      <c r="S35" s="527">
        <f t="shared" si="14"/>
        <v>93.153339026897726</v>
      </c>
      <c r="T35" s="527">
        <f t="shared" si="14"/>
        <v>10.075795888878977</v>
      </c>
      <c r="U35" s="527">
        <f t="shared" si="14"/>
        <v>9.8484099782934269</v>
      </c>
      <c r="V35" s="527">
        <f t="shared" si="14"/>
        <v>147.66798153436068</v>
      </c>
      <c r="W35" s="527">
        <f t="shared" si="14"/>
        <v>10.141360118981355</v>
      </c>
      <c r="X35" s="527">
        <f t="shared" si="14"/>
        <v>12.558508196219989</v>
      </c>
      <c r="Y35" s="532">
        <f>Y33*$AD$15</f>
        <v>49.615114283992078</v>
      </c>
    </row>
  </sheetData>
  <printOptions horizontalCentered="1" verticalCentered="1"/>
  <pageMargins left="0.19685039370078741" right="0.19685039370078741" top="0.19685039370078741" bottom="0.19685039370078741" header="0.15748031496062992" footer="0.15748031496062992"/>
  <pageSetup paperSize="9" scale="42" orientation="landscape" r:id="rId1"/>
  <headerFooter alignWithMargins="0">
    <oddFooter>&amp;R&amp;"Arial Cyr,полужирный курсив"&amp;12&amp;A,  стр.&amp;P из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5663-C6B0-4773-8395-2B42BF4C3054}">
  <sheetPr>
    <tabColor theme="9" tint="0.39997558519241921"/>
    <pageSetUpPr fitToPage="1"/>
  </sheetPr>
  <dimension ref="B2:Z53"/>
  <sheetViews>
    <sheetView showGridLines="0" zoomScale="85" zoomScaleNormal="85" workbookViewId="0">
      <pane xSplit="5" ySplit="4" topLeftCell="F5" activePane="bottomRight" state="frozen"/>
      <selection activeCell="D27" sqref="D27:D29"/>
      <selection pane="topRight" activeCell="D27" sqref="D27:D29"/>
      <selection pane="bottomLeft" activeCell="D27" sqref="D27:D29"/>
      <selection pane="bottomRight" activeCell="D27" sqref="D27:D29"/>
    </sheetView>
  </sheetViews>
  <sheetFormatPr defaultRowHeight="14.3" x14ac:dyDescent="0.25"/>
  <cols>
    <col min="1" max="1" width="5.5" style="275" customWidth="1"/>
    <col min="2" max="2" width="33.375" style="888" bestFit="1" customWidth="1"/>
    <col min="3" max="3" width="19.375" style="799" bestFit="1" customWidth="1"/>
    <col min="4" max="4" width="14.625" style="275" customWidth="1"/>
    <col min="5" max="5" width="9.375" style="368" bestFit="1" customWidth="1"/>
    <col min="6" max="6" width="9.375" style="275" bestFit="1" customWidth="1"/>
    <col min="7" max="26" width="11.375" style="368" bestFit="1" customWidth="1"/>
    <col min="27" max="27" width="5.5" style="275" customWidth="1"/>
    <col min="28" max="16384" width="9" style="275"/>
  </cols>
  <sheetData>
    <row r="2" spans="2:26" ht="14.95" thickBot="1" x14ac:dyDescent="0.3">
      <c r="B2" s="237" t="s">
        <v>259</v>
      </c>
    </row>
    <row r="3" spans="2:26" ht="14.95" thickBot="1" x14ac:dyDescent="0.3">
      <c r="B3" s="800" t="s">
        <v>298</v>
      </c>
      <c r="C3" s="801"/>
      <c r="D3" s="802"/>
      <c r="E3" s="803"/>
      <c r="F3" s="802"/>
      <c r="G3" s="804">
        <f>'NHL NTE240'!E12</f>
        <v>0.93755029173008619</v>
      </c>
      <c r="H3" s="804">
        <f>'NHL NTE240'!F12</f>
        <v>0.93038070776255699</v>
      </c>
      <c r="I3" s="804">
        <f>'NHL NTE240'!G12</f>
        <v>0.92090265093860979</v>
      </c>
      <c r="J3" s="804">
        <f>'NHL NTE240'!H12</f>
        <v>0.90840582191780817</v>
      </c>
      <c r="K3" s="804">
        <f>'NHL NTE240'!I12</f>
        <v>0.93333288939624548</v>
      </c>
      <c r="L3" s="804">
        <f>'NHL NTE240'!J12</f>
        <v>0.92172393455098933</v>
      </c>
      <c r="M3" s="804">
        <f>'NHL NTE240'!K12</f>
        <v>0.93126858193810236</v>
      </c>
      <c r="N3" s="804">
        <f>'NHL NTE240'!L12</f>
        <v>0.91113603500761031</v>
      </c>
      <c r="O3" s="804">
        <f>'NHL NTE240'!M12</f>
        <v>0.91706259512937582</v>
      </c>
      <c r="P3" s="804">
        <f>'NHL NTE240'!N12</f>
        <v>0.93222304667681377</v>
      </c>
      <c r="Q3" s="804">
        <f>'NHL NTE240'!O12</f>
        <v>0.91462094114662595</v>
      </c>
      <c r="R3" s="804">
        <f>'NHL NTE240'!P12</f>
        <v>0.91328912988330779</v>
      </c>
      <c r="S3" s="804">
        <f>'NHL NTE240'!Q12</f>
        <v>0.93377682648401816</v>
      </c>
      <c r="T3" s="804">
        <f>'NHL NTE240'!R12</f>
        <v>0.93266698376458645</v>
      </c>
      <c r="U3" s="804">
        <f>'NHL NTE240'!S12</f>
        <v>0.89848382800608828</v>
      </c>
      <c r="V3" s="804">
        <f>'NHL NTE240'!T12</f>
        <v>0.92556399036022319</v>
      </c>
      <c r="W3" s="804">
        <f>'NHL NTE240'!U12</f>
        <v>0.93422076357179096</v>
      </c>
      <c r="X3" s="804">
        <f>'NHL NTE240'!V12</f>
        <v>0.90469894723490607</v>
      </c>
      <c r="Y3" s="804">
        <f>'NHL NTE240'!W12</f>
        <v>0.9344427321156773</v>
      </c>
      <c r="Z3" s="805">
        <f>'NHL NTE240'!X12</f>
        <v>0.9220124936580415</v>
      </c>
    </row>
    <row r="4" spans="2:26" ht="14.95" thickBot="1" x14ac:dyDescent="0.3">
      <c r="B4" s="806" t="s">
        <v>299</v>
      </c>
      <c r="C4" s="807" t="s">
        <v>8</v>
      </c>
      <c r="D4" s="280"/>
      <c r="E4" s="808"/>
      <c r="F4" s="809"/>
      <c r="G4" s="283">
        <f>E4+1</f>
        <v>1</v>
      </c>
      <c r="H4" s="283">
        <f>G4+1</f>
        <v>2</v>
      </c>
      <c r="I4" s="283">
        <f t="shared" ref="I4:P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  <c r="O4" s="283">
        <f t="shared" si="0"/>
        <v>9</v>
      </c>
      <c r="P4" s="283">
        <f t="shared" si="0"/>
        <v>10</v>
      </c>
      <c r="Q4" s="283">
        <f>P4+1</f>
        <v>11</v>
      </c>
      <c r="R4" s="283">
        <f>Q4+1</f>
        <v>12</v>
      </c>
      <c r="S4" s="283">
        <v>13</v>
      </c>
      <c r="T4" s="283">
        <v>14</v>
      </c>
      <c r="U4" s="283">
        <v>15</v>
      </c>
      <c r="V4" s="283">
        <v>16</v>
      </c>
      <c r="W4" s="283">
        <v>17</v>
      </c>
      <c r="X4" s="283">
        <v>18</v>
      </c>
      <c r="Y4" s="283">
        <v>19</v>
      </c>
      <c r="Z4" s="810">
        <v>20</v>
      </c>
    </row>
    <row r="5" spans="2:26" x14ac:dyDescent="0.25">
      <c r="B5" s="811" t="s">
        <v>300</v>
      </c>
      <c r="C5" s="812" t="s">
        <v>301</v>
      </c>
      <c r="D5" s="286"/>
      <c r="E5" s="813"/>
      <c r="F5" s="288"/>
      <c r="G5" s="814">
        <v>0</v>
      </c>
      <c r="H5" s="814">
        <f>G6+1</f>
        <v>7001</v>
      </c>
      <c r="I5" s="814">
        <f t="shared" ref="I5:Z5" si="1">H6+1</f>
        <v>14001</v>
      </c>
      <c r="J5" s="814">
        <f t="shared" si="1"/>
        <v>21001</v>
      </c>
      <c r="K5" s="814">
        <f t="shared" si="1"/>
        <v>28001</v>
      </c>
      <c r="L5" s="814">
        <f t="shared" si="1"/>
        <v>35001</v>
      </c>
      <c r="M5" s="814">
        <f t="shared" si="1"/>
        <v>42001</v>
      </c>
      <c r="N5" s="814">
        <f t="shared" si="1"/>
        <v>49001</v>
      </c>
      <c r="O5" s="814">
        <f t="shared" si="1"/>
        <v>56001</v>
      </c>
      <c r="P5" s="814">
        <f t="shared" si="1"/>
        <v>63001</v>
      </c>
      <c r="Q5" s="814">
        <f t="shared" si="1"/>
        <v>70001</v>
      </c>
      <c r="R5" s="814">
        <f t="shared" si="1"/>
        <v>77001</v>
      </c>
      <c r="S5" s="814">
        <f t="shared" si="1"/>
        <v>84001</v>
      </c>
      <c r="T5" s="814">
        <f t="shared" si="1"/>
        <v>91001</v>
      </c>
      <c r="U5" s="814">
        <f t="shared" si="1"/>
        <v>98001</v>
      </c>
      <c r="V5" s="814">
        <f t="shared" si="1"/>
        <v>105001</v>
      </c>
      <c r="W5" s="814">
        <f t="shared" si="1"/>
        <v>112001</v>
      </c>
      <c r="X5" s="814">
        <f t="shared" si="1"/>
        <v>119001</v>
      </c>
      <c r="Y5" s="814">
        <f t="shared" si="1"/>
        <v>126001</v>
      </c>
      <c r="Z5" s="815">
        <f t="shared" si="1"/>
        <v>133001</v>
      </c>
    </row>
    <row r="6" spans="2:26" x14ac:dyDescent="0.25">
      <c r="B6" s="816" t="s">
        <v>302</v>
      </c>
      <c r="C6" s="817" t="s">
        <v>301</v>
      </c>
      <c r="D6" s="292"/>
      <c r="E6" s="818"/>
      <c r="F6" s="294">
        <v>7000</v>
      </c>
      <c r="G6" s="819">
        <f>F6</f>
        <v>7000</v>
      </c>
      <c r="H6" s="819">
        <f t="shared" ref="H6:R6" si="2">G6+$F6</f>
        <v>14000</v>
      </c>
      <c r="I6" s="819">
        <f t="shared" si="2"/>
        <v>21000</v>
      </c>
      <c r="J6" s="819">
        <f t="shared" si="2"/>
        <v>28000</v>
      </c>
      <c r="K6" s="819">
        <f t="shared" si="2"/>
        <v>35000</v>
      </c>
      <c r="L6" s="819">
        <f t="shared" si="2"/>
        <v>42000</v>
      </c>
      <c r="M6" s="819">
        <f t="shared" si="2"/>
        <v>49000</v>
      </c>
      <c r="N6" s="819">
        <f t="shared" si="2"/>
        <v>56000</v>
      </c>
      <c r="O6" s="819">
        <f t="shared" si="2"/>
        <v>63000</v>
      </c>
      <c r="P6" s="819">
        <f t="shared" si="2"/>
        <v>70000</v>
      </c>
      <c r="Q6" s="819">
        <f t="shared" si="2"/>
        <v>77000</v>
      </c>
      <c r="R6" s="819">
        <f t="shared" si="2"/>
        <v>84000</v>
      </c>
      <c r="S6" s="820">
        <v>91000</v>
      </c>
      <c r="T6" s="820">
        <v>98000</v>
      </c>
      <c r="U6" s="820">
        <v>105000</v>
      </c>
      <c r="V6" s="820">
        <v>112000</v>
      </c>
      <c r="W6" s="820">
        <v>119000</v>
      </c>
      <c r="X6" s="820">
        <v>126000</v>
      </c>
      <c r="Y6" s="820">
        <v>133000</v>
      </c>
      <c r="Z6" s="821">
        <v>140000</v>
      </c>
    </row>
    <row r="7" spans="2:26" x14ac:dyDescent="0.25">
      <c r="B7" s="822" t="s">
        <v>303</v>
      </c>
      <c r="C7" s="823" t="s">
        <v>304</v>
      </c>
      <c r="D7" s="253"/>
      <c r="E7" s="298"/>
      <c r="F7" s="299"/>
      <c r="G7" s="257">
        <f>G13</f>
        <v>173.404</v>
      </c>
      <c r="H7" s="257">
        <f t="shared" ref="H7:Z7" si="3">H13</f>
        <v>202.00399999999999</v>
      </c>
      <c r="I7" s="257">
        <f t="shared" si="3"/>
        <v>173.404</v>
      </c>
      <c r="J7" s="257">
        <f t="shared" si="3"/>
        <v>202.00399999999999</v>
      </c>
      <c r="K7" s="257">
        <f t="shared" si="3"/>
        <v>173.404</v>
      </c>
      <c r="L7" s="257">
        <f t="shared" si="3"/>
        <v>202.00399999999999</v>
      </c>
      <c r="M7" s="257">
        <f t="shared" si="3"/>
        <v>202.00399999999999</v>
      </c>
      <c r="N7" s="257">
        <f t="shared" si="3"/>
        <v>173.404</v>
      </c>
      <c r="O7" s="257">
        <f t="shared" si="3"/>
        <v>202.00399999999999</v>
      </c>
      <c r="P7" s="257">
        <f t="shared" si="3"/>
        <v>173.404</v>
      </c>
      <c r="Q7" s="257">
        <f t="shared" si="3"/>
        <v>202.00399999999999</v>
      </c>
      <c r="R7" s="257">
        <f t="shared" si="3"/>
        <v>202.00399999999999</v>
      </c>
      <c r="S7" s="257">
        <f t="shared" si="3"/>
        <v>173.404</v>
      </c>
      <c r="T7" s="257">
        <f t="shared" si="3"/>
        <v>197.404</v>
      </c>
      <c r="U7" s="257">
        <f t="shared" si="3"/>
        <v>197.404</v>
      </c>
      <c r="V7" s="257">
        <f t="shared" si="3"/>
        <v>173.404</v>
      </c>
      <c r="W7" s="257">
        <f t="shared" si="3"/>
        <v>197.404</v>
      </c>
      <c r="X7" s="257">
        <f t="shared" si="3"/>
        <v>197.404</v>
      </c>
      <c r="Y7" s="257">
        <f t="shared" si="3"/>
        <v>173.404</v>
      </c>
      <c r="Z7" s="349">
        <f t="shared" si="3"/>
        <v>197.404</v>
      </c>
    </row>
    <row r="8" spans="2:26" x14ac:dyDescent="0.25">
      <c r="B8" s="824" t="s">
        <v>305</v>
      </c>
      <c r="C8" s="825" t="s">
        <v>907</v>
      </c>
      <c r="D8" s="260"/>
      <c r="E8" s="298"/>
      <c r="F8" s="299"/>
      <c r="G8" s="302">
        <f t="shared" ref="G8:Z8" si="4">SUM(G9:G10)</f>
        <v>423337.29599999997</v>
      </c>
      <c r="H8" s="302">
        <f t="shared" si="4"/>
        <v>445187.696</v>
      </c>
      <c r="I8" s="302">
        <f t="shared" si="4"/>
        <v>423337.29599999997</v>
      </c>
      <c r="J8" s="302">
        <f t="shared" si="4"/>
        <v>445187.696</v>
      </c>
      <c r="K8" s="302">
        <f t="shared" si="4"/>
        <v>423337.29599999997</v>
      </c>
      <c r="L8" s="302">
        <f t="shared" si="4"/>
        <v>445187.696</v>
      </c>
      <c r="M8" s="302">
        <f t="shared" si="4"/>
        <v>445187.696</v>
      </c>
      <c r="N8" s="302">
        <f t="shared" si="4"/>
        <v>423337.29599999997</v>
      </c>
      <c r="O8" s="302">
        <f t="shared" si="4"/>
        <v>445187.696</v>
      </c>
      <c r="P8" s="302">
        <f t="shared" si="4"/>
        <v>423337.29599999997</v>
      </c>
      <c r="Q8" s="302">
        <f t="shared" si="4"/>
        <v>445187.696</v>
      </c>
      <c r="R8" s="302">
        <f t="shared" si="4"/>
        <v>445187.696</v>
      </c>
      <c r="S8" s="302">
        <f t="shared" si="4"/>
        <v>423337.29599999997</v>
      </c>
      <c r="T8" s="302">
        <f t="shared" si="4"/>
        <v>441673.29599999997</v>
      </c>
      <c r="U8" s="302">
        <f t="shared" si="4"/>
        <v>441673.29599999997</v>
      </c>
      <c r="V8" s="302">
        <f t="shared" si="4"/>
        <v>423337.29599999997</v>
      </c>
      <c r="W8" s="302">
        <f t="shared" si="4"/>
        <v>441673.29599999997</v>
      </c>
      <c r="X8" s="302">
        <f t="shared" si="4"/>
        <v>441673.29599999997</v>
      </c>
      <c r="Y8" s="302">
        <f t="shared" si="4"/>
        <v>423337.29599999997</v>
      </c>
      <c r="Z8" s="568">
        <f t="shared" si="4"/>
        <v>441673.29599999997</v>
      </c>
    </row>
    <row r="9" spans="2:26" x14ac:dyDescent="0.25">
      <c r="B9" s="826" t="s">
        <v>307</v>
      </c>
      <c r="C9" s="827" t="s">
        <v>907</v>
      </c>
      <c r="D9" s="306"/>
      <c r="E9" s="307"/>
      <c r="F9" s="308"/>
      <c r="G9" s="263">
        <f>G22</f>
        <v>297274.23999999999</v>
      </c>
      <c r="H9" s="263">
        <f>H22</f>
        <v>297274.23999999999</v>
      </c>
      <c r="I9" s="263">
        <f t="shared" ref="I9:Z9" si="5">I22</f>
        <v>297274.23999999999</v>
      </c>
      <c r="J9" s="263">
        <f t="shared" si="5"/>
        <v>297274.23999999999</v>
      </c>
      <c r="K9" s="263">
        <f t="shared" si="5"/>
        <v>297274.23999999999</v>
      </c>
      <c r="L9" s="263">
        <f t="shared" si="5"/>
        <v>297274.23999999999</v>
      </c>
      <c r="M9" s="263">
        <f t="shared" si="5"/>
        <v>297274.23999999999</v>
      </c>
      <c r="N9" s="263">
        <f t="shared" si="5"/>
        <v>297274.23999999999</v>
      </c>
      <c r="O9" s="263">
        <f t="shared" si="5"/>
        <v>297274.23999999999</v>
      </c>
      <c r="P9" s="263">
        <f t="shared" si="5"/>
        <v>297274.23999999999</v>
      </c>
      <c r="Q9" s="263">
        <f t="shared" si="5"/>
        <v>297274.23999999999</v>
      </c>
      <c r="R9" s="263">
        <f t="shared" si="5"/>
        <v>297274.23999999999</v>
      </c>
      <c r="S9" s="263">
        <f t="shared" si="5"/>
        <v>297274.23999999999</v>
      </c>
      <c r="T9" s="263">
        <f t="shared" si="5"/>
        <v>297274.23999999999</v>
      </c>
      <c r="U9" s="263">
        <f t="shared" si="5"/>
        <v>297274.23999999999</v>
      </c>
      <c r="V9" s="263">
        <f t="shared" si="5"/>
        <v>297274.23999999999</v>
      </c>
      <c r="W9" s="263">
        <f t="shared" si="5"/>
        <v>297274.23999999999</v>
      </c>
      <c r="X9" s="263">
        <f t="shared" si="5"/>
        <v>297274.23999999999</v>
      </c>
      <c r="Y9" s="263">
        <f t="shared" si="5"/>
        <v>297274.23999999999</v>
      </c>
      <c r="Z9" s="569">
        <f t="shared" si="5"/>
        <v>297274.23999999999</v>
      </c>
    </row>
    <row r="10" spans="2:26" ht="14.95" thickBot="1" x14ac:dyDescent="0.3">
      <c r="B10" s="828" t="s">
        <v>308</v>
      </c>
      <c r="C10" s="829" t="s">
        <v>907</v>
      </c>
      <c r="D10" s="311"/>
      <c r="E10" s="312"/>
      <c r="F10" s="830">
        <v>191</v>
      </c>
      <c r="G10" s="314">
        <f>SUMPRODUCT(G14:G19,$F$14:$F$19)*$F10</f>
        <v>126063.056</v>
      </c>
      <c r="H10" s="314">
        <f>SUMPRODUCT(H14:H19,$F$14:$F$19)*$F10</f>
        <v>147913.45599999998</v>
      </c>
      <c r="I10" s="314">
        <f t="shared" ref="I10:Z10" si="6">SUMPRODUCT(I14:I19,$F$14:$F$19)*$F10</f>
        <v>126063.056</v>
      </c>
      <c r="J10" s="314">
        <f t="shared" si="6"/>
        <v>147913.45599999998</v>
      </c>
      <c r="K10" s="314">
        <f t="shared" si="6"/>
        <v>126063.056</v>
      </c>
      <c r="L10" s="314">
        <f t="shared" si="6"/>
        <v>147913.45599999998</v>
      </c>
      <c r="M10" s="314">
        <f t="shared" si="6"/>
        <v>147913.45599999998</v>
      </c>
      <c r="N10" s="314">
        <f t="shared" si="6"/>
        <v>126063.056</v>
      </c>
      <c r="O10" s="314">
        <f t="shared" si="6"/>
        <v>147913.45599999998</v>
      </c>
      <c r="P10" s="314">
        <f t="shared" si="6"/>
        <v>126063.056</v>
      </c>
      <c r="Q10" s="314">
        <f t="shared" si="6"/>
        <v>147913.45599999998</v>
      </c>
      <c r="R10" s="314">
        <f t="shared" si="6"/>
        <v>147913.45599999998</v>
      </c>
      <c r="S10" s="314">
        <f t="shared" si="6"/>
        <v>126063.056</v>
      </c>
      <c r="T10" s="314">
        <f t="shared" si="6"/>
        <v>144399.05599999998</v>
      </c>
      <c r="U10" s="314">
        <f t="shared" si="6"/>
        <v>144399.05599999998</v>
      </c>
      <c r="V10" s="314">
        <f t="shared" si="6"/>
        <v>126063.056</v>
      </c>
      <c r="W10" s="314">
        <f t="shared" si="6"/>
        <v>144399.05599999998</v>
      </c>
      <c r="X10" s="314">
        <f t="shared" si="6"/>
        <v>144399.05599999998</v>
      </c>
      <c r="Y10" s="314">
        <f t="shared" si="6"/>
        <v>126063.056</v>
      </c>
      <c r="Z10" s="570">
        <f t="shared" si="6"/>
        <v>144399.05599999998</v>
      </c>
    </row>
    <row r="11" spans="2:26" ht="14.95" thickBot="1" x14ac:dyDescent="0.3">
      <c r="B11" s="1069"/>
      <c r="C11" s="1075"/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276"/>
      <c r="T11" s="276"/>
      <c r="U11" s="276"/>
      <c r="V11" s="276"/>
      <c r="W11" s="276"/>
      <c r="X11" s="276"/>
      <c r="Y11" s="276"/>
      <c r="Z11" s="276"/>
    </row>
    <row r="12" spans="2:26" ht="34.65" x14ac:dyDescent="0.25">
      <c r="B12" s="831" t="s">
        <v>309</v>
      </c>
      <c r="C12" s="832" t="s">
        <v>310</v>
      </c>
      <c r="D12" s="317" t="s">
        <v>311</v>
      </c>
      <c r="E12" s="317" t="s">
        <v>312</v>
      </c>
      <c r="F12" s="317" t="s">
        <v>313</v>
      </c>
      <c r="G12" s="833" t="s">
        <v>314</v>
      </c>
      <c r="H12" s="833" t="s">
        <v>314</v>
      </c>
      <c r="I12" s="833" t="s">
        <v>314</v>
      </c>
      <c r="J12" s="833" t="s">
        <v>314</v>
      </c>
      <c r="K12" s="833" t="s">
        <v>314</v>
      </c>
      <c r="L12" s="833" t="s">
        <v>314</v>
      </c>
      <c r="M12" s="833" t="s">
        <v>314</v>
      </c>
      <c r="N12" s="833" t="s">
        <v>314</v>
      </c>
      <c r="O12" s="833" t="s">
        <v>314</v>
      </c>
      <c r="P12" s="833" t="s">
        <v>314</v>
      </c>
      <c r="Q12" s="833" t="s">
        <v>314</v>
      </c>
      <c r="R12" s="833" t="s">
        <v>314</v>
      </c>
      <c r="S12" s="833" t="s">
        <v>314</v>
      </c>
      <c r="T12" s="833" t="s">
        <v>314</v>
      </c>
      <c r="U12" s="833" t="s">
        <v>314</v>
      </c>
      <c r="V12" s="833" t="s">
        <v>314</v>
      </c>
      <c r="W12" s="833" t="s">
        <v>314</v>
      </c>
      <c r="X12" s="833" t="s">
        <v>314</v>
      </c>
      <c r="Y12" s="833" t="s">
        <v>314</v>
      </c>
      <c r="Z12" s="834" t="s">
        <v>314</v>
      </c>
    </row>
    <row r="13" spans="2:26" ht="14.95" thickBot="1" x14ac:dyDescent="0.3">
      <c r="B13" s="835" t="s">
        <v>315</v>
      </c>
      <c r="C13" s="836"/>
      <c r="D13" s="323"/>
      <c r="E13" s="323"/>
      <c r="F13" s="582"/>
      <c r="G13" s="681">
        <f>SUM(G14:G19)</f>
        <v>173.404</v>
      </c>
      <c r="H13" s="681">
        <f t="shared" ref="H13:Z13" si="7">SUM(H14:H19)</f>
        <v>202.00399999999999</v>
      </c>
      <c r="I13" s="681">
        <f t="shared" si="7"/>
        <v>173.404</v>
      </c>
      <c r="J13" s="681">
        <f t="shared" si="7"/>
        <v>202.00399999999999</v>
      </c>
      <c r="K13" s="681">
        <f t="shared" si="7"/>
        <v>173.404</v>
      </c>
      <c r="L13" s="681">
        <f t="shared" si="7"/>
        <v>202.00399999999999</v>
      </c>
      <c r="M13" s="681">
        <f t="shared" si="7"/>
        <v>202.00399999999999</v>
      </c>
      <c r="N13" s="681">
        <f t="shared" si="7"/>
        <v>173.404</v>
      </c>
      <c r="O13" s="681">
        <f t="shared" si="7"/>
        <v>202.00399999999999</v>
      </c>
      <c r="P13" s="681">
        <f t="shared" si="7"/>
        <v>173.404</v>
      </c>
      <c r="Q13" s="681">
        <f t="shared" si="7"/>
        <v>202.00399999999999</v>
      </c>
      <c r="R13" s="681">
        <f t="shared" si="7"/>
        <v>202.00399999999999</v>
      </c>
      <c r="S13" s="681">
        <f t="shared" si="7"/>
        <v>173.404</v>
      </c>
      <c r="T13" s="681">
        <f t="shared" si="7"/>
        <v>197.404</v>
      </c>
      <c r="U13" s="681">
        <f t="shared" si="7"/>
        <v>197.404</v>
      </c>
      <c r="V13" s="681">
        <f t="shared" si="7"/>
        <v>173.404</v>
      </c>
      <c r="W13" s="681">
        <f t="shared" si="7"/>
        <v>197.404</v>
      </c>
      <c r="X13" s="681">
        <f t="shared" si="7"/>
        <v>197.404</v>
      </c>
      <c r="Y13" s="681">
        <f t="shared" si="7"/>
        <v>173.404</v>
      </c>
      <c r="Z13" s="837">
        <f t="shared" si="7"/>
        <v>197.404</v>
      </c>
    </row>
    <row r="14" spans="2:26" x14ac:dyDescent="0.25">
      <c r="B14" s="838" t="s">
        <v>317</v>
      </c>
      <c r="C14" s="839">
        <v>250</v>
      </c>
      <c r="D14" s="840">
        <f>6/2.5</f>
        <v>2.4</v>
      </c>
      <c r="E14" s="841">
        <v>14</v>
      </c>
      <c r="F14" s="842">
        <v>3</v>
      </c>
      <c r="G14" s="843">
        <f>$E14*$D14</f>
        <v>33.6</v>
      </c>
      <c r="H14" s="843">
        <f t="shared" ref="H14:W18" si="8">$E14*$D14</f>
        <v>33.6</v>
      </c>
      <c r="I14" s="843">
        <f>$E14*$D14</f>
        <v>33.6</v>
      </c>
      <c r="J14" s="843">
        <f t="shared" si="8"/>
        <v>33.6</v>
      </c>
      <c r="K14" s="843">
        <f t="shared" si="8"/>
        <v>33.6</v>
      </c>
      <c r="L14" s="843">
        <f t="shared" si="8"/>
        <v>33.6</v>
      </c>
      <c r="M14" s="843">
        <f t="shared" si="8"/>
        <v>33.6</v>
      </c>
      <c r="N14" s="843">
        <f t="shared" si="8"/>
        <v>33.6</v>
      </c>
      <c r="O14" s="843">
        <f t="shared" si="8"/>
        <v>33.6</v>
      </c>
      <c r="P14" s="843">
        <f t="shared" si="8"/>
        <v>33.6</v>
      </c>
      <c r="Q14" s="843">
        <f t="shared" si="8"/>
        <v>33.6</v>
      </c>
      <c r="R14" s="843">
        <f t="shared" si="8"/>
        <v>33.6</v>
      </c>
      <c r="S14" s="843">
        <f t="shared" si="8"/>
        <v>33.6</v>
      </c>
      <c r="T14" s="843">
        <f t="shared" si="8"/>
        <v>33.6</v>
      </c>
      <c r="U14" s="843">
        <f t="shared" si="8"/>
        <v>33.6</v>
      </c>
      <c r="V14" s="843">
        <f t="shared" si="8"/>
        <v>33.6</v>
      </c>
      <c r="W14" s="843">
        <f t="shared" si="8"/>
        <v>33.6</v>
      </c>
      <c r="X14" s="843">
        <f t="shared" ref="S14:Z18" si="9">$E14*$D14</f>
        <v>33.6</v>
      </c>
      <c r="Y14" s="843">
        <f t="shared" si="9"/>
        <v>33.6</v>
      </c>
      <c r="Z14" s="844">
        <f t="shared" si="9"/>
        <v>33.6</v>
      </c>
    </row>
    <row r="15" spans="2:26" x14ac:dyDescent="0.25">
      <c r="B15" s="845" t="s">
        <v>318</v>
      </c>
      <c r="C15" s="846">
        <v>500</v>
      </c>
      <c r="D15" s="847">
        <f>20.83/2.5</f>
        <v>8.331999999999999</v>
      </c>
      <c r="E15" s="848">
        <v>7</v>
      </c>
      <c r="F15" s="849">
        <v>4</v>
      </c>
      <c r="G15" s="850">
        <f>$E15*$D15</f>
        <v>58.323999999999991</v>
      </c>
      <c r="H15" s="850">
        <f t="shared" si="8"/>
        <v>58.323999999999991</v>
      </c>
      <c r="I15" s="850">
        <f t="shared" si="8"/>
        <v>58.323999999999991</v>
      </c>
      <c r="J15" s="850">
        <f t="shared" si="8"/>
        <v>58.323999999999991</v>
      </c>
      <c r="K15" s="850">
        <f t="shared" si="8"/>
        <v>58.323999999999991</v>
      </c>
      <c r="L15" s="850">
        <f t="shared" si="8"/>
        <v>58.323999999999991</v>
      </c>
      <c r="M15" s="850">
        <f t="shared" si="8"/>
        <v>58.323999999999991</v>
      </c>
      <c r="N15" s="850">
        <f t="shared" si="8"/>
        <v>58.323999999999991</v>
      </c>
      <c r="O15" s="850">
        <f t="shared" si="8"/>
        <v>58.323999999999991</v>
      </c>
      <c r="P15" s="850">
        <f t="shared" si="8"/>
        <v>58.323999999999991</v>
      </c>
      <c r="Q15" s="850">
        <f t="shared" si="8"/>
        <v>58.323999999999991</v>
      </c>
      <c r="R15" s="850">
        <f t="shared" si="8"/>
        <v>58.323999999999991</v>
      </c>
      <c r="S15" s="850">
        <f t="shared" si="8"/>
        <v>58.323999999999991</v>
      </c>
      <c r="T15" s="850">
        <f t="shared" si="8"/>
        <v>58.323999999999991</v>
      </c>
      <c r="U15" s="850">
        <f t="shared" si="8"/>
        <v>58.323999999999991</v>
      </c>
      <c r="V15" s="850">
        <f t="shared" si="8"/>
        <v>58.323999999999991</v>
      </c>
      <c r="W15" s="850">
        <f t="shared" si="8"/>
        <v>58.323999999999991</v>
      </c>
      <c r="X15" s="850">
        <f t="shared" si="9"/>
        <v>58.323999999999991</v>
      </c>
      <c r="Y15" s="850">
        <f t="shared" si="9"/>
        <v>58.323999999999991</v>
      </c>
      <c r="Z15" s="851">
        <f t="shared" si="9"/>
        <v>58.323999999999991</v>
      </c>
    </row>
    <row r="16" spans="2:26" x14ac:dyDescent="0.25">
      <c r="B16" s="845" t="s">
        <v>319</v>
      </c>
      <c r="C16" s="846">
        <v>1000</v>
      </c>
      <c r="D16" s="847">
        <f>24.2/2.5</f>
        <v>9.68</v>
      </c>
      <c r="E16" s="848">
        <v>3</v>
      </c>
      <c r="F16" s="849">
        <v>4</v>
      </c>
      <c r="G16" s="850">
        <f>$E16*$D16</f>
        <v>29.04</v>
      </c>
      <c r="H16" s="850">
        <f t="shared" si="8"/>
        <v>29.04</v>
      </c>
      <c r="I16" s="850">
        <f t="shared" si="8"/>
        <v>29.04</v>
      </c>
      <c r="J16" s="850">
        <f t="shared" si="8"/>
        <v>29.04</v>
      </c>
      <c r="K16" s="850">
        <f t="shared" si="8"/>
        <v>29.04</v>
      </c>
      <c r="L16" s="850">
        <f t="shared" si="8"/>
        <v>29.04</v>
      </c>
      <c r="M16" s="850">
        <f t="shared" si="8"/>
        <v>29.04</v>
      </c>
      <c r="N16" s="850">
        <f t="shared" si="8"/>
        <v>29.04</v>
      </c>
      <c r="O16" s="850">
        <f t="shared" si="8"/>
        <v>29.04</v>
      </c>
      <c r="P16" s="850">
        <f t="shared" si="8"/>
        <v>29.04</v>
      </c>
      <c r="Q16" s="850">
        <f t="shared" si="8"/>
        <v>29.04</v>
      </c>
      <c r="R16" s="850">
        <f t="shared" si="8"/>
        <v>29.04</v>
      </c>
      <c r="S16" s="850">
        <f t="shared" si="9"/>
        <v>29.04</v>
      </c>
      <c r="T16" s="850">
        <f t="shared" si="9"/>
        <v>29.04</v>
      </c>
      <c r="U16" s="850">
        <f t="shared" si="9"/>
        <v>29.04</v>
      </c>
      <c r="V16" s="850">
        <f t="shared" si="9"/>
        <v>29.04</v>
      </c>
      <c r="W16" s="850">
        <f t="shared" si="9"/>
        <v>29.04</v>
      </c>
      <c r="X16" s="850">
        <f t="shared" si="9"/>
        <v>29.04</v>
      </c>
      <c r="Y16" s="850">
        <f t="shared" si="9"/>
        <v>29.04</v>
      </c>
      <c r="Z16" s="851">
        <f t="shared" si="9"/>
        <v>29.04</v>
      </c>
    </row>
    <row r="17" spans="2:26" x14ac:dyDescent="0.25">
      <c r="B17" s="845" t="s">
        <v>552</v>
      </c>
      <c r="C17" s="846">
        <v>2000</v>
      </c>
      <c r="D17" s="847">
        <f>28.2/2.5</f>
        <v>11.28</v>
      </c>
      <c r="E17" s="848">
        <v>3</v>
      </c>
      <c r="F17" s="849">
        <v>4</v>
      </c>
      <c r="G17" s="850">
        <f>$E17*$D17</f>
        <v>33.839999999999996</v>
      </c>
      <c r="H17" s="850">
        <f t="shared" si="8"/>
        <v>33.839999999999996</v>
      </c>
      <c r="I17" s="850">
        <f t="shared" si="8"/>
        <v>33.839999999999996</v>
      </c>
      <c r="J17" s="850">
        <f t="shared" si="8"/>
        <v>33.839999999999996</v>
      </c>
      <c r="K17" s="850">
        <f t="shared" si="8"/>
        <v>33.839999999999996</v>
      </c>
      <c r="L17" s="850">
        <f t="shared" si="8"/>
        <v>33.839999999999996</v>
      </c>
      <c r="M17" s="850">
        <f t="shared" si="8"/>
        <v>33.839999999999996</v>
      </c>
      <c r="N17" s="850">
        <f t="shared" si="8"/>
        <v>33.839999999999996</v>
      </c>
      <c r="O17" s="850">
        <f t="shared" si="8"/>
        <v>33.839999999999996</v>
      </c>
      <c r="P17" s="850">
        <f t="shared" si="8"/>
        <v>33.839999999999996</v>
      </c>
      <c r="Q17" s="850">
        <f t="shared" si="8"/>
        <v>33.839999999999996</v>
      </c>
      <c r="R17" s="850">
        <f t="shared" si="8"/>
        <v>33.839999999999996</v>
      </c>
      <c r="S17" s="850">
        <f t="shared" si="9"/>
        <v>33.839999999999996</v>
      </c>
      <c r="T17" s="850">
        <f t="shared" si="9"/>
        <v>33.839999999999996</v>
      </c>
      <c r="U17" s="850">
        <f t="shared" si="9"/>
        <v>33.839999999999996</v>
      </c>
      <c r="V17" s="850">
        <f t="shared" si="9"/>
        <v>33.839999999999996</v>
      </c>
      <c r="W17" s="850">
        <f t="shared" si="9"/>
        <v>33.839999999999996</v>
      </c>
      <c r="X17" s="850">
        <f t="shared" si="9"/>
        <v>33.839999999999996</v>
      </c>
      <c r="Y17" s="850">
        <f t="shared" si="9"/>
        <v>33.839999999999996</v>
      </c>
      <c r="Z17" s="851">
        <f t="shared" si="9"/>
        <v>33.839999999999996</v>
      </c>
    </row>
    <row r="18" spans="2:26" x14ac:dyDescent="0.25">
      <c r="B18" s="845" t="s">
        <v>553</v>
      </c>
      <c r="C18" s="846">
        <v>5000</v>
      </c>
      <c r="D18" s="847">
        <f>46.5/2.5</f>
        <v>18.600000000000001</v>
      </c>
      <c r="E18" s="848">
        <v>1</v>
      </c>
      <c r="F18" s="849">
        <v>4</v>
      </c>
      <c r="G18" s="850">
        <f>$E18*$D18</f>
        <v>18.600000000000001</v>
      </c>
      <c r="H18" s="850">
        <f t="shared" si="8"/>
        <v>18.600000000000001</v>
      </c>
      <c r="I18" s="850">
        <f t="shared" si="8"/>
        <v>18.600000000000001</v>
      </c>
      <c r="J18" s="850">
        <f t="shared" si="8"/>
        <v>18.600000000000001</v>
      </c>
      <c r="K18" s="850">
        <f t="shared" si="8"/>
        <v>18.600000000000001</v>
      </c>
      <c r="L18" s="850">
        <f t="shared" si="8"/>
        <v>18.600000000000001</v>
      </c>
      <c r="M18" s="850">
        <f t="shared" si="8"/>
        <v>18.600000000000001</v>
      </c>
      <c r="N18" s="850">
        <f t="shared" si="8"/>
        <v>18.600000000000001</v>
      </c>
      <c r="O18" s="850">
        <f t="shared" si="8"/>
        <v>18.600000000000001</v>
      </c>
      <c r="P18" s="850">
        <f t="shared" si="8"/>
        <v>18.600000000000001</v>
      </c>
      <c r="Q18" s="850">
        <f t="shared" si="8"/>
        <v>18.600000000000001</v>
      </c>
      <c r="R18" s="850">
        <f t="shared" si="8"/>
        <v>18.600000000000001</v>
      </c>
      <c r="S18" s="850">
        <f t="shared" si="9"/>
        <v>18.600000000000001</v>
      </c>
      <c r="T18" s="850">
        <f t="shared" si="9"/>
        <v>18.600000000000001</v>
      </c>
      <c r="U18" s="850">
        <f t="shared" si="9"/>
        <v>18.600000000000001</v>
      </c>
      <c r="V18" s="850">
        <f t="shared" si="9"/>
        <v>18.600000000000001</v>
      </c>
      <c r="W18" s="850">
        <f t="shared" si="9"/>
        <v>18.600000000000001</v>
      </c>
      <c r="X18" s="850">
        <f t="shared" si="9"/>
        <v>18.600000000000001</v>
      </c>
      <c r="Y18" s="850">
        <f t="shared" si="9"/>
        <v>18.600000000000001</v>
      </c>
      <c r="Z18" s="851">
        <f t="shared" si="9"/>
        <v>18.600000000000001</v>
      </c>
    </row>
    <row r="19" spans="2:26" ht="14.95" thickBot="1" x14ac:dyDescent="0.3">
      <c r="B19" s="852" t="s">
        <v>554</v>
      </c>
      <c r="C19" s="853">
        <v>10000</v>
      </c>
      <c r="D19" s="854">
        <f>71.5/2.5</f>
        <v>28.6</v>
      </c>
      <c r="E19" s="855"/>
      <c r="F19" s="856">
        <v>4</v>
      </c>
      <c r="G19" s="857"/>
      <c r="H19" s="857">
        <f>$D19</f>
        <v>28.6</v>
      </c>
      <c r="I19" s="857"/>
      <c r="J19" s="857">
        <f>$D19</f>
        <v>28.6</v>
      </c>
      <c r="K19" s="857"/>
      <c r="L19" s="857">
        <f>$D19</f>
        <v>28.6</v>
      </c>
      <c r="M19" s="857">
        <f>$D19</f>
        <v>28.6</v>
      </c>
      <c r="N19" s="857"/>
      <c r="O19" s="857">
        <f>$D19</f>
        <v>28.6</v>
      </c>
      <c r="P19" s="857"/>
      <c r="Q19" s="857">
        <f>$D19</f>
        <v>28.6</v>
      </c>
      <c r="R19" s="857">
        <f>$D19</f>
        <v>28.6</v>
      </c>
      <c r="S19" s="857"/>
      <c r="T19" s="857">
        <v>24</v>
      </c>
      <c r="U19" s="857">
        <v>24</v>
      </c>
      <c r="V19" s="857"/>
      <c r="W19" s="857">
        <v>24</v>
      </c>
      <c r="X19" s="857">
        <v>24</v>
      </c>
      <c r="Y19" s="857"/>
      <c r="Z19" s="858">
        <v>24</v>
      </c>
    </row>
    <row r="20" spans="2:26" ht="14.95" thickBot="1" x14ac:dyDescent="0.3">
      <c r="B20" s="1076"/>
      <c r="C20" s="1077"/>
      <c r="D20" s="1077"/>
      <c r="E20" s="1077"/>
      <c r="F20" s="1077"/>
      <c r="G20" s="1077"/>
      <c r="H20" s="1077"/>
      <c r="I20" s="1077"/>
      <c r="J20" s="1077"/>
      <c r="K20" s="1077"/>
      <c r="L20" s="1077"/>
      <c r="M20" s="1077"/>
      <c r="N20" s="1077"/>
      <c r="O20" s="1077"/>
      <c r="P20" s="1077"/>
      <c r="Q20" s="1077"/>
      <c r="R20" s="1077"/>
      <c r="S20" s="276"/>
      <c r="T20" s="276"/>
      <c r="U20" s="276"/>
      <c r="V20" s="276"/>
      <c r="W20" s="276"/>
      <c r="X20" s="276"/>
      <c r="Y20" s="276"/>
      <c r="Z20" s="276"/>
    </row>
    <row r="21" spans="2:26" ht="27.2" x14ac:dyDescent="0.25">
      <c r="B21" s="859" t="s">
        <v>305</v>
      </c>
      <c r="C21" s="860" t="s">
        <v>323</v>
      </c>
      <c r="D21" s="335" t="s">
        <v>908</v>
      </c>
      <c r="E21" s="335" t="s">
        <v>325</v>
      </c>
      <c r="F21" s="339" t="s">
        <v>312</v>
      </c>
      <c r="G21" s="340" t="s">
        <v>909</v>
      </c>
      <c r="H21" s="340" t="str">
        <f>G21</f>
        <v>¥</v>
      </c>
      <c r="I21" s="340" t="str">
        <f t="shared" ref="I21:Z21" si="10">H21</f>
        <v>¥</v>
      </c>
      <c r="J21" s="340" t="str">
        <f t="shared" si="10"/>
        <v>¥</v>
      </c>
      <c r="K21" s="340" t="str">
        <f t="shared" si="10"/>
        <v>¥</v>
      </c>
      <c r="L21" s="340" t="str">
        <f t="shared" si="10"/>
        <v>¥</v>
      </c>
      <c r="M21" s="340" t="str">
        <f t="shared" si="10"/>
        <v>¥</v>
      </c>
      <c r="N21" s="340" t="str">
        <f t="shared" si="10"/>
        <v>¥</v>
      </c>
      <c r="O21" s="340" t="str">
        <f t="shared" si="10"/>
        <v>¥</v>
      </c>
      <c r="P21" s="340" t="str">
        <f t="shared" si="10"/>
        <v>¥</v>
      </c>
      <c r="Q21" s="340" t="str">
        <f t="shared" si="10"/>
        <v>¥</v>
      </c>
      <c r="R21" s="340" t="str">
        <f t="shared" si="10"/>
        <v>¥</v>
      </c>
      <c r="S21" s="340" t="str">
        <f t="shared" si="10"/>
        <v>¥</v>
      </c>
      <c r="T21" s="340" t="str">
        <f t="shared" si="10"/>
        <v>¥</v>
      </c>
      <c r="U21" s="340" t="str">
        <f t="shared" si="10"/>
        <v>¥</v>
      </c>
      <c r="V21" s="340" t="str">
        <f t="shared" si="10"/>
        <v>¥</v>
      </c>
      <c r="W21" s="340" t="str">
        <f t="shared" si="10"/>
        <v>¥</v>
      </c>
      <c r="X21" s="340" t="str">
        <f t="shared" si="10"/>
        <v>¥</v>
      </c>
      <c r="Y21" s="340" t="str">
        <f t="shared" si="10"/>
        <v>¥</v>
      </c>
      <c r="Z21" s="494" t="str">
        <f t="shared" si="10"/>
        <v>¥</v>
      </c>
    </row>
    <row r="22" spans="2:26" x14ac:dyDescent="0.25">
      <c r="B22" s="861" t="s">
        <v>326</v>
      </c>
      <c r="C22" s="862"/>
      <c r="D22" s="341"/>
      <c r="E22" s="341"/>
      <c r="F22" s="345"/>
      <c r="G22" s="863">
        <f t="shared" ref="G22:Z22" si="11">SUM(G23:G52)</f>
        <v>297274.23999999999</v>
      </c>
      <c r="H22" s="863">
        <f t="shared" si="11"/>
        <v>297274.23999999999</v>
      </c>
      <c r="I22" s="863">
        <f t="shared" si="11"/>
        <v>297274.23999999999</v>
      </c>
      <c r="J22" s="863">
        <f t="shared" si="11"/>
        <v>297274.23999999999</v>
      </c>
      <c r="K22" s="863">
        <f t="shared" si="11"/>
        <v>297274.23999999999</v>
      </c>
      <c r="L22" s="863">
        <f t="shared" si="11"/>
        <v>297274.23999999999</v>
      </c>
      <c r="M22" s="863">
        <f t="shared" si="11"/>
        <v>297274.23999999999</v>
      </c>
      <c r="N22" s="863">
        <f t="shared" si="11"/>
        <v>297274.23999999999</v>
      </c>
      <c r="O22" s="863">
        <f t="shared" si="11"/>
        <v>297274.23999999999</v>
      </c>
      <c r="P22" s="863">
        <f t="shared" si="11"/>
        <v>297274.23999999999</v>
      </c>
      <c r="Q22" s="863">
        <f t="shared" si="11"/>
        <v>297274.23999999999</v>
      </c>
      <c r="R22" s="863">
        <f t="shared" si="11"/>
        <v>297274.23999999999</v>
      </c>
      <c r="S22" s="863">
        <f t="shared" si="11"/>
        <v>297274.23999999999</v>
      </c>
      <c r="T22" s="863">
        <f t="shared" si="11"/>
        <v>297274.23999999999</v>
      </c>
      <c r="U22" s="863">
        <f t="shared" si="11"/>
        <v>297274.23999999999</v>
      </c>
      <c r="V22" s="863">
        <f t="shared" si="11"/>
        <v>297274.23999999999</v>
      </c>
      <c r="W22" s="863">
        <f t="shared" si="11"/>
        <v>297274.23999999999</v>
      </c>
      <c r="X22" s="863">
        <f t="shared" si="11"/>
        <v>297274.23999999999</v>
      </c>
      <c r="Y22" s="863">
        <f t="shared" si="11"/>
        <v>297274.23999999999</v>
      </c>
      <c r="Z22" s="864">
        <f t="shared" si="11"/>
        <v>297274.23999999999</v>
      </c>
    </row>
    <row r="23" spans="2:26" x14ac:dyDescent="0.25">
      <c r="B23" s="865" t="s">
        <v>317</v>
      </c>
      <c r="C23" s="866"/>
      <c r="D23" s="867"/>
      <c r="E23" s="868">
        <f>VLOOKUP($B23,$B$14:$C$19,2,FALSE)</f>
        <v>250</v>
      </c>
      <c r="F23" s="869">
        <f>VLOOKUP($B23,$B$14:$E$19,4,FALSE)</f>
        <v>14</v>
      </c>
      <c r="G23" s="819"/>
      <c r="H23" s="819"/>
      <c r="I23" s="819"/>
      <c r="J23" s="819"/>
      <c r="K23" s="819"/>
      <c r="L23" s="819"/>
      <c r="M23" s="819"/>
      <c r="N23" s="819"/>
      <c r="O23" s="819"/>
      <c r="P23" s="819"/>
      <c r="Q23" s="819"/>
      <c r="R23" s="819"/>
      <c r="S23" s="820"/>
      <c r="T23" s="820"/>
      <c r="U23" s="820"/>
      <c r="V23" s="820"/>
      <c r="W23" s="820"/>
      <c r="X23" s="820"/>
      <c r="Y23" s="820"/>
      <c r="Z23" s="821"/>
    </row>
    <row r="24" spans="2:26" x14ac:dyDescent="0.25">
      <c r="B24" s="865" t="s">
        <v>587</v>
      </c>
      <c r="C24" s="870">
        <v>4323856</v>
      </c>
      <c r="D24" s="871">
        <v>446.41</v>
      </c>
      <c r="E24" s="872">
        <v>1</v>
      </c>
      <c r="F24" s="873"/>
      <c r="G24" s="874">
        <f>IF(G$14=0,0,G$14/$D$14*$E24*$D24)</f>
        <v>6249.7400000000007</v>
      </c>
      <c r="H24" s="874">
        <f t="shared" ref="H24:W29" si="12">IF(H$14=0,0,H$14/$D$14*$E24*$D24)</f>
        <v>6249.7400000000007</v>
      </c>
      <c r="I24" s="874">
        <f t="shared" si="12"/>
        <v>6249.7400000000007</v>
      </c>
      <c r="J24" s="874">
        <f t="shared" si="12"/>
        <v>6249.7400000000007</v>
      </c>
      <c r="K24" s="874">
        <f t="shared" si="12"/>
        <v>6249.7400000000007</v>
      </c>
      <c r="L24" s="874">
        <f t="shared" si="12"/>
        <v>6249.7400000000007</v>
      </c>
      <c r="M24" s="874">
        <f t="shared" si="12"/>
        <v>6249.7400000000007</v>
      </c>
      <c r="N24" s="874">
        <f t="shared" si="12"/>
        <v>6249.7400000000007</v>
      </c>
      <c r="O24" s="874">
        <f t="shared" si="12"/>
        <v>6249.7400000000007</v>
      </c>
      <c r="P24" s="874">
        <f t="shared" si="12"/>
        <v>6249.7400000000007</v>
      </c>
      <c r="Q24" s="874">
        <f t="shared" si="12"/>
        <v>6249.7400000000007</v>
      </c>
      <c r="R24" s="874">
        <f t="shared" si="12"/>
        <v>6249.7400000000007</v>
      </c>
      <c r="S24" s="874">
        <f t="shared" si="12"/>
        <v>6249.7400000000007</v>
      </c>
      <c r="T24" s="874">
        <f t="shared" si="12"/>
        <v>6249.7400000000007</v>
      </c>
      <c r="U24" s="874">
        <f t="shared" si="12"/>
        <v>6249.7400000000007</v>
      </c>
      <c r="V24" s="874">
        <f t="shared" si="12"/>
        <v>6249.7400000000007</v>
      </c>
      <c r="W24" s="874">
        <f t="shared" si="12"/>
        <v>6249.7400000000007</v>
      </c>
      <c r="X24" s="874">
        <f t="shared" ref="S24:Z29" si="13">IF(X$14=0,0,X$14/$D$14*$E24*$D24)</f>
        <v>6249.7400000000007</v>
      </c>
      <c r="Y24" s="874">
        <f t="shared" si="13"/>
        <v>6249.7400000000007</v>
      </c>
      <c r="Z24" s="875">
        <f t="shared" si="13"/>
        <v>6249.7400000000007</v>
      </c>
    </row>
    <row r="25" spans="2:26" x14ac:dyDescent="0.25">
      <c r="B25" s="865" t="s">
        <v>587</v>
      </c>
      <c r="C25" s="870">
        <v>5375337</v>
      </c>
      <c r="D25" s="871">
        <v>1131.08</v>
      </c>
      <c r="E25" s="872">
        <v>4</v>
      </c>
      <c r="F25" s="873"/>
      <c r="G25" s="874">
        <f>IF(G$14=0,0,G$14/$D$14*$E25*$D25)</f>
        <v>63340.480000000003</v>
      </c>
      <c r="H25" s="874">
        <f t="shared" si="12"/>
        <v>63340.480000000003</v>
      </c>
      <c r="I25" s="874">
        <f t="shared" si="12"/>
        <v>63340.480000000003</v>
      </c>
      <c r="J25" s="874">
        <f t="shared" si="12"/>
        <v>63340.480000000003</v>
      </c>
      <c r="K25" s="874">
        <f t="shared" si="12"/>
        <v>63340.480000000003</v>
      </c>
      <c r="L25" s="874">
        <f t="shared" si="12"/>
        <v>63340.480000000003</v>
      </c>
      <c r="M25" s="874">
        <f t="shared" si="12"/>
        <v>63340.480000000003</v>
      </c>
      <c r="N25" s="874">
        <f t="shared" si="12"/>
        <v>63340.480000000003</v>
      </c>
      <c r="O25" s="874">
        <f t="shared" si="12"/>
        <v>63340.480000000003</v>
      </c>
      <c r="P25" s="874">
        <f t="shared" si="12"/>
        <v>63340.480000000003</v>
      </c>
      <c r="Q25" s="874">
        <f t="shared" si="12"/>
        <v>63340.480000000003</v>
      </c>
      <c r="R25" s="874">
        <f t="shared" si="12"/>
        <v>63340.480000000003</v>
      </c>
      <c r="S25" s="874">
        <f t="shared" si="13"/>
        <v>63340.480000000003</v>
      </c>
      <c r="T25" s="874">
        <f t="shared" si="13"/>
        <v>63340.480000000003</v>
      </c>
      <c r="U25" s="874">
        <f t="shared" si="13"/>
        <v>63340.480000000003</v>
      </c>
      <c r="V25" s="874">
        <f t="shared" si="13"/>
        <v>63340.480000000003</v>
      </c>
      <c r="W25" s="874">
        <f t="shared" si="13"/>
        <v>63340.480000000003</v>
      </c>
      <c r="X25" s="874">
        <f t="shared" si="13"/>
        <v>63340.480000000003</v>
      </c>
      <c r="Y25" s="874">
        <f t="shared" si="13"/>
        <v>63340.480000000003</v>
      </c>
      <c r="Z25" s="875">
        <f t="shared" si="13"/>
        <v>63340.480000000003</v>
      </c>
    </row>
    <row r="26" spans="2:26" x14ac:dyDescent="0.25">
      <c r="B26" s="865" t="s">
        <v>587</v>
      </c>
      <c r="C26" s="870">
        <v>2881458</v>
      </c>
      <c r="D26" s="871">
        <v>1711.91</v>
      </c>
      <c r="E26" s="872">
        <v>3</v>
      </c>
      <c r="F26" s="873"/>
      <c r="G26" s="874">
        <f t="shared" ref="G26:V29" si="14">IF(G$14=0,0,G$14/$D$14*$E26*$D26)</f>
        <v>71900.220000000016</v>
      </c>
      <c r="H26" s="874">
        <f t="shared" si="14"/>
        <v>71900.220000000016</v>
      </c>
      <c r="I26" s="874">
        <f t="shared" si="14"/>
        <v>71900.220000000016</v>
      </c>
      <c r="J26" s="874">
        <f t="shared" si="14"/>
        <v>71900.220000000016</v>
      </c>
      <c r="K26" s="874">
        <f t="shared" si="14"/>
        <v>71900.220000000016</v>
      </c>
      <c r="L26" s="874">
        <f t="shared" si="14"/>
        <v>71900.220000000016</v>
      </c>
      <c r="M26" s="874">
        <f t="shared" si="14"/>
        <v>71900.220000000016</v>
      </c>
      <c r="N26" s="874">
        <f t="shared" si="14"/>
        <v>71900.220000000016</v>
      </c>
      <c r="O26" s="874">
        <f t="shared" si="14"/>
        <v>71900.220000000016</v>
      </c>
      <c r="P26" s="874">
        <f t="shared" si="14"/>
        <v>71900.220000000016</v>
      </c>
      <c r="Q26" s="874">
        <f t="shared" si="14"/>
        <v>71900.220000000016</v>
      </c>
      <c r="R26" s="874">
        <f t="shared" si="14"/>
        <v>71900.220000000016</v>
      </c>
      <c r="S26" s="874">
        <f t="shared" si="14"/>
        <v>71900.220000000016</v>
      </c>
      <c r="T26" s="874">
        <f t="shared" si="14"/>
        <v>71900.220000000016</v>
      </c>
      <c r="U26" s="874">
        <f t="shared" si="14"/>
        <v>71900.220000000016</v>
      </c>
      <c r="V26" s="874">
        <f t="shared" si="14"/>
        <v>71900.220000000016</v>
      </c>
      <c r="W26" s="874">
        <f t="shared" si="13"/>
        <v>71900.220000000016</v>
      </c>
      <c r="X26" s="874">
        <f t="shared" si="13"/>
        <v>71900.220000000016</v>
      </c>
      <c r="Y26" s="874">
        <f t="shared" si="13"/>
        <v>71900.220000000016</v>
      </c>
      <c r="Z26" s="875">
        <f t="shared" si="13"/>
        <v>71900.220000000016</v>
      </c>
    </row>
    <row r="27" spans="2:26" x14ac:dyDescent="0.25">
      <c r="B27" s="865" t="s">
        <v>910</v>
      </c>
      <c r="C27" s="870">
        <v>0</v>
      </c>
      <c r="D27" s="1048">
        <v>3</v>
      </c>
      <c r="E27" s="872">
        <v>280</v>
      </c>
      <c r="F27" s="873"/>
      <c r="G27" s="874">
        <f t="shared" si="14"/>
        <v>11760.000000000002</v>
      </c>
      <c r="H27" s="874">
        <f t="shared" si="12"/>
        <v>11760.000000000002</v>
      </c>
      <c r="I27" s="874">
        <f t="shared" si="12"/>
        <v>11760.000000000002</v>
      </c>
      <c r="J27" s="874">
        <f t="shared" si="12"/>
        <v>11760.000000000002</v>
      </c>
      <c r="K27" s="874">
        <f t="shared" si="12"/>
        <v>11760.000000000002</v>
      </c>
      <c r="L27" s="874">
        <f t="shared" si="12"/>
        <v>11760.000000000002</v>
      </c>
      <c r="M27" s="874">
        <f t="shared" si="12"/>
        <v>11760.000000000002</v>
      </c>
      <c r="N27" s="874">
        <f t="shared" si="12"/>
        <v>11760.000000000002</v>
      </c>
      <c r="O27" s="874">
        <f t="shared" si="12"/>
        <v>11760.000000000002</v>
      </c>
      <c r="P27" s="874">
        <f t="shared" si="12"/>
        <v>11760.000000000002</v>
      </c>
      <c r="Q27" s="874">
        <f t="shared" si="12"/>
        <v>11760.000000000002</v>
      </c>
      <c r="R27" s="874">
        <f t="shared" si="12"/>
        <v>11760.000000000002</v>
      </c>
      <c r="S27" s="874">
        <f t="shared" si="13"/>
        <v>11760.000000000002</v>
      </c>
      <c r="T27" s="874">
        <f t="shared" si="13"/>
        <v>11760.000000000002</v>
      </c>
      <c r="U27" s="874">
        <f t="shared" si="13"/>
        <v>11760.000000000002</v>
      </c>
      <c r="V27" s="874">
        <f t="shared" si="13"/>
        <v>11760.000000000002</v>
      </c>
      <c r="W27" s="874">
        <f t="shared" si="13"/>
        <v>11760.000000000002</v>
      </c>
      <c r="X27" s="874">
        <f t="shared" si="13"/>
        <v>11760.000000000002</v>
      </c>
      <c r="Y27" s="874">
        <f t="shared" si="13"/>
        <v>11760.000000000002</v>
      </c>
      <c r="Z27" s="875">
        <f t="shared" si="13"/>
        <v>11760.000000000002</v>
      </c>
    </row>
    <row r="28" spans="2:26" x14ac:dyDescent="0.25">
      <c r="B28" s="865" t="s">
        <v>911</v>
      </c>
      <c r="C28" s="870">
        <v>0</v>
      </c>
      <c r="D28" s="1048">
        <v>3</v>
      </c>
      <c r="E28" s="872">
        <v>50</v>
      </c>
      <c r="F28" s="873"/>
      <c r="G28" s="874">
        <f t="shared" si="14"/>
        <v>2100.0000000000005</v>
      </c>
      <c r="H28" s="874">
        <f t="shared" si="12"/>
        <v>2100.0000000000005</v>
      </c>
      <c r="I28" s="874">
        <f t="shared" si="12"/>
        <v>2100.0000000000005</v>
      </c>
      <c r="J28" s="874">
        <f t="shared" si="12"/>
        <v>2100.0000000000005</v>
      </c>
      <c r="K28" s="874">
        <f t="shared" si="12"/>
        <v>2100.0000000000005</v>
      </c>
      <c r="L28" s="874">
        <f t="shared" si="12"/>
        <v>2100.0000000000005</v>
      </c>
      <c r="M28" s="874">
        <f t="shared" si="12"/>
        <v>2100.0000000000005</v>
      </c>
      <c r="N28" s="874">
        <f t="shared" si="12"/>
        <v>2100.0000000000005</v>
      </c>
      <c r="O28" s="874">
        <f t="shared" si="12"/>
        <v>2100.0000000000005</v>
      </c>
      <c r="P28" s="874">
        <f t="shared" si="12"/>
        <v>2100.0000000000005</v>
      </c>
      <c r="Q28" s="874">
        <f t="shared" si="12"/>
        <v>2100.0000000000005</v>
      </c>
      <c r="R28" s="874">
        <f t="shared" si="12"/>
        <v>2100.0000000000005</v>
      </c>
      <c r="S28" s="874">
        <f t="shared" si="13"/>
        <v>2100.0000000000005</v>
      </c>
      <c r="T28" s="874">
        <f t="shared" si="13"/>
        <v>2100.0000000000005</v>
      </c>
      <c r="U28" s="874">
        <f t="shared" si="13"/>
        <v>2100.0000000000005</v>
      </c>
      <c r="V28" s="874">
        <f t="shared" si="13"/>
        <v>2100.0000000000005</v>
      </c>
      <c r="W28" s="874">
        <f t="shared" si="13"/>
        <v>2100.0000000000005</v>
      </c>
      <c r="X28" s="874">
        <f t="shared" si="13"/>
        <v>2100.0000000000005</v>
      </c>
      <c r="Y28" s="874">
        <f t="shared" si="13"/>
        <v>2100.0000000000005</v>
      </c>
      <c r="Z28" s="875">
        <f t="shared" si="13"/>
        <v>2100.0000000000005</v>
      </c>
    </row>
    <row r="29" spans="2:26" x14ac:dyDescent="0.25">
      <c r="B29" s="865" t="s">
        <v>912</v>
      </c>
      <c r="C29" s="870">
        <v>0</v>
      </c>
      <c r="D29" s="1048">
        <v>7</v>
      </c>
      <c r="E29" s="872">
        <v>40</v>
      </c>
      <c r="F29" s="873"/>
      <c r="G29" s="874">
        <f t="shared" si="14"/>
        <v>3920.0000000000009</v>
      </c>
      <c r="H29" s="874">
        <f t="shared" si="12"/>
        <v>3920.0000000000009</v>
      </c>
      <c r="I29" s="874">
        <f t="shared" si="12"/>
        <v>3920.0000000000009</v>
      </c>
      <c r="J29" s="874">
        <f t="shared" si="12"/>
        <v>3920.0000000000009</v>
      </c>
      <c r="K29" s="874">
        <f t="shared" si="12"/>
        <v>3920.0000000000009</v>
      </c>
      <c r="L29" s="874">
        <f t="shared" si="12"/>
        <v>3920.0000000000009</v>
      </c>
      <c r="M29" s="874">
        <f t="shared" si="12"/>
        <v>3920.0000000000009</v>
      </c>
      <c r="N29" s="874">
        <f t="shared" si="12"/>
        <v>3920.0000000000009</v>
      </c>
      <c r="O29" s="874">
        <f t="shared" si="12"/>
        <v>3920.0000000000009</v>
      </c>
      <c r="P29" s="874">
        <f t="shared" si="12"/>
        <v>3920.0000000000009</v>
      </c>
      <c r="Q29" s="874">
        <f t="shared" si="12"/>
        <v>3920.0000000000009</v>
      </c>
      <c r="R29" s="874">
        <f t="shared" si="12"/>
        <v>3920.0000000000009</v>
      </c>
      <c r="S29" s="874">
        <f t="shared" si="13"/>
        <v>3920.0000000000009</v>
      </c>
      <c r="T29" s="874">
        <f t="shared" si="13"/>
        <v>3920.0000000000009</v>
      </c>
      <c r="U29" s="874">
        <f t="shared" si="13"/>
        <v>3920.0000000000009</v>
      </c>
      <c r="V29" s="874">
        <f t="shared" si="13"/>
        <v>3920.0000000000009</v>
      </c>
      <c r="W29" s="874">
        <f t="shared" si="13"/>
        <v>3920.0000000000009</v>
      </c>
      <c r="X29" s="874">
        <f t="shared" si="13"/>
        <v>3920.0000000000009</v>
      </c>
      <c r="Y29" s="874">
        <f t="shared" si="13"/>
        <v>3920.0000000000009</v>
      </c>
      <c r="Z29" s="875">
        <f t="shared" si="13"/>
        <v>3920.0000000000009</v>
      </c>
    </row>
    <row r="30" spans="2:26" x14ac:dyDescent="0.25">
      <c r="B30" s="865" t="s">
        <v>318</v>
      </c>
      <c r="C30" s="866"/>
      <c r="D30" s="876"/>
      <c r="E30" s="868">
        <f>VLOOKUP($B30,$B$14:$C$19,2,FALSE)</f>
        <v>500</v>
      </c>
      <c r="F30" s="869">
        <f>VLOOKUP($B30,$B$14:$E$19,4,FALSE)</f>
        <v>7</v>
      </c>
      <c r="G30" s="819"/>
      <c r="H30" s="819"/>
      <c r="I30" s="819"/>
      <c r="J30" s="819"/>
      <c r="K30" s="819"/>
      <c r="L30" s="819"/>
      <c r="M30" s="819"/>
      <c r="N30" s="819"/>
      <c r="O30" s="819"/>
      <c r="P30" s="819"/>
      <c r="Q30" s="819"/>
      <c r="R30" s="819"/>
      <c r="S30" s="820"/>
      <c r="T30" s="820"/>
      <c r="U30" s="820"/>
      <c r="V30" s="820"/>
      <c r="W30" s="820"/>
      <c r="X30" s="820"/>
      <c r="Y30" s="820"/>
      <c r="Z30" s="821"/>
    </row>
    <row r="31" spans="2:26" x14ac:dyDescent="0.25">
      <c r="B31" s="865" t="s">
        <v>587</v>
      </c>
      <c r="C31" s="870" t="s">
        <v>913</v>
      </c>
      <c r="D31" s="871">
        <v>1146.8599999999999</v>
      </c>
      <c r="E31" s="870">
        <v>3</v>
      </c>
      <c r="F31" s="873"/>
      <c r="G31" s="874">
        <f>IF(G$15=0,0,G$15/$D$15*$E31*$D31)</f>
        <v>24084.059999999998</v>
      </c>
      <c r="H31" s="874">
        <f t="shared" ref="H31:W34" si="15">IF(H$15=0,0,H$15/$D$15*$E31*$D31)</f>
        <v>24084.059999999998</v>
      </c>
      <c r="I31" s="874">
        <f t="shared" si="15"/>
        <v>24084.059999999998</v>
      </c>
      <c r="J31" s="874">
        <f t="shared" si="15"/>
        <v>24084.059999999998</v>
      </c>
      <c r="K31" s="874">
        <f t="shared" si="15"/>
        <v>24084.059999999998</v>
      </c>
      <c r="L31" s="874">
        <f t="shared" si="15"/>
        <v>24084.059999999998</v>
      </c>
      <c r="M31" s="874">
        <f t="shared" si="15"/>
        <v>24084.059999999998</v>
      </c>
      <c r="N31" s="874">
        <f t="shared" si="15"/>
        <v>24084.059999999998</v>
      </c>
      <c r="O31" s="874">
        <f t="shared" si="15"/>
        <v>24084.059999999998</v>
      </c>
      <c r="P31" s="874">
        <f t="shared" si="15"/>
        <v>24084.059999999998</v>
      </c>
      <c r="Q31" s="874">
        <f t="shared" si="15"/>
        <v>24084.059999999998</v>
      </c>
      <c r="R31" s="874">
        <f t="shared" si="15"/>
        <v>24084.059999999998</v>
      </c>
      <c r="S31" s="874">
        <f t="shared" si="15"/>
        <v>24084.059999999998</v>
      </c>
      <c r="T31" s="874">
        <f t="shared" si="15"/>
        <v>24084.059999999998</v>
      </c>
      <c r="U31" s="874">
        <f t="shared" si="15"/>
        <v>24084.059999999998</v>
      </c>
      <c r="V31" s="874">
        <f t="shared" si="15"/>
        <v>24084.059999999998</v>
      </c>
      <c r="W31" s="874">
        <f t="shared" si="15"/>
        <v>24084.059999999998</v>
      </c>
      <c r="X31" s="874">
        <f t="shared" ref="S31:Z34" si="16">IF(X$15=0,0,X$15/$D$15*$E31*$D31)</f>
        <v>24084.059999999998</v>
      </c>
      <c r="Y31" s="874">
        <f t="shared" si="16"/>
        <v>24084.059999999998</v>
      </c>
      <c r="Z31" s="875">
        <f t="shared" si="16"/>
        <v>24084.059999999998</v>
      </c>
    </row>
    <row r="32" spans="2:26" x14ac:dyDescent="0.25">
      <c r="B32" s="865" t="s">
        <v>587</v>
      </c>
      <c r="C32" s="870">
        <v>20070596</v>
      </c>
      <c r="D32" s="871">
        <v>5185.6099999999997</v>
      </c>
      <c r="E32" s="870">
        <v>1</v>
      </c>
      <c r="F32" s="873"/>
      <c r="G32" s="874">
        <f t="shared" ref="G32:V34" si="17">IF(G$15=0,0,G$15/$D$15*$E32*$D32)</f>
        <v>36299.269999999997</v>
      </c>
      <c r="H32" s="874">
        <f t="shared" si="17"/>
        <v>36299.269999999997</v>
      </c>
      <c r="I32" s="874">
        <f t="shared" si="17"/>
        <v>36299.269999999997</v>
      </c>
      <c r="J32" s="874">
        <f t="shared" si="17"/>
        <v>36299.269999999997</v>
      </c>
      <c r="K32" s="874">
        <f t="shared" si="17"/>
        <v>36299.269999999997</v>
      </c>
      <c r="L32" s="874">
        <f t="shared" si="17"/>
        <v>36299.269999999997</v>
      </c>
      <c r="M32" s="874">
        <f t="shared" si="17"/>
        <v>36299.269999999997</v>
      </c>
      <c r="N32" s="874">
        <f t="shared" si="17"/>
        <v>36299.269999999997</v>
      </c>
      <c r="O32" s="874">
        <f t="shared" si="17"/>
        <v>36299.269999999997</v>
      </c>
      <c r="P32" s="874">
        <f t="shared" si="17"/>
        <v>36299.269999999997</v>
      </c>
      <c r="Q32" s="874">
        <f t="shared" si="17"/>
        <v>36299.269999999997</v>
      </c>
      <c r="R32" s="874">
        <f t="shared" si="17"/>
        <v>36299.269999999997</v>
      </c>
      <c r="S32" s="874">
        <f t="shared" si="17"/>
        <v>36299.269999999997</v>
      </c>
      <c r="T32" s="874">
        <f t="shared" si="17"/>
        <v>36299.269999999997</v>
      </c>
      <c r="U32" s="874">
        <f t="shared" si="17"/>
        <v>36299.269999999997</v>
      </c>
      <c r="V32" s="874">
        <f t="shared" si="17"/>
        <v>36299.269999999997</v>
      </c>
      <c r="W32" s="874">
        <f t="shared" si="15"/>
        <v>36299.269999999997</v>
      </c>
      <c r="X32" s="874">
        <f t="shared" si="16"/>
        <v>36299.269999999997</v>
      </c>
      <c r="Y32" s="874">
        <f t="shared" si="16"/>
        <v>36299.269999999997</v>
      </c>
      <c r="Z32" s="875">
        <f t="shared" si="16"/>
        <v>36299.269999999997</v>
      </c>
    </row>
    <row r="33" spans="2:26" x14ac:dyDescent="0.25">
      <c r="B33" s="865" t="s">
        <v>587</v>
      </c>
      <c r="C33" s="870">
        <v>4328043</v>
      </c>
      <c r="D33" s="871">
        <v>2381.38</v>
      </c>
      <c r="E33" s="870">
        <v>1</v>
      </c>
      <c r="F33" s="873"/>
      <c r="G33" s="874">
        <f t="shared" si="17"/>
        <v>16669.66</v>
      </c>
      <c r="H33" s="874">
        <f t="shared" si="15"/>
        <v>16669.66</v>
      </c>
      <c r="I33" s="874">
        <f t="shared" si="15"/>
        <v>16669.66</v>
      </c>
      <c r="J33" s="874">
        <f t="shared" si="15"/>
        <v>16669.66</v>
      </c>
      <c r="K33" s="874">
        <f t="shared" si="15"/>
        <v>16669.66</v>
      </c>
      <c r="L33" s="874">
        <f t="shared" si="15"/>
        <v>16669.66</v>
      </c>
      <c r="M33" s="874">
        <f t="shared" si="15"/>
        <v>16669.66</v>
      </c>
      <c r="N33" s="874">
        <f t="shared" si="15"/>
        <v>16669.66</v>
      </c>
      <c r="O33" s="874">
        <f t="shared" si="15"/>
        <v>16669.66</v>
      </c>
      <c r="P33" s="874">
        <f t="shared" si="15"/>
        <v>16669.66</v>
      </c>
      <c r="Q33" s="874">
        <f t="shared" si="15"/>
        <v>16669.66</v>
      </c>
      <c r="R33" s="874">
        <f t="shared" si="15"/>
        <v>16669.66</v>
      </c>
      <c r="S33" s="874">
        <f t="shared" si="16"/>
        <v>16669.66</v>
      </c>
      <c r="T33" s="874">
        <f t="shared" si="16"/>
        <v>16669.66</v>
      </c>
      <c r="U33" s="874">
        <f t="shared" si="16"/>
        <v>16669.66</v>
      </c>
      <c r="V33" s="874">
        <f t="shared" si="16"/>
        <v>16669.66</v>
      </c>
      <c r="W33" s="874">
        <f t="shared" si="16"/>
        <v>16669.66</v>
      </c>
      <c r="X33" s="874">
        <f t="shared" si="16"/>
        <v>16669.66</v>
      </c>
      <c r="Y33" s="874">
        <f t="shared" si="16"/>
        <v>16669.66</v>
      </c>
      <c r="Z33" s="875">
        <f t="shared" si="16"/>
        <v>16669.66</v>
      </c>
    </row>
    <row r="34" spans="2:26" x14ac:dyDescent="0.25">
      <c r="B34" s="865" t="s">
        <v>587</v>
      </c>
      <c r="C34" s="870">
        <v>3100308</v>
      </c>
      <c r="D34" s="871">
        <v>133.16999999999999</v>
      </c>
      <c r="E34" s="870">
        <v>2</v>
      </c>
      <c r="F34" s="873"/>
      <c r="G34" s="874">
        <f t="shared" si="17"/>
        <v>1864.3799999999999</v>
      </c>
      <c r="H34" s="874">
        <f t="shared" si="15"/>
        <v>1864.3799999999999</v>
      </c>
      <c r="I34" s="874">
        <f t="shared" si="15"/>
        <v>1864.3799999999999</v>
      </c>
      <c r="J34" s="874">
        <f t="shared" si="15"/>
        <v>1864.3799999999999</v>
      </c>
      <c r="K34" s="874">
        <f t="shared" si="15"/>
        <v>1864.3799999999999</v>
      </c>
      <c r="L34" s="874">
        <f t="shared" si="15"/>
        <v>1864.3799999999999</v>
      </c>
      <c r="M34" s="874">
        <f t="shared" si="15"/>
        <v>1864.3799999999999</v>
      </c>
      <c r="N34" s="874">
        <f t="shared" si="15"/>
        <v>1864.3799999999999</v>
      </c>
      <c r="O34" s="874">
        <f t="shared" si="15"/>
        <v>1864.3799999999999</v>
      </c>
      <c r="P34" s="874">
        <f t="shared" si="15"/>
        <v>1864.3799999999999</v>
      </c>
      <c r="Q34" s="874">
        <f t="shared" si="15"/>
        <v>1864.3799999999999</v>
      </c>
      <c r="R34" s="874">
        <f t="shared" si="15"/>
        <v>1864.3799999999999</v>
      </c>
      <c r="S34" s="874">
        <f t="shared" si="16"/>
        <v>1864.3799999999999</v>
      </c>
      <c r="T34" s="874">
        <f t="shared" si="16"/>
        <v>1864.3799999999999</v>
      </c>
      <c r="U34" s="874">
        <f t="shared" si="16"/>
        <v>1864.3799999999999</v>
      </c>
      <c r="V34" s="874">
        <f t="shared" si="16"/>
        <v>1864.3799999999999</v>
      </c>
      <c r="W34" s="874">
        <f t="shared" si="16"/>
        <v>1864.3799999999999</v>
      </c>
      <c r="X34" s="874">
        <f t="shared" si="16"/>
        <v>1864.3799999999999</v>
      </c>
      <c r="Y34" s="874">
        <f t="shared" si="16"/>
        <v>1864.3799999999999</v>
      </c>
      <c r="Z34" s="875">
        <f t="shared" si="16"/>
        <v>1864.3799999999999</v>
      </c>
    </row>
    <row r="35" spans="2:26" x14ac:dyDescent="0.25">
      <c r="B35" s="865" t="s">
        <v>319</v>
      </c>
      <c r="C35" s="866"/>
      <c r="D35" s="876"/>
      <c r="E35" s="868">
        <f>VLOOKUP($B35,$B$14:$C$19,2,FALSE)</f>
        <v>1000</v>
      </c>
      <c r="F35" s="869">
        <f>VLOOKUP($B35,$B$14:$E$19,4,FALSE)</f>
        <v>3</v>
      </c>
      <c r="G35" s="819"/>
      <c r="H35" s="819"/>
      <c r="I35" s="819"/>
      <c r="J35" s="819"/>
      <c r="K35" s="819"/>
      <c r="L35" s="819"/>
      <c r="M35" s="819"/>
      <c r="N35" s="819"/>
      <c r="O35" s="819"/>
      <c r="P35" s="819"/>
      <c r="Q35" s="819"/>
      <c r="R35" s="819"/>
      <c r="S35" s="820"/>
      <c r="T35" s="820"/>
      <c r="U35" s="820"/>
      <c r="V35" s="820"/>
      <c r="W35" s="820"/>
      <c r="X35" s="820"/>
      <c r="Y35" s="820"/>
      <c r="Z35" s="821"/>
    </row>
    <row r="36" spans="2:26" x14ac:dyDescent="0.25">
      <c r="B36" s="865" t="s">
        <v>587</v>
      </c>
      <c r="C36" s="870" t="s">
        <v>914</v>
      </c>
      <c r="D36" s="871">
        <v>810</v>
      </c>
      <c r="E36" s="870">
        <v>2</v>
      </c>
      <c r="F36" s="873"/>
      <c r="G36" s="874">
        <f>IF(G$16=0,0,G$16/$D$16*$E36*$D36)</f>
        <v>4860</v>
      </c>
      <c r="H36" s="874">
        <f t="shared" ref="H36:W41" si="18">IF(H$16=0,0,H$16/$D$16*$E36*$D36)</f>
        <v>4860</v>
      </c>
      <c r="I36" s="874">
        <f t="shared" si="18"/>
        <v>4860</v>
      </c>
      <c r="J36" s="874">
        <f t="shared" si="18"/>
        <v>4860</v>
      </c>
      <c r="K36" s="874">
        <f t="shared" si="18"/>
        <v>4860</v>
      </c>
      <c r="L36" s="874">
        <f t="shared" si="18"/>
        <v>4860</v>
      </c>
      <c r="M36" s="874">
        <f t="shared" si="18"/>
        <v>4860</v>
      </c>
      <c r="N36" s="874">
        <f t="shared" si="18"/>
        <v>4860</v>
      </c>
      <c r="O36" s="874">
        <f t="shared" si="18"/>
        <v>4860</v>
      </c>
      <c r="P36" s="874">
        <f t="shared" si="18"/>
        <v>4860</v>
      </c>
      <c r="Q36" s="874">
        <f t="shared" si="18"/>
        <v>4860</v>
      </c>
      <c r="R36" s="874">
        <f t="shared" si="18"/>
        <v>4860</v>
      </c>
      <c r="S36" s="874">
        <f t="shared" si="18"/>
        <v>4860</v>
      </c>
      <c r="T36" s="874">
        <f t="shared" si="18"/>
        <v>4860</v>
      </c>
      <c r="U36" s="874">
        <f t="shared" si="18"/>
        <v>4860</v>
      </c>
      <c r="V36" s="874">
        <f t="shared" si="18"/>
        <v>4860</v>
      </c>
      <c r="W36" s="874">
        <f t="shared" si="18"/>
        <v>4860</v>
      </c>
      <c r="X36" s="874">
        <f t="shared" ref="S36:Z41" si="19">IF(X$16=0,0,X$16/$D$16*$E36*$D36)</f>
        <v>4860</v>
      </c>
      <c r="Y36" s="874">
        <f t="shared" si="19"/>
        <v>4860</v>
      </c>
      <c r="Z36" s="875">
        <f t="shared" si="19"/>
        <v>4860</v>
      </c>
    </row>
    <row r="37" spans="2:26" x14ac:dyDescent="0.25">
      <c r="B37" s="865" t="s">
        <v>587</v>
      </c>
      <c r="C37" s="870">
        <v>20042559</v>
      </c>
      <c r="D37" s="871">
        <v>814.95</v>
      </c>
      <c r="E37" s="870">
        <v>4</v>
      </c>
      <c r="F37" s="873"/>
      <c r="G37" s="874">
        <f t="shared" ref="G37:V41" si="20">IF(G$16=0,0,G$16/$D$16*$E37*$D37)</f>
        <v>9779.4000000000015</v>
      </c>
      <c r="H37" s="874">
        <f t="shared" si="20"/>
        <v>9779.4000000000015</v>
      </c>
      <c r="I37" s="874">
        <f t="shared" si="20"/>
        <v>9779.4000000000015</v>
      </c>
      <c r="J37" s="874">
        <f t="shared" si="20"/>
        <v>9779.4000000000015</v>
      </c>
      <c r="K37" s="874">
        <f t="shared" si="20"/>
        <v>9779.4000000000015</v>
      </c>
      <c r="L37" s="874">
        <f t="shared" si="20"/>
        <v>9779.4000000000015</v>
      </c>
      <c r="M37" s="874">
        <f t="shared" si="20"/>
        <v>9779.4000000000015</v>
      </c>
      <c r="N37" s="874">
        <f t="shared" si="20"/>
        <v>9779.4000000000015</v>
      </c>
      <c r="O37" s="874">
        <f t="shared" si="20"/>
        <v>9779.4000000000015</v>
      </c>
      <c r="P37" s="874">
        <f t="shared" si="20"/>
        <v>9779.4000000000015</v>
      </c>
      <c r="Q37" s="874">
        <f t="shared" si="20"/>
        <v>9779.4000000000015</v>
      </c>
      <c r="R37" s="874">
        <f t="shared" si="20"/>
        <v>9779.4000000000015</v>
      </c>
      <c r="S37" s="874">
        <f t="shared" si="20"/>
        <v>9779.4000000000015</v>
      </c>
      <c r="T37" s="874">
        <f t="shared" si="20"/>
        <v>9779.4000000000015</v>
      </c>
      <c r="U37" s="874">
        <f t="shared" si="20"/>
        <v>9779.4000000000015</v>
      </c>
      <c r="V37" s="874">
        <f t="shared" si="20"/>
        <v>9779.4000000000015</v>
      </c>
      <c r="W37" s="874">
        <f t="shared" si="18"/>
        <v>9779.4000000000015</v>
      </c>
      <c r="X37" s="874">
        <f t="shared" si="19"/>
        <v>9779.4000000000015</v>
      </c>
      <c r="Y37" s="874">
        <f t="shared" si="19"/>
        <v>9779.4000000000015</v>
      </c>
      <c r="Z37" s="875">
        <f t="shared" si="19"/>
        <v>9779.4000000000015</v>
      </c>
    </row>
    <row r="38" spans="2:26" x14ac:dyDescent="0.25">
      <c r="B38" s="865" t="s">
        <v>587</v>
      </c>
      <c r="C38" s="870">
        <v>20042560</v>
      </c>
      <c r="D38" s="871">
        <v>1895.1</v>
      </c>
      <c r="E38" s="870">
        <v>4</v>
      </c>
      <c r="F38" s="873"/>
      <c r="G38" s="874">
        <f t="shared" si="20"/>
        <v>22741.199999999997</v>
      </c>
      <c r="H38" s="874">
        <f t="shared" si="18"/>
        <v>22741.199999999997</v>
      </c>
      <c r="I38" s="874">
        <f t="shared" si="18"/>
        <v>22741.199999999997</v>
      </c>
      <c r="J38" s="874">
        <f t="shared" si="18"/>
        <v>22741.199999999997</v>
      </c>
      <c r="K38" s="874">
        <f t="shared" si="18"/>
        <v>22741.199999999997</v>
      </c>
      <c r="L38" s="874">
        <f t="shared" si="18"/>
        <v>22741.199999999997</v>
      </c>
      <c r="M38" s="874">
        <f t="shared" si="18"/>
        <v>22741.199999999997</v>
      </c>
      <c r="N38" s="874">
        <f t="shared" si="18"/>
        <v>22741.199999999997</v>
      </c>
      <c r="O38" s="874">
        <f t="shared" si="18"/>
        <v>22741.199999999997</v>
      </c>
      <c r="P38" s="874">
        <f t="shared" si="18"/>
        <v>22741.199999999997</v>
      </c>
      <c r="Q38" s="874">
        <f t="shared" si="18"/>
        <v>22741.199999999997</v>
      </c>
      <c r="R38" s="874">
        <f t="shared" si="18"/>
        <v>22741.199999999997</v>
      </c>
      <c r="S38" s="874">
        <f t="shared" si="19"/>
        <v>22741.199999999997</v>
      </c>
      <c r="T38" s="874">
        <f t="shared" si="19"/>
        <v>22741.199999999997</v>
      </c>
      <c r="U38" s="874">
        <f t="shared" si="19"/>
        <v>22741.199999999997</v>
      </c>
      <c r="V38" s="874">
        <f t="shared" si="19"/>
        <v>22741.199999999997</v>
      </c>
      <c r="W38" s="874">
        <f t="shared" si="19"/>
        <v>22741.199999999997</v>
      </c>
      <c r="X38" s="874">
        <f t="shared" si="19"/>
        <v>22741.199999999997</v>
      </c>
      <c r="Y38" s="874">
        <f t="shared" si="19"/>
        <v>22741.199999999997</v>
      </c>
      <c r="Z38" s="875">
        <f t="shared" si="19"/>
        <v>22741.199999999997</v>
      </c>
    </row>
    <row r="39" spans="2:26" x14ac:dyDescent="0.25">
      <c r="B39" s="865" t="s">
        <v>587</v>
      </c>
      <c r="C39" s="870">
        <v>20039876</v>
      </c>
      <c r="D39" s="871">
        <v>3242.88</v>
      </c>
      <c r="E39" s="870">
        <v>1</v>
      </c>
      <c r="F39" s="873"/>
      <c r="G39" s="874">
        <f t="shared" si="20"/>
        <v>9728.64</v>
      </c>
      <c r="H39" s="874">
        <f t="shared" si="18"/>
        <v>9728.64</v>
      </c>
      <c r="I39" s="874">
        <f t="shared" si="18"/>
        <v>9728.64</v>
      </c>
      <c r="J39" s="874">
        <f t="shared" si="18"/>
        <v>9728.64</v>
      </c>
      <c r="K39" s="874">
        <f t="shared" si="18"/>
        <v>9728.64</v>
      </c>
      <c r="L39" s="874">
        <f t="shared" si="18"/>
        <v>9728.64</v>
      </c>
      <c r="M39" s="874">
        <f t="shared" si="18"/>
        <v>9728.64</v>
      </c>
      <c r="N39" s="874">
        <f t="shared" si="18"/>
        <v>9728.64</v>
      </c>
      <c r="O39" s="874">
        <f t="shared" si="18"/>
        <v>9728.64</v>
      </c>
      <c r="P39" s="874">
        <f t="shared" si="18"/>
        <v>9728.64</v>
      </c>
      <c r="Q39" s="874">
        <f t="shared" si="18"/>
        <v>9728.64</v>
      </c>
      <c r="R39" s="874">
        <f t="shared" si="18"/>
        <v>9728.64</v>
      </c>
      <c r="S39" s="874">
        <f t="shared" si="19"/>
        <v>9728.64</v>
      </c>
      <c r="T39" s="874">
        <f t="shared" si="19"/>
        <v>9728.64</v>
      </c>
      <c r="U39" s="874">
        <f t="shared" si="19"/>
        <v>9728.64</v>
      </c>
      <c r="V39" s="874">
        <f t="shared" si="19"/>
        <v>9728.64</v>
      </c>
      <c r="W39" s="874">
        <f t="shared" si="19"/>
        <v>9728.64</v>
      </c>
      <c r="X39" s="874">
        <f t="shared" si="19"/>
        <v>9728.64</v>
      </c>
      <c r="Y39" s="874">
        <f t="shared" si="19"/>
        <v>9728.64</v>
      </c>
      <c r="Z39" s="875">
        <f t="shared" si="19"/>
        <v>9728.64</v>
      </c>
    </row>
    <row r="40" spans="2:26" x14ac:dyDescent="0.25">
      <c r="B40" s="865" t="s">
        <v>587</v>
      </c>
      <c r="C40" s="870">
        <v>20046992</v>
      </c>
      <c r="D40" s="871">
        <v>64.400000000000006</v>
      </c>
      <c r="E40" s="870">
        <v>1</v>
      </c>
      <c r="F40" s="873"/>
      <c r="G40" s="874">
        <f t="shared" si="20"/>
        <v>193.20000000000002</v>
      </c>
      <c r="H40" s="874">
        <f t="shared" si="18"/>
        <v>193.20000000000002</v>
      </c>
      <c r="I40" s="874">
        <f t="shared" si="18"/>
        <v>193.20000000000002</v>
      </c>
      <c r="J40" s="874">
        <f t="shared" si="18"/>
        <v>193.20000000000002</v>
      </c>
      <c r="K40" s="874">
        <f t="shared" si="18"/>
        <v>193.20000000000002</v>
      </c>
      <c r="L40" s="874">
        <f t="shared" si="18"/>
        <v>193.20000000000002</v>
      </c>
      <c r="M40" s="874">
        <f t="shared" si="18"/>
        <v>193.20000000000002</v>
      </c>
      <c r="N40" s="874">
        <f t="shared" si="18"/>
        <v>193.20000000000002</v>
      </c>
      <c r="O40" s="874">
        <f t="shared" si="18"/>
        <v>193.20000000000002</v>
      </c>
      <c r="P40" s="874">
        <f t="shared" si="18"/>
        <v>193.20000000000002</v>
      </c>
      <c r="Q40" s="874">
        <f t="shared" si="18"/>
        <v>193.20000000000002</v>
      </c>
      <c r="R40" s="874">
        <f t="shared" si="18"/>
        <v>193.20000000000002</v>
      </c>
      <c r="S40" s="874">
        <f t="shared" si="19"/>
        <v>193.20000000000002</v>
      </c>
      <c r="T40" s="874">
        <f t="shared" si="19"/>
        <v>193.20000000000002</v>
      </c>
      <c r="U40" s="874">
        <f t="shared" si="19"/>
        <v>193.20000000000002</v>
      </c>
      <c r="V40" s="874">
        <f t="shared" si="19"/>
        <v>193.20000000000002</v>
      </c>
      <c r="W40" s="874">
        <f t="shared" si="19"/>
        <v>193.20000000000002</v>
      </c>
      <c r="X40" s="874">
        <f t="shared" si="19"/>
        <v>193.20000000000002</v>
      </c>
      <c r="Y40" s="874">
        <f t="shared" si="19"/>
        <v>193.20000000000002</v>
      </c>
      <c r="Z40" s="875">
        <f t="shared" si="19"/>
        <v>193.20000000000002</v>
      </c>
    </row>
    <row r="41" spans="2:26" x14ac:dyDescent="0.25">
      <c r="B41" s="865" t="s">
        <v>587</v>
      </c>
      <c r="C41" s="870">
        <v>20046634</v>
      </c>
      <c r="D41" s="871">
        <v>452.98</v>
      </c>
      <c r="E41" s="870">
        <v>1</v>
      </c>
      <c r="F41" s="873"/>
      <c r="G41" s="874">
        <f t="shared" si="20"/>
        <v>1358.94</v>
      </c>
      <c r="H41" s="874">
        <f t="shared" si="18"/>
        <v>1358.94</v>
      </c>
      <c r="I41" s="874">
        <f t="shared" si="18"/>
        <v>1358.94</v>
      </c>
      <c r="J41" s="874">
        <f t="shared" si="18"/>
        <v>1358.94</v>
      </c>
      <c r="K41" s="874">
        <f t="shared" si="18"/>
        <v>1358.94</v>
      </c>
      <c r="L41" s="874">
        <f t="shared" si="18"/>
        <v>1358.94</v>
      </c>
      <c r="M41" s="874">
        <f t="shared" si="18"/>
        <v>1358.94</v>
      </c>
      <c r="N41" s="874">
        <f t="shared" si="18"/>
        <v>1358.94</v>
      </c>
      <c r="O41" s="874">
        <f t="shared" si="18"/>
        <v>1358.94</v>
      </c>
      <c r="P41" s="874">
        <f t="shared" si="18"/>
        <v>1358.94</v>
      </c>
      <c r="Q41" s="874">
        <f t="shared" si="18"/>
        <v>1358.94</v>
      </c>
      <c r="R41" s="874">
        <f t="shared" si="18"/>
        <v>1358.94</v>
      </c>
      <c r="S41" s="874">
        <f t="shared" si="19"/>
        <v>1358.94</v>
      </c>
      <c r="T41" s="874">
        <f t="shared" si="19"/>
        <v>1358.94</v>
      </c>
      <c r="U41" s="874">
        <f t="shared" si="19"/>
        <v>1358.94</v>
      </c>
      <c r="V41" s="874">
        <f t="shared" si="19"/>
        <v>1358.94</v>
      </c>
      <c r="W41" s="874">
        <f t="shared" si="19"/>
        <v>1358.94</v>
      </c>
      <c r="X41" s="874">
        <f t="shared" si="19"/>
        <v>1358.94</v>
      </c>
      <c r="Y41" s="874">
        <f t="shared" si="19"/>
        <v>1358.94</v>
      </c>
      <c r="Z41" s="875">
        <f t="shared" si="19"/>
        <v>1358.94</v>
      </c>
    </row>
    <row r="42" spans="2:26" x14ac:dyDescent="0.25">
      <c r="B42" s="865" t="s">
        <v>587</v>
      </c>
      <c r="C42" s="870" t="s">
        <v>914</v>
      </c>
      <c r="D42" s="871">
        <v>810</v>
      </c>
      <c r="E42" s="870">
        <v>2</v>
      </c>
      <c r="F42" s="873"/>
      <c r="G42" s="874"/>
      <c r="H42" s="874"/>
      <c r="I42" s="874"/>
      <c r="J42" s="874"/>
      <c r="K42" s="874"/>
      <c r="L42" s="874"/>
      <c r="M42" s="874"/>
      <c r="N42" s="874"/>
      <c r="O42" s="874"/>
      <c r="P42" s="874"/>
      <c r="Q42" s="874"/>
      <c r="R42" s="874"/>
      <c r="S42" s="877"/>
      <c r="T42" s="877"/>
      <c r="U42" s="877"/>
      <c r="V42" s="877"/>
      <c r="W42" s="877"/>
      <c r="X42" s="877"/>
      <c r="Y42" s="877"/>
      <c r="Z42" s="878"/>
    </row>
    <row r="43" spans="2:26" x14ac:dyDescent="0.25">
      <c r="B43" s="865" t="s">
        <v>552</v>
      </c>
      <c r="C43" s="866"/>
      <c r="D43" s="876"/>
      <c r="E43" s="868">
        <f>VLOOKUP($B43,$B$14:$C$19,2,FALSE)</f>
        <v>2000</v>
      </c>
      <c r="F43" s="869">
        <f>VLOOKUP($B43,$B$14:$E$19,4,FALSE)</f>
        <v>3</v>
      </c>
      <c r="G43" s="819"/>
      <c r="H43" s="819"/>
      <c r="I43" s="819"/>
      <c r="J43" s="819"/>
      <c r="K43" s="819"/>
      <c r="L43" s="819"/>
      <c r="M43" s="819"/>
      <c r="N43" s="819"/>
      <c r="O43" s="819"/>
      <c r="P43" s="819"/>
      <c r="Q43" s="819"/>
      <c r="R43" s="819"/>
      <c r="S43" s="820"/>
      <c r="T43" s="820"/>
      <c r="U43" s="820"/>
      <c r="V43" s="820"/>
      <c r="W43" s="820"/>
      <c r="X43" s="820"/>
      <c r="Y43" s="820"/>
      <c r="Z43" s="821"/>
    </row>
    <row r="44" spans="2:26" x14ac:dyDescent="0.25">
      <c r="B44" s="865" t="s">
        <v>915</v>
      </c>
      <c r="C44" s="870">
        <v>0</v>
      </c>
      <c r="D44" s="871">
        <v>0</v>
      </c>
      <c r="E44" s="870">
        <v>80</v>
      </c>
      <c r="F44" s="873"/>
      <c r="G44" s="874">
        <f>IF(G$17=0,0,G$17/$D$17*$E44*$D44)</f>
        <v>0</v>
      </c>
      <c r="H44" s="874">
        <f t="shared" ref="H44:Z44" si="21">IF(H$17=0,0,H$17/$D$17*$E44*$D44)</f>
        <v>0</v>
      </c>
      <c r="I44" s="874">
        <f t="shared" si="21"/>
        <v>0</v>
      </c>
      <c r="J44" s="874">
        <f t="shared" si="21"/>
        <v>0</v>
      </c>
      <c r="K44" s="874">
        <f t="shared" si="21"/>
        <v>0</v>
      </c>
      <c r="L44" s="874">
        <f t="shared" si="21"/>
        <v>0</v>
      </c>
      <c r="M44" s="874">
        <f t="shared" si="21"/>
        <v>0</v>
      </c>
      <c r="N44" s="874">
        <f t="shared" si="21"/>
        <v>0</v>
      </c>
      <c r="O44" s="874">
        <f t="shared" si="21"/>
        <v>0</v>
      </c>
      <c r="P44" s="874">
        <f t="shared" si="21"/>
        <v>0</v>
      </c>
      <c r="Q44" s="874">
        <f t="shared" si="21"/>
        <v>0</v>
      </c>
      <c r="R44" s="874">
        <f t="shared" si="21"/>
        <v>0</v>
      </c>
      <c r="S44" s="874">
        <f t="shared" si="21"/>
        <v>0</v>
      </c>
      <c r="T44" s="874">
        <f t="shared" si="21"/>
        <v>0</v>
      </c>
      <c r="U44" s="874">
        <f t="shared" si="21"/>
        <v>0</v>
      </c>
      <c r="V44" s="874">
        <f t="shared" si="21"/>
        <v>0</v>
      </c>
      <c r="W44" s="874">
        <f t="shared" si="21"/>
        <v>0</v>
      </c>
      <c r="X44" s="874">
        <f t="shared" si="21"/>
        <v>0</v>
      </c>
      <c r="Y44" s="874">
        <f t="shared" si="21"/>
        <v>0</v>
      </c>
      <c r="Z44" s="875">
        <f t="shared" si="21"/>
        <v>0</v>
      </c>
    </row>
    <row r="45" spans="2:26" x14ac:dyDescent="0.25">
      <c r="B45" s="865" t="s">
        <v>553</v>
      </c>
      <c r="C45" s="866"/>
      <c r="D45" s="876"/>
      <c r="E45" s="868">
        <f>VLOOKUP($B45,$B$14:$C$19,2,FALSE)</f>
        <v>5000</v>
      </c>
      <c r="F45" s="869">
        <f>VLOOKUP($B45,$B$14:$E$19,4,FALSE)</f>
        <v>1</v>
      </c>
      <c r="G45" s="819"/>
      <c r="H45" s="819"/>
      <c r="I45" s="819"/>
      <c r="J45" s="819"/>
      <c r="K45" s="819"/>
      <c r="L45" s="819"/>
      <c r="M45" s="819"/>
      <c r="N45" s="819"/>
      <c r="O45" s="819"/>
      <c r="P45" s="819"/>
      <c r="Q45" s="819"/>
      <c r="R45" s="819"/>
      <c r="S45" s="819"/>
      <c r="T45" s="819"/>
      <c r="U45" s="819"/>
      <c r="V45" s="819"/>
      <c r="W45" s="819"/>
      <c r="X45" s="819"/>
      <c r="Y45" s="819"/>
      <c r="Z45" s="879"/>
    </row>
    <row r="46" spans="2:26" x14ac:dyDescent="0.25">
      <c r="B46" s="865" t="s">
        <v>587</v>
      </c>
      <c r="C46" s="870">
        <v>20038263</v>
      </c>
      <c r="D46" s="871">
        <v>3851.98</v>
      </c>
      <c r="E46" s="870">
        <v>1</v>
      </c>
      <c r="F46" s="873"/>
      <c r="G46" s="874">
        <f>IF(G$18=0,0,G$18/$D$18*$E46*$D46)</f>
        <v>3851.98</v>
      </c>
      <c r="H46" s="874">
        <f t="shared" ref="H46:W51" si="22">IF(H$18=0,0,H$18/$D$18*$E46*$D46)</f>
        <v>3851.98</v>
      </c>
      <c r="I46" s="874">
        <f t="shared" si="22"/>
        <v>3851.98</v>
      </c>
      <c r="J46" s="874">
        <f t="shared" si="22"/>
        <v>3851.98</v>
      </c>
      <c r="K46" s="874">
        <f t="shared" si="22"/>
        <v>3851.98</v>
      </c>
      <c r="L46" s="874">
        <f t="shared" si="22"/>
        <v>3851.98</v>
      </c>
      <c r="M46" s="874">
        <f t="shared" si="22"/>
        <v>3851.98</v>
      </c>
      <c r="N46" s="874">
        <f t="shared" si="22"/>
        <v>3851.98</v>
      </c>
      <c r="O46" s="874">
        <f t="shared" si="22"/>
        <v>3851.98</v>
      </c>
      <c r="P46" s="874">
        <f t="shared" si="22"/>
        <v>3851.98</v>
      </c>
      <c r="Q46" s="874">
        <f t="shared" si="22"/>
        <v>3851.98</v>
      </c>
      <c r="R46" s="874">
        <f t="shared" si="22"/>
        <v>3851.98</v>
      </c>
      <c r="S46" s="874">
        <f t="shared" si="22"/>
        <v>3851.98</v>
      </c>
      <c r="T46" s="874">
        <f t="shared" si="22"/>
        <v>3851.98</v>
      </c>
      <c r="U46" s="874">
        <f t="shared" si="22"/>
        <v>3851.98</v>
      </c>
      <c r="V46" s="874">
        <f t="shared" si="22"/>
        <v>3851.98</v>
      </c>
      <c r="W46" s="874">
        <f t="shared" si="22"/>
        <v>3851.98</v>
      </c>
      <c r="X46" s="874">
        <f t="shared" ref="S46:Z51" si="23">IF(X$18=0,0,X$18/$D$18*$E46*$D46)</f>
        <v>3851.98</v>
      </c>
      <c r="Y46" s="874">
        <f t="shared" si="23"/>
        <v>3851.98</v>
      </c>
      <c r="Z46" s="875">
        <f t="shared" si="23"/>
        <v>3851.98</v>
      </c>
    </row>
    <row r="47" spans="2:26" x14ac:dyDescent="0.25">
      <c r="B47" s="865" t="s">
        <v>916</v>
      </c>
      <c r="C47" s="870">
        <v>0</v>
      </c>
      <c r="D47" s="871">
        <v>0</v>
      </c>
      <c r="E47" s="870">
        <v>908</v>
      </c>
      <c r="F47" s="873"/>
      <c r="G47" s="874">
        <f t="shared" ref="G47:V51" si="24">IF(G$18=0,0,G$18/$D$18*$E47*$D47)</f>
        <v>0</v>
      </c>
      <c r="H47" s="874">
        <f t="shared" si="24"/>
        <v>0</v>
      </c>
      <c r="I47" s="874">
        <f t="shared" si="24"/>
        <v>0</v>
      </c>
      <c r="J47" s="874">
        <f t="shared" si="24"/>
        <v>0</v>
      </c>
      <c r="K47" s="874">
        <f t="shared" si="24"/>
        <v>0</v>
      </c>
      <c r="L47" s="874">
        <f t="shared" si="24"/>
        <v>0</v>
      </c>
      <c r="M47" s="874">
        <f t="shared" si="24"/>
        <v>0</v>
      </c>
      <c r="N47" s="874">
        <f t="shared" si="24"/>
        <v>0</v>
      </c>
      <c r="O47" s="874">
        <f t="shared" si="24"/>
        <v>0</v>
      </c>
      <c r="P47" s="874">
        <f t="shared" si="24"/>
        <v>0</v>
      </c>
      <c r="Q47" s="874">
        <f t="shared" si="24"/>
        <v>0</v>
      </c>
      <c r="R47" s="874">
        <f t="shared" si="24"/>
        <v>0</v>
      </c>
      <c r="S47" s="874">
        <f t="shared" si="24"/>
        <v>0</v>
      </c>
      <c r="T47" s="874">
        <f t="shared" si="24"/>
        <v>0</v>
      </c>
      <c r="U47" s="874">
        <f t="shared" si="24"/>
        <v>0</v>
      </c>
      <c r="V47" s="874">
        <f t="shared" si="24"/>
        <v>0</v>
      </c>
      <c r="W47" s="874">
        <f t="shared" si="22"/>
        <v>0</v>
      </c>
      <c r="X47" s="874">
        <f t="shared" si="23"/>
        <v>0</v>
      </c>
      <c r="Y47" s="874">
        <f t="shared" si="23"/>
        <v>0</v>
      </c>
      <c r="Z47" s="875">
        <f t="shared" si="23"/>
        <v>0</v>
      </c>
    </row>
    <row r="48" spans="2:26" x14ac:dyDescent="0.25">
      <c r="B48" s="865" t="s">
        <v>587</v>
      </c>
      <c r="C48" s="870">
        <v>55894</v>
      </c>
      <c r="D48" s="871">
        <v>1901.07</v>
      </c>
      <c r="E48" s="870">
        <v>1</v>
      </c>
      <c r="F48" s="873"/>
      <c r="G48" s="874">
        <f t="shared" si="24"/>
        <v>1901.07</v>
      </c>
      <c r="H48" s="874">
        <f t="shared" si="22"/>
        <v>1901.07</v>
      </c>
      <c r="I48" s="874">
        <f t="shared" si="22"/>
        <v>1901.07</v>
      </c>
      <c r="J48" s="874">
        <f t="shared" si="22"/>
        <v>1901.07</v>
      </c>
      <c r="K48" s="874">
        <f t="shared" si="22"/>
        <v>1901.07</v>
      </c>
      <c r="L48" s="874">
        <f t="shared" si="22"/>
        <v>1901.07</v>
      </c>
      <c r="M48" s="874">
        <f t="shared" si="22"/>
        <v>1901.07</v>
      </c>
      <c r="N48" s="874">
        <f t="shared" si="22"/>
        <v>1901.07</v>
      </c>
      <c r="O48" s="874">
        <f t="shared" si="22"/>
        <v>1901.07</v>
      </c>
      <c r="P48" s="874">
        <f t="shared" si="22"/>
        <v>1901.07</v>
      </c>
      <c r="Q48" s="874">
        <f t="shared" si="22"/>
        <v>1901.07</v>
      </c>
      <c r="R48" s="874">
        <f t="shared" si="22"/>
        <v>1901.07</v>
      </c>
      <c r="S48" s="874">
        <f t="shared" si="23"/>
        <v>1901.07</v>
      </c>
      <c r="T48" s="874">
        <f t="shared" si="23"/>
        <v>1901.07</v>
      </c>
      <c r="U48" s="874">
        <f t="shared" si="23"/>
        <v>1901.07</v>
      </c>
      <c r="V48" s="874">
        <f t="shared" si="23"/>
        <v>1901.07</v>
      </c>
      <c r="W48" s="874">
        <f t="shared" si="23"/>
        <v>1901.07</v>
      </c>
      <c r="X48" s="874">
        <f t="shared" si="23"/>
        <v>1901.07</v>
      </c>
      <c r="Y48" s="874">
        <f t="shared" si="23"/>
        <v>1901.07</v>
      </c>
      <c r="Z48" s="875">
        <f t="shared" si="23"/>
        <v>1901.07</v>
      </c>
    </row>
    <row r="49" spans="2:26" x14ac:dyDescent="0.25">
      <c r="B49" s="865" t="s">
        <v>912</v>
      </c>
      <c r="C49" s="870">
        <v>0</v>
      </c>
      <c r="D49" s="1048">
        <v>7</v>
      </c>
      <c r="E49" s="870">
        <v>662</v>
      </c>
      <c r="F49" s="873"/>
      <c r="G49" s="880">
        <f t="shared" si="24"/>
        <v>4634</v>
      </c>
      <c r="H49" s="874">
        <f t="shared" si="22"/>
        <v>4634</v>
      </c>
      <c r="I49" s="874">
        <f t="shared" si="22"/>
        <v>4634</v>
      </c>
      <c r="J49" s="874">
        <f t="shared" si="22"/>
        <v>4634</v>
      </c>
      <c r="K49" s="874">
        <f t="shared" si="22"/>
        <v>4634</v>
      </c>
      <c r="L49" s="874">
        <f t="shared" si="22"/>
        <v>4634</v>
      </c>
      <c r="M49" s="874">
        <f t="shared" si="22"/>
        <v>4634</v>
      </c>
      <c r="N49" s="874">
        <f t="shared" si="22"/>
        <v>4634</v>
      </c>
      <c r="O49" s="874">
        <f t="shared" si="22"/>
        <v>4634</v>
      </c>
      <c r="P49" s="874">
        <f t="shared" si="22"/>
        <v>4634</v>
      </c>
      <c r="Q49" s="874">
        <f t="shared" si="22"/>
        <v>4634</v>
      </c>
      <c r="R49" s="874">
        <f t="shared" si="22"/>
        <v>4634</v>
      </c>
      <c r="S49" s="874">
        <f t="shared" si="23"/>
        <v>4634</v>
      </c>
      <c r="T49" s="874">
        <f t="shared" si="23"/>
        <v>4634</v>
      </c>
      <c r="U49" s="874">
        <f t="shared" si="23"/>
        <v>4634</v>
      </c>
      <c r="V49" s="874">
        <f t="shared" si="23"/>
        <v>4634</v>
      </c>
      <c r="W49" s="874">
        <f t="shared" si="23"/>
        <v>4634</v>
      </c>
      <c r="X49" s="874">
        <f t="shared" si="23"/>
        <v>4634</v>
      </c>
      <c r="Y49" s="874">
        <f t="shared" si="23"/>
        <v>4634</v>
      </c>
      <c r="Z49" s="875">
        <f t="shared" si="23"/>
        <v>4634</v>
      </c>
    </row>
    <row r="50" spans="2:26" x14ac:dyDescent="0.25">
      <c r="B50" s="865" t="s">
        <v>589</v>
      </c>
      <c r="C50" s="870" t="s">
        <v>917</v>
      </c>
      <c r="D50" s="1048">
        <v>4</v>
      </c>
      <c r="E50" s="870">
        <v>7</v>
      </c>
      <c r="F50" s="873"/>
      <c r="G50" s="880">
        <f t="shared" si="24"/>
        <v>28</v>
      </c>
      <c r="H50" s="874">
        <f t="shared" si="22"/>
        <v>28</v>
      </c>
      <c r="I50" s="874">
        <f t="shared" si="22"/>
        <v>28</v>
      </c>
      <c r="J50" s="874">
        <f t="shared" si="22"/>
        <v>28</v>
      </c>
      <c r="K50" s="874">
        <f t="shared" si="22"/>
        <v>28</v>
      </c>
      <c r="L50" s="874">
        <f t="shared" si="22"/>
        <v>28</v>
      </c>
      <c r="M50" s="874">
        <f t="shared" si="22"/>
        <v>28</v>
      </c>
      <c r="N50" s="874">
        <f t="shared" si="22"/>
        <v>28</v>
      </c>
      <c r="O50" s="874">
        <f t="shared" si="22"/>
        <v>28</v>
      </c>
      <c r="P50" s="874">
        <f t="shared" si="22"/>
        <v>28</v>
      </c>
      <c r="Q50" s="874">
        <f t="shared" si="22"/>
        <v>28</v>
      </c>
      <c r="R50" s="874">
        <f t="shared" si="22"/>
        <v>28</v>
      </c>
      <c r="S50" s="874">
        <f t="shared" si="23"/>
        <v>28</v>
      </c>
      <c r="T50" s="874">
        <f t="shared" si="23"/>
        <v>28</v>
      </c>
      <c r="U50" s="874">
        <f t="shared" si="23"/>
        <v>28</v>
      </c>
      <c r="V50" s="874">
        <f t="shared" si="23"/>
        <v>28</v>
      </c>
      <c r="W50" s="874">
        <f t="shared" si="23"/>
        <v>28</v>
      </c>
      <c r="X50" s="874">
        <f t="shared" si="23"/>
        <v>28</v>
      </c>
      <c r="Y50" s="874">
        <f t="shared" si="23"/>
        <v>28</v>
      </c>
      <c r="Z50" s="875">
        <f t="shared" si="23"/>
        <v>28</v>
      </c>
    </row>
    <row r="51" spans="2:26" x14ac:dyDescent="0.25">
      <c r="B51" s="865" t="s">
        <v>589</v>
      </c>
      <c r="C51" s="870" t="s">
        <v>917</v>
      </c>
      <c r="D51" s="1048">
        <v>4</v>
      </c>
      <c r="E51" s="870">
        <v>2.5</v>
      </c>
      <c r="F51" s="873"/>
      <c r="G51" s="880">
        <f t="shared" si="24"/>
        <v>10</v>
      </c>
      <c r="H51" s="874">
        <f t="shared" si="22"/>
        <v>10</v>
      </c>
      <c r="I51" s="874">
        <f t="shared" si="22"/>
        <v>10</v>
      </c>
      <c r="J51" s="874">
        <f t="shared" si="22"/>
        <v>10</v>
      </c>
      <c r="K51" s="874">
        <f t="shared" si="22"/>
        <v>10</v>
      </c>
      <c r="L51" s="874">
        <f t="shared" si="22"/>
        <v>10</v>
      </c>
      <c r="M51" s="874">
        <f t="shared" si="22"/>
        <v>10</v>
      </c>
      <c r="N51" s="874">
        <f t="shared" si="22"/>
        <v>10</v>
      </c>
      <c r="O51" s="874">
        <f t="shared" si="22"/>
        <v>10</v>
      </c>
      <c r="P51" s="874">
        <f t="shared" si="22"/>
        <v>10</v>
      </c>
      <c r="Q51" s="874">
        <f t="shared" si="22"/>
        <v>10</v>
      </c>
      <c r="R51" s="874">
        <f t="shared" si="22"/>
        <v>10</v>
      </c>
      <c r="S51" s="874">
        <f t="shared" si="23"/>
        <v>10</v>
      </c>
      <c r="T51" s="874">
        <f t="shared" si="23"/>
        <v>10</v>
      </c>
      <c r="U51" s="874">
        <f t="shared" si="23"/>
        <v>10</v>
      </c>
      <c r="V51" s="874">
        <f t="shared" si="23"/>
        <v>10</v>
      </c>
      <c r="W51" s="874">
        <f t="shared" si="23"/>
        <v>10</v>
      </c>
      <c r="X51" s="874">
        <f t="shared" si="23"/>
        <v>10</v>
      </c>
      <c r="Y51" s="874">
        <f t="shared" si="23"/>
        <v>10</v>
      </c>
      <c r="Z51" s="875">
        <f t="shared" si="23"/>
        <v>10</v>
      </c>
    </row>
    <row r="52" spans="2:26" x14ac:dyDescent="0.25">
      <c r="B52" s="865" t="s">
        <v>554</v>
      </c>
      <c r="C52" s="866"/>
      <c r="D52" s="876"/>
      <c r="E52" s="868">
        <f>VLOOKUP($B52,$B$14:$C$19,2,FALSE)</f>
        <v>10000</v>
      </c>
      <c r="F52" s="873"/>
      <c r="G52" s="819"/>
      <c r="H52" s="819"/>
      <c r="I52" s="881"/>
      <c r="J52" s="819"/>
      <c r="K52" s="881"/>
      <c r="L52" s="819"/>
      <c r="M52" s="881"/>
      <c r="N52" s="819"/>
      <c r="O52" s="881"/>
      <c r="P52" s="819"/>
      <c r="Q52" s="881"/>
      <c r="R52" s="819"/>
      <c r="S52" s="819"/>
      <c r="T52" s="819"/>
      <c r="U52" s="819"/>
      <c r="V52" s="819"/>
      <c r="W52" s="819"/>
      <c r="X52" s="819"/>
      <c r="Y52" s="819"/>
      <c r="Z52" s="879"/>
    </row>
    <row r="53" spans="2:26" ht="14.95" thickBot="1" x14ac:dyDescent="0.3">
      <c r="B53" s="882" t="s">
        <v>918</v>
      </c>
      <c r="C53" s="883"/>
      <c r="D53" s="884"/>
      <c r="E53" s="885">
        <v>1</v>
      </c>
      <c r="F53" s="564"/>
      <c r="G53" s="886">
        <f>IF(G$19=0,0,G$19/$D$19*$E53*$D53)</f>
        <v>0</v>
      </c>
      <c r="H53" s="886">
        <f t="shared" ref="H53:Z53" si="25">IF(H$19=0,0,H$19/$D$19*$E53*$D53)</f>
        <v>0</v>
      </c>
      <c r="I53" s="886">
        <f t="shared" si="25"/>
        <v>0</v>
      </c>
      <c r="J53" s="886">
        <f t="shared" si="25"/>
        <v>0</v>
      </c>
      <c r="K53" s="886">
        <f t="shared" si="25"/>
        <v>0</v>
      </c>
      <c r="L53" s="886">
        <f t="shared" si="25"/>
        <v>0</v>
      </c>
      <c r="M53" s="886">
        <f t="shared" si="25"/>
        <v>0</v>
      </c>
      <c r="N53" s="886">
        <f t="shared" si="25"/>
        <v>0</v>
      </c>
      <c r="O53" s="886">
        <f t="shared" si="25"/>
        <v>0</v>
      </c>
      <c r="P53" s="886">
        <f t="shared" si="25"/>
        <v>0</v>
      </c>
      <c r="Q53" s="886">
        <f t="shared" si="25"/>
        <v>0</v>
      </c>
      <c r="R53" s="886">
        <f t="shared" si="25"/>
        <v>0</v>
      </c>
      <c r="S53" s="886">
        <f t="shared" si="25"/>
        <v>0</v>
      </c>
      <c r="T53" s="886">
        <f t="shared" si="25"/>
        <v>0</v>
      </c>
      <c r="U53" s="886">
        <f t="shared" si="25"/>
        <v>0</v>
      </c>
      <c r="V53" s="886">
        <f t="shared" si="25"/>
        <v>0</v>
      </c>
      <c r="W53" s="886">
        <f t="shared" si="25"/>
        <v>0</v>
      </c>
      <c r="X53" s="886">
        <f t="shared" si="25"/>
        <v>0</v>
      </c>
      <c r="Y53" s="886">
        <f t="shared" si="25"/>
        <v>0</v>
      </c>
      <c r="Z53" s="887">
        <f t="shared" si="25"/>
        <v>0</v>
      </c>
    </row>
  </sheetData>
  <mergeCells count="2">
    <mergeCell ref="B11:R11"/>
    <mergeCell ref="B20:R2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700A-1F5C-4DE5-869F-26CC307E9C5B}">
  <sheetPr>
    <tabColor theme="9" tint="0.39997558519241921"/>
    <pageSetUpPr fitToPage="1"/>
  </sheetPr>
  <dimension ref="A2:AB83"/>
  <sheetViews>
    <sheetView showGridLines="0" zoomScale="85" zoomScaleNormal="85" zoomScaleSheetLayoutView="85" workbookViewId="0">
      <pane xSplit="2" ySplit="6" topLeftCell="C7" activePane="bottomRight" state="frozen"/>
      <selection activeCell="D27" sqref="D27:D29"/>
      <selection pane="topRight" activeCell="D27" sqref="D27:D29"/>
      <selection pane="bottomLeft" activeCell="D27" sqref="D27:D29"/>
      <selection pane="bottomRight" activeCell="D27" sqref="D27:D29"/>
    </sheetView>
  </sheetViews>
  <sheetFormatPr defaultRowHeight="14.3" x14ac:dyDescent="0.25"/>
  <cols>
    <col min="1" max="1" width="3.5" style="368" bestFit="1" customWidth="1"/>
    <col min="2" max="2" width="53.5" style="888" customWidth="1"/>
    <col min="3" max="3" width="10.875" style="368" bestFit="1" customWidth="1"/>
    <col min="4" max="4" width="14.375" style="276" customWidth="1"/>
    <col min="5" max="5" width="12.875" style="276" bestFit="1" customWidth="1"/>
    <col min="6" max="6" width="7.375" style="276" customWidth="1"/>
    <col min="7" max="7" width="8.5" style="276" customWidth="1"/>
    <col min="8" max="8" width="9.375" style="276" bestFit="1" customWidth="1"/>
    <col min="9" max="9" width="10.875" style="276" customWidth="1"/>
    <col min="10" max="10" width="11.25" style="276" customWidth="1"/>
    <col min="11" max="11" width="9.5" style="276" customWidth="1"/>
    <col min="12" max="12" width="11.25" style="276" bestFit="1" customWidth="1"/>
    <col min="13" max="13" width="9.5" style="276" bestFit="1" customWidth="1"/>
    <col min="14" max="15" width="11.25" style="276" bestFit="1" customWidth="1"/>
    <col min="16" max="16" width="9.5" style="276" customWidth="1"/>
    <col min="17" max="17" width="12.375" style="276" bestFit="1" customWidth="1"/>
    <col min="18" max="18" width="11.25" style="276" bestFit="1" customWidth="1"/>
    <col min="19" max="20" width="9.5" style="1019" bestFit="1" customWidth="1"/>
    <col min="21" max="21" width="11.25" style="1019" bestFit="1" customWidth="1"/>
    <col min="22" max="23" width="9.5" style="1019" bestFit="1" customWidth="1"/>
    <col min="24" max="24" width="11.25" style="1019" bestFit="1" customWidth="1"/>
    <col min="25" max="26" width="9.5" style="1019" bestFit="1" customWidth="1"/>
    <col min="27" max="16384" width="9" style="275"/>
  </cols>
  <sheetData>
    <row r="2" spans="1:26" ht="14.95" thickBot="1" x14ac:dyDescent="0.3">
      <c r="B2" s="889" t="s">
        <v>259</v>
      </c>
      <c r="C2" s="890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2"/>
      <c r="T2" s="892"/>
      <c r="U2" s="892"/>
      <c r="V2" s="892"/>
      <c r="W2" s="892"/>
      <c r="X2" s="892"/>
      <c r="Y2" s="892"/>
      <c r="Z2" s="892"/>
    </row>
    <row r="3" spans="1:26" ht="14.95" thickBot="1" x14ac:dyDescent="0.3">
      <c r="B3" s="893" t="s">
        <v>298</v>
      </c>
      <c r="C3" s="894"/>
      <c r="D3" s="895"/>
      <c r="E3" s="895"/>
      <c r="F3" s="895"/>
      <c r="G3" s="896">
        <f>'NHL NTE240'!E12</f>
        <v>0.93755029173008619</v>
      </c>
      <c r="H3" s="896">
        <f>'NHL NTE240'!F12</f>
        <v>0.93038070776255699</v>
      </c>
      <c r="I3" s="896">
        <f>'NHL NTE240'!G12</f>
        <v>0.92090265093860979</v>
      </c>
      <c r="J3" s="896">
        <f>'NHL NTE240'!H12</f>
        <v>0.90840582191780817</v>
      </c>
      <c r="K3" s="896">
        <f>'NHL NTE240'!I12</f>
        <v>0.93333288939624548</v>
      </c>
      <c r="L3" s="896">
        <f>'NHL NTE240'!J12</f>
        <v>0.92172393455098933</v>
      </c>
      <c r="M3" s="896">
        <f>'NHL NTE240'!K12</f>
        <v>0.93126858193810236</v>
      </c>
      <c r="N3" s="896">
        <f>'NHL NTE240'!L12</f>
        <v>0.91113603500761031</v>
      </c>
      <c r="O3" s="896">
        <f>'NHL NTE240'!M12</f>
        <v>0.91706259512937582</v>
      </c>
      <c r="P3" s="896">
        <f>'NHL NTE240'!N12</f>
        <v>0.93222304667681377</v>
      </c>
      <c r="Q3" s="896">
        <f>'NHL NTE240'!O12</f>
        <v>0.91462094114662595</v>
      </c>
      <c r="R3" s="896">
        <f>'NHL NTE240'!P12</f>
        <v>0.91328912988330779</v>
      </c>
      <c r="S3" s="897">
        <f>'NHL NTE240'!Q12</f>
        <v>0.93377682648401816</v>
      </c>
      <c r="T3" s="897">
        <f>'NHL NTE240'!R12</f>
        <v>0.93266698376458645</v>
      </c>
      <c r="U3" s="897">
        <f>'NHL NTE240'!S12</f>
        <v>0.89848382800608828</v>
      </c>
      <c r="V3" s="897">
        <f>'NHL NTE240'!T12</f>
        <v>0.92556399036022319</v>
      </c>
      <c r="W3" s="897">
        <f>'NHL NTE240'!U12</f>
        <v>0.93422076357179096</v>
      </c>
      <c r="X3" s="897">
        <f>'NHL NTE240'!V12</f>
        <v>0.90469894723490607</v>
      </c>
      <c r="Y3" s="897">
        <f>'NHL NTE240'!W12</f>
        <v>0.9344427321156773</v>
      </c>
      <c r="Z3" s="898">
        <f>'NHL NTE240'!X12</f>
        <v>0.9220124936580415</v>
      </c>
    </row>
    <row r="4" spans="1:26" s="368" customFormat="1" x14ac:dyDescent="0.25">
      <c r="B4" s="899" t="s">
        <v>299</v>
      </c>
      <c r="C4" s="900"/>
      <c r="D4" s="901" t="s">
        <v>355</v>
      </c>
      <c r="E4" s="902"/>
      <c r="F4" s="902"/>
      <c r="G4" s="903">
        <v>1</v>
      </c>
      <c r="H4" s="903">
        <f>G4+1</f>
        <v>2</v>
      </c>
      <c r="I4" s="904">
        <f t="shared" ref="I4:P4" si="0">H4+1</f>
        <v>3</v>
      </c>
      <c r="J4" s="905">
        <f t="shared" si="0"/>
        <v>4</v>
      </c>
      <c r="K4" s="903">
        <f t="shared" si="0"/>
        <v>5</v>
      </c>
      <c r="L4" s="903">
        <f t="shared" si="0"/>
        <v>6</v>
      </c>
      <c r="M4" s="903">
        <f t="shared" si="0"/>
        <v>7</v>
      </c>
      <c r="N4" s="903">
        <f t="shared" si="0"/>
        <v>8</v>
      </c>
      <c r="O4" s="903">
        <f t="shared" si="0"/>
        <v>9</v>
      </c>
      <c r="P4" s="903">
        <f t="shared" si="0"/>
        <v>10</v>
      </c>
      <c r="Q4" s="903">
        <f>P4+1</f>
        <v>11</v>
      </c>
      <c r="R4" s="903">
        <f>Q4+1</f>
        <v>12</v>
      </c>
      <c r="S4" s="906">
        <f t="shared" ref="S4:Z4" si="1">R4+1</f>
        <v>13</v>
      </c>
      <c r="T4" s="906">
        <f t="shared" si="1"/>
        <v>14</v>
      </c>
      <c r="U4" s="906">
        <f t="shared" si="1"/>
        <v>15</v>
      </c>
      <c r="V4" s="906">
        <f t="shared" si="1"/>
        <v>16</v>
      </c>
      <c r="W4" s="906">
        <f t="shared" si="1"/>
        <v>17</v>
      </c>
      <c r="X4" s="906">
        <f t="shared" si="1"/>
        <v>18</v>
      </c>
      <c r="Y4" s="906">
        <f t="shared" si="1"/>
        <v>19</v>
      </c>
      <c r="Z4" s="907">
        <f t="shared" si="1"/>
        <v>20</v>
      </c>
    </row>
    <row r="5" spans="1:26" s="918" customFormat="1" x14ac:dyDescent="0.25">
      <c r="A5" s="908"/>
      <c r="B5" s="909" t="s">
        <v>300</v>
      </c>
      <c r="C5" s="910"/>
      <c r="D5" s="911" t="s">
        <v>301</v>
      </c>
      <c r="E5" s="912"/>
      <c r="F5" s="912"/>
      <c r="G5" s="913">
        <v>0</v>
      </c>
      <c r="H5" s="913">
        <f>G6+1</f>
        <v>7001</v>
      </c>
      <c r="I5" s="914">
        <f t="shared" ref="I5:R5" si="2">H6+1</f>
        <v>14001</v>
      </c>
      <c r="J5" s="915">
        <f t="shared" si="2"/>
        <v>21001</v>
      </c>
      <c r="K5" s="913">
        <f t="shared" si="2"/>
        <v>28001</v>
      </c>
      <c r="L5" s="913">
        <f t="shared" si="2"/>
        <v>35001</v>
      </c>
      <c r="M5" s="913">
        <f t="shared" si="2"/>
        <v>42001</v>
      </c>
      <c r="N5" s="913">
        <f t="shared" si="2"/>
        <v>49001</v>
      </c>
      <c r="O5" s="913">
        <f t="shared" si="2"/>
        <v>56001</v>
      </c>
      <c r="P5" s="913">
        <f t="shared" si="2"/>
        <v>63001</v>
      </c>
      <c r="Q5" s="913">
        <f t="shared" si="2"/>
        <v>70001</v>
      </c>
      <c r="R5" s="913">
        <f t="shared" si="2"/>
        <v>77001</v>
      </c>
      <c r="S5" s="916">
        <v>84001</v>
      </c>
      <c r="T5" s="916">
        <v>91001</v>
      </c>
      <c r="U5" s="916">
        <v>98001</v>
      </c>
      <c r="V5" s="916">
        <v>105001</v>
      </c>
      <c r="W5" s="916">
        <v>112001</v>
      </c>
      <c r="X5" s="916">
        <v>119001</v>
      </c>
      <c r="Y5" s="916">
        <v>126001</v>
      </c>
      <c r="Z5" s="917">
        <v>133001</v>
      </c>
    </row>
    <row r="6" spans="1:26" s="918" customFormat="1" ht="14.95" thickBot="1" x14ac:dyDescent="0.3">
      <c r="A6" s="908"/>
      <c r="B6" s="919" t="s">
        <v>302</v>
      </c>
      <c r="C6" s="920"/>
      <c r="D6" s="921" t="s">
        <v>301</v>
      </c>
      <c r="E6" s="922"/>
      <c r="F6" s="923">
        <f>'NHL NTE240 ТО'!F6</f>
        <v>7000</v>
      </c>
      <c r="G6" s="924">
        <f>F6</f>
        <v>7000</v>
      </c>
      <c r="H6" s="924">
        <f t="shared" ref="H6:R6" si="3">G6+$F6</f>
        <v>14000</v>
      </c>
      <c r="I6" s="925">
        <f t="shared" si="3"/>
        <v>21000</v>
      </c>
      <c r="J6" s="926">
        <f t="shared" si="3"/>
        <v>28000</v>
      </c>
      <c r="K6" s="924">
        <f t="shared" si="3"/>
        <v>35000</v>
      </c>
      <c r="L6" s="924">
        <f t="shared" si="3"/>
        <v>42000</v>
      </c>
      <c r="M6" s="924">
        <f t="shared" si="3"/>
        <v>49000</v>
      </c>
      <c r="N6" s="924">
        <f t="shared" si="3"/>
        <v>56000</v>
      </c>
      <c r="O6" s="924">
        <f t="shared" si="3"/>
        <v>63000</v>
      </c>
      <c r="P6" s="924">
        <f t="shared" si="3"/>
        <v>70000</v>
      </c>
      <c r="Q6" s="924">
        <f t="shared" si="3"/>
        <v>77000</v>
      </c>
      <c r="R6" s="924">
        <f t="shared" si="3"/>
        <v>84000</v>
      </c>
      <c r="S6" s="927">
        <v>91000</v>
      </c>
      <c r="T6" s="927">
        <v>98000</v>
      </c>
      <c r="U6" s="927">
        <v>105000</v>
      </c>
      <c r="V6" s="927">
        <v>112000</v>
      </c>
      <c r="W6" s="927">
        <v>119000</v>
      </c>
      <c r="X6" s="927">
        <v>126000</v>
      </c>
      <c r="Y6" s="927">
        <v>133000</v>
      </c>
      <c r="Z6" s="928">
        <v>140000</v>
      </c>
    </row>
    <row r="7" spans="1:26" ht="14.95" thickBot="1" x14ac:dyDescent="0.3">
      <c r="B7" s="929"/>
      <c r="C7" s="930"/>
      <c r="D7" s="891"/>
      <c r="E7" s="891"/>
      <c r="F7" s="891"/>
      <c r="G7" s="891"/>
      <c r="H7" s="891"/>
      <c r="I7" s="891"/>
      <c r="J7" s="891"/>
      <c r="K7" s="891"/>
      <c r="L7" s="891"/>
      <c r="M7" s="891"/>
      <c r="N7" s="891"/>
      <c r="O7" s="891"/>
      <c r="P7" s="891"/>
      <c r="Q7" s="891"/>
      <c r="R7" s="891"/>
      <c r="S7" s="892"/>
      <c r="T7" s="892"/>
      <c r="U7" s="892"/>
      <c r="V7" s="892"/>
      <c r="W7" s="892"/>
      <c r="X7" s="892"/>
      <c r="Y7" s="892"/>
      <c r="Z7" s="892"/>
    </row>
    <row r="8" spans="1:26" ht="14.95" thickBot="1" x14ac:dyDescent="0.3">
      <c r="B8" s="931" t="s">
        <v>356</v>
      </c>
      <c r="C8" s="932"/>
      <c r="D8" s="933" t="s">
        <v>304</v>
      </c>
      <c r="E8" s="933"/>
      <c r="F8" s="933"/>
      <c r="G8" s="934">
        <f>G14</f>
        <v>139</v>
      </c>
      <c r="H8" s="934">
        <f t="shared" ref="H8:Z8" si="4">H14</f>
        <v>175</v>
      </c>
      <c r="I8" s="934">
        <f t="shared" si="4"/>
        <v>289</v>
      </c>
      <c r="J8" s="934">
        <f t="shared" si="4"/>
        <v>373</v>
      </c>
      <c r="K8" s="934">
        <f t="shared" si="4"/>
        <v>177</v>
      </c>
      <c r="L8" s="934">
        <f t="shared" si="4"/>
        <v>253</v>
      </c>
      <c r="M8" s="934">
        <f t="shared" si="4"/>
        <v>167</v>
      </c>
      <c r="N8" s="934">
        <f t="shared" si="4"/>
        <v>377</v>
      </c>
      <c r="O8" s="934">
        <f t="shared" si="4"/>
        <v>295</v>
      </c>
      <c r="P8" s="934">
        <f t="shared" si="4"/>
        <v>187</v>
      </c>
      <c r="Q8" s="934">
        <f t="shared" si="4"/>
        <v>317</v>
      </c>
      <c r="R8" s="934">
        <f t="shared" si="4"/>
        <v>329</v>
      </c>
      <c r="S8" s="934">
        <f t="shared" si="4"/>
        <v>173</v>
      </c>
      <c r="T8" s="934">
        <f t="shared" si="4"/>
        <v>159</v>
      </c>
      <c r="U8" s="934">
        <f t="shared" si="4"/>
        <v>467</v>
      </c>
      <c r="V8" s="934">
        <f t="shared" si="4"/>
        <v>247</v>
      </c>
      <c r="W8" s="934">
        <f t="shared" si="4"/>
        <v>145</v>
      </c>
      <c r="X8" s="934">
        <f t="shared" si="4"/>
        <v>411</v>
      </c>
      <c r="Y8" s="934">
        <f t="shared" si="4"/>
        <v>167</v>
      </c>
      <c r="Z8" s="935">
        <f t="shared" si="4"/>
        <v>255</v>
      </c>
    </row>
    <row r="9" spans="1:26" ht="21.1" customHeight="1" thickBot="1" x14ac:dyDescent="0.3">
      <c r="B9" s="931" t="s">
        <v>919</v>
      </c>
      <c r="C9" s="936"/>
      <c r="D9" s="937" t="s">
        <v>920</v>
      </c>
      <c r="E9" s="933"/>
      <c r="F9" s="933"/>
      <c r="G9" s="938">
        <f t="shared" ref="G9:Z9" si="5">SUM(G10:G11)</f>
        <v>47368</v>
      </c>
      <c r="H9" s="938">
        <f t="shared" si="5"/>
        <v>208910.4</v>
      </c>
      <c r="I9" s="939">
        <f t="shared" si="5"/>
        <v>3452070.7700000005</v>
      </c>
      <c r="J9" s="939">
        <f t="shared" si="5"/>
        <v>1615768.6</v>
      </c>
      <c r="K9" s="939">
        <f t="shared" si="5"/>
        <v>263980.14</v>
      </c>
      <c r="L9" s="939">
        <f t="shared" si="5"/>
        <v>3339386.99</v>
      </c>
      <c r="M9" s="939">
        <f t="shared" si="5"/>
        <v>191975.74</v>
      </c>
      <c r="N9" s="939">
        <f t="shared" si="5"/>
        <v>1760885</v>
      </c>
      <c r="O9" s="939">
        <f t="shared" si="5"/>
        <v>6615039.8700000001</v>
      </c>
      <c r="P9" s="939">
        <f t="shared" si="5"/>
        <v>118131</v>
      </c>
      <c r="Q9" s="939">
        <f t="shared" si="5"/>
        <v>15122643.299999999</v>
      </c>
      <c r="R9" s="939">
        <f t="shared" si="5"/>
        <v>3349318.99</v>
      </c>
      <c r="S9" s="939">
        <f t="shared" si="5"/>
        <v>167088.74</v>
      </c>
      <c r="T9" s="939">
        <f t="shared" si="5"/>
        <v>158775.4</v>
      </c>
      <c r="U9" s="939">
        <f t="shared" si="5"/>
        <v>4957993.63</v>
      </c>
      <c r="V9" s="939">
        <f t="shared" si="5"/>
        <v>178312.94</v>
      </c>
      <c r="W9" s="939">
        <f t="shared" si="5"/>
        <v>151899.4</v>
      </c>
      <c r="X9" s="939">
        <f t="shared" si="5"/>
        <v>8177164.4299999997</v>
      </c>
      <c r="Y9" s="939">
        <f t="shared" si="5"/>
        <v>188037</v>
      </c>
      <c r="Z9" s="940">
        <f t="shared" si="5"/>
        <v>305348.27</v>
      </c>
    </row>
    <row r="10" spans="1:26" ht="18.7" customHeight="1" x14ac:dyDescent="0.25">
      <c r="B10" s="941" t="s">
        <v>921</v>
      </c>
      <c r="C10" s="942"/>
      <c r="D10" s="943" t="s">
        <v>920</v>
      </c>
      <c r="E10" s="943"/>
      <c r="F10" s="943"/>
      <c r="G10" s="944">
        <f>G61</f>
        <v>0</v>
      </c>
      <c r="H10" s="944">
        <f t="shared" ref="H10:Z10" si="6">H61</f>
        <v>151610.4</v>
      </c>
      <c r="I10" s="944">
        <f t="shared" si="6"/>
        <v>3293540.7700000005</v>
      </c>
      <c r="J10" s="944">
        <f t="shared" si="6"/>
        <v>1329650.6000000001</v>
      </c>
      <c r="K10" s="944">
        <f t="shared" si="6"/>
        <v>207444.13999999998</v>
      </c>
      <c r="L10" s="944">
        <f t="shared" si="6"/>
        <v>3259166.99</v>
      </c>
      <c r="M10" s="944">
        <f t="shared" si="6"/>
        <v>47961.74</v>
      </c>
      <c r="N10" s="944">
        <f t="shared" si="6"/>
        <v>1481261</v>
      </c>
      <c r="O10" s="944">
        <f t="shared" si="6"/>
        <v>6533291.8700000001</v>
      </c>
      <c r="P10" s="944">
        <f t="shared" si="6"/>
        <v>44023</v>
      </c>
      <c r="Q10" s="944">
        <f t="shared" si="6"/>
        <v>14777315.299999999</v>
      </c>
      <c r="R10" s="944">
        <f t="shared" si="6"/>
        <v>3259166.99</v>
      </c>
      <c r="S10" s="944">
        <f t="shared" si="6"/>
        <v>99856.739999999991</v>
      </c>
      <c r="T10" s="944">
        <f t="shared" si="6"/>
        <v>107587.4</v>
      </c>
      <c r="U10" s="944">
        <f t="shared" si="6"/>
        <v>4575229.63</v>
      </c>
      <c r="V10" s="944">
        <f t="shared" si="6"/>
        <v>96182.94</v>
      </c>
      <c r="W10" s="944">
        <f t="shared" si="6"/>
        <v>107587.4</v>
      </c>
      <c r="X10" s="944">
        <f t="shared" si="6"/>
        <v>7876530.4299999997</v>
      </c>
      <c r="Y10" s="944">
        <f t="shared" si="6"/>
        <v>44023</v>
      </c>
      <c r="Z10" s="945">
        <f t="shared" si="6"/>
        <v>237352.27000000002</v>
      </c>
    </row>
    <row r="11" spans="1:26" ht="18.7" customHeight="1" thickBot="1" x14ac:dyDescent="0.3">
      <c r="B11" s="946" t="s">
        <v>922</v>
      </c>
      <c r="C11" s="947"/>
      <c r="D11" s="948" t="s">
        <v>920</v>
      </c>
      <c r="E11" s="948"/>
      <c r="F11" s="948"/>
      <c r="G11" s="949">
        <f>G38*E36</f>
        <v>47368</v>
      </c>
      <c r="H11" s="949">
        <f>H38*E36</f>
        <v>57300</v>
      </c>
      <c r="I11" s="949">
        <f>I38*E36</f>
        <v>158530</v>
      </c>
      <c r="J11" s="949">
        <f>J38*E36</f>
        <v>286118</v>
      </c>
      <c r="K11" s="949">
        <f>K38*E36</f>
        <v>56536</v>
      </c>
      <c r="L11" s="949">
        <f>L38*E36</f>
        <v>80220</v>
      </c>
      <c r="M11" s="949">
        <f>M38*E36</f>
        <v>144014</v>
      </c>
      <c r="N11" s="949">
        <f>N38*E36</f>
        <v>279624</v>
      </c>
      <c r="O11" s="949">
        <f>O38*E36</f>
        <v>81748</v>
      </c>
      <c r="P11" s="949">
        <f>P38*E36</f>
        <v>74108</v>
      </c>
      <c r="Q11" s="949">
        <f>Q38*E36</f>
        <v>345328</v>
      </c>
      <c r="R11" s="949">
        <f>R38*E36</f>
        <v>90152</v>
      </c>
      <c r="S11" s="949">
        <f>S38*E36</f>
        <v>67232</v>
      </c>
      <c r="T11" s="949">
        <f>T38*E36</f>
        <v>51188</v>
      </c>
      <c r="U11" s="949">
        <f>U38*E36</f>
        <v>382764</v>
      </c>
      <c r="V11" s="949">
        <f>V38*E36</f>
        <v>82130</v>
      </c>
      <c r="W11" s="949">
        <f>W38*E36</f>
        <v>44312</v>
      </c>
      <c r="X11" s="949">
        <f>X38*E36</f>
        <v>300634</v>
      </c>
      <c r="Y11" s="949">
        <f>Y38*E36</f>
        <v>144014</v>
      </c>
      <c r="Z11" s="950">
        <f>Z38*E36</f>
        <v>67996</v>
      </c>
    </row>
    <row r="12" spans="1:26" ht="23.3" customHeight="1" thickBot="1" x14ac:dyDescent="0.3">
      <c r="B12" s="401" t="s">
        <v>360</v>
      </c>
      <c r="C12" s="951"/>
      <c r="D12" s="952"/>
      <c r="E12" s="952"/>
      <c r="F12" s="952"/>
      <c r="G12" s="953"/>
      <c r="H12" s="953"/>
      <c r="I12" s="953"/>
      <c r="J12" s="953"/>
      <c r="K12" s="953"/>
      <c r="L12" s="953"/>
      <c r="M12" s="953"/>
      <c r="N12" s="953"/>
      <c r="O12" s="953"/>
      <c r="P12" s="953"/>
      <c r="Q12" s="953"/>
      <c r="R12" s="953"/>
      <c r="S12" s="892"/>
      <c r="T12" s="892"/>
      <c r="U12" s="892"/>
      <c r="V12" s="892"/>
      <c r="W12" s="892"/>
      <c r="X12" s="892"/>
      <c r="Y12" s="892"/>
      <c r="Z12" s="892"/>
    </row>
    <row r="13" spans="1:26" ht="16.5" customHeight="1" thickBot="1" x14ac:dyDescent="0.3">
      <c r="B13" s="931" t="s">
        <v>361</v>
      </c>
      <c r="C13" s="936"/>
      <c r="D13" s="954" t="s">
        <v>355</v>
      </c>
      <c r="E13" s="955"/>
      <c r="F13" s="955"/>
      <c r="G13" s="956">
        <f t="shared" ref="G13:R13" si="7">G4</f>
        <v>1</v>
      </c>
      <c r="H13" s="956">
        <f t="shared" si="7"/>
        <v>2</v>
      </c>
      <c r="I13" s="956">
        <f t="shared" si="7"/>
        <v>3</v>
      </c>
      <c r="J13" s="956">
        <f t="shared" si="7"/>
        <v>4</v>
      </c>
      <c r="K13" s="956">
        <f t="shared" si="7"/>
        <v>5</v>
      </c>
      <c r="L13" s="956">
        <f t="shared" si="7"/>
        <v>6</v>
      </c>
      <c r="M13" s="956">
        <f t="shared" si="7"/>
        <v>7</v>
      </c>
      <c r="N13" s="956">
        <f t="shared" si="7"/>
        <v>8</v>
      </c>
      <c r="O13" s="956">
        <f t="shared" si="7"/>
        <v>9</v>
      </c>
      <c r="P13" s="956">
        <f t="shared" si="7"/>
        <v>10</v>
      </c>
      <c r="Q13" s="956">
        <f t="shared" si="7"/>
        <v>11</v>
      </c>
      <c r="R13" s="956">
        <f t="shared" si="7"/>
        <v>12</v>
      </c>
      <c r="S13" s="957">
        <v>13</v>
      </c>
      <c r="T13" s="957">
        <v>14</v>
      </c>
      <c r="U13" s="957">
        <v>15</v>
      </c>
      <c r="V13" s="957">
        <v>16</v>
      </c>
      <c r="W13" s="957">
        <v>17</v>
      </c>
      <c r="X13" s="957">
        <v>18</v>
      </c>
      <c r="Y13" s="957">
        <v>19</v>
      </c>
      <c r="Z13" s="958">
        <v>20</v>
      </c>
    </row>
    <row r="14" spans="1:26" ht="16.5" customHeight="1" thickBot="1" x14ac:dyDescent="0.3">
      <c r="B14" s="959" t="s">
        <v>362</v>
      </c>
      <c r="C14" s="960"/>
      <c r="D14" s="961" t="s">
        <v>304</v>
      </c>
      <c r="E14" s="962"/>
      <c r="F14" s="962"/>
      <c r="G14" s="963">
        <f>SUM(G15:G34)</f>
        <v>139</v>
      </c>
      <c r="H14" s="963">
        <f t="shared" ref="H14:Z14" si="8">SUM(H15:H34)</f>
        <v>175</v>
      </c>
      <c r="I14" s="963">
        <f t="shared" si="8"/>
        <v>289</v>
      </c>
      <c r="J14" s="963">
        <f t="shared" si="8"/>
        <v>373</v>
      </c>
      <c r="K14" s="963">
        <f t="shared" si="8"/>
        <v>177</v>
      </c>
      <c r="L14" s="963">
        <f t="shared" si="8"/>
        <v>253</v>
      </c>
      <c r="M14" s="963">
        <f t="shared" si="8"/>
        <v>167</v>
      </c>
      <c r="N14" s="963">
        <f t="shared" si="8"/>
        <v>377</v>
      </c>
      <c r="O14" s="963">
        <f t="shared" si="8"/>
        <v>295</v>
      </c>
      <c r="P14" s="963">
        <f t="shared" si="8"/>
        <v>187</v>
      </c>
      <c r="Q14" s="963">
        <f t="shared" si="8"/>
        <v>317</v>
      </c>
      <c r="R14" s="963">
        <f t="shared" si="8"/>
        <v>329</v>
      </c>
      <c r="S14" s="963">
        <f t="shared" si="8"/>
        <v>173</v>
      </c>
      <c r="T14" s="963">
        <f t="shared" si="8"/>
        <v>159</v>
      </c>
      <c r="U14" s="963">
        <f t="shared" si="8"/>
        <v>467</v>
      </c>
      <c r="V14" s="963">
        <f t="shared" si="8"/>
        <v>247</v>
      </c>
      <c r="W14" s="963">
        <f t="shared" si="8"/>
        <v>145</v>
      </c>
      <c r="X14" s="963">
        <f t="shared" si="8"/>
        <v>411</v>
      </c>
      <c r="Y14" s="963">
        <f t="shared" si="8"/>
        <v>167</v>
      </c>
      <c r="Z14" s="963">
        <f t="shared" si="8"/>
        <v>255</v>
      </c>
    </row>
    <row r="15" spans="1:26" ht="16.5" customHeight="1" x14ac:dyDescent="0.25">
      <c r="A15" s="368">
        <v>1</v>
      </c>
      <c r="B15" s="964" t="s">
        <v>596</v>
      </c>
      <c r="C15" s="965"/>
      <c r="D15" s="966" t="s">
        <v>304</v>
      </c>
      <c r="E15" s="967">
        <v>20000</v>
      </c>
      <c r="F15" s="968">
        <v>1</v>
      </c>
      <c r="G15" s="969">
        <v>30</v>
      </c>
      <c r="H15" s="969">
        <v>50</v>
      </c>
      <c r="I15" s="969">
        <v>60</v>
      </c>
      <c r="J15" s="969">
        <v>30</v>
      </c>
      <c r="K15" s="969">
        <v>50</v>
      </c>
      <c r="L15" s="969">
        <v>60</v>
      </c>
      <c r="M15" s="969">
        <v>30</v>
      </c>
      <c r="N15" s="969">
        <v>50</v>
      </c>
      <c r="O15" s="969">
        <v>60</v>
      </c>
      <c r="P15" s="969">
        <v>30</v>
      </c>
      <c r="Q15" s="969">
        <v>50</v>
      </c>
      <c r="R15" s="969">
        <v>60</v>
      </c>
      <c r="S15" s="969">
        <v>30</v>
      </c>
      <c r="T15" s="969">
        <v>50</v>
      </c>
      <c r="U15" s="969">
        <v>60</v>
      </c>
      <c r="V15" s="969">
        <v>30</v>
      </c>
      <c r="W15" s="969">
        <v>50</v>
      </c>
      <c r="X15" s="969">
        <v>60</v>
      </c>
      <c r="Y15" s="969">
        <v>30</v>
      </c>
      <c r="Z15" s="970">
        <v>50</v>
      </c>
    </row>
    <row r="16" spans="1:26" ht="16.5" customHeight="1" x14ac:dyDescent="0.25">
      <c r="A16" s="368">
        <v>2</v>
      </c>
      <c r="B16" s="971" t="s">
        <v>597</v>
      </c>
      <c r="C16" s="972"/>
      <c r="D16" s="973" t="s">
        <v>304</v>
      </c>
      <c r="E16" s="913">
        <v>14000</v>
      </c>
      <c r="F16" s="974">
        <v>4</v>
      </c>
      <c r="G16" s="975">
        <v>0</v>
      </c>
      <c r="H16" s="975">
        <v>10</v>
      </c>
      <c r="I16" s="975">
        <v>0</v>
      </c>
      <c r="J16" s="975">
        <v>0</v>
      </c>
      <c r="K16" s="975">
        <v>0</v>
      </c>
      <c r="L16" s="975">
        <v>10</v>
      </c>
      <c r="M16" s="975">
        <v>0</v>
      </c>
      <c r="N16" s="975">
        <v>0</v>
      </c>
      <c r="O16" s="975">
        <v>0</v>
      </c>
      <c r="P16" s="975">
        <v>10</v>
      </c>
      <c r="Q16" s="975">
        <v>0</v>
      </c>
      <c r="R16" s="975">
        <v>10</v>
      </c>
      <c r="S16" s="975">
        <v>0</v>
      </c>
      <c r="T16" s="975">
        <v>10</v>
      </c>
      <c r="U16" s="975">
        <v>0</v>
      </c>
      <c r="V16" s="975">
        <v>10</v>
      </c>
      <c r="W16" s="975">
        <v>0</v>
      </c>
      <c r="X16" s="975">
        <v>0</v>
      </c>
      <c r="Y16" s="975">
        <v>0</v>
      </c>
      <c r="Z16" s="976">
        <v>12</v>
      </c>
    </row>
    <row r="17" spans="1:26" ht="16.5" customHeight="1" x14ac:dyDescent="0.25">
      <c r="A17" s="368">
        <v>3</v>
      </c>
      <c r="B17" s="971" t="s">
        <v>923</v>
      </c>
      <c r="C17" s="972"/>
      <c r="D17" s="977" t="s">
        <v>304</v>
      </c>
      <c r="E17" s="913">
        <v>20000</v>
      </c>
      <c r="F17" s="974">
        <v>16</v>
      </c>
      <c r="G17" s="975">
        <v>0</v>
      </c>
      <c r="H17" s="975">
        <v>0</v>
      </c>
      <c r="I17" s="975">
        <v>12</v>
      </c>
      <c r="J17" s="975">
        <v>0</v>
      </c>
      <c r="K17" s="975">
        <v>0</v>
      </c>
      <c r="L17" s="975">
        <v>12</v>
      </c>
      <c r="M17" s="975">
        <v>0</v>
      </c>
      <c r="N17" s="975">
        <v>0</v>
      </c>
      <c r="O17" s="975">
        <v>12</v>
      </c>
      <c r="P17" s="975">
        <v>0</v>
      </c>
      <c r="Q17" s="975">
        <v>0</v>
      </c>
      <c r="R17" s="975">
        <v>12</v>
      </c>
      <c r="S17" s="975">
        <v>0</v>
      </c>
      <c r="T17" s="975">
        <v>0</v>
      </c>
      <c r="U17" s="975">
        <v>12</v>
      </c>
      <c r="V17" s="975">
        <v>0</v>
      </c>
      <c r="W17" s="975">
        <v>0</v>
      </c>
      <c r="X17" s="975">
        <v>12</v>
      </c>
      <c r="Y17" s="975">
        <v>0</v>
      </c>
      <c r="Z17" s="976">
        <v>0</v>
      </c>
    </row>
    <row r="18" spans="1:26" ht="16.5" customHeight="1" x14ac:dyDescent="0.25">
      <c r="A18" s="368">
        <v>4</v>
      </c>
      <c r="B18" s="971" t="s">
        <v>924</v>
      </c>
      <c r="C18" s="972"/>
      <c r="D18" s="973" t="s">
        <v>304</v>
      </c>
      <c r="E18" s="913">
        <v>20000</v>
      </c>
      <c r="F18" s="974">
        <v>1</v>
      </c>
      <c r="G18" s="975">
        <v>0</v>
      </c>
      <c r="H18" s="975">
        <v>0</v>
      </c>
      <c r="I18" s="975">
        <v>2</v>
      </c>
      <c r="J18" s="975">
        <v>0</v>
      </c>
      <c r="K18" s="975">
        <v>0</v>
      </c>
      <c r="L18" s="975">
        <v>2</v>
      </c>
      <c r="M18" s="975">
        <v>0</v>
      </c>
      <c r="N18" s="975">
        <v>0</v>
      </c>
      <c r="O18" s="975">
        <v>2</v>
      </c>
      <c r="P18" s="975">
        <v>0</v>
      </c>
      <c r="Q18" s="975">
        <v>0</v>
      </c>
      <c r="R18" s="975">
        <v>2</v>
      </c>
      <c r="S18" s="975">
        <v>0</v>
      </c>
      <c r="T18" s="975">
        <v>0</v>
      </c>
      <c r="U18" s="975">
        <v>2</v>
      </c>
      <c r="V18" s="975">
        <v>0</v>
      </c>
      <c r="W18" s="975">
        <v>0</v>
      </c>
      <c r="X18" s="975">
        <v>2</v>
      </c>
      <c r="Y18" s="975">
        <v>0</v>
      </c>
      <c r="Z18" s="976">
        <v>0</v>
      </c>
    </row>
    <row r="19" spans="1:26" ht="16.5" customHeight="1" x14ac:dyDescent="0.25">
      <c r="A19" s="368">
        <v>5</v>
      </c>
      <c r="B19" s="971" t="s">
        <v>925</v>
      </c>
      <c r="C19" s="972"/>
      <c r="D19" s="977" t="s">
        <v>304</v>
      </c>
      <c r="E19" s="913">
        <v>25000</v>
      </c>
      <c r="F19" s="974">
        <v>1</v>
      </c>
      <c r="G19" s="975">
        <v>0</v>
      </c>
      <c r="H19" s="975">
        <v>0</v>
      </c>
      <c r="I19" s="975">
        <v>0</v>
      </c>
      <c r="J19" s="975">
        <v>65</v>
      </c>
      <c r="K19" s="975">
        <v>0</v>
      </c>
      <c r="L19" s="975">
        <v>0</v>
      </c>
      <c r="M19" s="975">
        <v>0</v>
      </c>
      <c r="N19" s="975">
        <f>J19</f>
        <v>65</v>
      </c>
      <c r="O19" s="975">
        <v>0</v>
      </c>
      <c r="P19" s="975">
        <v>0</v>
      </c>
      <c r="Q19" s="975">
        <f>N19</f>
        <v>65</v>
      </c>
      <c r="R19" s="975">
        <v>0</v>
      </c>
      <c r="S19" s="975">
        <v>0</v>
      </c>
      <c r="T19" s="975">
        <v>0</v>
      </c>
      <c r="U19" s="975">
        <f>Q19</f>
        <v>65</v>
      </c>
      <c r="V19" s="975">
        <v>0</v>
      </c>
      <c r="W19" s="975">
        <v>0</v>
      </c>
      <c r="X19" s="975">
        <f>U19</f>
        <v>65</v>
      </c>
      <c r="Y19" s="975">
        <v>0</v>
      </c>
      <c r="Z19" s="976">
        <v>0</v>
      </c>
    </row>
    <row r="20" spans="1:26" ht="16.5" customHeight="1" x14ac:dyDescent="0.25">
      <c r="A20" s="368">
        <v>6</v>
      </c>
      <c r="B20" s="971" t="s">
        <v>377</v>
      </c>
      <c r="C20" s="972"/>
      <c r="D20" s="973" t="s">
        <v>304</v>
      </c>
      <c r="E20" s="913">
        <v>25000</v>
      </c>
      <c r="F20" s="974">
        <v>2</v>
      </c>
      <c r="G20" s="975">
        <v>0</v>
      </c>
      <c r="H20" s="975">
        <v>0</v>
      </c>
      <c r="I20" s="975">
        <v>0</v>
      </c>
      <c r="J20" s="975">
        <v>12</v>
      </c>
      <c r="K20" s="975">
        <v>0</v>
      </c>
      <c r="L20" s="975">
        <v>0</v>
      </c>
      <c r="M20" s="975">
        <v>0</v>
      </c>
      <c r="N20" s="975">
        <f>J20</f>
        <v>12</v>
      </c>
      <c r="O20" s="975">
        <v>0</v>
      </c>
      <c r="P20" s="975">
        <v>0</v>
      </c>
      <c r="Q20" s="975">
        <f>N20</f>
        <v>12</v>
      </c>
      <c r="R20" s="975">
        <v>0</v>
      </c>
      <c r="S20" s="975">
        <v>0</v>
      </c>
      <c r="T20" s="975">
        <v>0</v>
      </c>
      <c r="U20" s="975">
        <f>Q20</f>
        <v>12</v>
      </c>
      <c r="V20" s="975">
        <v>0</v>
      </c>
      <c r="W20" s="975">
        <v>0</v>
      </c>
      <c r="X20" s="975">
        <f>U20</f>
        <v>12</v>
      </c>
      <c r="Y20" s="975">
        <v>0</v>
      </c>
      <c r="Z20" s="976">
        <v>0</v>
      </c>
    </row>
    <row r="21" spans="1:26" ht="16.5" customHeight="1" x14ac:dyDescent="0.25">
      <c r="A21" s="368">
        <v>7</v>
      </c>
      <c r="B21" s="971" t="s">
        <v>926</v>
      </c>
      <c r="C21" s="972"/>
      <c r="D21" s="977" t="s">
        <v>304</v>
      </c>
      <c r="E21" s="913">
        <v>25000</v>
      </c>
      <c r="F21" s="974">
        <v>1</v>
      </c>
      <c r="G21" s="975">
        <v>0</v>
      </c>
      <c r="H21" s="975">
        <v>0</v>
      </c>
      <c r="I21" s="975">
        <v>0</v>
      </c>
      <c r="J21" s="975">
        <v>4</v>
      </c>
      <c r="K21" s="975">
        <v>0</v>
      </c>
      <c r="L21" s="975">
        <v>0</v>
      </c>
      <c r="M21" s="975">
        <v>0</v>
      </c>
      <c r="N21" s="975">
        <f>J21</f>
        <v>4</v>
      </c>
      <c r="O21" s="975">
        <v>0</v>
      </c>
      <c r="P21" s="975">
        <v>0</v>
      </c>
      <c r="Q21" s="975">
        <f>N21</f>
        <v>4</v>
      </c>
      <c r="R21" s="975">
        <v>0</v>
      </c>
      <c r="S21" s="975">
        <v>0</v>
      </c>
      <c r="T21" s="975">
        <v>0</v>
      </c>
      <c r="U21" s="975">
        <f>Q21</f>
        <v>4</v>
      </c>
      <c r="V21" s="975">
        <v>0</v>
      </c>
      <c r="W21" s="975">
        <v>0</v>
      </c>
      <c r="X21" s="975">
        <f>U21</f>
        <v>4</v>
      </c>
      <c r="Y21" s="975">
        <v>0</v>
      </c>
      <c r="Z21" s="976">
        <v>0</v>
      </c>
    </row>
    <row r="22" spans="1:26" ht="16.5" customHeight="1" x14ac:dyDescent="0.25">
      <c r="A22" s="368">
        <v>8</v>
      </c>
      <c r="B22" s="978" t="s">
        <v>927</v>
      </c>
      <c r="C22" s="979" t="s">
        <v>928</v>
      </c>
      <c r="D22" s="973" t="s">
        <v>304</v>
      </c>
      <c r="E22" s="913">
        <v>20000</v>
      </c>
      <c r="F22" s="980">
        <v>0</v>
      </c>
      <c r="G22" s="975">
        <v>0</v>
      </c>
      <c r="H22" s="975">
        <v>8</v>
      </c>
      <c r="I22" s="975">
        <v>8</v>
      </c>
      <c r="J22" s="975">
        <v>0</v>
      </c>
      <c r="K22" s="975">
        <v>8</v>
      </c>
      <c r="L22" s="975">
        <v>0</v>
      </c>
      <c r="M22" s="975">
        <v>8</v>
      </c>
      <c r="N22" s="975">
        <v>8</v>
      </c>
      <c r="O22" s="975">
        <v>8</v>
      </c>
      <c r="P22" s="975">
        <v>0</v>
      </c>
      <c r="Q22" s="975">
        <v>8</v>
      </c>
      <c r="R22" s="975">
        <v>8</v>
      </c>
      <c r="S22" s="975">
        <v>8</v>
      </c>
      <c r="T22" s="975">
        <v>0</v>
      </c>
      <c r="U22" s="975">
        <v>8</v>
      </c>
      <c r="V22" s="975">
        <v>8</v>
      </c>
      <c r="W22" s="975">
        <v>0</v>
      </c>
      <c r="X22" s="975">
        <v>8</v>
      </c>
      <c r="Y22" s="975">
        <v>8</v>
      </c>
      <c r="Z22" s="976">
        <v>8</v>
      </c>
    </row>
    <row r="23" spans="1:26" ht="16.5" customHeight="1" x14ac:dyDescent="0.25">
      <c r="A23" s="368">
        <v>9</v>
      </c>
      <c r="B23" s="978" t="s">
        <v>929</v>
      </c>
      <c r="C23" s="979"/>
      <c r="D23" s="973" t="s">
        <v>304</v>
      </c>
      <c r="E23" s="913">
        <v>15000</v>
      </c>
      <c r="F23" s="980">
        <v>4</v>
      </c>
      <c r="G23" s="975">
        <v>0</v>
      </c>
      <c r="H23" s="975">
        <v>0</v>
      </c>
      <c r="I23" s="975">
        <v>24</v>
      </c>
      <c r="J23" s="975">
        <v>0</v>
      </c>
      <c r="K23" s="975">
        <v>0</v>
      </c>
      <c r="L23" s="975">
        <v>4</v>
      </c>
      <c r="M23" s="975">
        <v>0</v>
      </c>
      <c r="N23" s="975">
        <v>0</v>
      </c>
      <c r="O23" s="975">
        <v>24</v>
      </c>
      <c r="P23" s="975">
        <v>0</v>
      </c>
      <c r="Q23" s="975">
        <v>0</v>
      </c>
      <c r="R23" s="975">
        <v>4</v>
      </c>
      <c r="S23" s="975">
        <v>0</v>
      </c>
      <c r="T23" s="975">
        <v>0</v>
      </c>
      <c r="U23" s="975">
        <v>24</v>
      </c>
      <c r="V23" s="975">
        <v>0</v>
      </c>
      <c r="W23" s="975">
        <v>0</v>
      </c>
      <c r="X23" s="975">
        <v>4</v>
      </c>
      <c r="Y23" s="975">
        <v>0</v>
      </c>
      <c r="Z23" s="976">
        <v>0</v>
      </c>
    </row>
    <row r="24" spans="1:26" ht="16.5" customHeight="1" x14ac:dyDescent="0.25">
      <c r="A24" s="368">
        <v>10</v>
      </c>
      <c r="B24" s="971" t="s">
        <v>930</v>
      </c>
      <c r="C24" s="979"/>
      <c r="D24" s="973" t="s">
        <v>304</v>
      </c>
      <c r="E24" s="913">
        <v>25000</v>
      </c>
      <c r="F24" s="980">
        <v>2</v>
      </c>
      <c r="G24" s="975">
        <v>0</v>
      </c>
      <c r="H24" s="975">
        <v>0</v>
      </c>
      <c r="I24" s="975">
        <v>0</v>
      </c>
      <c r="J24" s="975">
        <v>30</v>
      </c>
      <c r="K24" s="975">
        <v>0</v>
      </c>
      <c r="L24" s="975">
        <v>0</v>
      </c>
      <c r="M24" s="975">
        <v>0</v>
      </c>
      <c r="N24" s="975">
        <v>30</v>
      </c>
      <c r="O24" s="975">
        <v>0</v>
      </c>
      <c r="P24" s="975">
        <v>0</v>
      </c>
      <c r="Q24" s="975">
        <v>0</v>
      </c>
      <c r="R24" s="975">
        <v>30</v>
      </c>
      <c r="S24" s="975">
        <v>0</v>
      </c>
      <c r="T24" s="975">
        <v>0</v>
      </c>
      <c r="U24" s="975">
        <v>0</v>
      </c>
      <c r="V24" s="975">
        <v>30</v>
      </c>
      <c r="W24" s="975">
        <v>0</v>
      </c>
      <c r="X24" s="975">
        <v>0</v>
      </c>
      <c r="Y24" s="975">
        <v>0</v>
      </c>
      <c r="Z24" s="976">
        <v>30</v>
      </c>
    </row>
    <row r="25" spans="1:26" ht="16.5" customHeight="1" x14ac:dyDescent="0.25">
      <c r="A25" s="368">
        <v>11</v>
      </c>
      <c r="B25" s="971" t="s">
        <v>931</v>
      </c>
      <c r="C25" s="979"/>
      <c r="D25" s="973" t="s">
        <v>304</v>
      </c>
      <c r="E25" s="913">
        <v>20000</v>
      </c>
      <c r="F25" s="980">
        <v>2</v>
      </c>
      <c r="G25" s="975">
        <v>0</v>
      </c>
      <c r="H25" s="975">
        <v>0</v>
      </c>
      <c r="I25" s="975">
        <v>6</v>
      </c>
      <c r="J25" s="975">
        <v>0</v>
      </c>
      <c r="K25" s="975">
        <v>0</v>
      </c>
      <c r="L25" s="975">
        <v>6</v>
      </c>
      <c r="M25" s="975">
        <v>0</v>
      </c>
      <c r="N25" s="975">
        <v>0</v>
      </c>
      <c r="O25" s="975">
        <v>6</v>
      </c>
      <c r="P25" s="975">
        <v>0</v>
      </c>
      <c r="Q25" s="975">
        <v>0</v>
      </c>
      <c r="R25" s="975">
        <v>6</v>
      </c>
      <c r="S25" s="975">
        <v>0</v>
      </c>
      <c r="T25" s="975">
        <v>0</v>
      </c>
      <c r="U25" s="975">
        <v>6</v>
      </c>
      <c r="V25" s="975">
        <v>0</v>
      </c>
      <c r="W25" s="975">
        <v>0</v>
      </c>
      <c r="X25" s="975">
        <v>6</v>
      </c>
      <c r="Y25" s="975">
        <v>0</v>
      </c>
      <c r="Z25" s="976">
        <v>0</v>
      </c>
    </row>
    <row r="26" spans="1:26" ht="16.5" customHeight="1" x14ac:dyDescent="0.25">
      <c r="A26" s="368">
        <v>12</v>
      </c>
      <c r="B26" s="978" t="s">
        <v>932</v>
      </c>
      <c r="C26" s="979"/>
      <c r="D26" s="973" t="s">
        <v>304</v>
      </c>
      <c r="E26" s="913">
        <v>20000</v>
      </c>
      <c r="F26" s="980">
        <v>2</v>
      </c>
      <c r="G26" s="975">
        <v>0</v>
      </c>
      <c r="H26" s="975">
        <v>0</v>
      </c>
      <c r="I26" s="975">
        <v>4</v>
      </c>
      <c r="J26" s="975">
        <v>0</v>
      </c>
      <c r="K26" s="975">
        <v>0</v>
      </c>
      <c r="L26" s="975">
        <v>4</v>
      </c>
      <c r="M26" s="975">
        <v>0</v>
      </c>
      <c r="N26" s="975">
        <v>0</v>
      </c>
      <c r="O26" s="975">
        <v>4</v>
      </c>
      <c r="P26" s="975">
        <v>0</v>
      </c>
      <c r="Q26" s="975">
        <v>0</v>
      </c>
      <c r="R26" s="975">
        <v>4</v>
      </c>
      <c r="S26" s="975">
        <v>0</v>
      </c>
      <c r="T26" s="975">
        <v>0</v>
      </c>
      <c r="U26" s="975">
        <v>4</v>
      </c>
      <c r="V26" s="975">
        <v>0</v>
      </c>
      <c r="W26" s="975">
        <v>0</v>
      </c>
      <c r="X26" s="975">
        <v>4</v>
      </c>
      <c r="Y26" s="975">
        <v>0</v>
      </c>
      <c r="Z26" s="976">
        <v>0</v>
      </c>
    </row>
    <row r="27" spans="1:26" ht="16.5" customHeight="1" x14ac:dyDescent="0.25">
      <c r="A27" s="368">
        <v>13</v>
      </c>
      <c r="B27" s="978" t="s">
        <v>933</v>
      </c>
      <c r="C27" s="979"/>
      <c r="D27" s="973" t="s">
        <v>304</v>
      </c>
      <c r="E27" s="913">
        <v>20000</v>
      </c>
      <c r="F27" s="974">
        <v>1</v>
      </c>
      <c r="G27" s="975">
        <v>0</v>
      </c>
      <c r="H27" s="975">
        <v>0</v>
      </c>
      <c r="I27" s="975">
        <v>4</v>
      </c>
      <c r="J27" s="975">
        <v>0</v>
      </c>
      <c r="K27" s="975">
        <v>0</v>
      </c>
      <c r="L27" s="975">
        <v>4</v>
      </c>
      <c r="M27" s="975">
        <v>0</v>
      </c>
      <c r="N27" s="975">
        <v>0</v>
      </c>
      <c r="O27" s="975">
        <v>4</v>
      </c>
      <c r="P27" s="975">
        <v>0</v>
      </c>
      <c r="Q27" s="975">
        <v>0</v>
      </c>
      <c r="R27" s="975">
        <v>4</v>
      </c>
      <c r="S27" s="975">
        <v>0</v>
      </c>
      <c r="T27" s="975">
        <v>0</v>
      </c>
      <c r="U27" s="975">
        <v>4</v>
      </c>
      <c r="V27" s="975">
        <v>0</v>
      </c>
      <c r="W27" s="975">
        <v>0</v>
      </c>
      <c r="X27" s="975">
        <v>4</v>
      </c>
      <c r="Y27" s="975">
        <v>0</v>
      </c>
      <c r="Z27" s="976">
        <v>0</v>
      </c>
    </row>
    <row r="28" spans="1:26" ht="16.5" customHeight="1" x14ac:dyDescent="0.25">
      <c r="A28" s="368">
        <v>14</v>
      </c>
      <c r="B28" s="978" t="s">
        <v>384</v>
      </c>
      <c r="C28" s="979"/>
      <c r="D28" s="973" t="s">
        <v>304</v>
      </c>
      <c r="E28" s="913">
        <v>30000</v>
      </c>
      <c r="F28" s="974">
        <v>1</v>
      </c>
      <c r="G28" s="975">
        <v>0</v>
      </c>
      <c r="H28" s="975">
        <v>0</v>
      </c>
      <c r="I28" s="975">
        <v>0</v>
      </c>
      <c r="J28" s="975">
        <v>0</v>
      </c>
      <c r="K28" s="975">
        <v>6</v>
      </c>
      <c r="L28" s="975">
        <v>0</v>
      </c>
      <c r="M28" s="975">
        <v>0</v>
      </c>
      <c r="N28" s="975">
        <v>0</v>
      </c>
      <c r="O28" s="975">
        <v>6</v>
      </c>
      <c r="P28" s="975">
        <v>0</v>
      </c>
      <c r="Q28" s="975">
        <v>0</v>
      </c>
      <c r="R28" s="975">
        <v>0</v>
      </c>
      <c r="S28" s="975">
        <v>6</v>
      </c>
      <c r="T28" s="975">
        <v>0</v>
      </c>
      <c r="U28" s="975">
        <v>0</v>
      </c>
      <c r="V28" s="975">
        <v>0</v>
      </c>
      <c r="W28" s="975">
        <v>6</v>
      </c>
      <c r="X28" s="975">
        <v>0</v>
      </c>
      <c r="Y28" s="975">
        <v>0</v>
      </c>
      <c r="Z28" s="975">
        <v>0</v>
      </c>
    </row>
    <row r="29" spans="1:26" ht="16.5" customHeight="1" x14ac:dyDescent="0.25">
      <c r="A29" s="368">
        <v>15</v>
      </c>
      <c r="B29" s="978" t="s">
        <v>934</v>
      </c>
      <c r="C29" s="979"/>
      <c r="D29" s="973" t="s">
        <v>304</v>
      </c>
      <c r="E29" s="913">
        <v>20000</v>
      </c>
      <c r="F29" s="974">
        <v>1</v>
      </c>
      <c r="G29" s="975">
        <v>0</v>
      </c>
      <c r="H29" s="975">
        <v>0</v>
      </c>
      <c r="I29" s="975">
        <v>5</v>
      </c>
      <c r="J29" s="975">
        <v>0</v>
      </c>
      <c r="K29" s="975">
        <v>0</v>
      </c>
      <c r="L29" s="975">
        <v>5</v>
      </c>
      <c r="M29" s="975">
        <v>0</v>
      </c>
      <c r="N29" s="975">
        <v>0</v>
      </c>
      <c r="O29" s="975">
        <v>5</v>
      </c>
      <c r="P29" s="975">
        <v>0</v>
      </c>
      <c r="Q29" s="975">
        <v>0</v>
      </c>
      <c r="R29" s="975">
        <v>5</v>
      </c>
      <c r="S29" s="975">
        <v>0</v>
      </c>
      <c r="T29" s="975">
        <v>0</v>
      </c>
      <c r="U29" s="975">
        <v>5</v>
      </c>
      <c r="V29" s="975">
        <v>0</v>
      </c>
      <c r="W29" s="975">
        <v>0</v>
      </c>
      <c r="X29" s="975">
        <v>5</v>
      </c>
      <c r="Y29" s="975">
        <v>0</v>
      </c>
      <c r="Z29" s="976">
        <v>0</v>
      </c>
    </row>
    <row r="30" spans="1:26" ht="16.5" customHeight="1" x14ac:dyDescent="0.25">
      <c r="A30" s="368">
        <v>16</v>
      </c>
      <c r="B30" s="978" t="s">
        <v>935</v>
      </c>
      <c r="C30" s="979"/>
      <c r="D30" s="973" t="s">
        <v>304</v>
      </c>
      <c r="E30" s="913">
        <v>20000</v>
      </c>
      <c r="F30" s="974">
        <v>1</v>
      </c>
      <c r="G30" s="975">
        <v>0</v>
      </c>
      <c r="H30" s="975">
        <v>0</v>
      </c>
      <c r="I30" s="975">
        <v>6</v>
      </c>
      <c r="J30" s="975">
        <v>0</v>
      </c>
      <c r="K30" s="975">
        <v>0</v>
      </c>
      <c r="L30" s="975">
        <v>6</v>
      </c>
      <c r="M30" s="975">
        <v>0</v>
      </c>
      <c r="N30" s="975">
        <v>0</v>
      </c>
      <c r="O30" s="975">
        <v>6</v>
      </c>
      <c r="P30" s="975">
        <v>0</v>
      </c>
      <c r="Q30" s="975">
        <v>0</v>
      </c>
      <c r="R30" s="975">
        <v>6</v>
      </c>
      <c r="S30" s="975">
        <v>0</v>
      </c>
      <c r="T30" s="975">
        <v>0</v>
      </c>
      <c r="U30" s="975">
        <v>6</v>
      </c>
      <c r="V30" s="975">
        <v>0</v>
      </c>
      <c r="W30" s="975">
        <v>0</v>
      </c>
      <c r="X30" s="975">
        <v>6</v>
      </c>
      <c r="Y30" s="975">
        <v>0</v>
      </c>
      <c r="Z30" s="976">
        <v>0</v>
      </c>
    </row>
    <row r="31" spans="1:26" ht="16.5" customHeight="1" x14ac:dyDescent="0.25">
      <c r="A31" s="368">
        <v>17</v>
      </c>
      <c r="B31" s="978" t="s">
        <v>936</v>
      </c>
      <c r="C31" s="979"/>
      <c r="D31" s="973" t="s">
        <v>304</v>
      </c>
      <c r="E31" s="913">
        <v>20000</v>
      </c>
      <c r="F31" s="974">
        <v>1</v>
      </c>
      <c r="G31" s="975">
        <v>0</v>
      </c>
      <c r="H31" s="975">
        <v>0</v>
      </c>
      <c r="I31" s="975">
        <v>4</v>
      </c>
      <c r="J31" s="975">
        <v>0</v>
      </c>
      <c r="K31" s="975">
        <v>0</v>
      </c>
      <c r="L31" s="975">
        <v>4</v>
      </c>
      <c r="M31" s="975">
        <v>0</v>
      </c>
      <c r="N31" s="975">
        <v>0</v>
      </c>
      <c r="O31" s="975">
        <v>4</v>
      </c>
      <c r="P31" s="975">
        <v>0</v>
      </c>
      <c r="Q31" s="975">
        <v>0</v>
      </c>
      <c r="R31" s="975">
        <v>4</v>
      </c>
      <c r="S31" s="975">
        <v>0</v>
      </c>
      <c r="T31" s="975">
        <v>0</v>
      </c>
      <c r="U31" s="975">
        <v>4</v>
      </c>
      <c r="V31" s="975">
        <v>0</v>
      </c>
      <c r="W31" s="975">
        <v>0</v>
      </c>
      <c r="X31" s="975">
        <v>4</v>
      </c>
      <c r="Y31" s="975">
        <v>0</v>
      </c>
      <c r="Z31" s="976">
        <v>0</v>
      </c>
    </row>
    <row r="32" spans="1:26" ht="16.5" customHeight="1" x14ac:dyDescent="0.25">
      <c r="A32" s="368">
        <v>18</v>
      </c>
      <c r="B32" s="971" t="s">
        <v>937</v>
      </c>
      <c r="C32" s="979"/>
      <c r="D32" s="973" t="s">
        <v>304</v>
      </c>
      <c r="E32" s="913">
        <v>15000</v>
      </c>
      <c r="F32" s="974">
        <v>1</v>
      </c>
      <c r="G32" s="975">
        <v>0</v>
      </c>
      <c r="H32" s="975">
        <v>0</v>
      </c>
      <c r="I32" s="975">
        <v>0</v>
      </c>
      <c r="J32" s="975">
        <v>3</v>
      </c>
      <c r="K32" s="975">
        <v>0</v>
      </c>
      <c r="L32" s="975">
        <v>0</v>
      </c>
      <c r="M32" s="975">
        <v>3</v>
      </c>
      <c r="N32" s="975">
        <v>0</v>
      </c>
      <c r="O32" s="975">
        <v>0</v>
      </c>
      <c r="P32" s="975">
        <v>3</v>
      </c>
      <c r="Q32" s="975">
        <v>0</v>
      </c>
      <c r="R32" s="975">
        <v>0</v>
      </c>
      <c r="S32" s="975">
        <v>3</v>
      </c>
      <c r="T32" s="975">
        <v>0</v>
      </c>
      <c r="U32" s="975">
        <v>0</v>
      </c>
      <c r="V32" s="975">
        <v>3</v>
      </c>
      <c r="W32" s="975">
        <v>0</v>
      </c>
      <c r="X32" s="975">
        <v>0</v>
      </c>
      <c r="Y32" s="975">
        <v>3</v>
      </c>
      <c r="Z32" s="976">
        <v>0</v>
      </c>
    </row>
    <row r="33" spans="1:26" ht="16.5" customHeight="1" x14ac:dyDescent="0.25">
      <c r="A33" s="368">
        <v>19</v>
      </c>
      <c r="B33" s="971" t="s">
        <v>938</v>
      </c>
      <c r="C33" s="979"/>
      <c r="D33" s="973" t="s">
        <v>304</v>
      </c>
      <c r="E33" s="981">
        <v>25000</v>
      </c>
      <c r="F33" s="980">
        <v>4</v>
      </c>
      <c r="G33" s="975">
        <v>0</v>
      </c>
      <c r="H33" s="975">
        <v>0</v>
      </c>
      <c r="I33" s="975">
        <v>0</v>
      </c>
      <c r="J33" s="975">
        <v>3</v>
      </c>
      <c r="K33" s="975">
        <v>0</v>
      </c>
      <c r="L33" s="975">
        <v>0</v>
      </c>
      <c r="M33" s="975">
        <v>3</v>
      </c>
      <c r="N33" s="975">
        <v>0</v>
      </c>
      <c r="O33" s="975">
        <v>0</v>
      </c>
      <c r="P33" s="975">
        <v>3</v>
      </c>
      <c r="Q33" s="975">
        <v>0</v>
      </c>
      <c r="R33" s="975">
        <v>0</v>
      </c>
      <c r="S33" s="975">
        <v>3</v>
      </c>
      <c r="T33" s="975">
        <v>0</v>
      </c>
      <c r="U33" s="975">
        <v>0</v>
      </c>
      <c r="V33" s="975">
        <v>3</v>
      </c>
      <c r="W33" s="975">
        <v>0</v>
      </c>
      <c r="X33" s="975">
        <v>0</v>
      </c>
      <c r="Y33" s="975">
        <v>3</v>
      </c>
      <c r="Z33" s="976">
        <v>0</v>
      </c>
    </row>
    <row r="34" spans="1:26" ht="16.5" customHeight="1" thickBot="1" x14ac:dyDescent="0.3">
      <c r="A34" s="368">
        <v>20</v>
      </c>
      <c r="B34" s="982" t="s">
        <v>939</v>
      </c>
      <c r="C34" s="983"/>
      <c r="D34" s="984" t="s">
        <v>304</v>
      </c>
      <c r="E34" s="985">
        <v>14000</v>
      </c>
      <c r="F34" s="986">
        <v>2</v>
      </c>
      <c r="G34" s="987">
        <v>109</v>
      </c>
      <c r="H34" s="987">
        <v>107</v>
      </c>
      <c r="I34" s="987">
        <v>154</v>
      </c>
      <c r="J34" s="987">
        <v>226</v>
      </c>
      <c r="K34" s="987">
        <v>113</v>
      </c>
      <c r="L34" s="987">
        <v>136</v>
      </c>
      <c r="M34" s="987">
        <v>123</v>
      </c>
      <c r="N34" s="987">
        <v>208</v>
      </c>
      <c r="O34" s="987">
        <v>154</v>
      </c>
      <c r="P34" s="987">
        <v>141</v>
      </c>
      <c r="Q34" s="987">
        <v>178</v>
      </c>
      <c r="R34" s="987">
        <v>174</v>
      </c>
      <c r="S34" s="987">
        <v>123</v>
      </c>
      <c r="T34" s="987">
        <v>99</v>
      </c>
      <c r="U34" s="987">
        <v>251</v>
      </c>
      <c r="V34" s="987">
        <v>163</v>
      </c>
      <c r="W34" s="987">
        <v>89</v>
      </c>
      <c r="X34" s="987">
        <v>215</v>
      </c>
      <c r="Y34" s="987">
        <v>123</v>
      </c>
      <c r="Z34" s="988">
        <v>155</v>
      </c>
    </row>
    <row r="35" spans="1:26" ht="16.5" customHeight="1" x14ac:dyDescent="0.25">
      <c r="B35" s="989"/>
      <c r="C35" s="990"/>
      <c r="D35" s="891"/>
      <c r="E35" s="952"/>
      <c r="F35" s="952"/>
      <c r="G35" s="953"/>
      <c r="H35" s="953"/>
      <c r="I35" s="953"/>
      <c r="J35" s="953"/>
      <c r="K35" s="953"/>
      <c r="L35" s="953"/>
      <c r="M35" s="953"/>
      <c r="N35" s="953"/>
      <c r="O35" s="953"/>
      <c r="P35" s="953"/>
      <c r="Q35" s="953"/>
      <c r="R35" s="953"/>
      <c r="S35" s="892"/>
      <c r="T35" s="892"/>
      <c r="U35" s="892"/>
      <c r="V35" s="892"/>
      <c r="W35" s="892"/>
      <c r="X35" s="892"/>
      <c r="Y35" s="892"/>
      <c r="Z35" s="892"/>
    </row>
    <row r="36" spans="1:26" ht="16.5" customHeight="1" thickBot="1" x14ac:dyDescent="0.3">
      <c r="B36" s="401" t="s">
        <v>372</v>
      </c>
      <c r="C36" s="951"/>
      <c r="D36" s="891"/>
      <c r="E36" s="991">
        <f>'NHL NTE240 ТО'!F10</f>
        <v>191</v>
      </c>
      <c r="F36" s="952"/>
      <c r="G36" s="953"/>
      <c r="H36" s="953"/>
      <c r="I36" s="953"/>
      <c r="J36" s="953"/>
      <c r="K36" s="953"/>
      <c r="L36" s="953"/>
      <c r="M36" s="953"/>
      <c r="N36" s="953"/>
      <c r="O36" s="953"/>
      <c r="P36" s="953"/>
      <c r="Q36" s="953"/>
      <c r="R36" s="953"/>
      <c r="S36" s="892"/>
      <c r="T36" s="892"/>
      <c r="U36" s="892"/>
      <c r="V36" s="892"/>
      <c r="W36" s="892"/>
      <c r="X36" s="892"/>
      <c r="Y36" s="892"/>
      <c r="Z36" s="892"/>
    </row>
    <row r="37" spans="1:26" ht="27.85" thickBot="1" x14ac:dyDescent="0.3">
      <c r="B37" s="931" t="s">
        <v>361</v>
      </c>
      <c r="C37" s="936"/>
      <c r="D37" s="992" t="s">
        <v>355</v>
      </c>
      <c r="E37" s="993" t="s">
        <v>373</v>
      </c>
      <c r="F37" s="994"/>
      <c r="G37" s="995">
        <f t="shared" ref="G37:R37" si="9">G13</f>
        <v>1</v>
      </c>
      <c r="H37" s="996">
        <f t="shared" si="9"/>
        <v>2</v>
      </c>
      <c r="I37" s="996">
        <f t="shared" si="9"/>
        <v>3</v>
      </c>
      <c r="J37" s="996">
        <f t="shared" si="9"/>
        <v>4</v>
      </c>
      <c r="K37" s="996">
        <f t="shared" si="9"/>
        <v>5</v>
      </c>
      <c r="L37" s="996">
        <f t="shared" si="9"/>
        <v>6</v>
      </c>
      <c r="M37" s="996">
        <f t="shared" si="9"/>
        <v>7</v>
      </c>
      <c r="N37" s="996">
        <f t="shared" si="9"/>
        <v>8</v>
      </c>
      <c r="O37" s="996">
        <f t="shared" si="9"/>
        <v>9</v>
      </c>
      <c r="P37" s="996">
        <f t="shared" si="9"/>
        <v>10</v>
      </c>
      <c r="Q37" s="996">
        <f t="shared" si="9"/>
        <v>11</v>
      </c>
      <c r="R37" s="996">
        <f t="shared" si="9"/>
        <v>12</v>
      </c>
      <c r="S37" s="997">
        <v>13</v>
      </c>
      <c r="T37" s="997">
        <v>14</v>
      </c>
      <c r="U37" s="997">
        <v>15</v>
      </c>
      <c r="V37" s="997">
        <v>16</v>
      </c>
      <c r="W37" s="997">
        <v>17</v>
      </c>
      <c r="X37" s="997">
        <v>18</v>
      </c>
      <c r="Y37" s="997">
        <v>19</v>
      </c>
      <c r="Z37" s="998">
        <v>20</v>
      </c>
    </row>
    <row r="38" spans="1:26" ht="14.95" customHeight="1" thickBot="1" x14ac:dyDescent="0.3">
      <c r="B38" s="861" t="s">
        <v>374</v>
      </c>
      <c r="C38" s="999"/>
      <c r="D38" s="1000" t="s">
        <v>375</v>
      </c>
      <c r="E38" s="1001"/>
      <c r="F38" s="1002"/>
      <c r="G38" s="1003">
        <f>SUM(G39:G58)</f>
        <v>248</v>
      </c>
      <c r="H38" s="1003">
        <f t="shared" ref="H38:Z38" si="10">SUM(H39:H58)</f>
        <v>300</v>
      </c>
      <c r="I38" s="1003">
        <f t="shared" si="10"/>
        <v>830</v>
      </c>
      <c r="J38" s="1003">
        <f t="shared" si="10"/>
        <v>1498</v>
      </c>
      <c r="K38" s="1003">
        <f t="shared" si="10"/>
        <v>296</v>
      </c>
      <c r="L38" s="1003">
        <f t="shared" si="10"/>
        <v>420</v>
      </c>
      <c r="M38" s="1003">
        <f t="shared" si="10"/>
        <v>754</v>
      </c>
      <c r="N38" s="1003">
        <f t="shared" si="10"/>
        <v>1464</v>
      </c>
      <c r="O38" s="1003">
        <f t="shared" si="10"/>
        <v>428</v>
      </c>
      <c r="P38" s="1003">
        <f t="shared" si="10"/>
        <v>388</v>
      </c>
      <c r="Q38" s="1003">
        <f t="shared" si="10"/>
        <v>1808</v>
      </c>
      <c r="R38" s="1003">
        <f t="shared" si="10"/>
        <v>472</v>
      </c>
      <c r="S38" s="1003">
        <f t="shared" si="10"/>
        <v>352</v>
      </c>
      <c r="T38" s="1003">
        <f t="shared" si="10"/>
        <v>268</v>
      </c>
      <c r="U38" s="1003">
        <f t="shared" si="10"/>
        <v>2004</v>
      </c>
      <c r="V38" s="1003">
        <f t="shared" si="10"/>
        <v>430</v>
      </c>
      <c r="W38" s="1003">
        <f t="shared" si="10"/>
        <v>232</v>
      </c>
      <c r="X38" s="1003">
        <f t="shared" si="10"/>
        <v>1574</v>
      </c>
      <c r="Y38" s="1003">
        <f t="shared" si="10"/>
        <v>754</v>
      </c>
      <c r="Z38" s="1003">
        <f t="shared" si="10"/>
        <v>356</v>
      </c>
    </row>
    <row r="39" spans="1:26" ht="14.95" customHeight="1" x14ac:dyDescent="0.25">
      <c r="A39" s="368">
        <v>1</v>
      </c>
      <c r="B39" s="1004" t="s">
        <v>596</v>
      </c>
      <c r="C39" s="1005"/>
      <c r="D39" s="1006" t="s">
        <v>375</v>
      </c>
      <c r="E39" s="1007">
        <f>E36</f>
        <v>191</v>
      </c>
      <c r="F39" s="1008"/>
      <c r="G39" s="969">
        <v>30</v>
      </c>
      <c r="H39" s="969">
        <v>50</v>
      </c>
      <c r="I39" s="969">
        <v>450</v>
      </c>
      <c r="J39" s="969">
        <v>30</v>
      </c>
      <c r="K39" s="969">
        <v>30</v>
      </c>
      <c r="L39" s="969">
        <v>50</v>
      </c>
      <c r="M39" s="969">
        <v>450</v>
      </c>
      <c r="N39" s="969">
        <v>30</v>
      </c>
      <c r="O39" s="969">
        <v>30</v>
      </c>
      <c r="P39" s="969">
        <v>50</v>
      </c>
      <c r="Q39" s="969">
        <v>450</v>
      </c>
      <c r="R39" s="969">
        <v>30</v>
      </c>
      <c r="S39" s="969">
        <v>30</v>
      </c>
      <c r="T39" s="969">
        <v>50</v>
      </c>
      <c r="U39" s="969">
        <v>450</v>
      </c>
      <c r="V39" s="969">
        <v>30</v>
      </c>
      <c r="W39" s="969">
        <v>30</v>
      </c>
      <c r="X39" s="969">
        <v>50</v>
      </c>
      <c r="Y39" s="969">
        <v>450</v>
      </c>
      <c r="Z39" s="970">
        <v>30</v>
      </c>
    </row>
    <row r="40" spans="1:26" ht="14.95" customHeight="1" x14ac:dyDescent="0.25">
      <c r="A40" s="368">
        <v>2</v>
      </c>
      <c r="B40" s="1009" t="s">
        <v>597</v>
      </c>
      <c r="C40" s="252"/>
      <c r="D40" s="1010" t="s">
        <v>375</v>
      </c>
      <c r="E40" s="1011">
        <v>191</v>
      </c>
      <c r="F40" s="980"/>
      <c r="G40" s="975">
        <v>0</v>
      </c>
      <c r="H40" s="975">
        <v>20</v>
      </c>
      <c r="I40" s="975">
        <v>0</v>
      </c>
      <c r="J40" s="975">
        <v>0</v>
      </c>
      <c r="K40" s="975">
        <v>0</v>
      </c>
      <c r="L40" s="975">
        <v>20</v>
      </c>
      <c r="M40" s="975">
        <v>0</v>
      </c>
      <c r="N40" s="975">
        <v>0</v>
      </c>
      <c r="O40" s="975">
        <v>0</v>
      </c>
      <c r="P40" s="975">
        <v>20</v>
      </c>
      <c r="Q40" s="975">
        <v>0</v>
      </c>
      <c r="R40" s="975">
        <v>0</v>
      </c>
      <c r="S40" s="975">
        <v>0</v>
      </c>
      <c r="T40" s="975">
        <v>20</v>
      </c>
      <c r="U40" s="975">
        <v>0</v>
      </c>
      <c r="V40" s="975">
        <v>0</v>
      </c>
      <c r="W40" s="975">
        <v>0</v>
      </c>
      <c r="X40" s="975">
        <v>20</v>
      </c>
      <c r="Y40" s="975">
        <v>0</v>
      </c>
      <c r="Z40" s="976">
        <v>0</v>
      </c>
    </row>
    <row r="41" spans="1:26" ht="14.95" customHeight="1" x14ac:dyDescent="0.25">
      <c r="A41" s="368">
        <v>3</v>
      </c>
      <c r="B41" s="1009" t="s">
        <v>923</v>
      </c>
      <c r="C41" s="252"/>
      <c r="D41" s="1010" t="s">
        <v>375</v>
      </c>
      <c r="E41" s="1011">
        <v>191</v>
      </c>
      <c r="F41" s="980"/>
      <c r="G41" s="975">
        <v>0</v>
      </c>
      <c r="H41" s="975">
        <v>0</v>
      </c>
      <c r="I41" s="975">
        <v>6</v>
      </c>
      <c r="J41" s="975">
        <v>0</v>
      </c>
      <c r="K41" s="975">
        <v>0</v>
      </c>
      <c r="L41" s="975">
        <v>0</v>
      </c>
      <c r="M41" s="975">
        <v>6</v>
      </c>
      <c r="N41" s="975">
        <v>0</v>
      </c>
      <c r="O41" s="975">
        <v>0</v>
      </c>
      <c r="P41" s="975">
        <v>0</v>
      </c>
      <c r="Q41" s="975">
        <v>6</v>
      </c>
      <c r="R41" s="975">
        <v>0</v>
      </c>
      <c r="S41" s="975">
        <v>0</v>
      </c>
      <c r="T41" s="975">
        <v>0</v>
      </c>
      <c r="U41" s="975">
        <v>6</v>
      </c>
      <c r="V41" s="975">
        <v>0</v>
      </c>
      <c r="W41" s="975">
        <v>0</v>
      </c>
      <c r="X41" s="975">
        <v>0</v>
      </c>
      <c r="Y41" s="975">
        <v>6</v>
      </c>
      <c r="Z41" s="976">
        <v>0</v>
      </c>
    </row>
    <row r="42" spans="1:26" ht="14.95" customHeight="1" x14ac:dyDescent="0.25">
      <c r="A42" s="368">
        <v>4</v>
      </c>
      <c r="B42" s="1009" t="s">
        <v>924</v>
      </c>
      <c r="C42" s="252"/>
      <c r="D42" s="1010" t="s">
        <v>375</v>
      </c>
      <c r="E42" s="1011">
        <v>191</v>
      </c>
      <c r="F42" s="980"/>
      <c r="G42" s="1012">
        <v>0</v>
      </c>
      <c r="H42" s="1012">
        <v>0</v>
      </c>
      <c r="I42" s="1012">
        <v>4</v>
      </c>
      <c r="J42" s="1012">
        <v>0</v>
      </c>
      <c r="K42" s="1012">
        <v>0</v>
      </c>
      <c r="L42" s="1012">
        <v>4</v>
      </c>
      <c r="M42" s="1012">
        <v>0</v>
      </c>
      <c r="N42" s="1012">
        <v>0</v>
      </c>
      <c r="O42" s="1012">
        <v>4</v>
      </c>
      <c r="P42" s="1012">
        <v>0</v>
      </c>
      <c r="Q42" s="1012">
        <v>0</v>
      </c>
      <c r="R42" s="1012">
        <v>4</v>
      </c>
      <c r="S42" s="1012">
        <v>0</v>
      </c>
      <c r="T42" s="1012">
        <v>0</v>
      </c>
      <c r="U42" s="1012">
        <v>4</v>
      </c>
      <c r="V42" s="1012">
        <v>0</v>
      </c>
      <c r="W42" s="1012">
        <v>0</v>
      </c>
      <c r="X42" s="1012">
        <v>4</v>
      </c>
      <c r="Y42" s="1012">
        <v>0</v>
      </c>
      <c r="Z42" s="1013">
        <v>0</v>
      </c>
    </row>
    <row r="43" spans="1:26" ht="14.95" customHeight="1" x14ac:dyDescent="0.25">
      <c r="A43" s="368">
        <v>5</v>
      </c>
      <c r="B43" s="1009" t="s">
        <v>925</v>
      </c>
      <c r="C43" s="252"/>
      <c r="D43" s="1010" t="s">
        <v>375</v>
      </c>
      <c r="E43" s="1011">
        <v>191</v>
      </c>
      <c r="F43" s="980"/>
      <c r="G43" s="975">
        <v>0</v>
      </c>
      <c r="H43" s="975">
        <v>0</v>
      </c>
      <c r="I43" s="975">
        <v>0</v>
      </c>
      <c r="J43" s="975">
        <v>200</v>
      </c>
      <c r="K43" s="975">
        <v>0</v>
      </c>
      <c r="L43" s="975">
        <v>0</v>
      </c>
      <c r="M43" s="975">
        <v>0</v>
      </c>
      <c r="N43" s="975">
        <f>J43</f>
        <v>200</v>
      </c>
      <c r="O43" s="975">
        <v>0</v>
      </c>
      <c r="P43" s="975">
        <v>0</v>
      </c>
      <c r="Q43" s="975">
        <f>N43</f>
        <v>200</v>
      </c>
      <c r="R43" s="975">
        <v>0</v>
      </c>
      <c r="S43" s="975">
        <v>0</v>
      </c>
      <c r="T43" s="975">
        <v>0</v>
      </c>
      <c r="U43" s="975">
        <f>Q43</f>
        <v>200</v>
      </c>
      <c r="V43" s="975">
        <v>0</v>
      </c>
      <c r="W43" s="975">
        <v>0</v>
      </c>
      <c r="X43" s="975">
        <f>U43</f>
        <v>200</v>
      </c>
      <c r="Y43" s="975">
        <v>0</v>
      </c>
      <c r="Z43" s="976">
        <v>0</v>
      </c>
    </row>
    <row r="44" spans="1:26" ht="14.95" customHeight="1" x14ac:dyDescent="0.25">
      <c r="A44" s="368">
        <v>6</v>
      </c>
      <c r="B44" s="1014" t="s">
        <v>377</v>
      </c>
      <c r="C44" s="252"/>
      <c r="D44" s="1010" t="s">
        <v>375</v>
      </c>
      <c r="E44" s="1011">
        <v>191</v>
      </c>
      <c r="F44" s="980"/>
      <c r="G44" s="975">
        <v>0</v>
      </c>
      <c r="H44" s="975">
        <v>0</v>
      </c>
      <c r="I44" s="975">
        <v>0</v>
      </c>
      <c r="J44" s="975">
        <v>700</v>
      </c>
      <c r="K44" s="975">
        <v>0</v>
      </c>
      <c r="L44" s="975">
        <v>0</v>
      </c>
      <c r="M44" s="975">
        <v>0</v>
      </c>
      <c r="N44" s="975">
        <f>J44</f>
        <v>700</v>
      </c>
      <c r="O44" s="975">
        <v>0</v>
      </c>
      <c r="P44" s="975">
        <v>0</v>
      </c>
      <c r="Q44" s="975">
        <f>N44</f>
        <v>700</v>
      </c>
      <c r="R44" s="975">
        <v>0</v>
      </c>
      <c r="S44" s="975">
        <v>0</v>
      </c>
      <c r="T44" s="975">
        <v>0</v>
      </c>
      <c r="U44" s="975">
        <f>Q44</f>
        <v>700</v>
      </c>
      <c r="V44" s="975">
        <v>0</v>
      </c>
      <c r="W44" s="975">
        <v>0</v>
      </c>
      <c r="X44" s="975">
        <f>U44</f>
        <v>700</v>
      </c>
      <c r="Y44" s="975">
        <v>0</v>
      </c>
      <c r="Z44" s="976">
        <v>0</v>
      </c>
    </row>
    <row r="45" spans="1:26" ht="14.95" customHeight="1" x14ac:dyDescent="0.25">
      <c r="A45" s="368">
        <v>7</v>
      </c>
      <c r="B45" s="1014" t="s">
        <v>926</v>
      </c>
      <c r="C45" s="252"/>
      <c r="D45" s="1010" t="s">
        <v>375</v>
      </c>
      <c r="E45" s="1011">
        <v>191</v>
      </c>
      <c r="F45" s="980"/>
      <c r="G45" s="975">
        <v>0</v>
      </c>
      <c r="H45" s="975">
        <v>0</v>
      </c>
      <c r="I45" s="975">
        <v>0</v>
      </c>
      <c r="J45" s="975">
        <v>80</v>
      </c>
      <c r="K45" s="975">
        <v>0</v>
      </c>
      <c r="L45" s="975">
        <v>0</v>
      </c>
      <c r="M45" s="975">
        <v>0</v>
      </c>
      <c r="N45" s="975">
        <f>J45</f>
        <v>80</v>
      </c>
      <c r="O45" s="975">
        <v>0</v>
      </c>
      <c r="P45" s="975">
        <v>0</v>
      </c>
      <c r="Q45" s="975">
        <f>N45</f>
        <v>80</v>
      </c>
      <c r="R45" s="975">
        <v>0</v>
      </c>
      <c r="S45" s="975">
        <v>0</v>
      </c>
      <c r="T45" s="975">
        <v>0</v>
      </c>
      <c r="U45" s="975">
        <f>Q45</f>
        <v>80</v>
      </c>
      <c r="V45" s="975">
        <v>0</v>
      </c>
      <c r="W45" s="975">
        <v>0</v>
      </c>
      <c r="X45" s="975">
        <f>U45</f>
        <v>80</v>
      </c>
      <c r="Y45" s="975">
        <v>0</v>
      </c>
      <c r="Z45" s="976">
        <v>0</v>
      </c>
    </row>
    <row r="46" spans="1:26" ht="14.95" customHeight="1" x14ac:dyDescent="0.25">
      <c r="A46" s="368">
        <v>8</v>
      </c>
      <c r="B46" s="978" t="str">
        <f>B22</f>
        <v>Регулировка клапанов ГРМ ДВС при ТО6 (10000 м\час)</v>
      </c>
      <c r="C46" s="979"/>
      <c r="D46" s="1010" t="s">
        <v>375</v>
      </c>
      <c r="E46" s="1015">
        <v>191</v>
      </c>
      <c r="F46" s="981"/>
      <c r="G46" s="1012">
        <v>0</v>
      </c>
      <c r="H46" s="1012">
        <v>16</v>
      </c>
      <c r="I46" s="1012">
        <v>16</v>
      </c>
      <c r="J46" s="1012">
        <v>0</v>
      </c>
      <c r="K46" s="1012">
        <f t="shared" ref="K46:M46" si="11">I46</f>
        <v>16</v>
      </c>
      <c r="L46" s="1012">
        <f t="shared" si="11"/>
        <v>0</v>
      </c>
      <c r="M46" s="1012">
        <f t="shared" si="11"/>
        <v>16</v>
      </c>
      <c r="N46" s="1012">
        <v>16</v>
      </c>
      <c r="O46" s="1012">
        <f t="shared" ref="O46" si="12">M46</f>
        <v>16</v>
      </c>
      <c r="P46" s="1012">
        <v>0</v>
      </c>
      <c r="Q46" s="1012">
        <f t="shared" ref="Q46" si="13">O46</f>
        <v>16</v>
      </c>
      <c r="R46" s="1012">
        <v>16</v>
      </c>
      <c r="S46" s="1012">
        <f t="shared" ref="S46" si="14">Q46</f>
        <v>16</v>
      </c>
      <c r="T46" s="1012">
        <v>0</v>
      </c>
      <c r="U46" s="1012">
        <f t="shared" ref="U46" si="15">S46</f>
        <v>16</v>
      </c>
      <c r="V46" s="1012">
        <v>16</v>
      </c>
      <c r="W46" s="1012">
        <v>0</v>
      </c>
      <c r="X46" s="1012">
        <f t="shared" ref="X46" si="16">V46</f>
        <v>16</v>
      </c>
      <c r="Y46" s="1012">
        <v>16</v>
      </c>
      <c r="Z46" s="1013">
        <f t="shared" ref="Z46" si="17">X46</f>
        <v>16</v>
      </c>
    </row>
    <row r="47" spans="1:26" ht="14.95" customHeight="1" x14ac:dyDescent="0.25">
      <c r="A47" s="368">
        <v>9</v>
      </c>
      <c r="B47" s="1014" t="s">
        <v>929</v>
      </c>
      <c r="C47" s="252"/>
      <c r="D47" s="1010" t="s">
        <v>375</v>
      </c>
      <c r="E47" s="1011">
        <v>191</v>
      </c>
      <c r="F47" s="980"/>
      <c r="G47" s="975">
        <v>0</v>
      </c>
      <c r="H47" s="975">
        <v>0</v>
      </c>
      <c r="I47" s="975">
        <v>0</v>
      </c>
      <c r="J47" s="975">
        <v>0</v>
      </c>
      <c r="K47" s="975">
        <v>0</v>
      </c>
      <c r="L47" s="975">
        <v>20</v>
      </c>
      <c r="M47" s="975">
        <v>0</v>
      </c>
      <c r="N47" s="975">
        <v>0</v>
      </c>
      <c r="O47" s="975">
        <v>0</v>
      </c>
      <c r="P47" s="975">
        <v>0</v>
      </c>
      <c r="Q47" s="975">
        <v>0</v>
      </c>
      <c r="R47" s="975">
        <v>20</v>
      </c>
      <c r="S47" s="975">
        <v>0</v>
      </c>
      <c r="T47" s="975">
        <v>0</v>
      </c>
      <c r="U47" s="975">
        <v>0</v>
      </c>
      <c r="V47" s="975">
        <v>0</v>
      </c>
      <c r="W47" s="975">
        <v>0</v>
      </c>
      <c r="X47" s="975">
        <v>20</v>
      </c>
      <c r="Y47" s="975">
        <v>0</v>
      </c>
      <c r="Z47" s="976">
        <v>0</v>
      </c>
    </row>
    <row r="48" spans="1:26" ht="14.95" customHeight="1" x14ac:dyDescent="0.25">
      <c r="A48" s="368">
        <v>10</v>
      </c>
      <c r="B48" s="971" t="s">
        <v>930</v>
      </c>
      <c r="C48" s="252"/>
      <c r="D48" s="1010" t="s">
        <v>375</v>
      </c>
      <c r="E48" s="1011">
        <v>191</v>
      </c>
      <c r="F48" s="980"/>
      <c r="G48" s="975">
        <v>0</v>
      </c>
      <c r="H48" s="975">
        <v>0</v>
      </c>
      <c r="I48" s="975">
        <v>0</v>
      </c>
      <c r="J48" s="975">
        <v>0</v>
      </c>
      <c r="K48" s="975">
        <v>0</v>
      </c>
      <c r="L48" s="975">
        <v>0</v>
      </c>
      <c r="M48" s="975">
        <v>0</v>
      </c>
      <c r="N48" s="975">
        <v>22</v>
      </c>
      <c r="O48" s="975">
        <v>0</v>
      </c>
      <c r="P48" s="975">
        <v>0</v>
      </c>
      <c r="Q48" s="975">
        <v>0</v>
      </c>
      <c r="R48" s="975">
        <v>0</v>
      </c>
      <c r="S48" s="975">
        <v>0</v>
      </c>
      <c r="T48" s="975">
        <v>0</v>
      </c>
      <c r="U48" s="975">
        <v>0</v>
      </c>
      <c r="V48" s="975">
        <v>22</v>
      </c>
      <c r="W48" s="975">
        <v>0</v>
      </c>
      <c r="X48" s="975">
        <v>0</v>
      </c>
      <c r="Y48" s="975">
        <v>0</v>
      </c>
      <c r="Z48" s="976">
        <v>0</v>
      </c>
    </row>
    <row r="49" spans="1:26" ht="14.95" customHeight="1" x14ac:dyDescent="0.25">
      <c r="A49" s="368">
        <v>11</v>
      </c>
      <c r="B49" s="971" t="s">
        <v>931</v>
      </c>
      <c r="C49" s="252"/>
      <c r="D49" s="1010" t="s">
        <v>375</v>
      </c>
      <c r="E49" s="1011">
        <v>191</v>
      </c>
      <c r="F49" s="980"/>
      <c r="G49" s="975">
        <v>0</v>
      </c>
      <c r="H49" s="975">
        <v>0</v>
      </c>
      <c r="I49" s="975">
        <v>0</v>
      </c>
      <c r="J49" s="975">
        <v>0</v>
      </c>
      <c r="K49" s="975">
        <v>0</v>
      </c>
      <c r="L49" s="975">
        <v>8</v>
      </c>
      <c r="M49" s="975">
        <v>0</v>
      </c>
      <c r="N49" s="975">
        <v>0</v>
      </c>
      <c r="O49" s="975">
        <v>0</v>
      </c>
      <c r="P49" s="975">
        <v>0</v>
      </c>
      <c r="Q49" s="975">
        <v>0</v>
      </c>
      <c r="R49" s="975">
        <v>8</v>
      </c>
      <c r="S49" s="975">
        <v>0</v>
      </c>
      <c r="T49" s="975">
        <v>0</v>
      </c>
      <c r="U49" s="975">
        <v>0</v>
      </c>
      <c r="V49" s="975">
        <v>0</v>
      </c>
      <c r="W49" s="975">
        <v>0</v>
      </c>
      <c r="X49" s="975">
        <v>8</v>
      </c>
      <c r="Y49" s="975">
        <v>0</v>
      </c>
      <c r="Z49" s="976">
        <v>0</v>
      </c>
    </row>
    <row r="50" spans="1:26" ht="14.95" customHeight="1" x14ac:dyDescent="0.25">
      <c r="A50" s="368">
        <v>12</v>
      </c>
      <c r="B50" s="1014" t="s">
        <v>932</v>
      </c>
      <c r="C50" s="252"/>
      <c r="D50" s="1010" t="s">
        <v>375</v>
      </c>
      <c r="E50" s="1011">
        <v>191</v>
      </c>
      <c r="F50" s="980"/>
      <c r="G50" s="1012">
        <v>0</v>
      </c>
      <c r="H50" s="1012">
        <v>0</v>
      </c>
      <c r="I50" s="1012">
        <v>8</v>
      </c>
      <c r="J50" s="1012">
        <v>0</v>
      </c>
      <c r="K50" s="1012">
        <v>0</v>
      </c>
      <c r="L50" s="1012">
        <v>8</v>
      </c>
      <c r="M50" s="1012">
        <v>0</v>
      </c>
      <c r="N50" s="1012">
        <v>0</v>
      </c>
      <c r="O50" s="1012">
        <v>8</v>
      </c>
      <c r="P50" s="1012">
        <v>0</v>
      </c>
      <c r="Q50" s="1012">
        <v>0</v>
      </c>
      <c r="R50" s="1012">
        <v>8</v>
      </c>
      <c r="S50" s="1012">
        <v>0</v>
      </c>
      <c r="T50" s="1012">
        <v>0</v>
      </c>
      <c r="U50" s="1012">
        <v>8</v>
      </c>
      <c r="V50" s="1012">
        <v>0</v>
      </c>
      <c r="W50" s="1012">
        <v>0</v>
      </c>
      <c r="X50" s="1012">
        <v>8</v>
      </c>
      <c r="Y50" s="1012">
        <v>0</v>
      </c>
      <c r="Z50" s="1013">
        <v>0</v>
      </c>
    </row>
    <row r="51" spans="1:26" ht="14.95" customHeight="1" x14ac:dyDescent="0.25">
      <c r="A51" s="368">
        <v>13</v>
      </c>
      <c r="B51" s="1014" t="s">
        <v>933</v>
      </c>
      <c r="C51" s="252"/>
      <c r="D51" s="1010" t="s">
        <v>375</v>
      </c>
      <c r="E51" s="1011">
        <v>191</v>
      </c>
      <c r="F51" s="980"/>
      <c r="G51" s="1012">
        <v>0</v>
      </c>
      <c r="H51" s="1012">
        <v>0</v>
      </c>
      <c r="I51" s="1012">
        <v>8</v>
      </c>
      <c r="J51" s="1012">
        <v>0</v>
      </c>
      <c r="K51" s="1012">
        <v>0</v>
      </c>
      <c r="L51" s="1012">
        <v>8</v>
      </c>
      <c r="M51" s="1012">
        <v>0</v>
      </c>
      <c r="N51" s="1012">
        <v>0</v>
      </c>
      <c r="O51" s="1012">
        <v>8</v>
      </c>
      <c r="P51" s="1012">
        <v>0</v>
      </c>
      <c r="Q51" s="1012">
        <v>0</v>
      </c>
      <c r="R51" s="1012">
        <v>8</v>
      </c>
      <c r="S51" s="1012">
        <v>0</v>
      </c>
      <c r="T51" s="1012">
        <v>0</v>
      </c>
      <c r="U51" s="1012">
        <v>8</v>
      </c>
      <c r="V51" s="1012">
        <v>0</v>
      </c>
      <c r="W51" s="1012">
        <v>0</v>
      </c>
      <c r="X51" s="1012">
        <v>8</v>
      </c>
      <c r="Y51" s="1012">
        <v>0</v>
      </c>
      <c r="Z51" s="1013">
        <v>0</v>
      </c>
    </row>
    <row r="52" spans="1:26" ht="14.95" customHeight="1" x14ac:dyDescent="0.25">
      <c r="A52" s="368">
        <v>14</v>
      </c>
      <c r="B52" s="1014" t="s">
        <v>384</v>
      </c>
      <c r="C52" s="252"/>
      <c r="D52" s="1010" t="s">
        <v>375</v>
      </c>
      <c r="E52" s="1011">
        <v>191</v>
      </c>
      <c r="F52" s="980"/>
      <c r="G52" s="1012">
        <v>0</v>
      </c>
      <c r="H52" s="1012">
        <v>0</v>
      </c>
      <c r="I52" s="1012">
        <v>0</v>
      </c>
      <c r="J52" s="1012">
        <v>0</v>
      </c>
      <c r="K52" s="1012">
        <v>24</v>
      </c>
      <c r="L52" s="1012">
        <v>0</v>
      </c>
      <c r="M52" s="1012">
        <v>0</v>
      </c>
      <c r="N52" s="1012">
        <v>0</v>
      </c>
      <c r="O52" s="1012">
        <v>24</v>
      </c>
      <c r="P52" s="1012">
        <v>0</v>
      </c>
      <c r="Q52" s="1012">
        <v>0</v>
      </c>
      <c r="R52" s="1012">
        <v>0</v>
      </c>
      <c r="S52" s="1012">
        <v>24</v>
      </c>
      <c r="T52" s="1012">
        <v>0</v>
      </c>
      <c r="U52" s="1012">
        <v>0</v>
      </c>
      <c r="V52" s="1012">
        <v>0</v>
      </c>
      <c r="W52" s="1012">
        <v>24</v>
      </c>
      <c r="X52" s="1012">
        <v>0</v>
      </c>
      <c r="Y52" s="1012">
        <v>0</v>
      </c>
      <c r="Z52" s="1012">
        <v>0</v>
      </c>
    </row>
    <row r="53" spans="1:26" ht="14.95" customHeight="1" x14ac:dyDescent="0.25">
      <c r="A53" s="368">
        <v>15</v>
      </c>
      <c r="B53" s="1014" t="s">
        <v>934</v>
      </c>
      <c r="C53" s="252"/>
      <c r="D53" s="1010" t="s">
        <v>375</v>
      </c>
      <c r="E53" s="1011">
        <v>191</v>
      </c>
      <c r="F53" s="980"/>
      <c r="G53" s="1012">
        <v>0</v>
      </c>
      <c r="H53" s="1012">
        <v>0</v>
      </c>
      <c r="I53" s="1012">
        <v>10</v>
      </c>
      <c r="J53" s="1012">
        <v>0</v>
      </c>
      <c r="K53" s="1012">
        <v>0</v>
      </c>
      <c r="L53" s="1012">
        <v>10</v>
      </c>
      <c r="M53" s="1012">
        <v>0</v>
      </c>
      <c r="N53" s="1012">
        <v>0</v>
      </c>
      <c r="O53" s="1012">
        <v>10</v>
      </c>
      <c r="P53" s="1012">
        <v>0</v>
      </c>
      <c r="Q53" s="1012">
        <v>0</v>
      </c>
      <c r="R53" s="1012">
        <v>10</v>
      </c>
      <c r="S53" s="1012">
        <v>0</v>
      </c>
      <c r="T53" s="1012">
        <v>0</v>
      </c>
      <c r="U53" s="1012">
        <v>10</v>
      </c>
      <c r="V53" s="1012">
        <v>0</v>
      </c>
      <c r="W53" s="1012">
        <v>0</v>
      </c>
      <c r="X53" s="1012">
        <v>10</v>
      </c>
      <c r="Y53" s="1012">
        <v>0</v>
      </c>
      <c r="Z53" s="1013">
        <v>0</v>
      </c>
    </row>
    <row r="54" spans="1:26" ht="14.95" customHeight="1" x14ac:dyDescent="0.25">
      <c r="A54" s="368">
        <v>16</v>
      </c>
      <c r="B54" s="1014" t="s">
        <v>935</v>
      </c>
      <c r="C54" s="252"/>
      <c r="D54" s="1010" t="s">
        <v>375</v>
      </c>
      <c r="E54" s="1011">
        <v>191</v>
      </c>
      <c r="F54" s="980"/>
      <c r="G54" s="1012">
        <v>0</v>
      </c>
      <c r="H54" s="1012">
        <v>0</v>
      </c>
      <c r="I54" s="1012">
        <v>12</v>
      </c>
      <c r="J54" s="1012">
        <v>0</v>
      </c>
      <c r="K54" s="1012">
        <v>0</v>
      </c>
      <c r="L54" s="1012">
        <v>12</v>
      </c>
      <c r="M54" s="1012">
        <v>0</v>
      </c>
      <c r="N54" s="1012">
        <v>0</v>
      </c>
      <c r="O54" s="1012">
        <v>12</v>
      </c>
      <c r="P54" s="1012">
        <v>0</v>
      </c>
      <c r="Q54" s="1012">
        <v>0</v>
      </c>
      <c r="R54" s="1012">
        <v>12</v>
      </c>
      <c r="S54" s="1012">
        <v>0</v>
      </c>
      <c r="T54" s="1012">
        <v>0</v>
      </c>
      <c r="U54" s="1012">
        <v>12</v>
      </c>
      <c r="V54" s="1012">
        <v>0</v>
      </c>
      <c r="W54" s="1012">
        <v>0</v>
      </c>
      <c r="X54" s="1012">
        <v>12</v>
      </c>
      <c r="Y54" s="1012">
        <v>0</v>
      </c>
      <c r="Z54" s="1013">
        <v>0</v>
      </c>
    </row>
    <row r="55" spans="1:26" ht="14.95" customHeight="1" x14ac:dyDescent="0.25">
      <c r="A55" s="368">
        <v>17</v>
      </c>
      <c r="B55" s="1014" t="s">
        <v>936</v>
      </c>
      <c r="C55" s="252"/>
      <c r="D55" s="1010" t="s">
        <v>375</v>
      </c>
      <c r="E55" s="1011">
        <v>191</v>
      </c>
      <c r="F55" s="980"/>
      <c r="G55" s="1012">
        <v>0</v>
      </c>
      <c r="H55" s="1012">
        <v>0</v>
      </c>
      <c r="I55" s="1012">
        <v>8</v>
      </c>
      <c r="J55" s="1012">
        <v>0</v>
      </c>
      <c r="K55" s="1012">
        <v>0</v>
      </c>
      <c r="L55" s="1012">
        <v>8</v>
      </c>
      <c r="M55" s="1012">
        <v>0</v>
      </c>
      <c r="N55" s="1012">
        <v>0</v>
      </c>
      <c r="O55" s="1012">
        <v>8</v>
      </c>
      <c r="P55" s="1012">
        <v>0</v>
      </c>
      <c r="Q55" s="1012">
        <v>0</v>
      </c>
      <c r="R55" s="1012">
        <v>8</v>
      </c>
      <c r="S55" s="1012">
        <v>0</v>
      </c>
      <c r="T55" s="1012">
        <v>0</v>
      </c>
      <c r="U55" s="1012">
        <v>8</v>
      </c>
      <c r="V55" s="1012">
        <v>0</v>
      </c>
      <c r="W55" s="1012">
        <v>0</v>
      </c>
      <c r="X55" s="1012">
        <v>8</v>
      </c>
      <c r="Y55" s="1012">
        <v>0</v>
      </c>
      <c r="Z55" s="1013">
        <v>0</v>
      </c>
    </row>
    <row r="56" spans="1:26" ht="14.95" customHeight="1" x14ac:dyDescent="0.25">
      <c r="A56" s="368">
        <v>18</v>
      </c>
      <c r="B56" s="971" t="s">
        <v>937</v>
      </c>
      <c r="C56" s="252"/>
      <c r="D56" s="1010" t="s">
        <v>375</v>
      </c>
      <c r="E56" s="1011">
        <v>191</v>
      </c>
      <c r="F56" s="980"/>
      <c r="G56" s="1012">
        <v>0</v>
      </c>
      <c r="H56" s="1012">
        <v>0</v>
      </c>
      <c r="I56" s="1012">
        <v>0</v>
      </c>
      <c r="J56" s="1012">
        <v>20</v>
      </c>
      <c r="K56" s="1012">
        <v>0</v>
      </c>
      <c r="L56" s="1012">
        <v>0</v>
      </c>
      <c r="M56" s="1012">
        <v>20</v>
      </c>
      <c r="N56" s="1012">
        <v>0</v>
      </c>
      <c r="O56" s="1012">
        <v>0</v>
      </c>
      <c r="P56" s="1012">
        <v>20</v>
      </c>
      <c r="Q56" s="1012">
        <v>0</v>
      </c>
      <c r="R56" s="1012">
        <v>0</v>
      </c>
      <c r="S56" s="1012">
        <v>20</v>
      </c>
      <c r="T56" s="1012">
        <v>0</v>
      </c>
      <c r="U56" s="1012">
        <v>0</v>
      </c>
      <c r="V56" s="1012">
        <v>20</v>
      </c>
      <c r="W56" s="1012">
        <v>0</v>
      </c>
      <c r="X56" s="1012">
        <v>0</v>
      </c>
      <c r="Y56" s="1012">
        <v>20</v>
      </c>
      <c r="Z56" s="1013">
        <v>0</v>
      </c>
    </row>
    <row r="57" spans="1:26" ht="14.95" customHeight="1" x14ac:dyDescent="0.25">
      <c r="A57" s="368">
        <v>19</v>
      </c>
      <c r="B57" s="971" t="s">
        <v>938</v>
      </c>
      <c r="C57" s="252"/>
      <c r="D57" s="1010" t="s">
        <v>375</v>
      </c>
      <c r="E57" s="1011">
        <v>191</v>
      </c>
      <c r="F57" s="980"/>
      <c r="G57" s="1012">
        <v>0</v>
      </c>
      <c r="H57" s="1012">
        <v>0</v>
      </c>
      <c r="I57" s="1012">
        <v>0</v>
      </c>
      <c r="J57" s="1012">
        <v>16</v>
      </c>
      <c r="K57" s="1012">
        <v>0</v>
      </c>
      <c r="L57" s="1012">
        <v>0</v>
      </c>
      <c r="M57" s="1012">
        <v>16</v>
      </c>
      <c r="N57" s="1012">
        <v>0</v>
      </c>
      <c r="O57" s="1012">
        <v>0</v>
      </c>
      <c r="P57" s="1012">
        <v>16</v>
      </c>
      <c r="Q57" s="1012">
        <v>0</v>
      </c>
      <c r="R57" s="1012">
        <v>0</v>
      </c>
      <c r="S57" s="1012">
        <v>16</v>
      </c>
      <c r="T57" s="1012">
        <v>0</v>
      </c>
      <c r="U57" s="1012">
        <v>0</v>
      </c>
      <c r="V57" s="1012">
        <v>16</v>
      </c>
      <c r="W57" s="1012">
        <v>0</v>
      </c>
      <c r="X57" s="1012">
        <v>0</v>
      </c>
      <c r="Y57" s="1012">
        <v>16</v>
      </c>
      <c r="Z57" s="1013">
        <v>0</v>
      </c>
    </row>
    <row r="58" spans="1:26" ht="14.95" customHeight="1" thickBot="1" x14ac:dyDescent="0.3">
      <c r="A58" s="368">
        <v>20</v>
      </c>
      <c r="B58" s="982" t="s">
        <v>939</v>
      </c>
      <c r="C58" s="1016"/>
      <c r="D58" s="1017" t="s">
        <v>375</v>
      </c>
      <c r="E58" s="1018">
        <v>191</v>
      </c>
      <c r="F58" s="986"/>
      <c r="G58" s="987">
        <f>G34*2</f>
        <v>218</v>
      </c>
      <c r="H58" s="987">
        <f t="shared" ref="H58:Z58" si="18">H34*2</f>
        <v>214</v>
      </c>
      <c r="I58" s="987">
        <f t="shared" si="18"/>
        <v>308</v>
      </c>
      <c r="J58" s="987">
        <f t="shared" si="18"/>
        <v>452</v>
      </c>
      <c r="K58" s="987">
        <f t="shared" si="18"/>
        <v>226</v>
      </c>
      <c r="L58" s="987">
        <f t="shared" si="18"/>
        <v>272</v>
      </c>
      <c r="M58" s="987">
        <f t="shared" si="18"/>
        <v>246</v>
      </c>
      <c r="N58" s="987">
        <f t="shared" si="18"/>
        <v>416</v>
      </c>
      <c r="O58" s="987">
        <f t="shared" si="18"/>
        <v>308</v>
      </c>
      <c r="P58" s="987">
        <f t="shared" si="18"/>
        <v>282</v>
      </c>
      <c r="Q58" s="987">
        <f t="shared" si="18"/>
        <v>356</v>
      </c>
      <c r="R58" s="987">
        <f t="shared" si="18"/>
        <v>348</v>
      </c>
      <c r="S58" s="987">
        <f t="shared" si="18"/>
        <v>246</v>
      </c>
      <c r="T58" s="987">
        <f t="shared" si="18"/>
        <v>198</v>
      </c>
      <c r="U58" s="987">
        <f t="shared" si="18"/>
        <v>502</v>
      </c>
      <c r="V58" s="987">
        <f t="shared" si="18"/>
        <v>326</v>
      </c>
      <c r="W58" s="987">
        <f t="shared" si="18"/>
        <v>178</v>
      </c>
      <c r="X58" s="987">
        <f t="shared" si="18"/>
        <v>430</v>
      </c>
      <c r="Y58" s="987">
        <f t="shared" si="18"/>
        <v>246</v>
      </c>
      <c r="Z58" s="988">
        <f t="shared" si="18"/>
        <v>310</v>
      </c>
    </row>
    <row r="59" spans="1:26" ht="16.5" customHeight="1" x14ac:dyDescent="0.25"/>
    <row r="60" spans="1:26" ht="14.95" thickBot="1" x14ac:dyDescent="0.3">
      <c r="B60" s="401" t="s">
        <v>940</v>
      </c>
      <c r="C60" s="930"/>
      <c r="D60" s="891"/>
      <c r="E60" s="891"/>
      <c r="F60" s="891"/>
      <c r="G60" s="1020"/>
      <c r="H60" s="891"/>
      <c r="I60" s="891"/>
      <c r="J60" s="891"/>
      <c r="K60" s="891"/>
      <c r="L60" s="891"/>
      <c r="M60" s="891"/>
      <c r="N60" s="891"/>
      <c r="O60" s="891"/>
      <c r="P60" s="891"/>
      <c r="Q60" s="891"/>
      <c r="R60" s="891"/>
      <c r="S60" s="892"/>
      <c r="T60" s="892"/>
      <c r="U60" s="892"/>
      <c r="V60" s="892"/>
      <c r="W60" s="892"/>
      <c r="X60" s="892"/>
      <c r="Y60" s="892"/>
      <c r="Z60" s="892"/>
    </row>
    <row r="61" spans="1:26" s="1024" customFormat="1" ht="41.95" customHeight="1" thickBot="1" x14ac:dyDescent="0.3">
      <c r="A61" s="368"/>
      <c r="B61" s="931" t="s">
        <v>921</v>
      </c>
      <c r="C61" s="960"/>
      <c r="D61" s="1021" t="s">
        <v>941</v>
      </c>
      <c r="E61" s="1021" t="s">
        <v>392</v>
      </c>
      <c r="F61" s="1021" t="s">
        <v>393</v>
      </c>
      <c r="G61" s="1022">
        <f t="shared" ref="G61:Z61" si="19">SUM(G62:G81)</f>
        <v>0</v>
      </c>
      <c r="H61" s="1022">
        <f t="shared" si="19"/>
        <v>151610.4</v>
      </c>
      <c r="I61" s="1022">
        <f t="shared" si="19"/>
        <v>3293540.7700000005</v>
      </c>
      <c r="J61" s="1022">
        <f t="shared" si="19"/>
        <v>1329650.6000000001</v>
      </c>
      <c r="K61" s="1022">
        <f t="shared" si="19"/>
        <v>207444.13999999998</v>
      </c>
      <c r="L61" s="1022">
        <f t="shared" si="19"/>
        <v>3259166.99</v>
      </c>
      <c r="M61" s="1022">
        <f t="shared" si="19"/>
        <v>47961.74</v>
      </c>
      <c r="N61" s="1022">
        <f t="shared" si="19"/>
        <v>1481261</v>
      </c>
      <c r="O61" s="1022">
        <f t="shared" si="19"/>
        <v>6533291.8700000001</v>
      </c>
      <c r="P61" s="1022">
        <f t="shared" si="19"/>
        <v>44023</v>
      </c>
      <c r="Q61" s="1022">
        <f t="shared" si="19"/>
        <v>14777315.299999999</v>
      </c>
      <c r="R61" s="1022">
        <f t="shared" si="19"/>
        <v>3259166.99</v>
      </c>
      <c r="S61" s="1022">
        <f t="shared" si="19"/>
        <v>99856.739999999991</v>
      </c>
      <c r="T61" s="1022">
        <f t="shared" si="19"/>
        <v>107587.4</v>
      </c>
      <c r="U61" s="1022">
        <f t="shared" si="19"/>
        <v>4575229.63</v>
      </c>
      <c r="V61" s="1022">
        <f t="shared" si="19"/>
        <v>96182.94</v>
      </c>
      <c r="W61" s="1022">
        <f t="shared" si="19"/>
        <v>107587.4</v>
      </c>
      <c r="X61" s="1022">
        <f t="shared" si="19"/>
        <v>7876530.4299999997</v>
      </c>
      <c r="Y61" s="1022">
        <f t="shared" si="19"/>
        <v>44023</v>
      </c>
      <c r="Z61" s="1023">
        <f t="shared" si="19"/>
        <v>237352.27000000002</v>
      </c>
    </row>
    <row r="62" spans="1:26" x14ac:dyDescent="0.25">
      <c r="A62" s="368">
        <v>1</v>
      </c>
      <c r="B62" s="1025" t="s">
        <v>395</v>
      </c>
      <c r="C62" s="1026"/>
      <c r="D62" s="1027"/>
      <c r="E62" s="1028"/>
      <c r="F62" s="1028"/>
      <c r="G62" s="1028"/>
      <c r="H62" s="1028"/>
      <c r="I62" s="1028"/>
      <c r="J62" s="1028"/>
      <c r="K62" s="1028"/>
      <c r="L62" s="1028"/>
      <c r="M62" s="1028"/>
      <c r="N62" s="1028"/>
      <c r="O62" s="1028"/>
      <c r="P62" s="1028"/>
      <c r="Q62" s="1028"/>
      <c r="R62" s="1028"/>
      <c r="S62" s="1029"/>
      <c r="T62" s="1029"/>
      <c r="U62" s="1029"/>
      <c r="V62" s="1029"/>
      <c r="W62" s="1029"/>
      <c r="X62" s="1029"/>
      <c r="Y62" s="1029"/>
      <c r="Z62" s="1030"/>
    </row>
    <row r="63" spans="1:26" x14ac:dyDescent="0.25">
      <c r="A63" s="368">
        <v>2</v>
      </c>
      <c r="B63" s="909" t="s">
        <v>596</v>
      </c>
      <c r="C63" s="1031"/>
      <c r="D63" s="1032">
        <v>2327660.9</v>
      </c>
      <c r="E63" s="913">
        <v>20000</v>
      </c>
      <c r="F63" s="912">
        <v>1</v>
      </c>
      <c r="G63" s="1033">
        <v>0</v>
      </c>
      <c r="H63" s="1033">
        <v>0</v>
      </c>
      <c r="I63" s="1033">
        <f>$D63*$F63</f>
        <v>2327660.9</v>
      </c>
      <c r="J63" s="1033">
        <v>0</v>
      </c>
      <c r="K63" s="1033">
        <v>0</v>
      </c>
      <c r="L63" s="1033">
        <f>$D63*$F63</f>
        <v>2327660.9</v>
      </c>
      <c r="M63" s="1033">
        <v>0</v>
      </c>
      <c r="N63" s="1033">
        <v>0</v>
      </c>
      <c r="O63" s="1033">
        <v>5559540</v>
      </c>
      <c r="P63" s="1033">
        <v>0</v>
      </c>
      <c r="Q63" s="1033">
        <v>0</v>
      </c>
      <c r="R63" s="1033">
        <f>$D63*$F63</f>
        <v>2327660.9</v>
      </c>
      <c r="S63" s="1033">
        <v>0</v>
      </c>
      <c r="T63" s="1033">
        <v>0</v>
      </c>
      <c r="U63" s="1033">
        <f>$D63*$F63</f>
        <v>2327660.9</v>
      </c>
      <c r="V63" s="1033">
        <v>0</v>
      </c>
      <c r="W63" s="1033">
        <v>0</v>
      </c>
      <c r="X63" s="1033">
        <v>5559540</v>
      </c>
      <c r="Y63" s="1033">
        <v>0</v>
      </c>
      <c r="Z63" s="1034">
        <v>0</v>
      </c>
    </row>
    <row r="64" spans="1:26" x14ac:dyDescent="0.25">
      <c r="A64" s="368">
        <v>3</v>
      </c>
      <c r="B64" s="909" t="s">
        <v>597</v>
      </c>
      <c r="C64" s="1031"/>
      <c r="D64" s="1032">
        <v>107587.4</v>
      </c>
      <c r="E64" s="913">
        <v>14000</v>
      </c>
      <c r="F64" s="912">
        <v>4</v>
      </c>
      <c r="G64" s="1033">
        <v>0</v>
      </c>
      <c r="H64" s="1035">
        <v>107587.4</v>
      </c>
      <c r="I64" s="1033">
        <v>0</v>
      </c>
      <c r="J64" s="1033">
        <v>0</v>
      </c>
      <c r="K64" s="1035">
        <v>107587.4</v>
      </c>
      <c r="L64" s="1033">
        <v>0</v>
      </c>
      <c r="M64" s="1033">
        <v>0</v>
      </c>
      <c r="N64" s="1035">
        <v>107587.4</v>
      </c>
      <c r="O64" s="1033">
        <v>0</v>
      </c>
      <c r="P64" s="1033">
        <v>0</v>
      </c>
      <c r="Q64" s="1035">
        <v>107587.4</v>
      </c>
      <c r="R64" s="1033">
        <v>0</v>
      </c>
      <c r="S64" s="1033">
        <v>0</v>
      </c>
      <c r="T64" s="1035">
        <v>107587.4</v>
      </c>
      <c r="U64" s="1033">
        <v>0</v>
      </c>
      <c r="V64" s="1033">
        <v>0</v>
      </c>
      <c r="W64" s="1035">
        <v>107587.4</v>
      </c>
      <c r="X64" s="1033">
        <v>0</v>
      </c>
      <c r="Y64" s="1033">
        <v>0</v>
      </c>
      <c r="Z64" s="1036">
        <v>107587.4</v>
      </c>
    </row>
    <row r="65" spans="1:26" x14ac:dyDescent="0.25">
      <c r="A65" s="368">
        <v>4</v>
      </c>
      <c r="B65" s="909" t="s">
        <v>923</v>
      </c>
      <c r="C65" s="1031"/>
      <c r="D65" s="1032">
        <v>34579.089999999997</v>
      </c>
      <c r="E65" s="913">
        <v>20000</v>
      </c>
      <c r="F65" s="912">
        <v>16</v>
      </c>
      <c r="G65" s="1033">
        <v>0</v>
      </c>
      <c r="H65" s="1033">
        <v>0</v>
      </c>
      <c r="I65" s="1035">
        <v>34579.089999999997</v>
      </c>
      <c r="J65" s="1033">
        <v>0</v>
      </c>
      <c r="K65" s="1033">
        <v>0</v>
      </c>
      <c r="L65" s="1035">
        <v>34579.089999999997</v>
      </c>
      <c r="M65" s="1033">
        <v>0</v>
      </c>
      <c r="N65" s="1033">
        <v>0</v>
      </c>
      <c r="O65" s="1035">
        <v>34579.089999999997</v>
      </c>
      <c r="P65" s="1033">
        <v>0</v>
      </c>
      <c r="Q65" s="1033">
        <v>0</v>
      </c>
      <c r="R65" s="1035">
        <v>34579.089999999997</v>
      </c>
      <c r="S65" s="1033">
        <v>0</v>
      </c>
      <c r="T65" s="1033">
        <v>0</v>
      </c>
      <c r="U65" s="1035">
        <v>34579.089999999997</v>
      </c>
      <c r="V65" s="1033">
        <v>0</v>
      </c>
      <c r="W65" s="1033">
        <v>0</v>
      </c>
      <c r="X65" s="1035">
        <v>34579.089999999997</v>
      </c>
      <c r="Y65" s="1033">
        <v>0</v>
      </c>
      <c r="Z65" s="1033">
        <v>0</v>
      </c>
    </row>
    <row r="66" spans="1:26" x14ac:dyDescent="0.25">
      <c r="A66" s="368">
        <v>5</v>
      </c>
      <c r="B66" s="909" t="s">
        <v>924</v>
      </c>
      <c r="C66" s="1031"/>
      <c r="D66" s="1032">
        <v>9439.2900000000009</v>
      </c>
      <c r="E66" s="913">
        <v>20000</v>
      </c>
      <c r="F66" s="912">
        <v>1</v>
      </c>
      <c r="G66" s="1033">
        <v>0</v>
      </c>
      <c r="H66" s="1033">
        <v>0</v>
      </c>
      <c r="I66" s="1035">
        <v>9439.2900000000009</v>
      </c>
      <c r="J66" s="1033">
        <v>0</v>
      </c>
      <c r="K66" s="1033">
        <v>0</v>
      </c>
      <c r="L66" s="1035">
        <v>9439.2900000000009</v>
      </c>
      <c r="M66" s="1033">
        <v>0</v>
      </c>
      <c r="N66" s="1033">
        <v>0</v>
      </c>
      <c r="O66" s="1035">
        <v>9439.2900000000009</v>
      </c>
      <c r="P66" s="1033">
        <v>0</v>
      </c>
      <c r="Q66" s="1033">
        <v>0</v>
      </c>
      <c r="R66" s="1035">
        <v>9439.2900000000009</v>
      </c>
      <c r="S66" s="1033">
        <v>0</v>
      </c>
      <c r="T66" s="1033">
        <v>0</v>
      </c>
      <c r="U66" s="1035">
        <v>9439.2900000000009</v>
      </c>
      <c r="V66" s="1033">
        <v>0</v>
      </c>
      <c r="W66" s="1033">
        <v>0</v>
      </c>
      <c r="X66" s="1035">
        <v>9439.2900000000009</v>
      </c>
      <c r="Y66" s="1033">
        <v>0</v>
      </c>
      <c r="Z66" s="1033">
        <v>0</v>
      </c>
    </row>
    <row r="67" spans="1:26" x14ac:dyDescent="0.25">
      <c r="A67" s="368">
        <v>6</v>
      </c>
      <c r="B67" s="909" t="s">
        <v>925</v>
      </c>
      <c r="C67" s="1031"/>
      <c r="D67" s="1032">
        <v>33592.959999999999</v>
      </c>
      <c r="E67" s="913">
        <v>25000</v>
      </c>
      <c r="F67" s="912">
        <v>1</v>
      </c>
      <c r="G67" s="1033">
        <v>0</v>
      </c>
      <c r="H67" s="1033">
        <v>0</v>
      </c>
      <c r="I67" s="1033">
        <v>0</v>
      </c>
      <c r="J67" s="913">
        <v>33592.959999999999</v>
      </c>
      <c r="K67" s="1033">
        <v>0</v>
      </c>
      <c r="L67" s="1033">
        <v>0</v>
      </c>
      <c r="M67" s="1033">
        <v>0</v>
      </c>
      <c r="N67" s="913">
        <v>33592.959999999999</v>
      </c>
      <c r="O67" s="1033">
        <v>0</v>
      </c>
      <c r="P67" s="1033">
        <v>0</v>
      </c>
      <c r="Q67" s="1035">
        <v>2676370.06</v>
      </c>
      <c r="R67" s="1033">
        <v>0</v>
      </c>
      <c r="S67" s="1033">
        <v>0</v>
      </c>
      <c r="T67" s="1033">
        <v>0</v>
      </c>
      <c r="U67" s="913">
        <v>33592.959999999999</v>
      </c>
      <c r="V67" s="1033">
        <v>0</v>
      </c>
      <c r="W67" s="1033">
        <v>0</v>
      </c>
      <c r="X67" s="913">
        <v>33592.959999999999</v>
      </c>
      <c r="Y67" s="1033">
        <v>0</v>
      </c>
      <c r="Z67" s="1033">
        <v>0</v>
      </c>
    </row>
    <row r="68" spans="1:26" x14ac:dyDescent="0.25">
      <c r="A68" s="368">
        <v>7</v>
      </c>
      <c r="B68" s="909" t="s">
        <v>377</v>
      </c>
      <c r="C68" s="1031"/>
      <c r="D68" s="1032">
        <v>542755.97</v>
      </c>
      <c r="E68" s="913">
        <v>25000</v>
      </c>
      <c r="F68" s="912">
        <v>2</v>
      </c>
      <c r="G68" s="1033">
        <v>0</v>
      </c>
      <c r="H68" s="1033">
        <v>0</v>
      </c>
      <c r="I68" s="1033">
        <v>0</v>
      </c>
      <c r="J68" s="913">
        <v>1085511.94</v>
      </c>
      <c r="K68" s="1033">
        <v>0</v>
      </c>
      <c r="L68" s="1033">
        <v>0</v>
      </c>
      <c r="M68" s="1033">
        <v>0</v>
      </c>
      <c r="N68" s="913">
        <v>1085511.94</v>
      </c>
      <c r="O68" s="1033">
        <v>0</v>
      </c>
      <c r="P68" s="1033">
        <v>0</v>
      </c>
      <c r="Q68" s="1035">
        <f>5867425.2*2</f>
        <v>11734850.4</v>
      </c>
      <c r="R68" s="1033">
        <v>0</v>
      </c>
      <c r="S68" s="1033">
        <v>0</v>
      </c>
      <c r="T68" s="1033">
        <v>0</v>
      </c>
      <c r="U68" s="913">
        <v>1085511.94</v>
      </c>
      <c r="V68" s="1033">
        <v>0</v>
      </c>
      <c r="W68" s="1033">
        <v>0</v>
      </c>
      <c r="X68" s="913">
        <v>1085511.94</v>
      </c>
      <c r="Y68" s="1033">
        <v>0</v>
      </c>
      <c r="Z68" s="1033">
        <v>0</v>
      </c>
    </row>
    <row r="69" spans="1:26" x14ac:dyDescent="0.25">
      <c r="A69" s="368">
        <v>8</v>
      </c>
      <c r="B69" s="909" t="s">
        <v>926</v>
      </c>
      <c r="C69" s="1031"/>
      <c r="D69" s="1032">
        <v>128694.84000000001</v>
      </c>
      <c r="E69" s="913">
        <v>25000</v>
      </c>
      <c r="F69" s="912">
        <v>1</v>
      </c>
      <c r="G69" s="1033">
        <v>0</v>
      </c>
      <c r="H69" s="1033">
        <v>0</v>
      </c>
      <c r="I69" s="1033">
        <v>0</v>
      </c>
      <c r="J69" s="913">
        <v>128694.84000000001</v>
      </c>
      <c r="K69" s="1033">
        <v>0</v>
      </c>
      <c r="L69" s="1033">
        <v>0</v>
      </c>
      <c r="M69" s="1033">
        <v>0</v>
      </c>
      <c r="N69" s="913">
        <v>128694.84000000001</v>
      </c>
      <c r="O69" s="1033">
        <v>0</v>
      </c>
      <c r="P69" s="1033">
        <v>0</v>
      </c>
      <c r="Q69" s="913">
        <v>128694.84000000001</v>
      </c>
      <c r="R69" s="1033">
        <v>0</v>
      </c>
      <c r="S69" s="1033">
        <v>0</v>
      </c>
      <c r="T69" s="1033">
        <v>0</v>
      </c>
      <c r="U69" s="913">
        <v>128694.84000000001</v>
      </c>
      <c r="V69" s="1033">
        <v>0</v>
      </c>
      <c r="W69" s="1033">
        <v>0</v>
      </c>
      <c r="X69" s="913">
        <v>128694.84000000001</v>
      </c>
      <c r="Y69" s="1033">
        <v>0</v>
      </c>
      <c r="Z69" s="1033">
        <v>0</v>
      </c>
    </row>
    <row r="70" spans="1:26" x14ac:dyDescent="0.25">
      <c r="A70" s="368">
        <v>9</v>
      </c>
      <c r="B70" s="909" t="s">
        <v>929</v>
      </c>
      <c r="C70" s="1031"/>
      <c r="D70" s="1032">
        <v>36095.040000000001</v>
      </c>
      <c r="E70" s="913">
        <v>20000</v>
      </c>
      <c r="F70" s="912">
        <v>4</v>
      </c>
      <c r="G70" s="1033">
        <v>0</v>
      </c>
      <c r="H70" s="1033">
        <v>0</v>
      </c>
      <c r="I70" s="1035">
        <f>36095.04+H70</f>
        <v>36095.040000000001</v>
      </c>
      <c r="J70" s="1033">
        <v>0</v>
      </c>
      <c r="K70" s="1033">
        <v>0</v>
      </c>
      <c r="L70" s="1033">
        <v>49683</v>
      </c>
      <c r="M70" s="1033">
        <v>0</v>
      </c>
      <c r="N70" s="1033">
        <v>0</v>
      </c>
      <c r="O70" s="1035">
        <f t="shared" ref="O70" si="20">36095.04+N70</f>
        <v>36095.040000000001</v>
      </c>
      <c r="P70" s="1033">
        <v>0</v>
      </c>
      <c r="Q70" s="1033">
        <v>0</v>
      </c>
      <c r="R70" s="1033">
        <v>49683</v>
      </c>
      <c r="S70" s="1033">
        <v>0</v>
      </c>
      <c r="T70" s="1033">
        <v>0</v>
      </c>
      <c r="U70" s="1035">
        <f t="shared" ref="U70" si="21">36095.04+T70</f>
        <v>36095.040000000001</v>
      </c>
      <c r="V70" s="1033">
        <v>0</v>
      </c>
      <c r="W70" s="1033">
        <v>0</v>
      </c>
      <c r="X70" s="1033">
        <v>49683</v>
      </c>
      <c r="Y70" s="1033">
        <v>0</v>
      </c>
      <c r="Z70" s="1033">
        <v>0</v>
      </c>
    </row>
    <row r="71" spans="1:26" x14ac:dyDescent="0.25">
      <c r="A71" s="368">
        <v>10</v>
      </c>
      <c r="B71" s="909" t="s">
        <v>930</v>
      </c>
      <c r="C71" s="1031"/>
      <c r="D71" s="1032">
        <v>33889.120000000003</v>
      </c>
      <c r="E71" s="913">
        <v>25000</v>
      </c>
      <c r="F71" s="912">
        <v>2</v>
      </c>
      <c r="G71" s="1033">
        <v>0</v>
      </c>
      <c r="H71" s="1033">
        <v>0</v>
      </c>
      <c r="I71" s="1033">
        <v>0</v>
      </c>
      <c r="J71" s="1035">
        <v>33889.120000000003</v>
      </c>
      <c r="K71" s="1033">
        <v>0</v>
      </c>
      <c r="L71" s="1033">
        <v>0</v>
      </c>
      <c r="M71" s="1033">
        <v>0</v>
      </c>
      <c r="N71" s="1035">
        <v>33889.120000000003</v>
      </c>
      <c r="O71" s="1033">
        <v>0</v>
      </c>
      <c r="P71" s="1033">
        <v>0</v>
      </c>
      <c r="Q71" s="1035">
        <v>33889.120000000003</v>
      </c>
      <c r="R71" s="1033">
        <v>0</v>
      </c>
      <c r="S71" s="1033">
        <v>0</v>
      </c>
      <c r="T71" s="1033">
        <v>0</v>
      </c>
      <c r="U71" s="1035">
        <v>33889.120000000003</v>
      </c>
      <c r="V71" s="1033">
        <v>0</v>
      </c>
      <c r="W71" s="1033">
        <v>0</v>
      </c>
      <c r="X71" s="1035">
        <v>33889.120000000003</v>
      </c>
      <c r="Y71" s="1033">
        <v>0</v>
      </c>
      <c r="Z71" s="1033">
        <v>0</v>
      </c>
    </row>
    <row r="72" spans="1:26" x14ac:dyDescent="0.25">
      <c r="A72" s="368">
        <v>11</v>
      </c>
      <c r="B72" s="909" t="s">
        <v>931</v>
      </c>
      <c r="C72" s="1031"/>
      <c r="D72" s="1032">
        <v>4198.2</v>
      </c>
      <c r="E72" s="913">
        <v>20000</v>
      </c>
      <c r="F72" s="912">
        <v>2</v>
      </c>
      <c r="G72" s="1033">
        <v>0</v>
      </c>
      <c r="H72" s="1033">
        <v>0</v>
      </c>
      <c r="I72" s="1035">
        <v>4198.2</v>
      </c>
      <c r="J72" s="1035">
        <v>0</v>
      </c>
      <c r="K72" s="1033">
        <v>0</v>
      </c>
      <c r="L72" s="1035">
        <v>4198.2</v>
      </c>
      <c r="M72" s="1033">
        <v>0</v>
      </c>
      <c r="N72" s="1035">
        <v>0</v>
      </c>
      <c r="O72" s="1035">
        <v>4198.2</v>
      </c>
      <c r="P72" s="1033">
        <v>0</v>
      </c>
      <c r="Q72" s="1033">
        <v>0</v>
      </c>
      <c r="R72" s="1035">
        <v>4198.2</v>
      </c>
      <c r="S72" s="1033">
        <v>0</v>
      </c>
      <c r="T72" s="1033">
        <v>0</v>
      </c>
      <c r="U72" s="1035">
        <v>4198.2</v>
      </c>
      <c r="V72" s="1035">
        <v>4198.2</v>
      </c>
      <c r="W72" s="1033">
        <v>0</v>
      </c>
      <c r="X72" s="1035">
        <v>4198.2</v>
      </c>
      <c r="Y72" s="1033">
        <v>0</v>
      </c>
      <c r="Z72" s="1036">
        <v>4198.2</v>
      </c>
    </row>
    <row r="73" spans="1:26" x14ac:dyDescent="0.25">
      <c r="A73" s="368">
        <v>12</v>
      </c>
      <c r="B73" s="909" t="s">
        <v>932</v>
      </c>
      <c r="C73" s="1031"/>
      <c r="D73" s="1032">
        <v>76284.34</v>
      </c>
      <c r="E73" s="913">
        <v>20000</v>
      </c>
      <c r="F73" s="912">
        <v>1</v>
      </c>
      <c r="G73" s="1033">
        <v>0</v>
      </c>
      <c r="H73" s="1033">
        <v>0</v>
      </c>
      <c r="I73" s="1033">
        <v>76284.34</v>
      </c>
      <c r="J73" s="1035">
        <v>0</v>
      </c>
      <c r="K73" s="1033">
        <v>0</v>
      </c>
      <c r="L73" s="1033">
        <v>76284.34</v>
      </c>
      <c r="M73" s="1033">
        <v>0</v>
      </c>
      <c r="N73" s="1035">
        <v>0</v>
      </c>
      <c r="O73" s="1033">
        <v>76284.34</v>
      </c>
      <c r="P73" s="1033">
        <v>0</v>
      </c>
      <c r="Q73" s="1033">
        <v>0</v>
      </c>
      <c r="R73" s="1033">
        <v>76284.34</v>
      </c>
      <c r="S73" s="1033">
        <v>0</v>
      </c>
      <c r="T73" s="1033">
        <v>0</v>
      </c>
      <c r="U73" s="1033">
        <v>76284.34</v>
      </c>
      <c r="V73" s="1033">
        <v>0</v>
      </c>
      <c r="W73" s="1033">
        <v>0</v>
      </c>
      <c r="X73" s="1033">
        <v>76284.34</v>
      </c>
      <c r="Y73" s="1033">
        <v>0</v>
      </c>
      <c r="Z73" s="1034">
        <v>76284.34</v>
      </c>
    </row>
    <row r="74" spans="1:26" x14ac:dyDescent="0.25">
      <c r="A74" s="368">
        <v>13</v>
      </c>
      <c r="B74" s="1037" t="s">
        <v>933</v>
      </c>
      <c r="C74" s="1038"/>
      <c r="D74" s="1039">
        <v>49282.33</v>
      </c>
      <c r="E74" s="913">
        <v>20000</v>
      </c>
      <c r="F74" s="912">
        <v>1</v>
      </c>
      <c r="G74" s="1033">
        <v>0</v>
      </c>
      <c r="H74" s="1033">
        <v>0</v>
      </c>
      <c r="I74" s="1033">
        <v>49282.33</v>
      </c>
      <c r="J74" s="1035">
        <v>0</v>
      </c>
      <c r="K74" s="1033">
        <v>0</v>
      </c>
      <c r="L74" s="1033">
        <v>49282.33</v>
      </c>
      <c r="M74" s="1033">
        <v>0</v>
      </c>
      <c r="N74" s="1035">
        <v>0</v>
      </c>
      <c r="O74" s="1033">
        <v>49282.33</v>
      </c>
      <c r="P74" s="1033">
        <v>0</v>
      </c>
      <c r="Q74" s="1033">
        <v>0</v>
      </c>
      <c r="R74" s="1033">
        <v>49282.33</v>
      </c>
      <c r="S74" s="1033">
        <v>0</v>
      </c>
      <c r="T74" s="1033">
        <v>0</v>
      </c>
      <c r="U74" s="1033">
        <v>49282.33</v>
      </c>
      <c r="V74" s="1033">
        <v>0</v>
      </c>
      <c r="W74" s="1033">
        <v>0</v>
      </c>
      <c r="X74" s="1033">
        <v>49282.33</v>
      </c>
      <c r="Y74" s="1033">
        <v>0</v>
      </c>
      <c r="Z74" s="1034">
        <v>49282.33</v>
      </c>
    </row>
    <row r="75" spans="1:26" x14ac:dyDescent="0.25">
      <c r="A75" s="368">
        <v>14</v>
      </c>
      <c r="B75" s="1037" t="s">
        <v>384</v>
      </c>
      <c r="C75" s="1038"/>
      <c r="D75" s="1039">
        <v>504000</v>
      </c>
      <c r="E75" s="913">
        <v>20000</v>
      </c>
      <c r="F75" s="912">
        <v>1</v>
      </c>
      <c r="G75" s="1033">
        <v>0</v>
      </c>
      <c r="H75" s="1033">
        <v>0</v>
      </c>
      <c r="I75" s="1033">
        <v>504000</v>
      </c>
      <c r="J75" s="1035">
        <v>0</v>
      </c>
      <c r="K75" s="1033">
        <v>0</v>
      </c>
      <c r="L75" s="1033">
        <v>504000</v>
      </c>
      <c r="M75" s="1033">
        <v>0</v>
      </c>
      <c r="N75" s="1035">
        <v>0</v>
      </c>
      <c r="O75" s="1033">
        <v>504000</v>
      </c>
      <c r="P75" s="1033">
        <v>0</v>
      </c>
      <c r="Q75" s="1033">
        <v>0</v>
      </c>
      <c r="R75" s="1033">
        <v>504000</v>
      </c>
      <c r="S75" s="1033">
        <v>0</v>
      </c>
      <c r="T75" s="1033">
        <v>0</v>
      </c>
      <c r="U75" s="1033">
        <v>504000</v>
      </c>
      <c r="V75" s="1033">
        <v>0</v>
      </c>
      <c r="W75" s="1033">
        <v>0</v>
      </c>
      <c r="X75" s="1033">
        <v>504000</v>
      </c>
      <c r="Y75" s="1033">
        <v>0</v>
      </c>
      <c r="Z75" s="1034">
        <v>0</v>
      </c>
    </row>
    <row r="76" spans="1:26" x14ac:dyDescent="0.25">
      <c r="A76" s="368">
        <v>15</v>
      </c>
      <c r="B76" s="1037" t="s">
        <v>934</v>
      </c>
      <c r="C76" s="1038"/>
      <c r="D76" s="1039">
        <v>7872</v>
      </c>
      <c r="E76" s="913">
        <v>30000</v>
      </c>
      <c r="F76" s="912">
        <v>1</v>
      </c>
      <c r="G76" s="1033">
        <v>0</v>
      </c>
      <c r="H76" s="1033">
        <v>0</v>
      </c>
      <c r="I76" s="1033">
        <v>0</v>
      </c>
      <c r="J76" s="1033">
        <v>0</v>
      </c>
      <c r="K76" s="1033">
        <v>7872</v>
      </c>
      <c r="L76" s="1033">
        <v>0</v>
      </c>
      <c r="M76" s="1033">
        <v>0</v>
      </c>
      <c r="N76" s="1033">
        <v>0</v>
      </c>
      <c r="O76" s="1033">
        <v>7872</v>
      </c>
      <c r="P76" s="1033">
        <v>0</v>
      </c>
      <c r="Q76" s="1033">
        <v>0</v>
      </c>
      <c r="R76" s="1033">
        <v>0</v>
      </c>
      <c r="S76" s="1033">
        <v>7872</v>
      </c>
      <c r="T76" s="1033">
        <v>0</v>
      </c>
      <c r="U76" s="1033">
        <v>0</v>
      </c>
      <c r="V76" s="1033">
        <v>0</v>
      </c>
      <c r="W76" s="1033">
        <v>0</v>
      </c>
      <c r="X76" s="1033">
        <v>7872</v>
      </c>
      <c r="Y76" s="1033">
        <v>0</v>
      </c>
      <c r="Z76" s="1033">
        <v>0</v>
      </c>
    </row>
    <row r="77" spans="1:26" x14ac:dyDescent="0.25">
      <c r="A77" s="368">
        <v>16</v>
      </c>
      <c r="B77" s="1037" t="s">
        <v>935</v>
      </c>
      <c r="C77" s="1038"/>
      <c r="D77" s="1039">
        <v>69523.91</v>
      </c>
      <c r="E77" s="913">
        <v>20000</v>
      </c>
      <c r="F77" s="912">
        <v>1</v>
      </c>
      <c r="G77" s="1033">
        <v>0</v>
      </c>
      <c r="H77" s="1033">
        <v>0</v>
      </c>
      <c r="I77" s="1033">
        <v>69523.91</v>
      </c>
      <c r="J77" s="1033">
        <v>0</v>
      </c>
      <c r="K77" s="1033">
        <v>0</v>
      </c>
      <c r="L77" s="1033">
        <v>69523.91</v>
      </c>
      <c r="M77" s="1033">
        <v>0</v>
      </c>
      <c r="N77" s="1033">
        <v>0</v>
      </c>
      <c r="O77" s="1033">
        <v>69523.91</v>
      </c>
      <c r="P77" s="1033">
        <v>0</v>
      </c>
      <c r="Q77" s="1033">
        <v>0</v>
      </c>
      <c r="R77" s="1033">
        <v>69523.91</v>
      </c>
      <c r="S77" s="1033">
        <v>0</v>
      </c>
      <c r="T77" s="1033">
        <v>0</v>
      </c>
      <c r="U77" s="1033">
        <v>69523.91</v>
      </c>
      <c r="V77" s="1033">
        <v>0</v>
      </c>
      <c r="W77" s="1033">
        <v>0</v>
      </c>
      <c r="X77" s="1033">
        <v>69523.91</v>
      </c>
      <c r="Y77" s="1033">
        <v>0</v>
      </c>
      <c r="Z77" s="1033">
        <v>0</v>
      </c>
    </row>
    <row r="78" spans="1:26" x14ac:dyDescent="0.25">
      <c r="A78" s="368">
        <v>17</v>
      </c>
      <c r="B78" s="1037" t="s">
        <v>936</v>
      </c>
      <c r="C78" s="1038"/>
      <c r="D78" s="1039">
        <v>90492.93</v>
      </c>
      <c r="E78" s="913">
        <v>20000</v>
      </c>
      <c r="F78" s="912">
        <v>1</v>
      </c>
      <c r="G78" s="1033">
        <v>0</v>
      </c>
      <c r="H78" s="1033">
        <v>0</v>
      </c>
      <c r="I78" s="1033">
        <v>90492.93</v>
      </c>
      <c r="J78" s="1033">
        <v>0</v>
      </c>
      <c r="K78" s="1033">
        <v>0</v>
      </c>
      <c r="L78" s="1033">
        <v>90492.93</v>
      </c>
      <c r="M78" s="1033">
        <v>0</v>
      </c>
      <c r="N78" s="1033">
        <v>0</v>
      </c>
      <c r="O78" s="1033">
        <v>90492.93</v>
      </c>
      <c r="P78" s="1033">
        <v>0</v>
      </c>
      <c r="Q78" s="1033">
        <v>0</v>
      </c>
      <c r="R78" s="1033">
        <v>90492.93</v>
      </c>
      <c r="S78" s="1033">
        <v>0</v>
      </c>
      <c r="T78" s="1033">
        <v>0</v>
      </c>
      <c r="U78" s="1033">
        <v>90492.93</v>
      </c>
      <c r="V78" s="1033">
        <v>0</v>
      </c>
      <c r="W78" s="1033">
        <v>0</v>
      </c>
      <c r="X78" s="1033">
        <v>90492.93</v>
      </c>
      <c r="Y78" s="1033">
        <v>0</v>
      </c>
      <c r="Z78" s="1033">
        <v>0</v>
      </c>
    </row>
    <row r="79" spans="1:26" x14ac:dyDescent="0.25">
      <c r="A79" s="368">
        <v>18</v>
      </c>
      <c r="B79" s="1037" t="s">
        <v>937</v>
      </c>
      <c r="C79" s="1038"/>
      <c r="D79" s="1039">
        <v>47961.74</v>
      </c>
      <c r="E79" s="913">
        <v>15000</v>
      </c>
      <c r="F79" s="912">
        <v>1</v>
      </c>
      <c r="G79" s="1033">
        <v>0</v>
      </c>
      <c r="H79" s="1033">
        <v>0</v>
      </c>
      <c r="I79" s="1033">
        <v>47961.74</v>
      </c>
      <c r="J79" s="1033">
        <v>0</v>
      </c>
      <c r="K79" s="1033">
        <v>47961.74</v>
      </c>
      <c r="L79" s="1033">
        <v>0</v>
      </c>
      <c r="M79" s="1033">
        <v>47961.74</v>
      </c>
      <c r="N79" s="1033">
        <v>0</v>
      </c>
      <c r="O79" s="1033">
        <v>47961.74</v>
      </c>
      <c r="P79" s="1033">
        <v>0</v>
      </c>
      <c r="Q79" s="1033">
        <v>47961.74</v>
      </c>
      <c r="R79" s="1033">
        <v>0</v>
      </c>
      <c r="S79" s="1033">
        <v>47961.74</v>
      </c>
      <c r="T79" s="1033">
        <v>0</v>
      </c>
      <c r="U79" s="1033">
        <v>0</v>
      </c>
      <c r="V79" s="1033">
        <v>47961.74</v>
      </c>
      <c r="W79" s="1033">
        <v>0</v>
      </c>
      <c r="X79" s="1033">
        <v>47961.74</v>
      </c>
      <c r="Y79" s="1033">
        <v>0</v>
      </c>
      <c r="Z79" s="1033">
        <v>0</v>
      </c>
    </row>
    <row r="80" spans="1:26" x14ac:dyDescent="0.25">
      <c r="A80" s="368">
        <v>19</v>
      </c>
      <c r="B80" s="1037" t="s">
        <v>938</v>
      </c>
      <c r="C80" s="1038"/>
      <c r="D80" s="1039">
        <v>47961.74</v>
      </c>
      <c r="E80" s="913">
        <v>25000</v>
      </c>
      <c r="F80" s="912">
        <v>2</v>
      </c>
      <c r="G80" s="1033">
        <v>0</v>
      </c>
      <c r="H80" s="1033">
        <v>0</v>
      </c>
      <c r="I80" s="1033">
        <v>0</v>
      </c>
      <c r="J80" s="1033">
        <v>47961.74</v>
      </c>
      <c r="K80" s="1033">
        <v>0</v>
      </c>
      <c r="L80" s="1033">
        <v>0</v>
      </c>
      <c r="M80" s="1033">
        <v>0</v>
      </c>
      <c r="N80" s="1033">
        <v>47961.74</v>
      </c>
      <c r="O80" s="1033">
        <v>0</v>
      </c>
      <c r="P80" s="1033">
        <v>0</v>
      </c>
      <c r="Q80" s="1033">
        <v>47961.74</v>
      </c>
      <c r="R80" s="1033">
        <v>0</v>
      </c>
      <c r="S80" s="1033">
        <v>0</v>
      </c>
      <c r="T80" s="1033">
        <v>0</v>
      </c>
      <c r="U80" s="1033">
        <v>47961.74</v>
      </c>
      <c r="V80" s="1033">
        <v>0</v>
      </c>
      <c r="W80" s="1033">
        <v>0</v>
      </c>
      <c r="X80" s="1033">
        <v>47961.74</v>
      </c>
      <c r="Y80" s="1033">
        <v>0</v>
      </c>
      <c r="Z80" s="1033">
        <v>0</v>
      </c>
    </row>
    <row r="81" spans="1:28" ht="14.95" thickBot="1" x14ac:dyDescent="0.3">
      <c r="A81" s="368">
        <v>20</v>
      </c>
      <c r="B81" s="919" t="s">
        <v>939</v>
      </c>
      <c r="C81" s="1040"/>
      <c r="D81" s="1041">
        <v>44023</v>
      </c>
      <c r="E81" s="924">
        <v>10000</v>
      </c>
      <c r="F81" s="922">
        <v>1</v>
      </c>
      <c r="G81" s="1042">
        <v>0</v>
      </c>
      <c r="H81" s="1043">
        <v>44023</v>
      </c>
      <c r="I81" s="1043">
        <v>44023</v>
      </c>
      <c r="J81" s="1042">
        <v>0</v>
      </c>
      <c r="K81" s="1043">
        <v>44023</v>
      </c>
      <c r="L81" s="1043">
        <v>44023</v>
      </c>
      <c r="M81" s="1042">
        <v>0</v>
      </c>
      <c r="N81" s="1043">
        <v>44023</v>
      </c>
      <c r="O81" s="1043">
        <v>44023</v>
      </c>
      <c r="P81" s="1043">
        <v>44023</v>
      </c>
      <c r="Q81" s="1042">
        <v>0</v>
      </c>
      <c r="R81" s="1043">
        <v>44023</v>
      </c>
      <c r="S81" s="1043">
        <v>44023</v>
      </c>
      <c r="T81" s="1033">
        <v>0</v>
      </c>
      <c r="U81" s="1043">
        <v>44023</v>
      </c>
      <c r="V81" s="1043">
        <v>44023</v>
      </c>
      <c r="W81" s="1033">
        <v>0</v>
      </c>
      <c r="X81" s="1043">
        <v>44023</v>
      </c>
      <c r="Y81" s="1043">
        <v>44023</v>
      </c>
      <c r="Z81" s="1033">
        <v>0</v>
      </c>
    </row>
    <row r="82" spans="1:28" x14ac:dyDescent="0.25">
      <c r="AA82" s="799"/>
      <c r="AB82" s="799"/>
    </row>
    <row r="83" spans="1:28" x14ac:dyDescent="0.25">
      <c r="AA83" s="799"/>
      <c r="AB83" s="799"/>
    </row>
  </sheetData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1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40CD-C674-4794-923F-628582724126}">
  <sheetPr>
    <tabColor rgb="FFFF0000"/>
  </sheetPr>
  <dimension ref="A1:W92"/>
  <sheetViews>
    <sheetView showGridLines="0" topLeftCell="A31" zoomScaleNormal="100" workbookViewId="0">
      <selection activeCell="D76" sqref="D76"/>
    </sheetView>
  </sheetViews>
  <sheetFormatPr defaultRowHeight="13.6" outlineLevelRow="1" outlineLevelCol="1" x14ac:dyDescent="0.25"/>
  <cols>
    <col min="1" max="1" width="10.5" style="2" customWidth="1" outlineLevel="1"/>
    <col min="2" max="2" width="2.875" style="2" customWidth="1"/>
    <col min="3" max="3" width="6" style="2" customWidth="1"/>
    <col min="4" max="4" width="45.125" style="2" customWidth="1"/>
    <col min="5" max="5" width="10.25" style="2" customWidth="1"/>
    <col min="6" max="12" width="14.5" style="2" customWidth="1"/>
    <col min="13" max="20" width="8.625" style="2" customWidth="1" outlineLevel="1"/>
    <col min="21" max="21" width="52.875" style="2" customWidth="1"/>
    <col min="22" max="22" width="2.75" style="2" customWidth="1"/>
    <col min="23" max="23" width="17.875" style="2" bestFit="1" customWidth="1"/>
    <col min="24" max="16384" width="9" style="2"/>
  </cols>
  <sheetData>
    <row r="1" spans="1:11" ht="14.3" x14ac:dyDescent="0.25">
      <c r="A1" s="1"/>
      <c r="B1" s="1"/>
    </row>
    <row r="2" spans="1:11" ht="14.3" x14ac:dyDescent="0.25">
      <c r="C2" s="3" t="s">
        <v>0</v>
      </c>
    </row>
    <row r="4" spans="1:11" x14ac:dyDescent="0.25">
      <c r="C4" s="4" t="s">
        <v>1</v>
      </c>
      <c r="G4" s="4" t="s">
        <v>2</v>
      </c>
    </row>
    <row r="5" spans="1:11" ht="27.2" x14ac:dyDescent="0.25">
      <c r="C5" s="448" t="s">
        <v>3</v>
      </c>
      <c r="D5" s="448" t="s">
        <v>4</v>
      </c>
      <c r="E5" s="448" t="s">
        <v>5</v>
      </c>
      <c r="G5" s="448" t="str">
        <f>C5</f>
        <v>№</v>
      </c>
      <c r="H5" s="1062" t="str">
        <f>D5</f>
        <v>Марка автосамосвала</v>
      </c>
      <c r="I5" s="1062"/>
      <c r="J5" s="1062"/>
      <c r="K5" s="448" t="s">
        <v>6</v>
      </c>
    </row>
    <row r="6" spans="1:11" x14ac:dyDescent="0.25">
      <c r="C6" s="6">
        <v>1</v>
      </c>
      <c r="D6" s="449" t="str">
        <f>IFERROR(HLOOKUP(E6,$F$64:$T$66,3,FALSE),"-")</f>
        <v>-</v>
      </c>
      <c r="E6" s="7" t="str">
        <f>IFERROR(SMALL($F$64:$T$64,C6),"-")</f>
        <v>-</v>
      </c>
      <c r="G6" s="6">
        <f>C6</f>
        <v>1</v>
      </c>
      <c r="H6" s="1063" t="str">
        <f>IFERROR(HLOOKUP(K6,$F$65:$T$66,2,FALSE),"-")</f>
        <v>-</v>
      </c>
      <c r="I6" s="1063"/>
      <c r="J6" s="1063"/>
      <c r="K6" s="8" t="str">
        <f>IFERROR(SMALL($F$65:$T$65,C6),"-")</f>
        <v>-</v>
      </c>
    </row>
    <row r="7" spans="1:11" x14ac:dyDescent="0.25">
      <c r="C7" s="9">
        <f t="shared" ref="C7:C20" si="0">C6+1</f>
        <v>2</v>
      </c>
      <c r="D7" s="447" t="str">
        <f t="shared" ref="D7:D20" si="1">IFERROR(HLOOKUP(E7,$F$64:$T$66,3,FALSE),"-")</f>
        <v>-</v>
      </c>
      <c r="E7" s="10" t="str">
        <f t="shared" ref="E7:E20" si="2">IFERROR(SMALL($F$64:$T$64,C7),"-")</f>
        <v>-</v>
      </c>
      <c r="G7" s="9">
        <f>C7</f>
        <v>2</v>
      </c>
      <c r="H7" s="1058" t="str">
        <f>IFERROR(HLOOKUP(K7,$F$65:$T$66,2,FALSE),"-")</f>
        <v>-</v>
      </c>
      <c r="I7" s="1058"/>
      <c r="J7" s="1058"/>
      <c r="K7" s="11" t="str">
        <f t="shared" ref="K7:K20" si="3">IFERROR(SMALL($F$65:$T$65,C7),"-")</f>
        <v>-</v>
      </c>
    </row>
    <row r="8" spans="1:11" x14ac:dyDescent="0.25">
      <c r="C8" s="9">
        <f t="shared" si="0"/>
        <v>3</v>
      </c>
      <c r="D8" s="447" t="str">
        <f t="shared" si="1"/>
        <v>-</v>
      </c>
      <c r="E8" s="10" t="str">
        <f t="shared" si="2"/>
        <v>-</v>
      </c>
      <c r="G8" s="9">
        <f t="shared" ref="G8:G20" si="4">C8</f>
        <v>3</v>
      </c>
      <c r="H8" s="1058" t="str">
        <f t="shared" ref="H8:H20" si="5">IFERROR(HLOOKUP(K8,$F$65:$T$66,2,FALSE),"-")</f>
        <v>-</v>
      </c>
      <c r="I8" s="1058"/>
      <c r="J8" s="1058"/>
      <c r="K8" s="11" t="str">
        <f t="shared" si="3"/>
        <v>-</v>
      </c>
    </row>
    <row r="9" spans="1:11" x14ac:dyDescent="0.25">
      <c r="C9" s="9">
        <f t="shared" si="0"/>
        <v>4</v>
      </c>
      <c r="D9" s="447" t="str">
        <f t="shared" si="1"/>
        <v>-</v>
      </c>
      <c r="E9" s="10" t="str">
        <f t="shared" si="2"/>
        <v>-</v>
      </c>
      <c r="G9" s="9">
        <f t="shared" si="4"/>
        <v>4</v>
      </c>
      <c r="H9" s="1058" t="str">
        <f t="shared" si="5"/>
        <v>-</v>
      </c>
      <c r="I9" s="1058"/>
      <c r="J9" s="1058"/>
      <c r="K9" s="11" t="str">
        <f t="shared" si="3"/>
        <v>-</v>
      </c>
    </row>
    <row r="10" spans="1:11" x14ac:dyDescent="0.25">
      <c r="C10" s="9">
        <f t="shared" si="0"/>
        <v>5</v>
      </c>
      <c r="D10" s="447" t="str">
        <f t="shared" si="1"/>
        <v>-</v>
      </c>
      <c r="E10" s="10" t="str">
        <f t="shared" si="2"/>
        <v>-</v>
      </c>
      <c r="G10" s="9">
        <f t="shared" si="4"/>
        <v>5</v>
      </c>
      <c r="H10" s="1058" t="str">
        <f t="shared" si="5"/>
        <v>-</v>
      </c>
      <c r="I10" s="1058"/>
      <c r="J10" s="1058"/>
      <c r="K10" s="11" t="str">
        <f t="shared" si="3"/>
        <v>-</v>
      </c>
    </row>
    <row r="11" spans="1:11" outlineLevel="1" x14ac:dyDescent="0.25">
      <c r="C11" s="9">
        <f t="shared" si="0"/>
        <v>6</v>
      </c>
      <c r="D11" s="447" t="str">
        <f t="shared" si="1"/>
        <v>-</v>
      </c>
      <c r="E11" s="10" t="str">
        <f t="shared" si="2"/>
        <v>-</v>
      </c>
      <c r="G11" s="9">
        <f t="shared" si="4"/>
        <v>6</v>
      </c>
      <c r="H11" s="1058" t="str">
        <f t="shared" si="5"/>
        <v>-</v>
      </c>
      <c r="I11" s="1058"/>
      <c r="J11" s="1058"/>
      <c r="K11" s="11" t="str">
        <f t="shared" si="3"/>
        <v>-</v>
      </c>
    </row>
    <row r="12" spans="1:11" outlineLevel="1" x14ac:dyDescent="0.25">
      <c r="C12" s="9">
        <f t="shared" si="0"/>
        <v>7</v>
      </c>
      <c r="D12" s="447" t="str">
        <f t="shared" si="1"/>
        <v>-</v>
      </c>
      <c r="E12" s="10" t="str">
        <f t="shared" si="2"/>
        <v>-</v>
      </c>
      <c r="G12" s="9">
        <f t="shared" si="4"/>
        <v>7</v>
      </c>
      <c r="H12" s="1058" t="str">
        <f t="shared" si="5"/>
        <v>-</v>
      </c>
      <c r="I12" s="1058"/>
      <c r="J12" s="1058"/>
      <c r="K12" s="11" t="str">
        <f t="shared" si="3"/>
        <v>-</v>
      </c>
    </row>
    <row r="13" spans="1:11" outlineLevel="1" x14ac:dyDescent="0.25">
      <c r="C13" s="9">
        <f t="shared" si="0"/>
        <v>8</v>
      </c>
      <c r="D13" s="447" t="str">
        <f t="shared" si="1"/>
        <v>-</v>
      </c>
      <c r="E13" s="10" t="str">
        <f t="shared" si="2"/>
        <v>-</v>
      </c>
      <c r="G13" s="9">
        <f t="shared" si="4"/>
        <v>8</v>
      </c>
      <c r="H13" s="1058" t="str">
        <f t="shared" si="5"/>
        <v>-</v>
      </c>
      <c r="I13" s="1058"/>
      <c r="J13" s="1058"/>
      <c r="K13" s="11" t="str">
        <f t="shared" si="3"/>
        <v>-</v>
      </c>
    </row>
    <row r="14" spans="1:11" outlineLevel="1" x14ac:dyDescent="0.25">
      <c r="C14" s="9">
        <f t="shared" si="0"/>
        <v>9</v>
      </c>
      <c r="D14" s="447" t="str">
        <f t="shared" si="1"/>
        <v>-</v>
      </c>
      <c r="E14" s="10" t="str">
        <f t="shared" si="2"/>
        <v>-</v>
      </c>
      <c r="G14" s="9">
        <f t="shared" si="4"/>
        <v>9</v>
      </c>
      <c r="H14" s="1058" t="str">
        <f t="shared" si="5"/>
        <v>-</v>
      </c>
      <c r="I14" s="1058"/>
      <c r="J14" s="1058"/>
      <c r="K14" s="11" t="str">
        <f t="shared" si="3"/>
        <v>-</v>
      </c>
    </row>
    <row r="15" spans="1:11" outlineLevel="1" x14ac:dyDescent="0.25">
      <c r="C15" s="9">
        <f t="shared" si="0"/>
        <v>10</v>
      </c>
      <c r="D15" s="447" t="str">
        <f t="shared" si="1"/>
        <v>-</v>
      </c>
      <c r="E15" s="10" t="str">
        <f t="shared" si="2"/>
        <v>-</v>
      </c>
      <c r="G15" s="9">
        <f t="shared" si="4"/>
        <v>10</v>
      </c>
      <c r="H15" s="1058" t="str">
        <f t="shared" si="5"/>
        <v>-</v>
      </c>
      <c r="I15" s="1058"/>
      <c r="J15" s="1058"/>
      <c r="K15" s="11" t="str">
        <f t="shared" si="3"/>
        <v>-</v>
      </c>
    </row>
    <row r="16" spans="1:11" outlineLevel="1" x14ac:dyDescent="0.25">
      <c r="C16" s="9">
        <f t="shared" si="0"/>
        <v>11</v>
      </c>
      <c r="D16" s="447" t="str">
        <f t="shared" si="1"/>
        <v>-</v>
      </c>
      <c r="E16" s="10" t="str">
        <f t="shared" si="2"/>
        <v>-</v>
      </c>
      <c r="G16" s="9">
        <f t="shared" si="4"/>
        <v>11</v>
      </c>
      <c r="H16" s="1058" t="str">
        <f t="shared" si="5"/>
        <v>-</v>
      </c>
      <c r="I16" s="1058"/>
      <c r="J16" s="1058"/>
      <c r="K16" s="11" t="str">
        <f t="shared" si="3"/>
        <v>-</v>
      </c>
    </row>
    <row r="17" spans="1:21" outlineLevel="1" x14ac:dyDescent="0.25">
      <c r="C17" s="9">
        <f t="shared" si="0"/>
        <v>12</v>
      </c>
      <c r="D17" s="447" t="str">
        <f t="shared" si="1"/>
        <v>-</v>
      </c>
      <c r="E17" s="10" t="str">
        <f t="shared" si="2"/>
        <v>-</v>
      </c>
      <c r="G17" s="9">
        <f t="shared" si="4"/>
        <v>12</v>
      </c>
      <c r="H17" s="1058" t="str">
        <f t="shared" si="5"/>
        <v>-</v>
      </c>
      <c r="I17" s="1058"/>
      <c r="J17" s="1058"/>
      <c r="K17" s="11" t="str">
        <f t="shared" si="3"/>
        <v>-</v>
      </c>
    </row>
    <row r="18" spans="1:21" outlineLevel="1" x14ac:dyDescent="0.25">
      <c r="C18" s="9">
        <f t="shared" si="0"/>
        <v>13</v>
      </c>
      <c r="D18" s="447" t="str">
        <f t="shared" si="1"/>
        <v>-</v>
      </c>
      <c r="E18" s="10" t="str">
        <f t="shared" si="2"/>
        <v>-</v>
      </c>
      <c r="G18" s="9">
        <f t="shared" si="4"/>
        <v>13</v>
      </c>
      <c r="H18" s="1058" t="str">
        <f t="shared" si="5"/>
        <v>-</v>
      </c>
      <c r="I18" s="1058"/>
      <c r="J18" s="1058"/>
      <c r="K18" s="11" t="str">
        <f t="shared" si="3"/>
        <v>-</v>
      </c>
    </row>
    <row r="19" spans="1:21" outlineLevel="1" x14ac:dyDescent="0.25">
      <c r="C19" s="9">
        <f t="shared" si="0"/>
        <v>14</v>
      </c>
      <c r="D19" s="447" t="str">
        <f t="shared" si="1"/>
        <v>-</v>
      </c>
      <c r="E19" s="10" t="str">
        <f t="shared" si="2"/>
        <v>-</v>
      </c>
      <c r="G19" s="9">
        <f t="shared" si="4"/>
        <v>14</v>
      </c>
      <c r="H19" s="1058" t="str">
        <f t="shared" si="5"/>
        <v>-</v>
      </c>
      <c r="I19" s="1058"/>
      <c r="J19" s="1058"/>
      <c r="K19" s="11" t="str">
        <f t="shared" si="3"/>
        <v>-</v>
      </c>
    </row>
    <row r="20" spans="1:21" outlineLevel="1" x14ac:dyDescent="0.25">
      <c r="C20" s="9">
        <f t="shared" si="0"/>
        <v>15</v>
      </c>
      <c r="D20" s="447" t="str">
        <f t="shared" si="1"/>
        <v>-</v>
      </c>
      <c r="E20" s="10" t="str">
        <f t="shared" si="2"/>
        <v>-</v>
      </c>
      <c r="G20" s="9">
        <f t="shared" si="4"/>
        <v>15</v>
      </c>
      <c r="H20" s="1058" t="str">
        <f t="shared" si="5"/>
        <v>-</v>
      </c>
      <c r="I20" s="1058"/>
      <c r="J20" s="1058"/>
      <c r="K20" s="11" t="str">
        <f t="shared" si="3"/>
        <v>-</v>
      </c>
    </row>
    <row r="21" spans="1:21" x14ac:dyDescent="0.25">
      <c r="C21" s="12"/>
      <c r="D21" s="450"/>
      <c r="E21" s="12"/>
      <c r="G21" s="12"/>
      <c r="H21" s="1059"/>
      <c r="I21" s="1059"/>
      <c r="J21" s="1059"/>
      <c r="K21" s="12"/>
    </row>
    <row r="23" spans="1:21" ht="27.2" x14ac:dyDescent="0.25">
      <c r="A23" s="179"/>
      <c r="C23" s="448" t="s">
        <v>3</v>
      </c>
      <c r="D23" s="448" t="s">
        <v>7</v>
      </c>
      <c r="E23" s="448" t="s">
        <v>8</v>
      </c>
      <c r="F23" s="448" t="str">
        <f>Свод!F23</f>
        <v>NHL NTE 240</v>
      </c>
      <c r="G23" s="448" t="str">
        <f>Свод!G23</f>
        <v>Estar ESDE240 (ГПБ К)</v>
      </c>
      <c r="H23" s="448" t="str">
        <f>Свод!H23</f>
        <v>SANY SET240S</v>
      </c>
      <c r="I23" s="448" t="str">
        <f>Свод!I23</f>
        <v>TZCO TZE240</v>
      </c>
      <c r="J23" s="448" t="str">
        <f>Свод!J23</f>
        <v>БелАЗ 7531 (ГПФК)</v>
      </c>
      <c r="K23" s="448" t="str">
        <f>Свод!K23</f>
        <v>XCMG 240</v>
      </c>
      <c r="L23" s="448" t="str">
        <f>Свод!L23</f>
        <v>БелАЗ 7531 (БТЛ)</v>
      </c>
      <c r="M23" s="448">
        <f>Свод!M23</f>
        <v>0</v>
      </c>
      <c r="N23" s="448">
        <f>Свод!N23</f>
        <v>0</v>
      </c>
      <c r="O23" s="448">
        <f>Свод!O23</f>
        <v>0</v>
      </c>
      <c r="P23" s="448">
        <f>Свод!P23</f>
        <v>0</v>
      </c>
      <c r="Q23" s="448">
        <f>Свод!Q23</f>
        <v>0</v>
      </c>
      <c r="R23" s="448">
        <f>Свод!R23</f>
        <v>0</v>
      </c>
      <c r="S23" s="448">
        <f>Свод!S23</f>
        <v>0</v>
      </c>
      <c r="T23" s="448">
        <f>Свод!T23</f>
        <v>0</v>
      </c>
      <c r="U23" s="448" t="s">
        <v>9</v>
      </c>
    </row>
    <row r="24" spans="1:21" x14ac:dyDescent="0.25">
      <c r="A24" s="179"/>
      <c r="C24" s="206">
        <v>1</v>
      </c>
      <c r="D24" s="451" t="s">
        <v>10</v>
      </c>
      <c r="E24" s="15" t="s">
        <v>11</v>
      </c>
      <c r="F24" s="16">
        <f>SUMIFS(Производительность_1!$E$23:$E$39,Производительность_1!$C$23:$C$39,F$23)</f>
        <v>227.8</v>
      </c>
      <c r="G24" s="16">
        <f>SUMIFS(Производительность_1!$E$23:$E$39,Производительность_1!$C$23:$C$39,G$23)</f>
        <v>211.392</v>
      </c>
      <c r="H24" s="16">
        <f>SUMIFS(Производительность_1!$E$23:$E$39,Производительность_1!$C$23:$C$39,H$23)</f>
        <v>216.36200000000002</v>
      </c>
      <c r="I24" s="16">
        <f>SUMIFS(Производительность_1!$E$23:$E$39,Производительность_1!$C$23:$C$39,I$23)</f>
        <v>222</v>
      </c>
      <c r="J24" s="16">
        <f>SUMIFS(Производительность_1!$E$23:$E$39,Производительность_1!$C$23:$C$39,J$23)</f>
        <v>231</v>
      </c>
      <c r="K24" s="16">
        <f>SUMIFS(Производительность_1!$E$23:$E$39,Производительность_1!$C$23:$C$39,K$23)</f>
        <v>211.392</v>
      </c>
      <c r="L24" s="16">
        <f>SUMIFS(Производительность_1!$E$23:$E$39,Производительность_1!$C$23:$C$39,L$23)</f>
        <v>231</v>
      </c>
      <c r="M24" s="16">
        <f>SUMIFS(Производительность_1!$E$23:$E$39,Производительность_1!$C$23:$C$39,M$23)</f>
        <v>0</v>
      </c>
      <c r="N24" s="16">
        <f>SUMIFS(Производительность_1!$E$23:$E$39,Производительность_1!$C$23:$C$39,N$23)</f>
        <v>0</v>
      </c>
      <c r="O24" s="16">
        <f>SUMIFS(Производительность_1!$E$23:$E$39,Производительность_1!$C$23:$C$39,O$23)</f>
        <v>0</v>
      </c>
      <c r="P24" s="16">
        <f>SUMIFS(Производительность_1!$E$23:$E$39,Производительность_1!$C$23:$C$39,P$23)</f>
        <v>0</v>
      </c>
      <c r="Q24" s="16">
        <f>SUMIFS(Производительность_1!$E$23:$E$39,Производительность_1!$C$23:$C$39,Q$23)</f>
        <v>0</v>
      </c>
      <c r="R24" s="16">
        <f>SUMIFS(Производительность_1!$E$23:$E$39,Производительность_1!$C$23:$C$39,R$23)</f>
        <v>0</v>
      </c>
      <c r="S24" s="16">
        <f>SUMIFS(Производительность_1!$E$23:$E$39,Производительность_1!$C$23:$C$39,S$23)</f>
        <v>0</v>
      </c>
      <c r="T24" s="16">
        <f>SUMIFS(Производительность_1!$E$23:$E$39,Производительность_1!$C$23:$C$39,T$23)</f>
        <v>0</v>
      </c>
      <c r="U24" s="17"/>
    </row>
    <row r="25" spans="1:21" x14ac:dyDescent="0.25">
      <c r="A25" s="179"/>
      <c r="C25" s="207">
        <f>MAX(C$24:C24)+1</f>
        <v>2</v>
      </c>
      <c r="D25" s="18" t="s">
        <v>12</v>
      </c>
      <c r="E25" s="19" t="s">
        <v>13</v>
      </c>
      <c r="F25" s="32">
        <f>SUMIFS('ФОТ, МТР, макро'!$AC$4:$AC$20,'ФОТ, МТР, макро'!$W$4:$W$20,F$23)</f>
        <v>2500</v>
      </c>
      <c r="G25" s="32">
        <f>SUMIFS('ФОТ, МТР, макро'!$AC$4:$AC$20,'ФОТ, МТР, макро'!$W$4:$W$20,G$23)</f>
        <v>1864</v>
      </c>
      <c r="H25" s="32">
        <f>SUMIFS('ФОТ, МТР, макро'!$AC$4:$AC$20,'ФОТ, МТР, макро'!$W$4:$W$20,H$23)</f>
        <v>2843</v>
      </c>
      <c r="I25" s="32">
        <f>SUMIFS('ФОТ, МТР, макро'!$AC$4:$AC$20,'ФОТ, МТР, макро'!$W$4:$W$20,I$23)</f>
        <v>2500</v>
      </c>
      <c r="J25" s="32">
        <f>SUMIFS('ФОТ, МТР, макро'!$AC$4:$AC$20,'ФОТ, МТР, макро'!$W$4:$W$20,J$23)</f>
        <v>2535</v>
      </c>
      <c r="K25" s="32">
        <f>SUMIFS('ФОТ, МТР, макро'!$AC$4:$AC$20,'ФОТ, МТР, макро'!$W$4:$W$20,K$23)</f>
        <v>0</v>
      </c>
      <c r="L25" s="32">
        <f>SUMIFS('ФОТ, МТР, макро'!$AC$4:$AC$20,'ФОТ, МТР, макро'!$W$4:$W$20,L$23)</f>
        <v>2535</v>
      </c>
      <c r="M25" s="32">
        <f>SUMIFS('ФОТ, МТР, макро'!$AC$4:$AC$20,'ФОТ, МТР, макро'!$W$4:$W$20,M$23)</f>
        <v>0</v>
      </c>
      <c r="N25" s="32">
        <f>SUMIFS('ФОТ, МТР, макро'!$AC$4:$AC$20,'ФОТ, МТР, макро'!$W$4:$W$20,N$23)</f>
        <v>0</v>
      </c>
      <c r="O25" s="32">
        <f>SUMIFS('ФОТ, МТР, макро'!$AC$4:$AC$20,'ФОТ, МТР, макро'!$W$4:$W$20,O$23)</f>
        <v>0</v>
      </c>
      <c r="P25" s="32">
        <f>SUMIFS('ФОТ, МТР, макро'!$AC$4:$AC$20,'ФОТ, МТР, макро'!$W$4:$W$20,P$23)</f>
        <v>0</v>
      </c>
      <c r="Q25" s="32">
        <f>SUMIFS('ФОТ, МТР, макро'!$AC$4:$AC$20,'ФОТ, МТР, макро'!$W$4:$W$20,Q$23)</f>
        <v>0</v>
      </c>
      <c r="R25" s="32">
        <f>SUMIFS('ФОТ, МТР, макро'!$AC$4:$AC$20,'ФОТ, МТР, макро'!$W$4:$W$20,R$23)</f>
        <v>0</v>
      </c>
      <c r="S25" s="32">
        <f>SUMIFS('ФОТ, МТР, макро'!$AC$4:$AC$20,'ФОТ, МТР, макро'!$W$4:$W$20,S$23)</f>
        <v>0</v>
      </c>
      <c r="T25" s="32">
        <f>SUMIFS('ФОТ, МТР, макро'!$AC$4:$AC$20,'ФОТ, МТР, макро'!$W$4:$W$20,T$23)</f>
        <v>0</v>
      </c>
      <c r="U25" s="18"/>
    </row>
    <row r="26" spans="1:21" x14ac:dyDescent="0.25">
      <c r="A26" s="179"/>
      <c r="C26" s="207">
        <f>MAX(C$24:C25)+1</f>
        <v>3</v>
      </c>
      <c r="D26" s="18" t="s">
        <v>14</v>
      </c>
      <c r="E26" s="19" t="s">
        <v>15</v>
      </c>
      <c r="F26" s="9">
        <f>SUMIFS(Производительность_1!$Y$55:$Y$71,Производительность_1!$C$55:$C$71,F$23)</f>
        <v>20</v>
      </c>
      <c r="G26" s="9">
        <f>SUMIFS(Производительность_1!$Y$55:$Y$71,Производительность_1!$C$55:$C$71,G$23)</f>
        <v>10</v>
      </c>
      <c r="H26" s="9">
        <f>SUMIFS(Производительность_1!$Y$55:$Y$71,Производительность_1!$C$55:$C$71,H$23)</f>
        <v>12</v>
      </c>
      <c r="I26" s="9">
        <f>SUMIFS(Производительность_1!$Y$55:$Y$71,Производительность_1!$C$55:$C$71,I$23)</f>
        <v>8</v>
      </c>
      <c r="J26" s="9">
        <f>SUMIFS(Производительность_1!$Y$55:$Y$71,Производительность_1!$C$55:$C$71,J$23)</f>
        <v>10</v>
      </c>
      <c r="K26" s="9">
        <f>SUMIFS(Производительность_1!$Y$55:$Y$71,Производительность_1!$C$55:$C$71,K$23)</f>
        <v>0</v>
      </c>
      <c r="L26" s="9">
        <f>SUMIFS(Производительность_1!$Y$55:$Y$71,Производительность_1!$C$55:$C$71,L$23)</f>
        <v>10</v>
      </c>
      <c r="M26" s="9">
        <f>SUMIFS(Производительность_1!$Y$55:$Y$71,Производительность_1!$C$55:$C$71,M$23)</f>
        <v>0</v>
      </c>
      <c r="N26" s="9">
        <f>SUMIFS(Производительность_1!$Y$55:$Y$71,Производительность_1!$C$55:$C$71,N$23)</f>
        <v>0</v>
      </c>
      <c r="O26" s="9">
        <f>SUMIFS(Производительность_1!$Y$55:$Y$71,Производительность_1!$C$55:$C$71,O$23)</f>
        <v>0</v>
      </c>
      <c r="P26" s="9">
        <f>SUMIFS(Производительность_1!$Y$55:$Y$71,Производительность_1!$C$55:$C$71,P$23)</f>
        <v>0</v>
      </c>
      <c r="Q26" s="9">
        <f>SUMIFS(Производительность_1!$Y$55:$Y$71,Производительность_1!$C$55:$C$71,Q$23)</f>
        <v>0</v>
      </c>
      <c r="R26" s="9">
        <f>SUMIFS(Производительность_1!$Y$55:$Y$71,Производительность_1!$C$55:$C$71,R$23)</f>
        <v>0</v>
      </c>
      <c r="S26" s="9">
        <f>SUMIFS(Производительность_1!$Y$55:$Y$71,Производительность_1!$C$55:$C$71,S$23)</f>
        <v>0</v>
      </c>
      <c r="T26" s="9">
        <f>SUMIFS(Производительность_1!$Y$55:$Y$71,Производительность_1!$C$55:$C$71,T$23)</f>
        <v>0</v>
      </c>
      <c r="U26" s="18"/>
    </row>
    <row r="27" spans="1:21" x14ac:dyDescent="0.25">
      <c r="A27" s="179"/>
      <c r="C27" s="207">
        <f>MAX(C$24:C26)+1</f>
        <v>4</v>
      </c>
      <c r="D27" s="20" t="s">
        <v>16</v>
      </c>
      <c r="E27" s="21" t="s">
        <v>17</v>
      </c>
      <c r="F27" s="22">
        <f>SUMIFS(Производительность_1!$Z$55:$Z$71,Производительность_1!$C$55:$C$71,F$23)</f>
        <v>0.92288815956367343</v>
      </c>
      <c r="G27" s="22">
        <f>SUMIFS(Производительность_1!$Z$55:$Z$71,Производительность_1!$C$55:$C$71,G$23)</f>
        <v>0.85733130390664647</v>
      </c>
      <c r="H27" s="22">
        <f>SUMIFS(Производительность_1!$Z$55:$Z$71,Производительность_1!$C$55:$C$71,H$23)</f>
        <v>0.88337931253170965</v>
      </c>
      <c r="I27" s="22">
        <f>SUMIFS(Производительность_1!$Z$55:$Z$71,Производительность_1!$C$55:$C$71,I$23)</f>
        <v>0.86279173008625065</v>
      </c>
      <c r="J27" s="22">
        <f>SUMIFS(Производительность_1!$Z$55:$Z$71,Производительность_1!$C$55:$C$71,J$23)</f>
        <v>0.8715646668357856</v>
      </c>
      <c r="K27" s="22" t="e">
        <f>SUMIFS(Производительность_1!$Z$55:$Z$71,Производительность_1!$C$55:$C$71,K$23)</f>
        <v>#DIV/0!</v>
      </c>
      <c r="L27" s="22">
        <f>SUMIFS(Производительность_1!$Z$55:$Z$71,Производительность_1!$C$55:$C$71,L$23)</f>
        <v>0.88411536286571957</v>
      </c>
      <c r="M27" s="22" t="e">
        <f>SUMIFS(Производительность_1!$Z$55:$Z$71,Производительность_1!$C$55:$C$71,M$23)</f>
        <v>#DIV/0!</v>
      </c>
      <c r="N27" s="22" t="e">
        <f>SUMIFS(Производительность_1!$Z$55:$Z$71,Производительность_1!$C$55:$C$71,N$23)</f>
        <v>#DIV/0!</v>
      </c>
      <c r="O27" s="22" t="e">
        <f>SUMIFS(Производительность_1!$Z$55:$Z$71,Производительность_1!$C$55:$C$71,O$23)</f>
        <v>#DIV/0!</v>
      </c>
      <c r="P27" s="22" t="e">
        <f>SUMIFS(Производительность_1!$Z$55:$Z$71,Производительность_1!$C$55:$C$71,P$23)</f>
        <v>#DIV/0!</v>
      </c>
      <c r="Q27" s="22" t="e">
        <f>SUMIFS(Производительность_1!$Z$55:$Z$71,Производительность_1!$C$55:$C$71,Q$23)</f>
        <v>#DIV/0!</v>
      </c>
      <c r="R27" s="22" t="e">
        <f>SUMIFS(Производительность_1!$Z$55:$Z$71,Производительность_1!$C$55:$C$71,R$23)</f>
        <v>#DIV/0!</v>
      </c>
      <c r="S27" s="22" t="e">
        <f>SUMIFS(Производительность_1!$Z$55:$Z$71,Производительность_1!$C$55:$C$71,S$23)</f>
        <v>#DIV/0!</v>
      </c>
      <c r="T27" s="22" t="e">
        <f>SUMIFS(Производительность_1!$Z$55:$Z$71,Производительность_1!$C$55:$C$71,T$23)</f>
        <v>#DIV/0!</v>
      </c>
      <c r="U27" s="18"/>
    </row>
    <row r="28" spans="1:21" x14ac:dyDescent="0.25">
      <c r="A28" s="179"/>
      <c r="C28" s="207">
        <f>MAX(C$24:C27)+1</f>
        <v>5</v>
      </c>
      <c r="D28" s="23" t="s">
        <v>18</v>
      </c>
      <c r="E28" s="24" t="str">
        <f>E27</f>
        <v>коэфф.</v>
      </c>
      <c r="F28" s="25">
        <f>SUMIFS(Производительность_1!$E$55:$E$71,Производительность_1!$C$55:$C$71,F$23)</f>
        <v>0.93755029173008619</v>
      </c>
      <c r="G28" s="25">
        <f>SUMIFS(Производительность_1!$E$55:$E$71,Производительность_1!$C$55:$C$71,G$23)</f>
        <v>0.91162480974124804</v>
      </c>
      <c r="H28" s="25">
        <f>SUMIFS(Производительность_1!$E$55:$E$71,Производительность_1!$C$55:$C$71,H$23)</f>
        <v>0.93570839675291717</v>
      </c>
      <c r="I28" s="25">
        <f>SUMIFS(Производительность_1!$E$55:$E$71,Производительность_1!$C$55:$C$71,I$23)</f>
        <v>0.90962709284627086</v>
      </c>
      <c r="J28" s="25">
        <f>SUMIFS(Производительность_1!$E$55:$E$71,Производительность_1!$C$55:$C$71,J$23)</f>
        <v>0.90830416032470829</v>
      </c>
      <c r="K28" s="25">
        <f>SUMIFS(Производительность_1!$E$55:$E$71,Производительность_1!$C$55:$C$71,K$23)</f>
        <v>0</v>
      </c>
      <c r="L28" s="25">
        <f>SUMIFS(Производительность_1!$E$55:$E$71,Производительность_1!$C$55:$C$71,L$23)</f>
        <v>0.92956036751648907</v>
      </c>
      <c r="M28" s="25">
        <f>SUMIFS(Производительность_1!$E$55:$E$71,Производительность_1!$C$55:$C$71,M$23)</f>
        <v>0</v>
      </c>
      <c r="N28" s="25">
        <f>SUMIFS(Производительность_1!$E$55:$E$71,Производительность_1!$C$55:$C$71,N$23)</f>
        <v>0</v>
      </c>
      <c r="O28" s="25">
        <f>SUMIFS(Производительность_1!$E$55:$E$71,Производительность_1!$C$55:$C$71,O$23)</f>
        <v>0</v>
      </c>
      <c r="P28" s="25">
        <f>SUMIFS(Производительность_1!$E$55:$E$71,Производительность_1!$C$55:$C$71,P$23)</f>
        <v>0</v>
      </c>
      <c r="Q28" s="25">
        <f>SUMIFS(Производительность_1!$E$55:$E$71,Производительность_1!$C$55:$C$71,Q$23)</f>
        <v>0</v>
      </c>
      <c r="R28" s="25">
        <f>SUMIFS(Производительность_1!$E$55:$E$71,Производительность_1!$C$55:$C$71,R$23)</f>
        <v>0</v>
      </c>
      <c r="S28" s="25">
        <f>SUMIFS(Производительность_1!$E$55:$E$71,Производительность_1!$C$55:$C$71,S$23)</f>
        <v>0</v>
      </c>
      <c r="T28" s="25">
        <f>SUMIFS(Производительность_1!$E$55:$E$71,Производительность_1!$C$55:$C$71,T$23)</f>
        <v>0</v>
      </c>
      <c r="U28" s="18"/>
    </row>
    <row r="29" spans="1:21" x14ac:dyDescent="0.25">
      <c r="A29" s="179"/>
      <c r="C29" s="207">
        <f>MAX(C$24:C28)+1</f>
        <v>6</v>
      </c>
      <c r="D29" s="18" t="s">
        <v>19</v>
      </c>
      <c r="E29" s="19" t="str">
        <f>E27</f>
        <v>коэфф.</v>
      </c>
      <c r="F29" s="26">
        <f>SUMIFS(Производительность_1!$Z$119:$Z$135,Производительность_1!$C$119:$C$135,F$23)</f>
        <v>0.79732430659580567</v>
      </c>
      <c r="G29" s="26">
        <f>SUMIFS(Производительность_1!$Z$119:$Z$135,Производительность_1!$C$119:$C$135,G$23)</f>
        <v>0.74004467254701367</v>
      </c>
      <c r="H29" s="26">
        <f>SUMIFS(Производительность_1!$Z$119:$Z$135,Производительность_1!$C$119:$C$135,H$23)</f>
        <v>0.7627550766008796</v>
      </c>
      <c r="I29" s="26">
        <f>SUMIFS(Производительность_1!$Z$119:$Z$135,Производительность_1!$C$119:$C$135,I$23)</f>
        <v>0.74446948344055741</v>
      </c>
      <c r="J29" s="26">
        <f>SUMIFS(Производительность_1!$Z$119:$Z$135,Производительность_1!$C$119:$C$135,J$23)</f>
        <v>0.7523606618943286</v>
      </c>
      <c r="K29" s="26" t="e">
        <f>SUMIFS(Производительность_1!$Z$119:$Z$135,Производительность_1!$C$119:$C$135,K$23)</f>
        <v>#DIV/0!</v>
      </c>
      <c r="L29" s="26">
        <f>SUMIFS(Производительность_1!$Z$119:$Z$135,Производительность_1!$C$119:$C$135,L$23)</f>
        <v>0.76318279809326217</v>
      </c>
      <c r="M29" s="26" t="e">
        <f>SUMIFS(Производительность_1!$Z$119:$Z$135,Производительность_1!$C$119:$C$135,M$23)</f>
        <v>#DIV/0!</v>
      </c>
      <c r="N29" s="26" t="e">
        <f>SUMIFS(Производительность_1!$Z$119:$Z$135,Производительность_1!$C$119:$C$135,N$23)</f>
        <v>#DIV/0!</v>
      </c>
      <c r="O29" s="26" t="e">
        <f>SUMIFS(Производительность_1!$Z$119:$Z$135,Производительность_1!$C$119:$C$135,O$23)</f>
        <v>#DIV/0!</v>
      </c>
      <c r="P29" s="26" t="e">
        <f>SUMIFS(Производительность_1!$Z$119:$Z$135,Производительность_1!$C$119:$C$135,P$23)</f>
        <v>#DIV/0!</v>
      </c>
      <c r="Q29" s="26" t="e">
        <f>SUMIFS(Производительность_1!$Z$119:$Z$135,Производительность_1!$C$119:$C$135,Q$23)</f>
        <v>#DIV/0!</v>
      </c>
      <c r="R29" s="26" t="e">
        <f>SUMIFS(Производительность_1!$Z$119:$Z$135,Производительность_1!$C$119:$C$135,R$23)</f>
        <v>#DIV/0!</v>
      </c>
      <c r="S29" s="26" t="e">
        <f>SUMIFS(Производительность_1!$Z$119:$Z$135,Производительность_1!$C$119:$C$135,S$23)</f>
        <v>#DIV/0!</v>
      </c>
      <c r="T29" s="26" t="e">
        <f>SUMIFS(Производительность_1!$Z$119:$Z$135,Производительность_1!$C$119:$C$135,T$23)</f>
        <v>#DIV/0!</v>
      </c>
      <c r="U29" s="18"/>
    </row>
    <row r="30" spans="1:21" x14ac:dyDescent="0.25">
      <c r="A30" s="179"/>
      <c r="C30" s="207">
        <f>MAX(C$24:C29)+1</f>
        <v>7</v>
      </c>
      <c r="D30" s="20" t="s">
        <v>20</v>
      </c>
      <c r="E30" s="21" t="s">
        <v>21</v>
      </c>
      <c r="F30" s="27">
        <f>SUMIFS(Производительность_1!$E$151:$E$167,Производительность_1!$C$151:$C$167,F$23)</f>
        <v>22.46</v>
      </c>
      <c r="G30" s="27">
        <f>SUMIFS(Производительность_1!$E$151:$E$167,Производительность_1!$C$151:$C$167,G$23)</f>
        <v>22.46</v>
      </c>
      <c r="H30" s="27">
        <f>SUMIFS(Производительность_1!$E$151:$E$167,Производительность_1!$C$151:$C$167,H$23)</f>
        <v>22.46</v>
      </c>
      <c r="I30" s="27">
        <f>SUMIFS(Производительность_1!$E$151:$E$167,Производительность_1!$C$151:$C$167,I$23)</f>
        <v>22.46</v>
      </c>
      <c r="J30" s="27">
        <f>SUMIFS(Производительность_1!$E$151:$E$167,Производительность_1!$C$151:$C$167,J$23)</f>
        <v>22.46</v>
      </c>
      <c r="K30" s="27">
        <f>SUMIFS(Производительность_1!$E$151:$E$167,Производительность_1!$C$151:$C$167,K$23)</f>
        <v>22.46</v>
      </c>
      <c r="L30" s="27">
        <f>SUMIFS(Производительность_1!$E$151:$E$167,Производительность_1!$C$151:$C$167,L$23)</f>
        <v>22.46</v>
      </c>
      <c r="M30" s="27">
        <f>SUMIFS(Производительность_1!$E$151:$E$167,Производительность_1!$C$151:$C$167,M$23)</f>
        <v>0</v>
      </c>
      <c r="N30" s="27">
        <f>SUMIFS(Производительность_1!$E$151:$E$167,Производительность_1!$C$151:$C$167,N$23)</f>
        <v>0</v>
      </c>
      <c r="O30" s="27">
        <f>SUMIFS(Производительность_1!$E$151:$E$167,Производительность_1!$C$151:$C$167,O$23)</f>
        <v>0</v>
      </c>
      <c r="P30" s="27">
        <f>SUMIFS(Производительность_1!$E$151:$E$167,Производительность_1!$C$151:$C$167,P$23)</f>
        <v>0</v>
      </c>
      <c r="Q30" s="27">
        <f>SUMIFS(Производительность_1!$E$151:$E$167,Производительность_1!$C$151:$C$167,Q$23)</f>
        <v>0</v>
      </c>
      <c r="R30" s="27">
        <f>SUMIFS(Производительность_1!$E$151:$E$167,Производительность_1!$C$151:$C$167,R$23)</f>
        <v>0</v>
      </c>
      <c r="S30" s="27">
        <f>SUMIFS(Производительность_1!$E$151:$E$167,Производительность_1!$C$151:$C$167,S$23)</f>
        <v>0</v>
      </c>
      <c r="T30" s="27">
        <f>SUMIFS(Производительность_1!$E$151:$E$167,Производительность_1!$C$151:$C$167,T$23)</f>
        <v>0</v>
      </c>
      <c r="U30" s="18"/>
    </row>
    <row r="31" spans="1:21" x14ac:dyDescent="0.25">
      <c r="A31" s="179"/>
      <c r="C31" s="207">
        <f>MAX(C$24:C30)+1</f>
        <v>8</v>
      </c>
      <c r="D31" s="1060" t="s">
        <v>22</v>
      </c>
      <c r="E31" s="21" t="s">
        <v>23</v>
      </c>
      <c r="F31" s="28">
        <f>SUMIFS(Производительность_1!$Z$247:$Z$263,Производительность_1!$C$247:$C$263,F$23)</f>
        <v>2756.3656911254452</v>
      </c>
      <c r="G31" s="28">
        <f>SUMIFS(Производительность_1!$Z$247:$Z$263,Производительность_1!$C$247:$C$263,G$23)</f>
        <v>2598.1276311898637</v>
      </c>
      <c r="H31" s="28">
        <f>SUMIFS(Производительность_1!$Z$247:$Z$263,Производительность_1!$C$247:$C$263,H$23)</f>
        <v>2677.4962615732816</v>
      </c>
      <c r="I31" s="28">
        <f>SUMIFS(Производительность_1!$Z$247:$Z$263,Производительность_1!$C$247:$C$263,I$23)</f>
        <v>2832.1806678171924</v>
      </c>
      <c r="J31" s="28">
        <f>SUMIFS(Производительность_1!$Z$247:$Z$263,Производительность_1!$C$247:$C$263,J$23)</f>
        <v>2885.6026565348448</v>
      </c>
      <c r="K31" s="28" t="e">
        <f>SUMIFS(Производительность_1!$Z$247:$Z$263,Производительность_1!$C$247:$C$263,K$23)</f>
        <v>#DIV/0!</v>
      </c>
      <c r="L31" s="28">
        <f>SUMIFS(Производительность_1!$Z$247:$Z$263,Производительность_1!$C$247:$C$263,L$23)</f>
        <v>2928.2687096257719</v>
      </c>
      <c r="M31" s="28" t="e">
        <f>SUMIFS(Производительность_1!$Z$247:$Z$263,Производительность_1!$C$247:$C$263,M$23)</f>
        <v>#DIV/0!</v>
      </c>
      <c r="N31" s="28" t="e">
        <f>SUMIFS(Производительность_1!$Z$247:$Z$263,Производительность_1!$C$247:$C$263,N$23)</f>
        <v>#DIV/0!</v>
      </c>
      <c r="O31" s="28" t="e">
        <f>SUMIFS(Производительность_1!$Z$247:$Z$263,Производительность_1!$C$247:$C$263,O$23)</f>
        <v>#DIV/0!</v>
      </c>
      <c r="P31" s="28" t="e">
        <f>SUMIFS(Производительность_1!$Z$247:$Z$263,Производительность_1!$C$247:$C$263,P$23)</f>
        <v>#DIV/0!</v>
      </c>
      <c r="Q31" s="28" t="e">
        <f>SUMIFS(Производительность_1!$Z$247:$Z$263,Производительность_1!$C$247:$C$263,Q$23)</f>
        <v>#DIV/0!</v>
      </c>
      <c r="R31" s="28" t="e">
        <f>SUMIFS(Производительность_1!$Z$247:$Z$263,Производительность_1!$C$247:$C$263,R$23)</f>
        <v>#DIV/0!</v>
      </c>
      <c r="S31" s="28" t="e">
        <f>SUMIFS(Производительность_1!$Z$247:$Z$263,Производительность_1!$C$247:$C$263,S$23)</f>
        <v>#DIV/0!</v>
      </c>
      <c r="T31" s="28" t="e">
        <f>SUMIFS(Производительность_1!$Z$247:$Z$263,Производительность_1!$C$247:$C$263,T$23)</f>
        <v>#DIV/0!</v>
      </c>
      <c r="U31" s="18"/>
    </row>
    <row r="32" spans="1:21" x14ac:dyDescent="0.25">
      <c r="A32" s="179"/>
      <c r="C32" s="207">
        <f>MAX(C$24:C31)+1</f>
        <v>9</v>
      </c>
      <c r="D32" s="1061"/>
      <c r="E32" s="21" t="s">
        <v>24</v>
      </c>
      <c r="F32" s="28">
        <f>SUMIFS(Производительность_1!$Z$263:$Z$279,Производительность_1!$C$263:$C$279,F$23)</f>
        <v>13243.303856156499</v>
      </c>
      <c r="G32" s="28">
        <f>SUMIFS(Производительность_1!$Z$263:$Z$279,Производительность_1!$C$263:$C$279,G$23)</f>
        <v>11054.290477428021</v>
      </c>
      <c r="H32" s="28">
        <f>SUMIFS(Производительность_1!$Z$263:$Z$279,Производительность_1!$C$263:$C$279,H$23)</f>
        <v>11760.947743130491</v>
      </c>
      <c r="I32" s="28">
        <f>SUMIFS(Производительность_1!$Z$263:$Z$279,Производительность_1!$C$263:$C$279,I$23)</f>
        <v>11541.076234609636</v>
      </c>
      <c r="J32" s="28">
        <f>SUMIFS(Производительность_1!$Z$263:$Z$279,Производительность_1!$C$263:$C$279,J$23)</f>
        <v>12281.887927032989</v>
      </c>
      <c r="K32" s="28" t="e">
        <f>SUMIFS(Производительность_1!$Z$263:$Z$279,Производительность_1!$C$263:$C$279,K$23)</f>
        <v>#DIV/0!</v>
      </c>
      <c r="L32" s="28">
        <f>SUMIFS(Производительность_1!$Z$263:$Z$279,Производительность_1!$C$263:$C$279,L$23)</f>
        <v>12456.731600748433</v>
      </c>
      <c r="M32" s="28" t="e">
        <f>SUMIFS(Производительность_1!$Z$263:$Z$279,Производительность_1!$C$263:$C$279,M$23)</f>
        <v>#DIV/0!</v>
      </c>
      <c r="N32" s="28" t="e">
        <f>SUMIFS(Производительность_1!$Z$263:$Z$279,Производительность_1!$C$263:$C$279,N$23)</f>
        <v>#DIV/0!</v>
      </c>
      <c r="O32" s="28" t="e">
        <f>SUMIFS(Производительность_1!$Z$263:$Z$279,Производительность_1!$C$263:$C$279,O$23)</f>
        <v>#DIV/0!</v>
      </c>
      <c r="P32" s="28" t="e">
        <f>SUMIFS(Производительность_1!$Z$263:$Z$279,Производительность_1!$C$263:$C$279,P$23)</f>
        <v>#DIV/0!</v>
      </c>
      <c r="Q32" s="28" t="e">
        <f>SUMIFS(Производительность_1!$Z$263:$Z$279,Производительность_1!$C$263:$C$279,Q$23)</f>
        <v>#DIV/0!</v>
      </c>
      <c r="R32" s="28" t="e">
        <f>SUMIFS(Производительность_1!$Z$263:$Z$279,Производительность_1!$C$263:$C$279,R$23)</f>
        <v>#DIV/0!</v>
      </c>
      <c r="S32" s="28" t="e">
        <f>SUMIFS(Производительность_1!$Z$263:$Z$279,Производительность_1!$C$263:$C$279,S$23)</f>
        <v>#DIV/0!</v>
      </c>
      <c r="T32" s="28" t="e">
        <f>SUMIFS(Производительность_1!$Z$263:$Z$279,Производительность_1!$C$263:$C$279,T$23)</f>
        <v>#DIV/0!</v>
      </c>
      <c r="U32" s="18"/>
    </row>
    <row r="33" spans="1:23" x14ac:dyDescent="0.25">
      <c r="A33" s="179"/>
      <c r="C33" s="207">
        <f>MAX(C$24:C32)+1</f>
        <v>10</v>
      </c>
      <c r="D33" s="1056" t="s">
        <v>25</v>
      </c>
      <c r="E33" s="24" t="str">
        <f>E31</f>
        <v>тыс. т</v>
      </c>
      <c r="F33" s="29">
        <f>SUMIFS(Производительность_1!$E$247:$E$263,Производительность_1!$C$247:$C$263,F$23)</f>
        <v>3844.3301979005578</v>
      </c>
      <c r="G33" s="29">
        <f>SUMIFS(Производительность_1!$E$247:$E$263,Производительность_1!$C$247:$C$263,G$23)</f>
        <v>3468.7825332226494</v>
      </c>
      <c r="H33" s="29">
        <f>SUMIFS(Производительность_1!$E$247:$E$263,Производительность_1!$C$247:$C$263,H$23)</f>
        <v>3644.1303572092447</v>
      </c>
      <c r="I33" s="29">
        <f>SUMIFS(Производительность_1!$E$247:$E$263,Производительность_1!$C$247:$C$263,I$23)</f>
        <v>3634.86890018759</v>
      </c>
      <c r="J33" s="29">
        <f>SUMIFS(Производительность_1!$E$247:$E$263,Производительность_1!$C$247:$C$263,J$23)</f>
        <v>3776.7276982276098</v>
      </c>
      <c r="K33" s="29">
        <f>SUMIFS(Производительность_1!$E$247:$E$263,Производительность_1!$C$247:$C$263,K$23)</f>
        <v>0</v>
      </c>
      <c r="L33" s="29">
        <f>SUMIFS(Производительность_1!$E$247:$E$263,Производительность_1!$C$247:$C$263,L$23)</f>
        <v>3865.1109843195336</v>
      </c>
      <c r="M33" s="29">
        <f>SUMIFS(Производительность_1!$E$247:$E$263,Производительность_1!$C$247:$C$263,M$23)</f>
        <v>0</v>
      </c>
      <c r="N33" s="29">
        <f>SUMIFS(Производительность_1!$E$247:$E$263,Производительность_1!$C$247:$C$263,N$23)</f>
        <v>0</v>
      </c>
      <c r="O33" s="29">
        <f>SUMIFS(Производительность_1!$E$247:$E$263,Производительность_1!$C$247:$C$263,O$23)</f>
        <v>0</v>
      </c>
      <c r="P33" s="29">
        <f>SUMIFS(Производительность_1!$E$247:$E$263,Производительность_1!$C$247:$C$263,P$23)</f>
        <v>0</v>
      </c>
      <c r="Q33" s="29">
        <f>SUMIFS(Производительность_1!$E$247:$E$263,Производительность_1!$C$247:$C$263,Q$23)</f>
        <v>0</v>
      </c>
      <c r="R33" s="29">
        <f>SUMIFS(Производительность_1!$E$247:$E$263,Производительность_1!$C$247:$C$263,R$23)</f>
        <v>0</v>
      </c>
      <c r="S33" s="29">
        <f>SUMIFS(Производительность_1!$E$247:$E$263,Производительность_1!$C$247:$C$263,S$23)</f>
        <v>0</v>
      </c>
      <c r="T33" s="29">
        <f>SUMIFS(Производительность_1!$E$247:$E$263,Производительность_1!$C$247:$C$263,T$23)</f>
        <v>0</v>
      </c>
      <c r="U33" s="18"/>
    </row>
    <row r="34" spans="1:23" x14ac:dyDescent="0.25">
      <c r="A34" s="179"/>
      <c r="C34" s="207">
        <f>MAX(C$24:C33)+1</f>
        <v>11</v>
      </c>
      <c r="D34" s="1057"/>
      <c r="E34" s="24" t="str">
        <f>E32</f>
        <v>тыс. ткм</v>
      </c>
      <c r="F34" s="29">
        <f>SUMIFS(Производительность_1!$E$263:$E$279,Производительность_1!$C$263:$C$279,F$23)</f>
        <v>11685.164981362384</v>
      </c>
      <c r="G34" s="29">
        <f>SUMIFS(Производительность_1!$E$263:$E$279,Производительность_1!$C$263:$C$279,G$23)</f>
        <v>10543.656267432647</v>
      </c>
      <c r="H34" s="29">
        <f>SUMIFS(Производительность_1!$E$263:$E$279,Производительность_1!$C$263:$C$279,H$23)</f>
        <v>11076.640726864678</v>
      </c>
      <c r="I34" s="29">
        <f>SUMIFS(Производительность_1!$E$263:$E$279,Производительность_1!$C$263:$C$279,I$23)</f>
        <v>11048.489749270471</v>
      </c>
      <c r="J34" s="29">
        <f>SUMIFS(Производительность_1!$E$263:$E$279,Производительность_1!$C$263:$C$279,J$23)</f>
        <v>11479.681497591326</v>
      </c>
      <c r="K34" s="29">
        <f>SUMIFS(Производительность_1!$E$263:$E$279,Производительность_1!$C$263:$C$279,K$23)</f>
        <v>0</v>
      </c>
      <c r="L34" s="29">
        <f>SUMIFS(Производительность_1!$E$263:$E$279,Производительность_1!$C$263:$C$279,L$23)</f>
        <v>11748.329929545243</v>
      </c>
      <c r="M34" s="29">
        <f>SUMIFS(Производительность_1!$E$263:$E$279,Производительность_1!$C$263:$C$279,M$23)</f>
        <v>0</v>
      </c>
      <c r="N34" s="29">
        <f>SUMIFS(Производительность_1!$E$263:$E$279,Производительность_1!$C$263:$C$279,N$23)</f>
        <v>0</v>
      </c>
      <c r="O34" s="29">
        <f>SUMIFS(Производительность_1!$E$263:$E$279,Производительность_1!$C$263:$C$279,O$23)</f>
        <v>0</v>
      </c>
      <c r="P34" s="29">
        <f>SUMIFS(Производительность_1!$E$263:$E$279,Производительность_1!$C$263:$C$279,P$23)</f>
        <v>0</v>
      </c>
      <c r="Q34" s="29">
        <f>SUMIFS(Производительность_1!$E$263:$E$279,Производительность_1!$C$263:$C$279,Q$23)</f>
        <v>0</v>
      </c>
      <c r="R34" s="29">
        <f>SUMIFS(Производительность_1!$E$263:$E$279,Производительность_1!$C$263:$C$279,R$23)</f>
        <v>0</v>
      </c>
      <c r="S34" s="29">
        <f>SUMIFS(Производительность_1!$E$263:$E$279,Производительность_1!$C$263:$C$279,S$23)</f>
        <v>0</v>
      </c>
      <c r="T34" s="29">
        <f>SUMIFS(Производительность_1!$E$263:$E$279,Производительность_1!$C$263:$C$279,T$23)</f>
        <v>0</v>
      </c>
      <c r="U34" s="18"/>
    </row>
    <row r="35" spans="1:23" x14ac:dyDescent="0.25">
      <c r="A35" s="179"/>
      <c r="C35" s="207"/>
      <c r="D35" s="18"/>
      <c r="E35" s="1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18"/>
    </row>
    <row r="36" spans="1:23" x14ac:dyDescent="0.25">
      <c r="A36" s="179"/>
      <c r="C36" s="207">
        <f>MAX(C$24:C35)+1</f>
        <v>12</v>
      </c>
      <c r="D36" s="18" t="s">
        <v>26</v>
      </c>
      <c r="E36" s="1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18"/>
    </row>
    <row r="37" spans="1:23" x14ac:dyDescent="0.25">
      <c r="A37" s="155"/>
      <c r="C37" s="207">
        <f>MAX(C$24:C36)+1</f>
        <v>13</v>
      </c>
      <c r="D37" s="31" t="s">
        <v>28</v>
      </c>
      <c r="E37" s="19" t="s">
        <v>29</v>
      </c>
      <c r="F37" s="425">
        <f>Свод!F37</f>
        <v>8500</v>
      </c>
      <c r="G37" s="425">
        <f>Свод!G37</f>
        <v>9104</v>
      </c>
      <c r="H37" s="425">
        <f>Свод!H37</f>
        <v>8970</v>
      </c>
      <c r="I37" s="425">
        <f>Свод!I37</f>
        <v>7822</v>
      </c>
      <c r="J37" s="425">
        <f>Свод!J37</f>
        <v>8800</v>
      </c>
      <c r="K37" s="425">
        <f>Свод!K37</f>
        <v>0</v>
      </c>
      <c r="L37" s="425">
        <f>Свод!L37</f>
        <v>8400</v>
      </c>
      <c r="M37" s="425">
        <f>Свод!M37</f>
        <v>0</v>
      </c>
      <c r="N37" s="425">
        <f>Свод!N37</f>
        <v>0</v>
      </c>
      <c r="O37" s="425">
        <f>Свод!O37</f>
        <v>0</v>
      </c>
      <c r="P37" s="425">
        <f>Свод!P37</f>
        <v>0</v>
      </c>
      <c r="Q37" s="425">
        <f>Свод!Q37</f>
        <v>0</v>
      </c>
      <c r="R37" s="425">
        <f>Свод!R37</f>
        <v>0</v>
      </c>
      <c r="S37" s="425">
        <f>Свод!S37</f>
        <v>0</v>
      </c>
      <c r="T37" s="425">
        <f>Свод!T37</f>
        <v>0</v>
      </c>
      <c r="U37" s="33"/>
    </row>
    <row r="38" spans="1:23" x14ac:dyDescent="0.25">
      <c r="A38" s="155"/>
      <c r="C38" s="207">
        <f>MAX(C$24:C37)+1</f>
        <v>14</v>
      </c>
      <c r="D38" s="31" t="s">
        <v>30</v>
      </c>
      <c r="E38" s="19" t="str">
        <f>E37</f>
        <v>мм</v>
      </c>
      <c r="F38" s="425">
        <f>Свод!F38</f>
        <v>7300</v>
      </c>
      <c r="G38" s="425">
        <f>Свод!G38</f>
        <v>7205</v>
      </c>
      <c r="H38" s="425">
        <f>Свод!H38</f>
        <v>7050</v>
      </c>
      <c r="I38" s="425">
        <f>Свод!I38</f>
        <v>7427</v>
      </c>
      <c r="J38" s="425">
        <f>Свод!J38</f>
        <v>6720</v>
      </c>
      <c r="K38" s="425">
        <f>Свод!K38</f>
        <v>0</v>
      </c>
      <c r="L38" s="425">
        <f>Свод!L38</f>
        <v>6720</v>
      </c>
      <c r="M38" s="425">
        <f>Свод!M38</f>
        <v>0</v>
      </c>
      <c r="N38" s="425">
        <f>Свод!N38</f>
        <v>0</v>
      </c>
      <c r="O38" s="425">
        <f>Свод!O38</f>
        <v>0</v>
      </c>
      <c r="P38" s="425">
        <f>Свод!P38</f>
        <v>0</v>
      </c>
      <c r="Q38" s="425">
        <f>Свод!Q38</f>
        <v>0</v>
      </c>
      <c r="R38" s="425">
        <f>Свод!R38</f>
        <v>0</v>
      </c>
      <c r="S38" s="425">
        <f>Свод!S38</f>
        <v>0</v>
      </c>
      <c r="T38" s="425">
        <f>Свод!T38</f>
        <v>0</v>
      </c>
      <c r="U38" s="33"/>
    </row>
    <row r="39" spans="1:23" x14ac:dyDescent="0.25">
      <c r="A39" s="155"/>
      <c r="C39" s="207">
        <f>MAX(C$24:C38)+1</f>
        <v>15</v>
      </c>
      <c r="D39" s="31" t="s">
        <v>31</v>
      </c>
      <c r="E39" s="19" t="str">
        <f>E38</f>
        <v>мм</v>
      </c>
      <c r="F39" s="425">
        <f>Свод!F39</f>
        <v>15600</v>
      </c>
      <c r="G39" s="425">
        <f>Свод!G39</f>
        <v>14595</v>
      </c>
      <c r="H39" s="425">
        <f>Свод!H39</f>
        <v>14900</v>
      </c>
      <c r="I39" s="425">
        <f>Свод!I39</f>
        <v>14380</v>
      </c>
      <c r="J39" s="425">
        <f>Свод!J39</f>
        <v>13390</v>
      </c>
      <c r="K39" s="425">
        <f>Свод!K39</f>
        <v>0</v>
      </c>
      <c r="L39" s="425">
        <f>Свод!L39</f>
        <v>13390</v>
      </c>
      <c r="M39" s="425">
        <f>Свод!M39</f>
        <v>0</v>
      </c>
      <c r="N39" s="425">
        <f>Свод!N39</f>
        <v>0</v>
      </c>
      <c r="O39" s="425">
        <f>Свод!O39</f>
        <v>0</v>
      </c>
      <c r="P39" s="425">
        <f>Свод!P39</f>
        <v>0</v>
      </c>
      <c r="Q39" s="425">
        <f>Свод!Q39</f>
        <v>0</v>
      </c>
      <c r="R39" s="425">
        <f>Свод!R39</f>
        <v>0</v>
      </c>
      <c r="S39" s="425">
        <f>Свод!S39</f>
        <v>0</v>
      </c>
      <c r="T39" s="425">
        <f>Свод!T39</f>
        <v>0</v>
      </c>
      <c r="U39" s="33"/>
    </row>
    <row r="40" spans="1:23" x14ac:dyDescent="0.25">
      <c r="A40" s="179"/>
      <c r="C40" s="207"/>
      <c r="D40" s="31"/>
      <c r="E40" s="19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18"/>
    </row>
    <row r="41" spans="1:23" x14ac:dyDescent="0.25">
      <c r="A41" s="179"/>
      <c r="C41" s="207">
        <f>MAX(C$24:C40)+1</f>
        <v>16</v>
      </c>
      <c r="D41" s="20" t="s">
        <v>32</v>
      </c>
      <c r="E41" s="21" t="s">
        <v>33</v>
      </c>
      <c r="F41" s="28">
        <f>F44+F45+F46</f>
        <v>0</v>
      </c>
      <c r="G41" s="28">
        <f t="shared" ref="G41:T41" si="6">G44+G45+G46</f>
        <v>0</v>
      </c>
      <c r="H41" s="28">
        <f t="shared" si="6"/>
        <v>0</v>
      </c>
      <c r="I41" s="28">
        <f t="shared" si="6"/>
        <v>0</v>
      </c>
      <c r="J41" s="28">
        <f t="shared" si="6"/>
        <v>0</v>
      </c>
      <c r="K41" s="28">
        <f t="shared" ref="K41" si="7">K44+K45+K46</f>
        <v>0</v>
      </c>
      <c r="L41" s="28">
        <f t="shared" si="6"/>
        <v>0</v>
      </c>
      <c r="M41" s="28">
        <f t="shared" si="6"/>
        <v>0</v>
      </c>
      <c r="N41" s="28">
        <f t="shared" si="6"/>
        <v>0</v>
      </c>
      <c r="O41" s="28">
        <f t="shared" si="6"/>
        <v>0</v>
      </c>
      <c r="P41" s="28">
        <f t="shared" si="6"/>
        <v>0</v>
      </c>
      <c r="Q41" s="28">
        <f t="shared" si="6"/>
        <v>0</v>
      </c>
      <c r="R41" s="28">
        <f t="shared" si="6"/>
        <v>0</v>
      </c>
      <c r="S41" s="28">
        <f t="shared" si="6"/>
        <v>0</v>
      </c>
      <c r="T41" s="28">
        <f t="shared" si="6"/>
        <v>0</v>
      </c>
      <c r="U41" s="18"/>
      <c r="W41" s="155" t="str">
        <f>Свод!W41</f>
        <v>курс ЦБ на хх.07.2026</v>
      </c>
    </row>
    <row r="42" spans="1:23" x14ac:dyDescent="0.25">
      <c r="A42" s="155"/>
      <c r="C42" s="207">
        <f>MAX(C$24:C41)+1</f>
        <v>17</v>
      </c>
      <c r="D42" s="34" t="s">
        <v>34</v>
      </c>
      <c r="E42" s="19" t="s">
        <v>35</v>
      </c>
      <c r="F42" s="465">
        <f>Свод!F42</f>
        <v>0</v>
      </c>
      <c r="G42" s="465">
        <f>Свод!G42</f>
        <v>0</v>
      </c>
      <c r="H42" s="465">
        <f>Свод!H42</f>
        <v>0</v>
      </c>
      <c r="I42" s="465">
        <f>Свод!I42</f>
        <v>0</v>
      </c>
      <c r="J42" s="465">
        <f>Свод!J42</f>
        <v>0</v>
      </c>
      <c r="K42" s="465">
        <f>Свод!K42</f>
        <v>0</v>
      </c>
      <c r="L42" s="465">
        <f>Свод!L42</f>
        <v>0</v>
      </c>
      <c r="M42" s="465">
        <f>Свод!M42</f>
        <v>0</v>
      </c>
      <c r="N42" s="465">
        <f>Свод!N42</f>
        <v>0</v>
      </c>
      <c r="O42" s="465">
        <f>Свод!O42</f>
        <v>0</v>
      </c>
      <c r="P42" s="465">
        <f>Свод!P42</f>
        <v>0</v>
      </c>
      <c r="Q42" s="465">
        <f>Свод!Q42</f>
        <v>0</v>
      </c>
      <c r="R42" s="465">
        <f>Свод!R42</f>
        <v>0</v>
      </c>
      <c r="S42" s="465">
        <f>Свод!S42</f>
        <v>0</v>
      </c>
      <c r="T42" s="465">
        <f>Свод!T42</f>
        <v>0</v>
      </c>
      <c r="U42" s="18"/>
      <c r="W42" s="743">
        <f>Свод!W42</f>
        <v>94.048500000000004</v>
      </c>
    </row>
    <row r="43" spans="1:23" x14ac:dyDescent="0.25">
      <c r="A43" s="155"/>
      <c r="C43" s="207">
        <f>MAX(C$24:C42)+1</f>
        <v>18</v>
      </c>
      <c r="D43" s="34" t="s">
        <v>36</v>
      </c>
      <c r="E43" s="19" t="s">
        <v>37</v>
      </c>
      <c r="F43" s="466">
        <f>Свод!F43</f>
        <v>0</v>
      </c>
      <c r="G43" s="466">
        <f>Свод!G43</f>
        <v>0</v>
      </c>
      <c r="H43" s="466">
        <f>Свод!H43</f>
        <v>0</v>
      </c>
      <c r="I43" s="466">
        <f>Свод!I43</f>
        <v>0</v>
      </c>
      <c r="J43" s="466">
        <f>Свод!J43</f>
        <v>0</v>
      </c>
      <c r="K43" s="466">
        <f>Свод!K43</f>
        <v>0</v>
      </c>
      <c r="L43" s="466">
        <f>Свод!L43</f>
        <v>0</v>
      </c>
      <c r="M43" s="466">
        <f>Свод!M43</f>
        <v>0</v>
      </c>
      <c r="N43" s="466">
        <f>Свод!N43</f>
        <v>0</v>
      </c>
      <c r="O43" s="466">
        <f>Свод!O43</f>
        <v>0</v>
      </c>
      <c r="P43" s="466">
        <f>Свод!P43</f>
        <v>0</v>
      </c>
      <c r="Q43" s="466">
        <f>Свод!Q43</f>
        <v>0</v>
      </c>
      <c r="R43" s="466">
        <f>Свод!R43</f>
        <v>0</v>
      </c>
      <c r="S43" s="466">
        <f>Свод!S43</f>
        <v>0</v>
      </c>
      <c r="T43" s="466">
        <f>Свод!T43</f>
        <v>0</v>
      </c>
      <c r="U43" s="18"/>
      <c r="W43" s="743">
        <f>Свод!W43</f>
        <v>12.770200000000001</v>
      </c>
    </row>
    <row r="44" spans="1:23" x14ac:dyDescent="0.25">
      <c r="A44" s="155"/>
      <c r="C44" s="207">
        <f>MAX(C$24:C43)+1</f>
        <v>19</v>
      </c>
      <c r="D44" s="34" t="s">
        <v>38</v>
      </c>
      <c r="E44" s="19" t="str">
        <f>E41</f>
        <v>тыс. руб.</v>
      </c>
      <c r="F44" s="467">
        <f>Свод!F44</f>
        <v>0</v>
      </c>
      <c r="G44" s="467">
        <f>Свод!G44</f>
        <v>0</v>
      </c>
      <c r="H44" s="467">
        <f>Свод!H44</f>
        <v>0</v>
      </c>
      <c r="I44" s="467">
        <f>Свод!I44</f>
        <v>0</v>
      </c>
      <c r="J44" s="467">
        <f>Свод!J44</f>
        <v>0</v>
      </c>
      <c r="K44" s="467">
        <f>Свод!K44</f>
        <v>0</v>
      </c>
      <c r="L44" s="467">
        <f>Свод!L44</f>
        <v>0</v>
      </c>
      <c r="M44" s="467">
        <f>Свод!M44</f>
        <v>0</v>
      </c>
      <c r="N44" s="467">
        <f>Свод!N44</f>
        <v>0</v>
      </c>
      <c r="O44" s="467">
        <f>Свод!O44</f>
        <v>0</v>
      </c>
      <c r="P44" s="467">
        <f>Свод!P44</f>
        <v>0</v>
      </c>
      <c r="Q44" s="467">
        <f>Свод!Q44</f>
        <v>0</v>
      </c>
      <c r="R44" s="467">
        <f>Свод!R44</f>
        <v>0</v>
      </c>
      <c r="S44" s="467">
        <f>Свод!S44</f>
        <v>0</v>
      </c>
      <c r="T44" s="467">
        <f>Свод!T44</f>
        <v>0</v>
      </c>
      <c r="U44" s="18"/>
    </row>
    <row r="45" spans="1:23" x14ac:dyDescent="0.25">
      <c r="A45" s="155"/>
      <c r="C45" s="207">
        <f>MAX(C$24:C44)+1</f>
        <v>20</v>
      </c>
      <c r="D45" s="34" t="s">
        <v>39</v>
      </c>
      <c r="E45" s="19" t="str">
        <f>E41</f>
        <v>тыс. руб.</v>
      </c>
      <c r="F45" s="425">
        <f>Свод!F45</f>
        <v>0</v>
      </c>
      <c r="G45" s="425">
        <f>Свод!G45</f>
        <v>0</v>
      </c>
      <c r="H45" s="425">
        <f>Свод!H45</f>
        <v>0</v>
      </c>
      <c r="I45" s="425">
        <f>Свод!I45</f>
        <v>0</v>
      </c>
      <c r="J45" s="425">
        <f>Свод!J45</f>
        <v>0</v>
      </c>
      <c r="K45" s="425">
        <f>Свод!K45</f>
        <v>0</v>
      </c>
      <c r="L45" s="425">
        <f>Свод!L45</f>
        <v>0</v>
      </c>
      <c r="M45" s="425">
        <f>Свод!M45</f>
        <v>0</v>
      </c>
      <c r="N45" s="425">
        <f>Свод!N45</f>
        <v>0</v>
      </c>
      <c r="O45" s="425">
        <f>Свод!O45</f>
        <v>0</v>
      </c>
      <c r="P45" s="425">
        <f>Свод!P45</f>
        <v>0</v>
      </c>
      <c r="Q45" s="425">
        <f>Свод!Q45</f>
        <v>0</v>
      </c>
      <c r="R45" s="425">
        <f>Свод!R45</f>
        <v>0</v>
      </c>
      <c r="S45" s="425">
        <f>Свод!S45</f>
        <v>0</v>
      </c>
      <c r="T45" s="425">
        <f>Свод!T45</f>
        <v>0</v>
      </c>
      <c r="U45" s="18"/>
    </row>
    <row r="46" spans="1:23" x14ac:dyDescent="0.25">
      <c r="A46" s="155"/>
      <c r="C46" s="207">
        <f>MAX(C$24:C45)+1</f>
        <v>21</v>
      </c>
      <c r="D46" s="34" t="s">
        <v>40</v>
      </c>
      <c r="E46" s="19" t="str">
        <f>E41</f>
        <v>тыс. руб.</v>
      </c>
      <c r="F46" s="425">
        <f>Свод!F46</f>
        <v>0</v>
      </c>
      <c r="G46" s="425">
        <f>Свод!G46</f>
        <v>0</v>
      </c>
      <c r="H46" s="425">
        <f>Свод!H46</f>
        <v>0</v>
      </c>
      <c r="I46" s="425">
        <f>Свод!I46</f>
        <v>0</v>
      </c>
      <c r="J46" s="425">
        <f>Свод!J46</f>
        <v>0</v>
      </c>
      <c r="K46" s="425">
        <f>Свод!K46</f>
        <v>0</v>
      </c>
      <c r="L46" s="425">
        <f>Свод!L46</f>
        <v>0</v>
      </c>
      <c r="M46" s="425">
        <f>Свод!M46</f>
        <v>0</v>
      </c>
      <c r="N46" s="425">
        <f>Свод!N46</f>
        <v>0</v>
      </c>
      <c r="O46" s="425">
        <f>Свод!O46</f>
        <v>0</v>
      </c>
      <c r="P46" s="425">
        <f>Свод!P46</f>
        <v>0</v>
      </c>
      <c r="Q46" s="425">
        <f>Свод!Q46</f>
        <v>0</v>
      </c>
      <c r="R46" s="425">
        <f>Свод!R46</f>
        <v>0</v>
      </c>
      <c r="S46" s="425">
        <f>Свод!S46</f>
        <v>0</v>
      </c>
      <c r="T46" s="425">
        <f>Свод!T46</f>
        <v>0</v>
      </c>
      <c r="U46" s="18"/>
    </row>
    <row r="47" spans="1:23" x14ac:dyDescent="0.25">
      <c r="A47" s="179"/>
      <c r="C47" s="207"/>
      <c r="D47" s="18"/>
      <c r="E47" s="1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18"/>
    </row>
    <row r="48" spans="1:23" x14ac:dyDescent="0.25">
      <c r="A48" s="179" t="s">
        <v>27</v>
      </c>
      <c r="C48" s="207">
        <f>MAX(C$24:C47)+1</f>
        <v>22</v>
      </c>
      <c r="D48" s="20" t="s">
        <v>196</v>
      </c>
      <c r="E48" s="21" t="s">
        <v>41</v>
      </c>
      <c r="F48" s="446"/>
      <c r="G48" s="446"/>
      <c r="H48" s="446"/>
      <c r="I48" s="446"/>
      <c r="J48" s="446"/>
      <c r="K48" s="446"/>
      <c r="L48" s="446"/>
      <c r="M48" s="223"/>
      <c r="N48" s="223"/>
      <c r="O48" s="223"/>
      <c r="P48" s="223"/>
      <c r="Q48" s="223"/>
      <c r="R48" s="223"/>
      <c r="S48" s="223"/>
      <c r="T48" s="223"/>
      <c r="U48" s="18"/>
    </row>
    <row r="49" spans="1:21" x14ac:dyDescent="0.25">
      <c r="A49" s="179"/>
      <c r="C49" s="207">
        <f>MAX(C$24:C48)+1</f>
        <v>23</v>
      </c>
      <c r="D49" s="20" t="s">
        <v>197</v>
      </c>
      <c r="E49" s="21" t="str">
        <f>E41</f>
        <v>тыс. руб.</v>
      </c>
      <c r="F49" s="28">
        <f>F48*F41</f>
        <v>0</v>
      </c>
      <c r="G49" s="28">
        <f t="shared" ref="G49:T49" si="8">G48*G41</f>
        <v>0</v>
      </c>
      <c r="H49" s="28">
        <f t="shared" si="8"/>
        <v>0</v>
      </c>
      <c r="I49" s="28">
        <f t="shared" si="8"/>
        <v>0</v>
      </c>
      <c r="J49" s="28">
        <f t="shared" si="8"/>
        <v>0</v>
      </c>
      <c r="K49" s="28">
        <f t="shared" ref="K49" si="9">K48*K41</f>
        <v>0</v>
      </c>
      <c r="L49" s="28">
        <f t="shared" si="8"/>
        <v>0</v>
      </c>
      <c r="M49" s="28">
        <f t="shared" si="8"/>
        <v>0</v>
      </c>
      <c r="N49" s="28">
        <f t="shared" si="8"/>
        <v>0</v>
      </c>
      <c r="O49" s="28">
        <f t="shared" si="8"/>
        <v>0</v>
      </c>
      <c r="P49" s="28">
        <f t="shared" si="8"/>
        <v>0</v>
      </c>
      <c r="Q49" s="28">
        <f t="shared" si="8"/>
        <v>0</v>
      </c>
      <c r="R49" s="28">
        <f t="shared" si="8"/>
        <v>0</v>
      </c>
      <c r="S49" s="28">
        <f t="shared" si="8"/>
        <v>0</v>
      </c>
      <c r="T49" s="28">
        <f t="shared" si="8"/>
        <v>0</v>
      </c>
      <c r="U49" s="18"/>
    </row>
    <row r="50" spans="1:21" x14ac:dyDescent="0.25">
      <c r="A50" s="179"/>
      <c r="C50" s="207"/>
      <c r="D50" s="18"/>
      <c r="E50" s="1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18"/>
    </row>
    <row r="51" spans="1:21" ht="27.2" x14ac:dyDescent="0.25">
      <c r="A51" s="179"/>
      <c r="C51" s="207">
        <f>MAX(C$24:C50)+1</f>
        <v>24</v>
      </c>
      <c r="D51" s="18" t="s">
        <v>42</v>
      </c>
      <c r="E51" s="19" t="s">
        <v>33</v>
      </c>
      <c r="F51" s="32">
        <f>SUMIFS(ТСО_1!$AB:$AB,ТСО_1!$A:$A,F$23)</f>
        <v>37724.114089978306</v>
      </c>
      <c r="G51" s="32">
        <f>SUMIFS(ТСО_1!$AB:$AB,ТСО_1!$A:$A,G$23)</f>
        <v>81241.348468913246</v>
      </c>
      <c r="H51" s="32">
        <f>SUMIFS(ТСО_1!$AB:$AB,ТСО_1!$A:$A,H$23)</f>
        <v>43797.998815530613</v>
      </c>
      <c r="I51" s="32">
        <f>SUMIFS(ТСО_1!$AB:$AB,ТСО_1!$A:$A,I$23)</f>
        <v>80874.293045205355</v>
      </c>
      <c r="J51" s="32">
        <f>SUMIFS(ТСО_1!$AB:$AB,ТСО_1!$A:$A,J$23)</f>
        <v>49901.322273348007</v>
      </c>
      <c r="K51" s="32" t="e">
        <f>SUMIFS(ТСО_1!$AB:$AB,ТСО_1!$A:$A,K$23)</f>
        <v>#DIV/0!</v>
      </c>
      <c r="L51" s="32">
        <f>SUMIFS(ТСО_1!$AB:$AB,ТСО_1!$A:$A,L$23)</f>
        <v>49883.615234733123</v>
      </c>
      <c r="M51" s="32">
        <f>SUMIFS(ТСО_1!$AB:$AB,ТСО_1!$A:$A,M$23)</f>
        <v>0</v>
      </c>
      <c r="N51" s="32">
        <f>SUMIFS(ТСО_1!$AB:$AB,ТСО_1!$A:$A,N$23)</f>
        <v>0</v>
      </c>
      <c r="O51" s="32">
        <f>SUMIFS(ТСО_1!$AB:$AB,ТСО_1!$A:$A,O$23)</f>
        <v>0</v>
      </c>
      <c r="P51" s="32">
        <f>SUMIFS(ТСО_1!$AB:$AB,ТСО_1!$A:$A,P$23)</f>
        <v>0</v>
      </c>
      <c r="Q51" s="32">
        <f>SUMIFS(ТСО_1!$AB:$AB,ТСО_1!$A:$A,Q$23)</f>
        <v>0</v>
      </c>
      <c r="R51" s="32">
        <f>SUMIFS(ТСО_1!$AB:$AB,ТСО_1!$A:$A,R$23)</f>
        <v>0</v>
      </c>
      <c r="S51" s="32">
        <f>SUMIFS(ТСО_1!$AB:$AB,ТСО_1!$A:$A,S$23)</f>
        <v>0</v>
      </c>
      <c r="T51" s="32">
        <f>SUMIFS(ТСО_1!$AB:$AB,ТСО_1!$A:$A,T$23)</f>
        <v>0</v>
      </c>
      <c r="U51" s="18"/>
    </row>
    <row r="52" spans="1:21" x14ac:dyDescent="0.25">
      <c r="A52" s="179"/>
      <c r="C52" s="207"/>
      <c r="D52" s="18"/>
      <c r="E52" s="1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18"/>
    </row>
    <row r="53" spans="1:21" x14ac:dyDescent="0.25">
      <c r="A53" s="468" t="str">
        <f>ТСО_1!D74</f>
        <v>Аннуитет операционный</v>
      </c>
      <c r="C53" s="207">
        <f>MAX(C$24:C52)+1</f>
        <v>25</v>
      </c>
      <c r="D53" s="20" t="str">
        <f>ТСО_1!D74</f>
        <v>Аннуитет операционный</v>
      </c>
      <c r="E53" s="21" t="str">
        <f>ТСО_1!E74</f>
        <v>руб/ткм</v>
      </c>
      <c r="F53" s="40">
        <f>SUMIFS(ТСО_1!$AC:$AC,ТСО_1!$A:$A,F$23,ТСО_1!$B:$B,$A53)</f>
        <v>8.7358346139070342</v>
      </c>
      <c r="G53" s="40">
        <f>SUMIFS(ТСО_1!$AC:$AC,ТСО_1!$A:$A,G$23,ТСО_1!$B:$B,$A53)</f>
        <v>12.629210716610499</v>
      </c>
      <c r="H53" s="40">
        <f>SUMIFS(ТСО_1!$AC:$AC,ТСО_1!$A:$A,H$23,ТСО_1!$B:$B,$A53)</f>
        <v>9.8330453654636152</v>
      </c>
      <c r="I53" s="40">
        <f>SUMIFS(ТСО_1!$AC:$AC,ТСО_1!$A:$A,I$23,ТСО_1!$B:$B,$A53)</f>
        <v>12.058796115302989</v>
      </c>
      <c r="J53" s="40">
        <f>SUMIFS(ТСО_1!$AC:$AC,ТСО_1!$A:$A,J$23,ТСО_1!$B:$B,$A53)</f>
        <v>9.6354780522779304</v>
      </c>
      <c r="K53" s="40" t="e">
        <f>SUMIFS(ТСО_1!$AC:$AC,ТСО_1!$A:$A,K$23,ТСО_1!$B:$B,$A53)</f>
        <v>#DIV/0!</v>
      </c>
      <c r="L53" s="40">
        <f>SUMIFS(ТСО_1!$AC:$AC,ТСО_1!$A:$A,L$23,ТСО_1!$B:$B,$A53)</f>
        <v>9.5582597017259801</v>
      </c>
      <c r="M53" s="40">
        <f>SUMIFS(ТСО_1!$AC:$AC,ТСО_1!$A:$A,M$23,ТСО_1!$B:$B,$A53)</f>
        <v>0</v>
      </c>
      <c r="N53" s="40">
        <f>SUMIFS(ТСО_1!$AC:$AC,ТСО_1!$A:$A,N$23,ТСО_1!$B:$B,$A53)</f>
        <v>0</v>
      </c>
      <c r="O53" s="40">
        <f>SUMIFS(ТСО_1!$AC:$AC,ТСО_1!$A:$A,O$23,ТСО_1!$B:$B,$A53)</f>
        <v>0</v>
      </c>
      <c r="P53" s="40">
        <f>SUMIFS(ТСО_1!$AC:$AC,ТСО_1!$A:$A,P$23,ТСО_1!$B:$B,$A53)</f>
        <v>0</v>
      </c>
      <c r="Q53" s="40">
        <f>SUMIFS(ТСО_1!$AC:$AC,ТСО_1!$A:$A,Q$23,ТСО_1!$B:$B,$A53)</f>
        <v>0</v>
      </c>
      <c r="R53" s="40">
        <f>SUMIFS(ТСО_1!$AC:$AC,ТСО_1!$A:$A,R$23,ТСО_1!$B:$B,$A53)</f>
        <v>0</v>
      </c>
      <c r="S53" s="40">
        <f>SUMIFS(ТСО_1!$AC:$AC,ТСО_1!$A:$A,S$23,ТСО_1!$B:$B,$A53)</f>
        <v>0</v>
      </c>
      <c r="T53" s="40">
        <f>SUMIFS(ТСО_1!$AC:$AC,ТСО_1!$A:$A,T$23,ТСО_1!$B:$B,$A53)</f>
        <v>0</v>
      </c>
      <c r="U53" s="18"/>
    </row>
    <row r="54" spans="1:21" x14ac:dyDescent="0.25">
      <c r="A54" s="468" t="str">
        <f>ТСО_1!D75</f>
        <v>ТО, ТР, ППР</v>
      </c>
      <c r="C54" s="207">
        <f>MAX(C$24:C53)+1</f>
        <v>26</v>
      </c>
      <c r="D54" s="34" t="str">
        <f>ТСО_1!D75</f>
        <v>ТО, ТР, ППР</v>
      </c>
      <c r="E54" s="19" t="str">
        <f>ТСО_1!E75</f>
        <v>руб/ткм</v>
      </c>
      <c r="F54" s="41">
        <f>SUMIFS(ТСО_1!$AC:$AC,ТСО_1!$A:$A,F$23,ТСО_1!$B:$B,$A54)</f>
        <v>2.4987646390983738</v>
      </c>
      <c r="G54" s="41">
        <f>SUMIFS(ТСО_1!$AC:$AC,ТСО_1!$A:$A,G$23,ТСО_1!$B:$B,$A54)</f>
        <v>7.1230850672977457</v>
      </c>
      <c r="H54" s="41">
        <f>SUMIFS(ТСО_1!$AC:$AC,ТСО_1!$A:$A,H$23,ТСО_1!$B:$B,$A54)</f>
        <v>3.5672806009455367</v>
      </c>
      <c r="I54" s="41">
        <f>SUMIFS(ТСО_1!$AC:$AC,ТСО_1!$A:$A,I$23,ТСО_1!$B:$B,$A54)</f>
        <v>6.8703769196040945</v>
      </c>
      <c r="J54" s="41">
        <f>SUMIFS(ТСО_1!$AC:$AC,ТСО_1!$A:$A,J$23,ТСО_1!$B:$B,$A54)</f>
        <v>3.8042479424249094</v>
      </c>
      <c r="K54" s="41" t="e">
        <f>SUMIFS(ТСО_1!$AC:$AC,ТСО_1!$A:$A,K$23,ТСО_1!$B:$B,$A54)</f>
        <v>#DIV/0!</v>
      </c>
      <c r="L54" s="41">
        <f>SUMIFS(ТСО_1!$AC:$AC,ТСО_1!$A:$A,L$23,ТСО_1!$B:$B,$A54)</f>
        <v>3.6979755371677108</v>
      </c>
      <c r="M54" s="41">
        <f>SUMIFS(ТСО_1!$AC:$AC,ТСО_1!$A:$A,M$23,ТСО_1!$B:$B,$A54)</f>
        <v>0</v>
      </c>
      <c r="N54" s="41">
        <f>SUMIFS(ТСО_1!$AC:$AC,ТСО_1!$A:$A,N$23,ТСО_1!$B:$B,$A54)</f>
        <v>0</v>
      </c>
      <c r="O54" s="41">
        <f>SUMIFS(ТСО_1!$AC:$AC,ТСО_1!$A:$A,O$23,ТСО_1!$B:$B,$A54)</f>
        <v>0</v>
      </c>
      <c r="P54" s="41">
        <f>SUMIFS(ТСО_1!$AC:$AC,ТСО_1!$A:$A,P$23,ТСО_1!$B:$B,$A54)</f>
        <v>0</v>
      </c>
      <c r="Q54" s="41">
        <f>SUMIFS(ТСО_1!$AC:$AC,ТСО_1!$A:$A,Q$23,ТСО_1!$B:$B,$A54)</f>
        <v>0</v>
      </c>
      <c r="R54" s="41">
        <f>SUMIFS(ТСО_1!$AC:$AC,ТСО_1!$A:$A,R$23,ТСО_1!$B:$B,$A54)</f>
        <v>0</v>
      </c>
      <c r="S54" s="41">
        <f>SUMIFS(ТСО_1!$AC:$AC,ТСО_1!$A:$A,S$23,ТСО_1!$B:$B,$A54)</f>
        <v>0</v>
      </c>
      <c r="T54" s="41">
        <f>SUMIFS(ТСО_1!$AC:$AC,ТСО_1!$A:$A,T$23,ТСО_1!$B:$B,$A54)</f>
        <v>0</v>
      </c>
      <c r="U54" s="18"/>
    </row>
    <row r="55" spans="1:21" x14ac:dyDescent="0.25">
      <c r="A55" s="468" t="str">
        <f>ТСО_1!D76</f>
        <v>Шины</v>
      </c>
      <c r="C55" s="207">
        <f>MAX(C$24:C54)+1</f>
        <v>27</v>
      </c>
      <c r="D55" s="34" t="str">
        <f>ТСО_1!D76</f>
        <v>Шины</v>
      </c>
      <c r="E55" s="19" t="str">
        <f>ТСО_1!E76</f>
        <v>руб/ткм</v>
      </c>
      <c r="F55" s="41">
        <f>SUMIFS(ТСО_1!$AC:$AC,ТСО_1!$A:$A,F$23,ТСО_1!$B:$B,$A55)</f>
        <v>1.9474572272398096</v>
      </c>
      <c r="G55" s="41">
        <f>SUMIFS(ТСО_1!$AC:$AC,ТСО_1!$A:$A,G$23,ТСО_1!$B:$B,$A55)</f>
        <v>2.1361622546798662</v>
      </c>
      <c r="H55" s="41">
        <f>SUMIFS(ТСО_1!$AC:$AC,ТСО_1!$A:$A,H$23,ТСО_1!$B:$B,$A55)</f>
        <v>2.0794733099725184</v>
      </c>
      <c r="I55" s="41">
        <f>SUMIFS(ТСО_1!$AC:$AC,ТСО_1!$A:$A,I$23,ТСО_1!$B:$B,$A55)</f>
        <v>1.707496716610243</v>
      </c>
      <c r="J55" s="41">
        <f>SUMIFS(ТСО_1!$AC:$AC,ТСО_1!$A:$A,J$23,ТСО_1!$B:$B,$A55)</f>
        <v>1.6378791364672609</v>
      </c>
      <c r="K55" s="41" t="e">
        <f>SUMIFS(ТСО_1!$AC:$AC,ТСО_1!$A:$A,K$23,ТСО_1!$B:$B,$A55)</f>
        <v>#DIV/0!</v>
      </c>
      <c r="L55" s="41">
        <f>SUMIFS(ТСО_1!$AC:$AC,ТСО_1!$A:$A,L$23,ТСО_1!$B:$B,$A55)</f>
        <v>1.646133858609776</v>
      </c>
      <c r="M55" s="41">
        <f>SUMIFS(ТСО_1!$AC:$AC,ТСО_1!$A:$A,M$23,ТСО_1!$B:$B,$A55)</f>
        <v>0</v>
      </c>
      <c r="N55" s="41">
        <f>SUMIFS(ТСО_1!$AC:$AC,ТСО_1!$A:$A,N$23,ТСО_1!$B:$B,$A55)</f>
        <v>0</v>
      </c>
      <c r="O55" s="41">
        <f>SUMIFS(ТСО_1!$AC:$AC,ТСО_1!$A:$A,O$23,ТСО_1!$B:$B,$A55)</f>
        <v>0</v>
      </c>
      <c r="P55" s="41">
        <f>SUMIFS(ТСО_1!$AC:$AC,ТСО_1!$A:$A,P$23,ТСО_1!$B:$B,$A55)</f>
        <v>0</v>
      </c>
      <c r="Q55" s="41">
        <f>SUMIFS(ТСО_1!$AC:$AC,ТСО_1!$A:$A,Q$23,ТСО_1!$B:$B,$A55)</f>
        <v>0</v>
      </c>
      <c r="R55" s="41">
        <f>SUMIFS(ТСО_1!$AC:$AC,ТСО_1!$A:$A,R$23,ТСО_1!$B:$B,$A55)</f>
        <v>0</v>
      </c>
      <c r="S55" s="41">
        <f>SUMIFS(ТСО_1!$AC:$AC,ТСО_1!$A:$A,S$23,ТСО_1!$B:$B,$A55)</f>
        <v>0</v>
      </c>
      <c r="T55" s="41">
        <f>SUMIFS(ТСО_1!$AC:$AC,ТСО_1!$A:$A,T$23,ТСО_1!$B:$B,$A55)</f>
        <v>0</v>
      </c>
      <c r="U55" s="18"/>
    </row>
    <row r="56" spans="1:21" x14ac:dyDescent="0.25">
      <c r="A56" s="468" t="str">
        <f>ТСО_1!D77</f>
        <v>Топливо</v>
      </c>
      <c r="C56" s="207">
        <f>MAX(C$24:C55)+1</f>
        <v>28</v>
      </c>
      <c r="D56" s="34" t="str">
        <f>ТСО_1!D77</f>
        <v>Топливо</v>
      </c>
      <c r="E56" s="19" t="str">
        <f>ТСО_1!E77</f>
        <v>руб/ткм</v>
      </c>
      <c r="F56" s="41">
        <f>SUMIFS(ТСО_1!$AC:$AC,ТСО_1!$A:$A,F$23,ТСО_1!$B:$B,$A56)</f>
        <v>5.7904221164584468</v>
      </c>
      <c r="G56" s="41">
        <f>SUMIFS(ТСО_1!$AC:$AC,ТСО_1!$A:$A,G$23,ТСО_1!$B:$B,$A56)</f>
        <v>5.8940166935455505</v>
      </c>
      <c r="H56" s="41">
        <f>SUMIFS(ТСО_1!$AC:$AC,ТСО_1!$A:$A,H$23,ТСО_1!$B:$B,$A56)</f>
        <v>5.8724985039678881</v>
      </c>
      <c r="I56" s="41">
        <f>SUMIFS(ТСО_1!$AC:$AC,ТСО_1!$A:$A,I$23,ТСО_1!$B:$B,$A56)</f>
        <v>5.8812531141443403</v>
      </c>
      <c r="J56" s="41">
        <f>SUMIFS(ТСО_1!$AC:$AC,ТСО_1!$A:$A,J$23,ТСО_1!$B:$B,$A56)</f>
        <v>5.8833367532435172</v>
      </c>
      <c r="K56" s="41" t="e">
        <f>SUMIFS(ТСО_1!$AC:$AC,ТСО_1!$A:$A,K$23,ТСО_1!$B:$B,$A56)</f>
        <v>#DIV/0!</v>
      </c>
      <c r="L56" s="41">
        <f>SUMIFS(ТСО_1!$AC:$AC,ТСО_1!$A:$A,L$23,ТСО_1!$B:$B,$A56)</f>
        <v>5.8997573060190227</v>
      </c>
      <c r="M56" s="41">
        <f>SUMIFS(ТСО_1!$AC:$AC,ТСО_1!$A:$A,M$23,ТСО_1!$B:$B,$A56)</f>
        <v>0</v>
      </c>
      <c r="N56" s="41">
        <f>SUMIFS(ТСО_1!$AC:$AC,ТСО_1!$A:$A,N$23,ТСО_1!$B:$B,$A56)</f>
        <v>0</v>
      </c>
      <c r="O56" s="41">
        <f>SUMIFS(ТСО_1!$AC:$AC,ТСО_1!$A:$A,O$23,ТСО_1!$B:$B,$A56)</f>
        <v>0</v>
      </c>
      <c r="P56" s="41">
        <f>SUMIFS(ТСО_1!$AC:$AC,ТСО_1!$A:$A,P$23,ТСО_1!$B:$B,$A56)</f>
        <v>0</v>
      </c>
      <c r="Q56" s="41">
        <f>SUMIFS(ТСО_1!$AC:$AC,ТСО_1!$A:$A,Q$23,ТСО_1!$B:$B,$A56)</f>
        <v>0</v>
      </c>
      <c r="R56" s="41">
        <f>SUMIFS(ТСО_1!$AC:$AC,ТСО_1!$A:$A,R$23,ТСО_1!$B:$B,$A56)</f>
        <v>0</v>
      </c>
      <c r="S56" s="41">
        <f>SUMIFS(ТСО_1!$AC:$AC,ТСО_1!$A:$A,S$23,ТСО_1!$B:$B,$A56)</f>
        <v>0</v>
      </c>
      <c r="T56" s="41">
        <f>SUMIFS(ТСО_1!$AC:$AC,ТСО_1!$A:$A,T$23,ТСО_1!$B:$B,$A56)</f>
        <v>0</v>
      </c>
      <c r="U56" s="18"/>
    </row>
    <row r="57" spans="1:21" x14ac:dyDescent="0.25">
      <c r="A57" s="468" t="str">
        <f>ТСО_1!D78</f>
        <v>Смазочные</v>
      </c>
      <c r="C57" s="207">
        <f>MAX(C$24:C56)+1</f>
        <v>29</v>
      </c>
      <c r="D57" s="34" t="str">
        <f>ТСО_1!D78</f>
        <v>Смазочные</v>
      </c>
      <c r="E57" s="19" t="str">
        <f>ТСО_1!E78</f>
        <v>руб/ткм</v>
      </c>
      <c r="F57" s="41">
        <f>SUMIFS(ТСО_1!$AC:$AC,ТСО_1!$A:$A,F$23,ТСО_1!$B:$B,$A57)</f>
        <v>0</v>
      </c>
      <c r="G57" s="41">
        <f>SUMIFS(ТСО_1!$AC:$AC,ТСО_1!$A:$A,G$23,ТСО_1!$B:$B,$A57)</f>
        <v>0</v>
      </c>
      <c r="H57" s="41">
        <f>SUMIFS(ТСО_1!$AC:$AC,ТСО_1!$A:$A,H$23,ТСО_1!$B:$B,$A57)</f>
        <v>0</v>
      </c>
      <c r="I57" s="41">
        <f>SUMIFS(ТСО_1!$AC:$AC,ТСО_1!$A:$A,I$23,ТСО_1!$B:$B,$A57)</f>
        <v>0</v>
      </c>
      <c r="J57" s="41">
        <f>SUMIFS(ТСО_1!$AC:$AC,ТСО_1!$A:$A,J$23,ТСО_1!$B:$B,$A57)</f>
        <v>0</v>
      </c>
      <c r="K57" s="41" t="e">
        <f>SUMIFS(ТСО_1!$AC:$AC,ТСО_1!$A:$A,K$23,ТСО_1!$B:$B,$A57)</f>
        <v>#DIV/0!</v>
      </c>
      <c r="L57" s="41">
        <f>SUMIFS(ТСО_1!$AC:$AC,ТСО_1!$A:$A,L$23,ТСО_1!$B:$B,$A57)</f>
        <v>0</v>
      </c>
      <c r="M57" s="41">
        <f>SUMIFS(ТСО_1!$AC:$AC,ТСО_1!$A:$A,M$23,ТСО_1!$B:$B,$A57)</f>
        <v>0</v>
      </c>
      <c r="N57" s="41">
        <f>SUMIFS(ТСО_1!$AC:$AC,ТСО_1!$A:$A,N$23,ТСО_1!$B:$B,$A57)</f>
        <v>0</v>
      </c>
      <c r="O57" s="41">
        <f>SUMIFS(ТСО_1!$AC:$AC,ТСО_1!$A:$A,O$23,ТСО_1!$B:$B,$A57)</f>
        <v>0</v>
      </c>
      <c r="P57" s="41">
        <f>SUMIFS(ТСО_1!$AC:$AC,ТСО_1!$A:$A,P$23,ТСО_1!$B:$B,$A57)</f>
        <v>0</v>
      </c>
      <c r="Q57" s="41">
        <f>SUMIFS(ТСО_1!$AC:$AC,ТСО_1!$A:$A,Q$23,ТСО_1!$B:$B,$A57)</f>
        <v>0</v>
      </c>
      <c r="R57" s="41">
        <f>SUMIFS(ТСО_1!$AC:$AC,ТСО_1!$A:$A,R$23,ТСО_1!$B:$B,$A57)</f>
        <v>0</v>
      </c>
      <c r="S57" s="41">
        <f>SUMIFS(ТСО_1!$AC:$AC,ТСО_1!$A:$A,S$23,ТСО_1!$B:$B,$A57)</f>
        <v>0</v>
      </c>
      <c r="T57" s="41">
        <f>SUMIFS(ТСО_1!$AC:$AC,ТСО_1!$A:$A,T$23,ТСО_1!$B:$B,$A57)</f>
        <v>0</v>
      </c>
      <c r="U57" s="18"/>
    </row>
    <row r="58" spans="1:21" x14ac:dyDescent="0.25">
      <c r="A58" s="468" t="str">
        <f>ТСО_1!D79</f>
        <v>Затраты на персонал</v>
      </c>
      <c r="C58" s="207">
        <f>MAX(C$24:C57)+1</f>
        <v>30</v>
      </c>
      <c r="D58" s="34" t="str">
        <f>ТСО_1!D79</f>
        <v>Затраты на персонал</v>
      </c>
      <c r="E58" s="19" t="str">
        <f>ТСО_1!E79</f>
        <v>руб/ткм</v>
      </c>
      <c r="F58" s="41">
        <f>SUMIFS(ТСО_1!$AC:$AC,ТСО_1!$A:$A,F$23,ТСО_1!$B:$B,$A58)</f>
        <v>1.3950896574855243</v>
      </c>
      <c r="G58" s="41">
        <f>SUMIFS(ТСО_1!$AC:$AC,ТСО_1!$A:$A,G$23,ТСО_1!$B:$B,$A58)</f>
        <v>1.6713507102412217</v>
      </c>
      <c r="H58" s="41">
        <f>SUMIFS(ТСО_1!$AC:$AC,ТСО_1!$A:$A,H$23,ТСО_1!$B:$B,$A58)</f>
        <v>1.5709275004179486</v>
      </c>
      <c r="I58" s="41">
        <f>SUMIFS(ТСО_1!$AC:$AC,ТСО_1!$A:$A,I$23,ТСО_1!$B:$B,$A58)</f>
        <v>1.6008555757787188</v>
      </c>
      <c r="J58" s="41">
        <f>SUMIFS(ТСО_1!$AC:$AC,ТСО_1!$A:$A,J$23,ТСО_1!$B:$B,$A58)</f>
        <v>1.5042961106978086</v>
      </c>
      <c r="K58" s="41" t="e">
        <f>SUMIFS(ТСО_1!$AC:$AC,ТСО_1!$A:$A,K$23,ТСО_1!$B:$B,$A58)</f>
        <v>#DIV/0!</v>
      </c>
      <c r="L58" s="41">
        <f>SUMIFS(ТСО_1!$AC:$AC,ТСО_1!$A:$A,L$23,ТСО_1!$B:$B,$A58)</f>
        <v>1.483181691058675</v>
      </c>
      <c r="M58" s="41">
        <f>SUMIFS(ТСО_1!$AC:$AC,ТСО_1!$A:$A,M$23,ТСО_1!$B:$B,$A58)</f>
        <v>0</v>
      </c>
      <c r="N58" s="41">
        <f>SUMIFS(ТСО_1!$AC:$AC,ТСО_1!$A:$A,N$23,ТСО_1!$B:$B,$A58)</f>
        <v>0</v>
      </c>
      <c r="O58" s="41">
        <f>SUMIFS(ТСО_1!$AC:$AC,ТСО_1!$A:$A,O$23,ТСО_1!$B:$B,$A58)</f>
        <v>0</v>
      </c>
      <c r="P58" s="41">
        <f>SUMIFS(ТСО_1!$AC:$AC,ТСО_1!$A:$A,P$23,ТСО_1!$B:$B,$A58)</f>
        <v>0</v>
      </c>
      <c r="Q58" s="41">
        <f>SUMIFS(ТСО_1!$AC:$AC,ТСО_1!$A:$A,Q$23,ТСО_1!$B:$B,$A58)</f>
        <v>0</v>
      </c>
      <c r="R58" s="41">
        <f>SUMIFS(ТСО_1!$AC:$AC,ТСО_1!$A:$A,R$23,ТСО_1!$B:$B,$A58)</f>
        <v>0</v>
      </c>
      <c r="S58" s="41">
        <f>SUMIFS(ТСО_1!$AC:$AC,ТСО_1!$A:$A,S$23,ТСО_1!$B:$B,$A58)</f>
        <v>0</v>
      </c>
      <c r="T58" s="41">
        <f>SUMIFS(ТСО_1!$AC:$AC,ТСО_1!$A:$A,T$23,ТСО_1!$B:$B,$A58)</f>
        <v>0</v>
      </c>
      <c r="U58" s="18"/>
    </row>
    <row r="59" spans="1:21" x14ac:dyDescent="0.25">
      <c r="A59" s="468" t="str">
        <f>ТСО_1!D80</f>
        <v>Транспортный налог</v>
      </c>
      <c r="C59" s="207">
        <f>MAX(C$24:C58)+1</f>
        <v>31</v>
      </c>
      <c r="D59" s="34" t="str">
        <f>ТСО_1!D80</f>
        <v>Транспортный налог</v>
      </c>
      <c r="E59" s="19" t="str">
        <f>ТСО_1!E80</f>
        <v>руб/ткм</v>
      </c>
      <c r="F59" s="41">
        <f>SUMIFS(ТСО_1!$AC:$AC,ТСО_1!$A:$A,F$23,ТСО_1!$B:$B,$A59)</f>
        <v>1.6045844927224391E-2</v>
      </c>
      <c r="G59" s="41">
        <f>SUMIFS(ТСО_1!$AC:$AC,ТСО_1!$A:$A,G$23,ТСО_1!$B:$B,$A59)</f>
        <v>1.433289638294939E-2</v>
      </c>
      <c r="H59" s="41">
        <f>SUMIFS(ТСО_1!$AC:$AC,ТСО_1!$A:$A,H$23,ТСО_1!$B:$B,$A59)</f>
        <v>2.0547238647595334E-2</v>
      </c>
      <c r="I59" s="41">
        <f>SUMIFS(ТСО_1!$AC:$AC,ТСО_1!$A:$A,I$23,ТСО_1!$B:$B,$A59)</f>
        <v>1.8412494266587569E-2</v>
      </c>
      <c r="J59" s="41">
        <f>SUMIFS(ТСО_1!$AC:$AC,ТСО_1!$A:$A,J$23,ТСО_1!$B:$B,$A59)</f>
        <v>1.7544126870408072E-2</v>
      </c>
      <c r="K59" s="41" t="e">
        <f>SUMIFS(ТСО_1!$AC:$AC,ТСО_1!$A:$A,K$23,ТСО_1!$B:$B,$A59)</f>
        <v>#DIV/0!</v>
      </c>
      <c r="L59" s="41">
        <f>SUMIFS(ТСО_1!$AC:$AC,ТСО_1!$A:$A,L$23,ТСО_1!$B:$B,$A59)</f>
        <v>1.7297876112788178E-2</v>
      </c>
      <c r="M59" s="41">
        <f>SUMIFS(ТСО_1!$AC:$AC,ТСО_1!$A:$A,M$23,ТСО_1!$B:$B,$A59)</f>
        <v>0</v>
      </c>
      <c r="N59" s="41">
        <f>SUMIFS(ТСО_1!$AC:$AC,ТСО_1!$A:$A,N$23,ТСО_1!$B:$B,$A59)</f>
        <v>0</v>
      </c>
      <c r="O59" s="41">
        <f>SUMIFS(ТСО_1!$AC:$AC,ТСО_1!$A:$A,O$23,ТСО_1!$B:$B,$A59)</f>
        <v>0</v>
      </c>
      <c r="P59" s="41">
        <f>SUMIFS(ТСО_1!$AC:$AC,ТСО_1!$A:$A,P$23,ТСО_1!$B:$B,$A59)</f>
        <v>0</v>
      </c>
      <c r="Q59" s="41">
        <f>SUMIFS(ТСО_1!$AC:$AC,ТСО_1!$A:$A,Q$23,ТСО_1!$B:$B,$A59)</f>
        <v>0</v>
      </c>
      <c r="R59" s="41">
        <f>SUMIFS(ТСО_1!$AC:$AC,ТСО_1!$A:$A,R$23,ТСО_1!$B:$B,$A59)</f>
        <v>0</v>
      </c>
      <c r="S59" s="41">
        <f>SUMIFS(ТСО_1!$AC:$AC,ТСО_1!$A:$A,S$23,ТСО_1!$B:$B,$A59)</f>
        <v>0</v>
      </c>
      <c r="T59" s="41">
        <f>SUMIFS(ТСО_1!$AC:$AC,ТСО_1!$A:$A,T$23,ТСО_1!$B:$B,$A59)</f>
        <v>0</v>
      </c>
      <c r="U59" s="18"/>
    </row>
    <row r="60" spans="1:21" x14ac:dyDescent="0.25">
      <c r="A60" s="468" t="str">
        <f>ТСО_1!D81</f>
        <v>Налог на прибыль</v>
      </c>
      <c r="C60" s="207">
        <f>MAX(C$24:C59)+1</f>
        <v>32</v>
      </c>
      <c r="D60" s="34" t="str">
        <f>ТСО_1!D81</f>
        <v>Налог на прибыль</v>
      </c>
      <c r="E60" s="19" t="str">
        <f>ТСО_1!E81</f>
        <v>руб/ткм</v>
      </c>
      <c r="F60" s="41">
        <f>SUMIFS(ТСО_1!$AC:$AC,ТСО_1!$A:$A,F$23,ТСО_1!$B:$B,$A60)</f>
        <v>-2.911944871302345</v>
      </c>
      <c r="G60" s="41">
        <f>SUMIFS(ТСО_1!$AC:$AC,ТСО_1!$A:$A,G$23,ТСО_1!$B:$B,$A60)</f>
        <v>-4.2097369055368334</v>
      </c>
      <c r="H60" s="41">
        <f>SUMIFS(ТСО_1!$AC:$AC,ТСО_1!$A:$A,H$23,ТСО_1!$B:$B,$A60)</f>
        <v>-3.2776817884878713</v>
      </c>
      <c r="I60" s="41">
        <f>SUMIFS(ТСО_1!$AC:$AC,ТСО_1!$A:$A,I$23,ТСО_1!$B:$B,$A60)</f>
        <v>-4.0195987051009956</v>
      </c>
      <c r="J60" s="41">
        <f>SUMIFS(ТСО_1!$AC:$AC,ТСО_1!$A:$A,J$23,ТСО_1!$B:$B,$A60)</f>
        <v>-3.211826017425977</v>
      </c>
      <c r="K60" s="41" t="e">
        <f>SUMIFS(ТСО_1!$AC:$AC,ТСО_1!$A:$A,K$23,ТСО_1!$B:$B,$A60)</f>
        <v>#DIV/0!</v>
      </c>
      <c r="L60" s="41">
        <f>SUMIFS(ТСО_1!$AC:$AC,ТСО_1!$A:$A,L$23,ТСО_1!$B:$B,$A60)</f>
        <v>-3.1860865672419934</v>
      </c>
      <c r="M60" s="41">
        <f>SUMIFS(ТСО_1!$AC:$AC,ТСО_1!$A:$A,M$23,ТСО_1!$B:$B,$A60)</f>
        <v>0</v>
      </c>
      <c r="N60" s="41">
        <f>SUMIFS(ТСО_1!$AC:$AC,ТСО_1!$A:$A,N$23,ТСО_1!$B:$B,$A60)</f>
        <v>0</v>
      </c>
      <c r="O60" s="41">
        <f>SUMIFS(ТСО_1!$AC:$AC,ТСО_1!$A:$A,O$23,ТСО_1!$B:$B,$A60)</f>
        <v>0</v>
      </c>
      <c r="P60" s="41">
        <f>SUMIFS(ТСО_1!$AC:$AC,ТСО_1!$A:$A,P$23,ТСО_1!$B:$B,$A60)</f>
        <v>0</v>
      </c>
      <c r="Q60" s="41">
        <f>SUMIFS(ТСО_1!$AC:$AC,ТСО_1!$A:$A,Q$23,ТСО_1!$B:$B,$A60)</f>
        <v>0</v>
      </c>
      <c r="R60" s="41">
        <f>SUMIFS(ТСО_1!$AC:$AC,ТСО_1!$A:$A,R$23,ТСО_1!$B:$B,$A60)</f>
        <v>0</v>
      </c>
      <c r="S60" s="41">
        <f>SUMIFS(ТСО_1!$AC:$AC,ТСО_1!$A:$A,S$23,ТСО_1!$B:$B,$A60)</f>
        <v>0</v>
      </c>
      <c r="T60" s="41">
        <f>SUMIFS(ТСО_1!$AC:$AC,ТСО_1!$A:$A,T$23,ТСО_1!$B:$B,$A60)</f>
        <v>0</v>
      </c>
      <c r="U60" s="18"/>
    </row>
    <row r="61" spans="1:21" x14ac:dyDescent="0.25">
      <c r="A61" s="468" t="str">
        <f>ТСО_1!D82</f>
        <v>Аннуитет инвестиционный</v>
      </c>
      <c r="C61" s="207">
        <f>MAX(C$24:C60)+1</f>
        <v>33</v>
      </c>
      <c r="D61" s="20" t="str">
        <f>ТСО_1!D82</f>
        <v>Аннуитет инвестиционный</v>
      </c>
      <c r="E61" s="21" t="str">
        <f>ТСО_1!E82</f>
        <v>руб/ткм</v>
      </c>
      <c r="F61" s="40">
        <f>SUMIFS(ТСО_1!$AC:$AC,ТСО_1!$A:$A,F$23,ТСО_1!$B:$B,$A61)</f>
        <v>0</v>
      </c>
      <c r="G61" s="40">
        <f>SUMIFS(ТСО_1!$AC:$AC,ТСО_1!$A:$A,G$23,ТСО_1!$B:$B,$A61)</f>
        <v>0</v>
      </c>
      <c r="H61" s="40">
        <f>SUMIFS(ТСО_1!$AC:$AC,ТСО_1!$A:$A,H$23,ТСО_1!$B:$B,$A61)</f>
        <v>0</v>
      </c>
      <c r="I61" s="40">
        <f>SUMIFS(ТСО_1!$AC:$AC,ТСО_1!$A:$A,I$23,ТСО_1!$B:$B,$A61)</f>
        <v>0</v>
      </c>
      <c r="J61" s="40">
        <f>SUMIFS(ТСО_1!$AC:$AC,ТСО_1!$A:$A,J$23,ТСО_1!$B:$B,$A61)</f>
        <v>0</v>
      </c>
      <c r="K61" s="40" t="e">
        <f>SUMIFS(ТСО_1!$AC:$AC,ТСО_1!$A:$A,K$23,ТСО_1!$B:$B,$A61)</f>
        <v>#DIV/0!</v>
      </c>
      <c r="L61" s="40">
        <f>SUMIFS(ТСО_1!$AC:$AC,ТСО_1!$A:$A,L$23,ТСО_1!$B:$B,$A61)</f>
        <v>0</v>
      </c>
      <c r="M61" s="40">
        <f>SUMIFS(ТСО_1!$AC:$AC,ТСО_1!$A:$A,M$23,ТСО_1!$B:$B,$A61)</f>
        <v>0</v>
      </c>
      <c r="N61" s="40">
        <f>SUMIFS(ТСО_1!$AC:$AC,ТСО_1!$A:$A,N$23,ТСО_1!$B:$B,$A61)</f>
        <v>0</v>
      </c>
      <c r="O61" s="40">
        <f>SUMIFS(ТСО_1!$AC:$AC,ТСО_1!$A:$A,O$23,ТСО_1!$B:$B,$A61)</f>
        <v>0</v>
      </c>
      <c r="P61" s="40">
        <f>SUMIFS(ТСО_1!$AC:$AC,ТСО_1!$A:$A,P$23,ТСО_1!$B:$B,$A61)</f>
        <v>0</v>
      </c>
      <c r="Q61" s="40">
        <f>SUMIFS(ТСО_1!$AC:$AC,ТСО_1!$A:$A,Q$23,ТСО_1!$B:$B,$A61)</f>
        <v>0</v>
      </c>
      <c r="R61" s="40">
        <f>SUMIFS(ТСО_1!$AC:$AC,ТСО_1!$A:$A,R$23,ТСО_1!$B:$B,$A61)</f>
        <v>0</v>
      </c>
      <c r="S61" s="40">
        <f>SUMIFS(ТСО_1!$AC:$AC,ТСО_1!$A:$A,S$23,ТСО_1!$B:$B,$A61)</f>
        <v>0</v>
      </c>
      <c r="T61" s="40">
        <f>SUMIFS(ТСО_1!$AC:$AC,ТСО_1!$A:$A,T$23,ТСО_1!$B:$B,$A61)</f>
        <v>0</v>
      </c>
      <c r="U61" s="18"/>
    </row>
    <row r="62" spans="1:21" ht="14.3" x14ac:dyDescent="0.25">
      <c r="A62" s="468" t="str">
        <f>ТСО_1!D84</f>
        <v>Аннуитет общий</v>
      </c>
      <c r="C62" s="207">
        <f>MAX(C$24:C61)+1</f>
        <v>34</v>
      </c>
      <c r="D62" s="43" t="str">
        <f>ТСО_1!D84</f>
        <v>Аннуитет общий</v>
      </c>
      <c r="E62" s="44" t="str">
        <f>ТСО_1!E84</f>
        <v>руб/ткм</v>
      </c>
      <c r="F62" s="45">
        <f>SUMIFS(ТСО_1!$AC:$AC,ТСО_1!$A:$A,F$23,ТСО_1!$B:$B,$A62)</f>
        <v>8.7358346139070342</v>
      </c>
      <c r="G62" s="45">
        <f>SUMIFS(ТСО_1!$AC:$AC,ТСО_1!$A:$A,G$23,ТСО_1!$B:$B,$A62)</f>
        <v>12.629210716610499</v>
      </c>
      <c r="H62" s="45">
        <f>SUMIFS(ТСО_1!$AC:$AC,ТСО_1!$A:$A,H$23,ТСО_1!$B:$B,$A62)</f>
        <v>9.8330453654636152</v>
      </c>
      <c r="I62" s="45">
        <f>SUMIFS(ТСО_1!$AC:$AC,ТСО_1!$A:$A,I$23,ТСО_1!$B:$B,$A62)</f>
        <v>12.058796115302989</v>
      </c>
      <c r="J62" s="45">
        <f>SUMIFS(ТСО_1!$AC:$AC,ТСО_1!$A:$A,J$23,ТСО_1!$B:$B,$A62)</f>
        <v>9.6354780522779304</v>
      </c>
      <c r="K62" s="45" t="e">
        <f>SUMIFS(ТСО_1!$AC:$AC,ТСО_1!$A:$A,K$23,ТСО_1!$B:$B,$A62)</f>
        <v>#DIV/0!</v>
      </c>
      <c r="L62" s="45">
        <f>SUMIFS(ТСО_1!$AC:$AC,ТСО_1!$A:$A,L$23,ТСО_1!$B:$B,$A62)</f>
        <v>9.5582597017259801</v>
      </c>
      <c r="M62" s="45">
        <f>SUMIFS(ТСО_1!$AC:$AC,ТСО_1!$A:$A,M$23,ТСО_1!$B:$B,$A62)</f>
        <v>0</v>
      </c>
      <c r="N62" s="45">
        <f>SUMIFS(ТСО_1!$AC:$AC,ТСО_1!$A:$A,N$23,ТСО_1!$B:$B,$A62)</f>
        <v>0</v>
      </c>
      <c r="O62" s="45">
        <f>SUMIFS(ТСО_1!$AC:$AC,ТСО_1!$A:$A,O$23,ТСО_1!$B:$B,$A62)</f>
        <v>0</v>
      </c>
      <c r="P62" s="45">
        <f>SUMIFS(ТСО_1!$AC:$AC,ТСО_1!$A:$A,P$23,ТСО_1!$B:$B,$A62)</f>
        <v>0</v>
      </c>
      <c r="Q62" s="45">
        <f>SUMIFS(ТСО_1!$AC:$AC,ТСО_1!$A:$A,Q$23,ТСО_1!$B:$B,$A62)</f>
        <v>0</v>
      </c>
      <c r="R62" s="45">
        <f>SUMIFS(ТСО_1!$AC:$AC,ТСО_1!$A:$A,R$23,ТСО_1!$B:$B,$A62)</f>
        <v>0</v>
      </c>
      <c r="S62" s="45">
        <f>SUMIFS(ТСО_1!$AC:$AC,ТСО_1!$A:$A,S$23,ТСО_1!$B:$B,$A62)</f>
        <v>0</v>
      </c>
      <c r="T62" s="45">
        <f>SUMIFS(ТСО_1!$AC:$AC,ТСО_1!$A:$A,T$23,ТСО_1!$B:$B,$A62)</f>
        <v>0</v>
      </c>
      <c r="U62" s="18"/>
    </row>
    <row r="63" spans="1:21" x14ac:dyDescent="0.25">
      <c r="A63" s="179"/>
      <c r="C63" s="209"/>
      <c r="D63" s="46"/>
      <c r="E63" s="47"/>
      <c r="F63" s="48">
        <f>F53-SUM(F54:F60)+F62-F53-F61</f>
        <v>0</v>
      </c>
      <c r="G63" s="48">
        <f t="shared" ref="G63:T63" si="10">G53-SUM(G54:G60)+G62-G53-G61</f>
        <v>-1.7763568394002505E-15</v>
      </c>
      <c r="H63" s="48">
        <f t="shared" si="10"/>
        <v>0</v>
      </c>
      <c r="I63" s="48">
        <f t="shared" si="10"/>
        <v>0</v>
      </c>
      <c r="J63" s="48">
        <f t="shared" si="10"/>
        <v>3.5527136788005009E-15</v>
      </c>
      <c r="K63" s="48" t="e">
        <f t="shared" ref="K63" si="11">K53-SUM(K54:K60)+K62-K53-K61</f>
        <v>#DIV/0!</v>
      </c>
      <c r="L63" s="48">
        <f t="shared" si="10"/>
        <v>0</v>
      </c>
      <c r="M63" s="48">
        <f t="shared" si="10"/>
        <v>0</v>
      </c>
      <c r="N63" s="48">
        <f t="shared" si="10"/>
        <v>0</v>
      </c>
      <c r="O63" s="48">
        <f t="shared" si="10"/>
        <v>0</v>
      </c>
      <c r="P63" s="48">
        <f t="shared" si="10"/>
        <v>0</v>
      </c>
      <c r="Q63" s="48">
        <f t="shared" si="10"/>
        <v>0</v>
      </c>
      <c r="R63" s="48">
        <f t="shared" si="10"/>
        <v>0</v>
      </c>
      <c r="S63" s="48">
        <f t="shared" si="10"/>
        <v>0</v>
      </c>
      <c r="T63" s="48">
        <f t="shared" si="10"/>
        <v>0</v>
      </c>
      <c r="U63" s="46"/>
    </row>
    <row r="64" spans="1:21" outlineLevel="1" x14ac:dyDescent="0.25">
      <c r="A64" s="179" t="s">
        <v>43</v>
      </c>
      <c r="C64" s="179"/>
      <c r="D64" s="2" t="str">
        <f>D62</f>
        <v>Аннуитет общий</v>
      </c>
      <c r="F64" s="49">
        <f>IF(F62&gt;0,F62,"нет")</f>
        <v>8.7358346139070342</v>
      </c>
      <c r="G64" s="49">
        <f t="shared" ref="G64:T64" si="12">IF(G62&gt;0,G62,"нет")</f>
        <v>12.629210716610499</v>
      </c>
      <c r="H64" s="49">
        <f t="shared" si="12"/>
        <v>9.8330453654636152</v>
      </c>
      <c r="I64" s="49">
        <f t="shared" si="12"/>
        <v>12.058796115302989</v>
      </c>
      <c r="J64" s="49">
        <f t="shared" si="12"/>
        <v>9.6354780522779304</v>
      </c>
      <c r="K64" s="49" t="e">
        <f t="shared" ref="K64" si="13">IF(K62&gt;0,K62,"нет")</f>
        <v>#DIV/0!</v>
      </c>
      <c r="L64" s="49">
        <f t="shared" si="12"/>
        <v>9.5582597017259801</v>
      </c>
      <c r="M64" s="49" t="str">
        <f t="shared" si="12"/>
        <v>нет</v>
      </c>
      <c r="N64" s="49" t="str">
        <f t="shared" si="12"/>
        <v>нет</v>
      </c>
      <c r="O64" s="49" t="str">
        <f t="shared" si="12"/>
        <v>нет</v>
      </c>
      <c r="P64" s="49" t="str">
        <f t="shared" si="12"/>
        <v>нет</v>
      </c>
      <c r="Q64" s="49" t="str">
        <f t="shared" si="12"/>
        <v>нет</v>
      </c>
      <c r="R64" s="49" t="str">
        <f t="shared" si="12"/>
        <v>нет</v>
      </c>
      <c r="S64" s="49" t="str">
        <f t="shared" si="12"/>
        <v>нет</v>
      </c>
      <c r="T64" s="49" t="str">
        <f t="shared" si="12"/>
        <v>нет</v>
      </c>
    </row>
    <row r="65" spans="1:20" outlineLevel="1" x14ac:dyDescent="0.25">
      <c r="A65" s="179" t="str">
        <f>A64</f>
        <v>для ранжирования</v>
      </c>
      <c r="C65" s="179"/>
      <c r="D65" s="2" t="str">
        <f>D41</f>
        <v>Стоимость самосвала</v>
      </c>
      <c r="F65" s="50" t="str">
        <f>IF(F41&gt;0,F41,"нет")</f>
        <v>нет</v>
      </c>
      <c r="G65" s="50" t="str">
        <f t="shared" ref="G65:T65" si="14">IF(G41&gt;0,G41,"нет")</f>
        <v>нет</v>
      </c>
      <c r="H65" s="50" t="str">
        <f t="shared" si="14"/>
        <v>нет</v>
      </c>
      <c r="I65" s="50" t="str">
        <f t="shared" si="14"/>
        <v>нет</v>
      </c>
      <c r="J65" s="50" t="str">
        <f t="shared" si="14"/>
        <v>нет</v>
      </c>
      <c r="K65" s="50" t="str">
        <f t="shared" ref="K65" si="15">IF(K41&gt;0,K41,"нет")</f>
        <v>нет</v>
      </c>
      <c r="L65" s="50" t="str">
        <f t="shared" si="14"/>
        <v>нет</v>
      </c>
      <c r="M65" s="50" t="str">
        <f t="shared" si="14"/>
        <v>нет</v>
      </c>
      <c r="N65" s="50" t="str">
        <f t="shared" si="14"/>
        <v>нет</v>
      </c>
      <c r="O65" s="50" t="str">
        <f t="shared" si="14"/>
        <v>нет</v>
      </c>
      <c r="P65" s="50" t="str">
        <f t="shared" si="14"/>
        <v>нет</v>
      </c>
      <c r="Q65" s="50" t="str">
        <f t="shared" si="14"/>
        <v>нет</v>
      </c>
      <c r="R65" s="50" t="str">
        <f t="shared" si="14"/>
        <v>нет</v>
      </c>
      <c r="S65" s="50" t="str">
        <f t="shared" si="14"/>
        <v>нет</v>
      </c>
      <c r="T65" s="50" t="str">
        <f t="shared" si="14"/>
        <v>нет</v>
      </c>
    </row>
    <row r="66" spans="1:20" outlineLevel="1" x14ac:dyDescent="0.25">
      <c r="A66" s="179" t="str">
        <f>A64</f>
        <v>для ранжирования</v>
      </c>
      <c r="C66" s="179"/>
      <c r="F66" s="2" t="str">
        <f>F23</f>
        <v>NHL NTE 240</v>
      </c>
      <c r="G66" s="2" t="str">
        <f t="shared" ref="G66:T66" si="16">G23</f>
        <v>Estar ESDE240 (ГПБ К)</v>
      </c>
      <c r="H66" s="2" t="str">
        <f t="shared" si="16"/>
        <v>SANY SET240S</v>
      </c>
      <c r="I66" s="2" t="str">
        <f t="shared" si="16"/>
        <v>TZCO TZE240</v>
      </c>
      <c r="J66" s="2" t="str">
        <f t="shared" si="16"/>
        <v>БелАЗ 7531 (ГПФК)</v>
      </c>
      <c r="K66" s="2" t="str">
        <f t="shared" ref="K66" si="17">K23</f>
        <v>XCMG 240</v>
      </c>
      <c r="L66" s="2" t="str">
        <f t="shared" si="16"/>
        <v>БелАЗ 7531 (БТЛ)</v>
      </c>
      <c r="M66" s="2">
        <f t="shared" si="16"/>
        <v>0</v>
      </c>
      <c r="N66" s="2">
        <f t="shared" si="16"/>
        <v>0</v>
      </c>
      <c r="O66" s="2">
        <f t="shared" si="16"/>
        <v>0</v>
      </c>
      <c r="P66" s="2">
        <f t="shared" si="16"/>
        <v>0</v>
      </c>
      <c r="Q66" s="2">
        <f t="shared" si="16"/>
        <v>0</v>
      </c>
      <c r="R66" s="2">
        <f t="shared" si="16"/>
        <v>0</v>
      </c>
      <c r="S66" s="2">
        <f t="shared" si="16"/>
        <v>0</v>
      </c>
      <c r="T66" s="2">
        <f t="shared" si="16"/>
        <v>0</v>
      </c>
    </row>
    <row r="69" spans="1:20" outlineLevel="1" x14ac:dyDescent="0.25">
      <c r="C69" s="533" t="s">
        <v>525</v>
      </c>
      <c r="D69" s="196"/>
      <c r="E69" s="196"/>
      <c r="F69" s="196"/>
      <c r="G69" s="196"/>
      <c r="H69" s="196"/>
      <c r="I69" s="196"/>
      <c r="J69" s="196"/>
    </row>
    <row r="70" spans="1:20" outlineLevel="1" x14ac:dyDescent="0.25">
      <c r="A70" s="520"/>
      <c r="B70" s="520"/>
      <c r="C70" s="196"/>
      <c r="D70" s="533" t="s">
        <v>94</v>
      </c>
      <c r="E70" s="533"/>
      <c r="F70" s="661">
        <v>8.7921657401438189</v>
      </c>
      <c r="G70" s="661">
        <v>15.939635629522609</v>
      </c>
      <c r="H70" s="661"/>
      <c r="I70" s="661"/>
      <c r="J70" s="650">
        <v>9.5755250397375367</v>
      </c>
      <c r="K70" s="217"/>
      <c r="L70" s="650"/>
    </row>
    <row r="71" spans="1:20" outlineLevel="1" x14ac:dyDescent="0.25">
      <c r="A71" s="520"/>
      <c r="B71" s="520"/>
      <c r="C71" s="196"/>
      <c r="D71" s="534" t="s">
        <v>526</v>
      </c>
      <c r="E71" s="196"/>
      <c r="F71" s="662">
        <v>3.8075684588203802</v>
      </c>
      <c r="G71" s="662">
        <v>10.911317964018691</v>
      </c>
      <c r="H71" s="662"/>
      <c r="I71" s="662"/>
      <c r="J71" s="651">
        <v>4.7676203582323557</v>
      </c>
      <c r="K71" s="217"/>
      <c r="L71" s="651"/>
    </row>
    <row r="72" spans="1:20" outlineLevel="1" x14ac:dyDescent="0.25">
      <c r="A72" s="520"/>
      <c r="B72" s="520"/>
      <c r="C72" s="196"/>
      <c r="D72" s="534" t="s">
        <v>527</v>
      </c>
      <c r="E72" s="196"/>
      <c r="F72" s="662">
        <v>0.19162480784114952</v>
      </c>
      <c r="G72" s="662">
        <v>1.7862070701683019</v>
      </c>
      <c r="H72" s="662"/>
      <c r="I72" s="662"/>
      <c r="J72" s="651">
        <v>0.46111426594246113</v>
      </c>
      <c r="K72" s="217"/>
      <c r="L72" s="651"/>
    </row>
    <row r="73" spans="1:20" outlineLevel="1" x14ac:dyDescent="0.25">
      <c r="A73" s="520"/>
      <c r="B73" s="520"/>
      <c r="C73" s="196"/>
      <c r="D73" s="534" t="s">
        <v>39</v>
      </c>
      <c r="E73" s="196"/>
      <c r="F73" s="662">
        <v>1.9801072321176409</v>
      </c>
      <c r="G73" s="662">
        <v>2.0503110339836295</v>
      </c>
      <c r="H73" s="662"/>
      <c r="I73" s="662"/>
      <c r="J73" s="651">
        <v>1.7746754807939245</v>
      </c>
      <c r="K73" s="217"/>
      <c r="L73" s="651"/>
    </row>
    <row r="74" spans="1:20" outlineLevel="1" x14ac:dyDescent="0.25">
      <c r="A74" s="520"/>
      <c r="B74" s="520"/>
      <c r="C74" s="196"/>
      <c r="D74" s="534" t="s">
        <v>70</v>
      </c>
      <c r="E74" s="196"/>
      <c r="F74" s="662">
        <v>5.0921790029161205</v>
      </c>
      <c r="G74" s="662">
        <v>5.2727198948376905</v>
      </c>
      <c r="H74" s="662"/>
      <c r="I74" s="662"/>
      <c r="J74" s="651">
        <v>4.8550669739793255</v>
      </c>
      <c r="K74" s="217"/>
      <c r="L74" s="651"/>
    </row>
    <row r="75" spans="1:20" outlineLevel="1" x14ac:dyDescent="0.25">
      <c r="A75" s="520"/>
      <c r="B75" s="520"/>
      <c r="C75" s="196"/>
      <c r="D75" s="534" t="s">
        <v>73</v>
      </c>
      <c r="E75" s="196"/>
      <c r="F75" s="662">
        <v>0</v>
      </c>
      <c r="G75" s="662">
        <v>0</v>
      </c>
      <c r="H75" s="662"/>
      <c r="I75" s="662"/>
      <c r="J75" s="651">
        <v>0</v>
      </c>
      <c r="K75" s="217"/>
      <c r="L75" s="651"/>
    </row>
    <row r="76" spans="1:20" outlineLevel="1" x14ac:dyDescent="0.25">
      <c r="A76" s="520"/>
      <c r="B76" s="520"/>
      <c r="C76" s="196"/>
      <c r="D76" s="534" t="s">
        <v>528</v>
      </c>
      <c r="E76" s="196"/>
      <c r="F76" s="662">
        <v>0.81577337037867381</v>
      </c>
      <c r="G76" s="662">
        <v>0.84469624441937208</v>
      </c>
      <c r="H76" s="662"/>
      <c r="I76" s="662"/>
      <c r="J76" s="651">
        <v>0.93415834887673921</v>
      </c>
      <c r="K76" s="217"/>
      <c r="L76" s="651"/>
    </row>
    <row r="77" spans="1:20" outlineLevel="1" x14ac:dyDescent="0.25">
      <c r="A77" s="520"/>
      <c r="B77" s="520"/>
      <c r="C77" s="196"/>
      <c r="D77" s="534" t="s">
        <v>77</v>
      </c>
      <c r="E77" s="196"/>
      <c r="F77" s="662">
        <v>3.0769948257359345E-3</v>
      </c>
      <c r="G77" s="662">
        <v>3.1860882786483896E-3</v>
      </c>
      <c r="H77" s="662"/>
      <c r="I77" s="662"/>
      <c r="J77" s="651">
        <v>3.5728575085033324E-3</v>
      </c>
      <c r="K77" s="217"/>
      <c r="L77" s="651"/>
    </row>
    <row r="78" spans="1:20" outlineLevel="1" x14ac:dyDescent="0.25">
      <c r="A78" s="520"/>
      <c r="B78" s="520"/>
      <c r="C78" s="196"/>
      <c r="D78" s="534" t="s">
        <v>83</v>
      </c>
      <c r="E78" s="196"/>
      <c r="F78" s="662">
        <v>-3.098164126755881</v>
      </c>
      <c r="G78" s="662">
        <v>-4.9288026661837225</v>
      </c>
      <c r="H78" s="662"/>
      <c r="I78" s="662"/>
      <c r="J78" s="651">
        <v>-3.220683245595771</v>
      </c>
      <c r="K78" s="217"/>
      <c r="L78" s="651"/>
    </row>
    <row r="79" spans="1:20" outlineLevel="1" x14ac:dyDescent="0.25">
      <c r="A79" s="520"/>
      <c r="B79" s="520"/>
      <c r="C79" s="196"/>
      <c r="D79" s="533" t="s">
        <v>96</v>
      </c>
      <c r="E79" s="533"/>
      <c r="F79" s="661">
        <v>5.5473531816795116</v>
      </c>
      <c r="G79" s="661">
        <v>5.8171092610260136</v>
      </c>
      <c r="H79" s="661"/>
      <c r="I79" s="661"/>
      <c r="J79" s="650">
        <v>5.0954860575881895</v>
      </c>
      <c r="K79" s="217"/>
      <c r="L79" s="650"/>
    </row>
    <row r="80" spans="1:20" outlineLevel="1" x14ac:dyDescent="0.25">
      <c r="A80" s="520"/>
      <c r="B80" s="520"/>
      <c r="C80" s="196"/>
      <c r="D80" s="533" t="s">
        <v>97</v>
      </c>
      <c r="E80" s="533"/>
      <c r="F80" s="661">
        <v>14.339518921823331</v>
      </c>
      <c r="G80" s="661">
        <v>21.756744890548624</v>
      </c>
      <c r="H80" s="661"/>
      <c r="I80" s="661"/>
      <c r="J80" s="650">
        <v>14.671011097325728</v>
      </c>
      <c r="K80" s="217"/>
      <c r="L80" s="650"/>
    </row>
    <row r="81" spans="3:12" outlineLevel="1" x14ac:dyDescent="0.25">
      <c r="C81" s="196"/>
      <c r="D81" s="196"/>
      <c r="E81" s="196"/>
      <c r="F81" s="662"/>
      <c r="G81" s="662"/>
      <c r="H81" s="662"/>
      <c r="I81" s="662"/>
      <c r="J81" s="651"/>
      <c r="K81" s="217"/>
      <c r="L81" s="651"/>
    </row>
    <row r="82" spans="3:12" outlineLevel="1" x14ac:dyDescent="0.25">
      <c r="C82" s="196"/>
      <c r="D82" s="196"/>
      <c r="E82" s="196"/>
      <c r="F82" s="662"/>
      <c r="G82" s="662"/>
      <c r="H82" s="662"/>
      <c r="I82" s="662"/>
      <c r="J82" s="651"/>
      <c r="K82" s="217"/>
      <c r="L82" s="651"/>
    </row>
    <row r="83" spans="3:12" outlineLevel="1" x14ac:dyDescent="0.25">
      <c r="C83" s="196"/>
      <c r="D83" s="535" t="str">
        <f t="shared" ref="D83:D92" si="18">D53</f>
        <v>Аннуитет операционный</v>
      </c>
      <c r="E83" s="535"/>
      <c r="F83" s="652">
        <f>F53-F70</f>
        <v>-5.6331126236784712E-2</v>
      </c>
      <c r="G83" s="652">
        <f t="shared" ref="G83:L83" si="19">G53-G70</f>
        <v>-3.3104249129121097</v>
      </c>
      <c r="H83" s="652"/>
      <c r="I83" s="652"/>
      <c r="J83" s="652">
        <f t="shared" si="19"/>
        <v>5.9953012540393757E-2</v>
      </c>
      <c r="K83" s="652" t="e">
        <f t="shared" si="19"/>
        <v>#DIV/0!</v>
      </c>
      <c r="L83" s="652">
        <f t="shared" si="19"/>
        <v>9.5582597017259801</v>
      </c>
    </row>
    <row r="84" spans="3:12" outlineLevel="1" x14ac:dyDescent="0.25">
      <c r="C84" s="196"/>
      <c r="D84" s="534" t="str">
        <f t="shared" si="18"/>
        <v>ТО, ТР, ППР</v>
      </c>
      <c r="E84" s="196"/>
      <c r="F84" s="653">
        <f>F54-F71-F72</f>
        <v>-1.500428627563156</v>
      </c>
      <c r="G84" s="653">
        <f t="shared" ref="G84:L84" si="20">G54-G71-G72</f>
        <v>-5.5744399668892477</v>
      </c>
      <c r="H84" s="653"/>
      <c r="I84" s="653"/>
      <c r="J84" s="653">
        <f t="shared" si="20"/>
        <v>-1.4244866817499076</v>
      </c>
      <c r="K84" s="653" t="e">
        <f t="shared" si="20"/>
        <v>#DIV/0!</v>
      </c>
      <c r="L84" s="653">
        <f t="shared" si="20"/>
        <v>3.6979755371677108</v>
      </c>
    </row>
    <row r="85" spans="3:12" outlineLevel="1" x14ac:dyDescent="0.25">
      <c r="C85" s="196"/>
      <c r="D85" s="534" t="str">
        <f t="shared" si="18"/>
        <v>Шины</v>
      </c>
      <c r="E85" s="196"/>
      <c r="F85" s="653">
        <f t="shared" ref="F85:F92" si="21">F55-F73</f>
        <v>-3.2650004877831318E-2</v>
      </c>
      <c r="G85" s="653">
        <f t="shared" ref="G85:L85" si="22">G55-G73</f>
        <v>8.5851220696236741E-2</v>
      </c>
      <c r="H85" s="653"/>
      <c r="I85" s="653"/>
      <c r="J85" s="653">
        <f t="shared" si="22"/>
        <v>-0.13679634432666354</v>
      </c>
      <c r="K85" s="653" t="e">
        <f t="shared" si="22"/>
        <v>#DIV/0!</v>
      </c>
      <c r="L85" s="653">
        <f t="shared" si="22"/>
        <v>1.646133858609776</v>
      </c>
    </row>
    <row r="86" spans="3:12" outlineLevel="1" x14ac:dyDescent="0.25">
      <c r="C86" s="196"/>
      <c r="D86" s="534" t="str">
        <f t="shared" si="18"/>
        <v>Топливо</v>
      </c>
      <c r="E86" s="196"/>
      <c r="F86" s="653">
        <f t="shared" si="21"/>
        <v>0.69824311354232638</v>
      </c>
      <c r="G86" s="653">
        <f t="shared" ref="G86:L86" si="23">G56-G74</f>
        <v>0.62129679870785992</v>
      </c>
      <c r="H86" s="653"/>
      <c r="I86" s="653"/>
      <c r="J86" s="653">
        <f t="shared" si="23"/>
        <v>1.0282697792641917</v>
      </c>
      <c r="K86" s="653" t="e">
        <f t="shared" si="23"/>
        <v>#DIV/0!</v>
      </c>
      <c r="L86" s="653">
        <f t="shared" si="23"/>
        <v>5.8997573060190227</v>
      </c>
    </row>
    <row r="87" spans="3:12" outlineLevel="1" x14ac:dyDescent="0.25">
      <c r="C87" s="196"/>
      <c r="D87" s="534" t="str">
        <f t="shared" si="18"/>
        <v>Смазочные</v>
      </c>
      <c r="E87" s="196"/>
      <c r="F87" s="653">
        <f t="shared" si="21"/>
        <v>0</v>
      </c>
      <c r="G87" s="653">
        <f t="shared" ref="G87:L87" si="24">G57-G75</f>
        <v>0</v>
      </c>
      <c r="H87" s="653"/>
      <c r="I87" s="653"/>
      <c r="J87" s="653">
        <f t="shared" si="24"/>
        <v>0</v>
      </c>
      <c r="K87" s="653" t="e">
        <f t="shared" si="24"/>
        <v>#DIV/0!</v>
      </c>
      <c r="L87" s="653">
        <f t="shared" si="24"/>
        <v>0</v>
      </c>
    </row>
    <row r="88" spans="3:12" outlineLevel="1" x14ac:dyDescent="0.25">
      <c r="C88" s="196"/>
      <c r="D88" s="534" t="str">
        <f t="shared" si="18"/>
        <v>Затраты на персонал</v>
      </c>
      <c r="E88" s="196"/>
      <c r="F88" s="653">
        <f t="shared" si="21"/>
        <v>0.57931628710685046</v>
      </c>
      <c r="G88" s="653">
        <f t="shared" ref="G88:L88" si="25">G58-G76</f>
        <v>0.82665446582184965</v>
      </c>
      <c r="H88" s="653"/>
      <c r="I88" s="653"/>
      <c r="J88" s="653">
        <f t="shared" si="25"/>
        <v>0.57013776182106934</v>
      </c>
      <c r="K88" s="653" t="e">
        <f t="shared" si="25"/>
        <v>#DIV/0!</v>
      </c>
      <c r="L88" s="653">
        <f t="shared" si="25"/>
        <v>1.483181691058675</v>
      </c>
    </row>
    <row r="89" spans="3:12" outlineLevel="1" x14ac:dyDescent="0.25">
      <c r="C89" s="196"/>
      <c r="D89" s="534" t="str">
        <f t="shared" si="18"/>
        <v>Транспортный налог</v>
      </c>
      <c r="E89" s="196"/>
      <c r="F89" s="653">
        <f t="shared" si="21"/>
        <v>1.2968850101488457E-2</v>
      </c>
      <c r="G89" s="653">
        <f t="shared" ref="G89:L89" si="26">G59-G77</f>
        <v>1.1146808104301001E-2</v>
      </c>
      <c r="H89" s="653"/>
      <c r="I89" s="653"/>
      <c r="J89" s="653">
        <f t="shared" si="26"/>
        <v>1.397126936190474E-2</v>
      </c>
      <c r="K89" s="653" t="e">
        <f t="shared" si="26"/>
        <v>#DIV/0!</v>
      </c>
      <c r="L89" s="653">
        <f t="shared" si="26"/>
        <v>1.7297876112788178E-2</v>
      </c>
    </row>
    <row r="90" spans="3:12" outlineLevel="1" x14ac:dyDescent="0.25">
      <c r="C90" s="196"/>
      <c r="D90" s="534" t="str">
        <f t="shared" si="18"/>
        <v>Налог на прибыль</v>
      </c>
      <c r="E90" s="196"/>
      <c r="F90" s="653">
        <f t="shared" si="21"/>
        <v>0.18621925545353601</v>
      </c>
      <c r="G90" s="653">
        <f t="shared" ref="G90:L90" si="27">G60-G78</f>
        <v>0.7190657606468891</v>
      </c>
      <c r="H90" s="653"/>
      <c r="I90" s="653"/>
      <c r="J90" s="653">
        <f t="shared" si="27"/>
        <v>8.8572281697940625E-3</v>
      </c>
      <c r="K90" s="653" t="e">
        <f t="shared" si="27"/>
        <v>#DIV/0!</v>
      </c>
      <c r="L90" s="653">
        <f t="shared" si="27"/>
        <v>-3.1860865672419934</v>
      </c>
    </row>
    <row r="91" spans="3:12" outlineLevel="1" x14ac:dyDescent="0.25">
      <c r="C91" s="196"/>
      <c r="D91" s="535" t="str">
        <f t="shared" si="18"/>
        <v>Аннуитет инвестиционный</v>
      </c>
      <c r="E91" s="535"/>
      <c r="F91" s="652">
        <f t="shared" si="21"/>
        <v>-5.5473531816795116</v>
      </c>
      <c r="G91" s="652">
        <f t="shared" ref="G91:L91" si="28">G61-G79</f>
        <v>-5.8171092610260136</v>
      </c>
      <c r="H91" s="652"/>
      <c r="I91" s="652"/>
      <c r="J91" s="652">
        <f t="shared" si="28"/>
        <v>-5.0954860575881895</v>
      </c>
      <c r="K91" s="652" t="e">
        <f t="shared" si="28"/>
        <v>#DIV/0!</v>
      </c>
      <c r="L91" s="652">
        <f t="shared" si="28"/>
        <v>0</v>
      </c>
    </row>
    <row r="92" spans="3:12" outlineLevel="1" x14ac:dyDescent="0.25">
      <c r="C92" s="196"/>
      <c r="D92" s="535" t="str">
        <f t="shared" si="18"/>
        <v>Аннуитет общий</v>
      </c>
      <c r="E92" s="535"/>
      <c r="F92" s="652">
        <f t="shared" si="21"/>
        <v>-5.6036843079162963</v>
      </c>
      <c r="G92" s="652">
        <f t="shared" ref="G92:L92" si="29">G62-G80</f>
        <v>-9.1275341739381251</v>
      </c>
      <c r="H92" s="652"/>
      <c r="I92" s="652"/>
      <c r="J92" s="652">
        <f t="shared" si="29"/>
        <v>-5.0355330450477975</v>
      </c>
      <c r="K92" s="652" t="e">
        <f t="shared" si="29"/>
        <v>#DIV/0!</v>
      </c>
      <c r="L92" s="652">
        <f t="shared" si="29"/>
        <v>9.5582597017259801</v>
      </c>
    </row>
  </sheetData>
  <mergeCells count="19">
    <mergeCell ref="D33:D34"/>
    <mergeCell ref="H17:J17"/>
    <mergeCell ref="H18:J18"/>
    <mergeCell ref="H19:J19"/>
    <mergeCell ref="H20:J20"/>
    <mergeCell ref="H21:J21"/>
    <mergeCell ref="D31:D32"/>
    <mergeCell ref="H16:J16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0E58-59AD-4637-8601-12BF545DF88B}">
  <sheetPr>
    <tabColor rgb="FFFF0000"/>
  </sheetPr>
  <dimension ref="A1:AV655"/>
  <sheetViews>
    <sheetView showGridLines="0" zoomScaleNormal="100" workbookViewId="0">
      <selection activeCell="G16" sqref="G16:Z16"/>
    </sheetView>
  </sheetViews>
  <sheetFormatPr defaultRowHeight="13.6" outlineLevelRow="1" outlineLevelCol="1" x14ac:dyDescent="0.25"/>
  <cols>
    <col min="1" max="3" width="9.125" style="2" customWidth="1" outlineLevel="1"/>
    <col min="4" max="4" width="44.5" style="2" bestFit="1" customWidth="1"/>
    <col min="5" max="5" width="11.875" style="2" bestFit="1" customWidth="1"/>
    <col min="6" max="6" width="7.75" style="2" bestFit="1" customWidth="1"/>
    <col min="7" max="7" width="9.625" style="2" bestFit="1" customWidth="1"/>
    <col min="8" max="20" width="7.875" style="2" bestFit="1" customWidth="1"/>
    <col min="21" max="26" width="9" style="2" customWidth="1"/>
    <col min="27" max="27" width="9" style="2" customWidth="1" outlineLevel="1"/>
    <col min="28" max="28" width="19" style="2" customWidth="1" outlineLevel="1"/>
    <col min="29" max="29" width="9" style="2" customWidth="1" outlineLevel="1"/>
    <col min="30" max="16384" width="9" style="2"/>
  </cols>
  <sheetData>
    <row r="1" spans="1:29" outlineLevel="1" x14ac:dyDescent="0.25">
      <c r="A1" s="51" t="s">
        <v>44</v>
      </c>
      <c r="B1" s="51" t="s">
        <v>44</v>
      </c>
      <c r="C1" s="51" t="s">
        <v>44</v>
      </c>
      <c r="D1" s="52" t="s">
        <v>7</v>
      </c>
      <c r="E1" s="52" t="s">
        <v>8</v>
      </c>
      <c r="F1" s="464">
        <f>ТСО!F1</f>
        <v>0</v>
      </c>
      <c r="G1" s="464">
        <f>ТСО!G1</f>
        <v>1</v>
      </c>
      <c r="H1" s="464">
        <f>ТСО!H1</f>
        <v>2</v>
      </c>
      <c r="I1" s="464">
        <f>ТСО!I1</f>
        <v>3</v>
      </c>
      <c r="J1" s="464">
        <f>ТСО!J1</f>
        <v>4</v>
      </c>
      <c r="K1" s="464">
        <f>ТСО!K1</f>
        <v>5</v>
      </c>
      <c r="L1" s="464">
        <f>ТСО!L1</f>
        <v>6</v>
      </c>
      <c r="M1" s="464">
        <f>ТСО!M1</f>
        <v>7</v>
      </c>
      <c r="N1" s="464">
        <f>ТСО!N1</f>
        <v>8</v>
      </c>
      <c r="O1" s="464">
        <f>ТСО!O1</f>
        <v>9</v>
      </c>
      <c r="P1" s="464">
        <f>ТСО!P1</f>
        <v>10</v>
      </c>
      <c r="Q1" s="464">
        <f>ТСО!Q1</f>
        <v>11</v>
      </c>
      <c r="R1" s="464">
        <f>ТСО!R1</f>
        <v>12</v>
      </c>
      <c r="S1" s="464">
        <f>ТСО!S1</f>
        <v>13</v>
      </c>
      <c r="T1" s="464">
        <f>ТСО!T1</f>
        <v>14</v>
      </c>
      <c r="U1" s="464">
        <f>ТСО!U1</f>
        <v>15</v>
      </c>
      <c r="V1" s="464">
        <f>ТСО!V1</f>
        <v>16</v>
      </c>
      <c r="W1" s="464">
        <f>ТСО!W1</f>
        <v>17</v>
      </c>
      <c r="X1" s="464">
        <f>ТСО!X1</f>
        <v>18</v>
      </c>
      <c r="Y1" s="464">
        <f>ТСО!Y1</f>
        <v>19</v>
      </c>
      <c r="Z1" s="464">
        <f>ТСО!Z1</f>
        <v>20</v>
      </c>
      <c r="AA1" s="51" t="s">
        <v>44</v>
      </c>
      <c r="AB1" s="51" t="s">
        <v>44</v>
      </c>
      <c r="AC1" s="51" t="s">
        <v>44</v>
      </c>
    </row>
    <row r="2" spans="1:29" outlineLevel="1" x14ac:dyDescent="0.25">
      <c r="A2" s="2" t="s">
        <v>45</v>
      </c>
      <c r="F2" s="155" t="str">
        <f>ТСО!F2</f>
        <v>лет</v>
      </c>
      <c r="G2" s="464">
        <f>ТСО!G2</f>
        <v>2027</v>
      </c>
      <c r="H2" s="464">
        <f>ТСО!H2</f>
        <v>2028</v>
      </c>
      <c r="I2" s="464">
        <f>ТСО!I2</f>
        <v>2029</v>
      </c>
      <c r="J2" s="464">
        <f>ТСО!J2</f>
        <v>2030</v>
      </c>
      <c r="K2" s="464">
        <f>ТСО!K2</f>
        <v>2031</v>
      </c>
      <c r="L2" s="464">
        <f>ТСО!L2</f>
        <v>2032</v>
      </c>
      <c r="M2" s="464">
        <f>ТСО!M2</f>
        <v>2033</v>
      </c>
      <c r="N2" s="464">
        <f>ТСО!N2</f>
        <v>2034</v>
      </c>
      <c r="O2" s="464">
        <f>ТСО!O2</f>
        <v>2035</v>
      </c>
      <c r="P2" s="464">
        <f>ТСО!P2</f>
        <v>2036</v>
      </c>
      <c r="Q2" s="464">
        <f>ТСО!Q2</f>
        <v>2037</v>
      </c>
      <c r="R2" s="464">
        <f>ТСО!R2</f>
        <v>2038</v>
      </c>
      <c r="S2" s="464">
        <f>ТСО!S2</f>
        <v>2039</v>
      </c>
      <c r="T2" s="464">
        <f>ТСО!T2</f>
        <v>2040</v>
      </c>
      <c r="U2" s="464">
        <f>ТСО!U2</f>
        <v>2041</v>
      </c>
      <c r="V2" s="464">
        <f>ТСО!V2</f>
        <v>2042</v>
      </c>
      <c r="W2" s="464">
        <f>ТСО!W2</f>
        <v>2043</v>
      </c>
      <c r="X2" s="464">
        <f>ТСО!X2</f>
        <v>2044</v>
      </c>
      <c r="Y2" s="464">
        <f>ТСО!Y2</f>
        <v>2045</v>
      </c>
      <c r="Z2" s="464">
        <f>ТСО!Z2</f>
        <v>2046</v>
      </c>
      <c r="AA2" s="56" t="s">
        <v>46</v>
      </c>
      <c r="AB2" s="2" t="s">
        <v>47</v>
      </c>
      <c r="AC2" s="2" t="s">
        <v>48</v>
      </c>
    </row>
    <row r="3" spans="1:29" ht="14.3" x14ac:dyDescent="0.25">
      <c r="A3" s="2" t="s">
        <v>45</v>
      </c>
      <c r="D3" s="3" t="s">
        <v>49</v>
      </c>
    </row>
    <row r="4" spans="1:29" x14ac:dyDescent="0.25">
      <c r="A4" s="2" t="s">
        <v>45</v>
      </c>
    </row>
    <row r="5" spans="1:29" ht="14.3" x14ac:dyDescent="0.25">
      <c r="A5" s="2" t="s">
        <v>45</v>
      </c>
      <c r="C5" s="57">
        <f>SUM(F55:Z55,F67:Z67,F86:Z86,AA39)</f>
        <v>-8.8817841970012523E-16</v>
      </c>
      <c r="D5" s="58" t="str">
        <f>Свод_1!F23</f>
        <v>NHL NTE 240</v>
      </c>
      <c r="E5" s="59">
        <f>SUMIFS(Производительность_1!$Y$55:$Y$71,Производительность_1!$C$55:$C$71,$D5)</f>
        <v>20</v>
      </c>
      <c r="F5" s="60" t="str">
        <f>$F$2</f>
        <v>лет</v>
      </c>
    </row>
    <row r="6" spans="1:29" outlineLevel="1" x14ac:dyDescent="0.25">
      <c r="A6" s="2" t="s">
        <v>45</v>
      </c>
    </row>
    <row r="7" spans="1:29" outlineLevel="1" x14ac:dyDescent="0.25">
      <c r="A7" s="61" t="str">
        <f>D5</f>
        <v>NHL NTE 240</v>
      </c>
      <c r="D7" s="62" t="str">
        <f>D$1</f>
        <v>Показатель</v>
      </c>
      <c r="E7" s="62" t="str">
        <f t="shared" ref="E7:Z7" si="0">E$1</f>
        <v>Ед. изм.</v>
      </c>
      <c r="F7" s="62">
        <f t="shared" si="0"/>
        <v>0</v>
      </c>
      <c r="G7" s="62">
        <f t="shared" si="0"/>
        <v>1</v>
      </c>
      <c r="H7" s="62">
        <f t="shared" si="0"/>
        <v>2</v>
      </c>
      <c r="I7" s="62">
        <f t="shared" si="0"/>
        <v>3</v>
      </c>
      <c r="J7" s="62">
        <f t="shared" si="0"/>
        <v>4</v>
      </c>
      <c r="K7" s="62">
        <f t="shared" si="0"/>
        <v>5</v>
      </c>
      <c r="L7" s="62">
        <f t="shared" si="0"/>
        <v>6</v>
      </c>
      <c r="M7" s="62">
        <f t="shared" si="0"/>
        <v>7</v>
      </c>
      <c r="N7" s="62">
        <f t="shared" si="0"/>
        <v>8</v>
      </c>
      <c r="O7" s="62">
        <f t="shared" si="0"/>
        <v>9</v>
      </c>
      <c r="P7" s="62">
        <f t="shared" si="0"/>
        <v>10</v>
      </c>
      <c r="Q7" s="62">
        <f t="shared" si="0"/>
        <v>11</v>
      </c>
      <c r="R7" s="62">
        <f t="shared" si="0"/>
        <v>12</v>
      </c>
      <c r="S7" s="62">
        <f t="shared" si="0"/>
        <v>13</v>
      </c>
      <c r="T7" s="62">
        <f t="shared" si="0"/>
        <v>14</v>
      </c>
      <c r="U7" s="62">
        <f t="shared" si="0"/>
        <v>15</v>
      </c>
      <c r="V7" s="62">
        <f t="shared" si="0"/>
        <v>16</v>
      </c>
      <c r="W7" s="62">
        <f t="shared" si="0"/>
        <v>17</v>
      </c>
      <c r="X7" s="62">
        <f t="shared" si="0"/>
        <v>18</v>
      </c>
      <c r="Y7" s="62">
        <f t="shared" si="0"/>
        <v>19</v>
      </c>
      <c r="Z7" s="62">
        <f t="shared" si="0"/>
        <v>20</v>
      </c>
    </row>
    <row r="8" spans="1:29" outlineLevel="1" x14ac:dyDescent="0.25">
      <c r="A8" s="39" t="str">
        <f>A7</f>
        <v>NHL NTE 240</v>
      </c>
      <c r="B8" s="39"/>
      <c r="D8" s="63" t="s">
        <v>50</v>
      </c>
      <c r="E8" s="64" t="s">
        <v>51</v>
      </c>
      <c r="F8" s="65"/>
      <c r="G8" s="66">
        <f>SUMIFS(Производительность_1!E$55:E$71,Производительность_1!$C$55:$C$71,$A8)</f>
        <v>0.93755029173008619</v>
      </c>
      <c r="H8" s="66">
        <f>SUMIFS(Производительность_1!F$55:F$71,Производительность_1!$C$55:$C$71,$A8)</f>
        <v>0.93038070776255699</v>
      </c>
      <c r="I8" s="66">
        <f>SUMIFS(Производительность_1!G$55:G$71,Производительность_1!$C$55:$C$71,$A8)</f>
        <v>0.92090265093860979</v>
      </c>
      <c r="J8" s="66">
        <f>SUMIFS(Производительность_1!H$55:H$71,Производительность_1!$C$55:$C$71,$A8)</f>
        <v>0.90840582191780817</v>
      </c>
      <c r="K8" s="66">
        <f>SUMIFS(Производительность_1!I$55:I$71,Производительность_1!$C$55:$C$71,$A8)</f>
        <v>0.93333288939624548</v>
      </c>
      <c r="L8" s="66">
        <f>SUMIFS(Производительность_1!J$55:J$71,Производительность_1!$C$55:$C$71,$A8)</f>
        <v>0.92172393455098933</v>
      </c>
      <c r="M8" s="66">
        <f>SUMIFS(Производительность_1!K$55:K$71,Производительность_1!$C$55:$C$71,$A8)</f>
        <v>0.93126858193810236</v>
      </c>
      <c r="N8" s="66">
        <f>SUMIFS(Производительность_1!L$55:L$71,Производительность_1!$C$55:$C$71,$A8)</f>
        <v>0.91113603500761031</v>
      </c>
      <c r="O8" s="66">
        <f>SUMIFS(Производительность_1!M$55:M$71,Производительность_1!$C$55:$C$71,$A8)</f>
        <v>0.91706259512937582</v>
      </c>
      <c r="P8" s="66">
        <f>SUMIFS(Производительность_1!N$55:N$71,Производительность_1!$C$55:$C$71,$A8)</f>
        <v>0.93222304667681377</v>
      </c>
      <c r="Q8" s="66">
        <f>SUMIFS(Производительность_1!O$55:O$71,Производительность_1!$C$55:$C$71,$A8)</f>
        <v>0.91462094114662595</v>
      </c>
      <c r="R8" s="66">
        <f>SUMIFS(Производительность_1!P$55:P$71,Производительность_1!$C$55:$C$71,$A8)</f>
        <v>0.91328912988330779</v>
      </c>
      <c r="S8" s="66">
        <f>SUMIFS(Производительность_1!Q$55:Q$71,Производительность_1!$C$55:$C$71,$A8)</f>
        <v>0.93377682648401816</v>
      </c>
      <c r="T8" s="66">
        <f>SUMIFS(Производительность_1!R$55:R$71,Производительность_1!$C$55:$C$71,$A8)</f>
        <v>0.93266698376458645</v>
      </c>
      <c r="U8" s="66">
        <f>SUMIFS(Производительность_1!S$55:S$71,Производительность_1!$C$55:$C$71,$A8)</f>
        <v>0.89848382800608828</v>
      </c>
      <c r="V8" s="66">
        <f>SUMIFS(Производительность_1!T$55:T$71,Производительность_1!$C$55:$C$71,$A8)</f>
        <v>0.92556399036022319</v>
      </c>
      <c r="W8" s="66">
        <f>SUMIFS(Производительность_1!U$55:U$71,Производительность_1!$C$55:$C$71,$A8)</f>
        <v>0.93422076357179096</v>
      </c>
      <c r="X8" s="66">
        <f>SUMIFS(Производительность_1!V$55:V$71,Производительность_1!$C$55:$C$71,$A8)</f>
        <v>0.90469894723490607</v>
      </c>
      <c r="Y8" s="66">
        <f>SUMIFS(Производительность_1!W$55:W$71,Производительность_1!$C$55:$C$71,$A8)</f>
        <v>0.9344427321156773</v>
      </c>
      <c r="Z8" s="66">
        <f>SUMIFS(Производительность_1!X$55:X$71,Производительность_1!$C$55:$C$71,$A8)</f>
        <v>0.9220124936580415</v>
      </c>
    </row>
    <row r="9" spans="1:29" outlineLevel="1" x14ac:dyDescent="0.25">
      <c r="A9" s="39" t="str">
        <f t="shared" ref="A9:A72" si="1">A8</f>
        <v>NHL NTE 240</v>
      </c>
      <c r="B9" s="39"/>
      <c r="D9" s="63" t="s">
        <v>52</v>
      </c>
      <c r="E9" s="64" t="str">
        <f>E8</f>
        <v>%</v>
      </c>
      <c r="F9" s="65"/>
      <c r="G9" s="66">
        <f>SUMIFS(Производительность_1!E$119:E$135,Производительность_1!$C$119:$C$135,$A9)</f>
        <v>0.8042356353910648</v>
      </c>
      <c r="H9" s="66">
        <f>SUMIFS(Производительность_1!F$119:F$135,Производительность_1!$C$119:$C$135,$A9)</f>
        <v>0.79808552806511524</v>
      </c>
      <c r="I9" s="66">
        <f>SUMIFS(Производительность_1!G$119:G$135,Производительность_1!$C$119:$C$135,$A9)</f>
        <v>0.79624551907764185</v>
      </c>
      <c r="J9" s="66">
        <f>SUMIFS(Производительность_1!H$119:H$135,Производительность_1!$C$119:$C$135,$A9)</f>
        <v>0.78544031170816475</v>
      </c>
      <c r="K9" s="66">
        <f>SUMIFS(Производительность_1!I$119:I$135,Производительность_1!$C$119:$C$135,$A9)</f>
        <v>0.80699314985367565</v>
      </c>
      <c r="L9" s="66">
        <f>SUMIFS(Производительность_1!J$119:J$135,Производительность_1!$C$119:$C$135,$A9)</f>
        <v>0.79695563039677264</v>
      </c>
      <c r="M9" s="66">
        <f>SUMIFS(Производительность_1!K$119:K$135,Производительность_1!$C$119:$C$135,$A9)</f>
        <v>0.8052082754569414</v>
      </c>
      <c r="N9" s="66">
        <f>SUMIFS(Производительность_1!L$119:L$135,Производительность_1!$C$119:$C$135,$A9)</f>
        <v>0.78780095203932943</v>
      </c>
      <c r="O9" s="66">
        <f>SUMIFS(Производительность_1!M$119:M$135,Производительность_1!$C$119:$C$135,$A9)</f>
        <v>0.79292526885575987</v>
      </c>
      <c r="P9" s="66">
        <f>SUMIFS(Производительность_1!N$119:N$135,Производительность_1!$C$119:$C$135,$A9)</f>
        <v>0.80603353996295846</v>
      </c>
      <c r="Q9" s="66">
        <f>SUMIFS(Производительность_1!O$119:O$135,Производительность_1!$C$119:$C$135,$A9)</f>
        <v>0.79081412709618171</v>
      </c>
      <c r="R9" s="66">
        <f>SUMIFS(Производительность_1!P$119:P$135,Производительность_1!$C$119:$C$135,$A9)</f>
        <v>0.78966259522732096</v>
      </c>
      <c r="S9" s="66">
        <f>SUMIFS(Производительность_1!Q$119:Q$135,Производительность_1!$C$119:$C$135,$A9)</f>
        <v>0.80737699380996264</v>
      </c>
      <c r="T9" s="66">
        <f>SUMIFS(Производительность_1!R$119:R$135,Производительность_1!$C$119:$C$135,$A9)</f>
        <v>0.80641738391924533</v>
      </c>
      <c r="U9" s="66">
        <f>SUMIFS(Производительность_1!S$119:S$135,Производительность_1!$C$119:$C$135,$A9)</f>
        <v>0.77686139928515208</v>
      </c>
      <c r="V9" s="66">
        <f>SUMIFS(Производительность_1!T$119:T$135,Производительность_1!$C$119:$C$135,$A9)</f>
        <v>0.80027588061865451</v>
      </c>
      <c r="W9" s="66">
        <f>SUMIFS(Производительность_1!U$119:U$135,Производительность_1!$C$119:$C$135,$A9)</f>
        <v>0.80776083776624963</v>
      </c>
      <c r="X9" s="66">
        <f>SUMIFS(Производительность_1!V$119:V$135,Производительность_1!$C$119:$C$135,$A9)</f>
        <v>0.78223521467316903</v>
      </c>
      <c r="Y9" s="66">
        <f>SUMIFS(Производительность_1!W$119:W$135,Производительность_1!$C$119:$C$135,$A9)</f>
        <v>0.80795275974439307</v>
      </c>
      <c r="Z9" s="66">
        <f>SUMIFS(Производительность_1!X$119:X$135,Производительность_1!$C$119:$C$135,$A9)</f>
        <v>0.79720512896835904</v>
      </c>
    </row>
    <row r="10" spans="1:29" outlineLevel="1" x14ac:dyDescent="0.25">
      <c r="A10" s="39" t="str">
        <f t="shared" si="1"/>
        <v>NHL NTE 240</v>
      </c>
      <c r="B10" s="39"/>
      <c r="D10" s="67" t="s">
        <v>53</v>
      </c>
      <c r="E10" s="68" t="s">
        <v>23</v>
      </c>
      <c r="F10" s="69"/>
      <c r="G10" s="69">
        <f>SUMIFS(Производительность_1!E$247:E$263,Производительность_1!$C$247:$C$263,$A10)</f>
        <v>3844.3301979005578</v>
      </c>
      <c r="H10" s="69">
        <f>SUMIFS(Производительность_1!F$247:F$263,Производительность_1!$C$247:$C$263,$A10)</f>
        <v>3560.0082879715892</v>
      </c>
      <c r="I10" s="69">
        <f>SUMIFS(Производительность_1!G$247:G$263,Производительность_1!$C$247:$C$263,$A10)</f>
        <v>3123.9323534104306</v>
      </c>
      <c r="J10" s="69">
        <f>SUMIFS(Производительность_1!H$247:H$263,Производительность_1!$C$247:$C$263,$A10)</f>
        <v>3160.7421571460854</v>
      </c>
      <c r="K10" s="69">
        <f>SUMIFS(Производительность_1!I$247:I$263,Производительность_1!$C$247:$C$263,$A10)</f>
        <v>2793.9180250278246</v>
      </c>
      <c r="L10" s="69">
        <f>SUMIFS(Производительность_1!J$247:J$263,Производительность_1!$C$247:$C$263,$A10)</f>
        <v>2535.7903276803472</v>
      </c>
      <c r="M10" s="69">
        <f>SUMIFS(Производительность_1!K$247:K$263,Производительность_1!$C$247:$C$263,$A10)</f>
        <v>2962.7002892111268</v>
      </c>
      <c r="N10" s="69">
        <f>SUMIFS(Производительность_1!L$247:L$263,Производительность_1!$C$247:$C$263,$A10)</f>
        <v>2847.7655042558322</v>
      </c>
      <c r="O10" s="69">
        <f>SUMIFS(Производительность_1!M$247:M$263,Производительность_1!$C$247:$C$263,$A10)</f>
        <v>2512.8291731254067</v>
      </c>
      <c r="P10" s="69">
        <f>SUMIFS(Производительность_1!N$247:N$263,Производительность_1!$C$247:$C$263,$A10)</f>
        <v>2779.8778280153429</v>
      </c>
      <c r="Q10" s="69">
        <f>SUMIFS(Производительность_1!O$247:O$263,Производительность_1!$C$247:$C$263,$A10)</f>
        <v>2761.9508534072793</v>
      </c>
      <c r="R10" s="69">
        <f>SUMIFS(Производительность_1!P$247:P$263,Производительность_1!$C$247:$C$263,$A10)</f>
        <v>2381.709394599814</v>
      </c>
      <c r="S10" s="69">
        <f>SUMIFS(Производительность_1!Q$247:Q$263,Производительность_1!$C$247:$C$263,$A10)</f>
        <v>2403.9618789697347</v>
      </c>
      <c r="T10" s="69">
        <f>SUMIFS(Производительность_1!R$247:R$263,Производительность_1!$C$247:$C$263,$A10)</f>
        <v>2333.2313267736031</v>
      </c>
      <c r="U10" s="69">
        <f>SUMIFS(Производительность_1!S$247:S$263,Производительность_1!$C$247:$C$263,$A10)</f>
        <v>2261.678514762848</v>
      </c>
      <c r="V10" s="69">
        <f>SUMIFS(Производительность_1!T$247:T$263,Производительность_1!$C$247:$C$263,$A10)</f>
        <v>2456.2206213619147</v>
      </c>
      <c r="W10" s="69">
        <f>SUMIFS(Производительность_1!U$247:U$263,Производительность_1!$C$247:$C$263,$A10)</f>
        <v>3163.4412324976984</v>
      </c>
      <c r="X10" s="69">
        <f>SUMIFS(Производительность_1!V$247:V$263,Производительность_1!$C$247:$C$263,$A10)</f>
        <v>2779.55908863882</v>
      </c>
      <c r="Y10" s="69">
        <f>SUMIFS(Производительность_1!W$247:W$263,Производительность_1!$C$247:$C$263,$A10)</f>
        <v>2360.630848317619</v>
      </c>
      <c r="Z10" s="69">
        <f>SUMIFS(Производительность_1!X$247:X$263,Производительность_1!$C$247:$C$263,$A10)</f>
        <v>2103.0359194350353</v>
      </c>
    </row>
    <row r="11" spans="1:29" outlineLevel="1" x14ac:dyDescent="0.25">
      <c r="A11" s="39" t="str">
        <f t="shared" si="1"/>
        <v>NHL NTE 240</v>
      </c>
      <c r="B11" s="39"/>
      <c r="D11" s="67" t="s">
        <v>54</v>
      </c>
      <c r="E11" s="68" t="s">
        <v>24</v>
      </c>
      <c r="F11" s="69"/>
      <c r="G11" s="69">
        <f>SUMIFS(Производительность_1!E$263:E$279,Производительность_1!$C$263:$C$279,$A11)</f>
        <v>11685.164981362384</v>
      </c>
      <c r="H11" s="69">
        <f>SUMIFS(Производительность_1!F$263:F$279,Производительность_1!$C$263:$C$279,$A11)</f>
        <v>11996.597947240858</v>
      </c>
      <c r="I11" s="69">
        <f>SUMIFS(Производительность_1!G$263:G$279,Производительность_1!$C$263:$C$279,$A11)</f>
        <v>12641.633884995897</v>
      </c>
      <c r="J11" s="69">
        <f>SUMIFS(Производительность_1!H$263:H$279,Производительность_1!$C$263:$C$279,$A11)</f>
        <v>12345.562779631944</v>
      </c>
      <c r="K11" s="69">
        <f>SUMIFS(Производительность_1!I$263:I$279,Производительность_1!$C$263:$C$279,$A11)</f>
        <v>13397.411879008381</v>
      </c>
      <c r="L11" s="69">
        <f>SUMIFS(Производительность_1!J$263:J$279,Производительность_1!$C$263:$C$279,$A11)</f>
        <v>13581.965046199426</v>
      </c>
      <c r="M11" s="69">
        <f>SUMIFS(Производительность_1!K$263:K$279,Производительность_1!$C$263:$C$279,$A11)</f>
        <v>13092.705188215768</v>
      </c>
      <c r="N11" s="69">
        <f>SUMIFS(Производительность_1!L$263:L$279,Производительность_1!$C$263:$C$279,$A11)</f>
        <v>12889.664538363699</v>
      </c>
      <c r="O11" s="69">
        <f>SUMIFS(Производительность_1!M$263:M$279,Производительность_1!$C$263:$C$279,$A11)</f>
        <v>13529.216023292192</v>
      </c>
      <c r="P11" s="69">
        <f>SUMIFS(Производительность_1!N$263:N$279,Производительность_1!$C$263:$C$279,$A11)</f>
        <v>13398.331460061287</v>
      </c>
      <c r="Q11" s="69">
        <f>SUMIFS(Производительность_1!O$263:O$279,Производительность_1!$C$263:$C$279,$A11)</f>
        <v>13091.007200834771</v>
      </c>
      <c r="R11" s="69">
        <f>SUMIFS(Производительность_1!P$263:P$279,Производительность_1!$C$263:$C$279,$A11)</f>
        <v>13663.437522343724</v>
      </c>
      <c r="S11" s="69">
        <f>SUMIFS(Производительность_1!Q$263:Q$279,Производительность_1!$C$263:$C$279,$A11)</f>
        <v>14018.962698516962</v>
      </c>
      <c r="T11" s="69">
        <f>SUMIFS(Производительность_1!R$263:R$279,Производительность_1!$C$263:$C$279,$A11)</f>
        <v>14109.0108559896</v>
      </c>
      <c r="U11" s="69">
        <f>SUMIFS(Производительность_1!S$263:S$279,Производительность_1!$C$263:$C$279,$A11)</f>
        <v>13569.95015297719</v>
      </c>
      <c r="V11" s="69">
        <f>SUMIFS(Производительность_1!T$263:T$279,Производительность_1!$C$263:$C$279,$A11)</f>
        <v>13780.258820221083</v>
      </c>
      <c r="W11" s="69">
        <f>SUMIFS(Производительность_1!U$263:U$279,Производительность_1!$C$263:$C$279,$A11)</f>
        <v>12833.371025576342</v>
      </c>
      <c r="X11" s="69">
        <f>SUMIFS(Производительность_1!V$263:V$279,Производительность_1!$C$263:$C$279,$A11)</f>
        <v>12874.203048194066</v>
      </c>
      <c r="Y11" s="69">
        <f>SUMIFS(Производительность_1!W$263:W$279,Производительность_1!$C$263:$C$279,$A11)</f>
        <v>14099.780394922293</v>
      </c>
      <c r="Z11" s="69">
        <f>SUMIFS(Производительность_1!X$263:X$279,Производительность_1!$C$263:$C$279,$A11)</f>
        <v>14267.841675182131</v>
      </c>
    </row>
    <row r="12" spans="1:29" outlineLevel="1" x14ac:dyDescent="0.25">
      <c r="A12" s="39" t="str">
        <f t="shared" si="1"/>
        <v>NHL NTE 240</v>
      </c>
      <c r="B12" s="39"/>
      <c r="D12" s="70" t="s">
        <v>55</v>
      </c>
      <c r="E12" s="64" t="str">
        <f>E11</f>
        <v>тыс. ткм</v>
      </c>
      <c r="F12" s="65"/>
      <c r="G12" s="65">
        <f>G11</f>
        <v>11685.164981362384</v>
      </c>
      <c r="H12" s="65">
        <f>G12+H11</f>
        <v>23681.762928603242</v>
      </c>
      <c r="I12" s="65">
        <f t="shared" ref="I12:Z12" si="2">H12+I11</f>
        <v>36323.396813599138</v>
      </c>
      <c r="J12" s="65">
        <f t="shared" si="2"/>
        <v>48668.959593231084</v>
      </c>
      <c r="K12" s="65">
        <f t="shared" si="2"/>
        <v>62066.371472239465</v>
      </c>
      <c r="L12" s="65">
        <f t="shared" si="2"/>
        <v>75648.336518438897</v>
      </c>
      <c r="M12" s="65">
        <f t="shared" si="2"/>
        <v>88741.041706654665</v>
      </c>
      <c r="N12" s="65">
        <f t="shared" si="2"/>
        <v>101630.70624501836</v>
      </c>
      <c r="O12" s="65">
        <f t="shared" si="2"/>
        <v>115159.92226831055</v>
      </c>
      <c r="P12" s="65">
        <f t="shared" si="2"/>
        <v>128558.25372837184</v>
      </c>
      <c r="Q12" s="65">
        <f t="shared" si="2"/>
        <v>141649.26092920662</v>
      </c>
      <c r="R12" s="65">
        <f t="shared" si="2"/>
        <v>155312.69845155033</v>
      </c>
      <c r="S12" s="65">
        <f t="shared" si="2"/>
        <v>169331.66115006729</v>
      </c>
      <c r="T12" s="65">
        <f t="shared" si="2"/>
        <v>183440.67200605688</v>
      </c>
      <c r="U12" s="65">
        <f t="shared" si="2"/>
        <v>197010.62215903407</v>
      </c>
      <c r="V12" s="65">
        <f t="shared" si="2"/>
        <v>210790.88097925516</v>
      </c>
      <c r="W12" s="65">
        <f t="shared" si="2"/>
        <v>223624.25200483151</v>
      </c>
      <c r="X12" s="65">
        <f t="shared" si="2"/>
        <v>236498.45505302557</v>
      </c>
      <c r="Y12" s="65">
        <f t="shared" si="2"/>
        <v>250598.23544794787</v>
      </c>
      <c r="Z12" s="65">
        <f t="shared" si="2"/>
        <v>264866.07712312997</v>
      </c>
    </row>
    <row r="13" spans="1:29" outlineLevel="1" x14ac:dyDescent="0.25">
      <c r="A13" s="39" t="str">
        <f t="shared" si="1"/>
        <v>NHL NTE 240</v>
      </c>
      <c r="B13" s="39"/>
      <c r="D13" s="63" t="s">
        <v>56</v>
      </c>
      <c r="E13" s="64" t="s">
        <v>57</v>
      </c>
      <c r="F13" s="65"/>
      <c r="G13" s="65">
        <f>SUMIFS(Производительность_1!E$279:E$295,Производительность_1!$C$279:$C$295,$A13)/1000</f>
        <v>104.2899279875263</v>
      </c>
      <c r="H13" s="65">
        <f>SUMIFS(Производительность_1!F$279:F$295,Производительность_1!$C$279:$C$295,$A13)/1000</f>
        <v>107.06946269124778</v>
      </c>
      <c r="I13" s="65">
        <f>SUMIFS(Производительность_1!G$279:G$295,Производительность_1!$C$279:$C$295,$A13)/1000</f>
        <v>112.82639908068988</v>
      </c>
      <c r="J13" s="65">
        <f>SUMIFS(Производительность_1!H$279:H$295,Производительность_1!$C$279:$C$295,$A13)/1000</f>
        <v>110.18396875926587</v>
      </c>
      <c r="K13" s="65">
        <f>SUMIFS(Производительность_1!I$279:I$295,Производительность_1!$C$279:$C$295,$A13)/1000</f>
        <v>119.57170671612639</v>
      </c>
      <c r="L13" s="65">
        <f>SUMIFS(Производительность_1!J$279:J$295,Производительность_1!$C$279:$C$295,$A13)/1000</f>
        <v>121.21884105671313</v>
      </c>
      <c r="M13" s="65">
        <f>SUMIFS(Производительность_1!K$279:K$295,Производительность_1!$C$279:$C$295,$A13)/1000</f>
        <v>116.85220391999437</v>
      </c>
      <c r="N13" s="65">
        <f>SUMIFS(Производительность_1!L$279:L$295,Производительность_1!$C$279:$C$295,$A13)/1000</f>
        <v>115.04006906478378</v>
      </c>
      <c r="O13" s="65">
        <f>SUMIFS(Производительность_1!M$279:M$295,Производительность_1!$C$279:$C$295,$A13)/1000</f>
        <v>120.74805679229051</v>
      </c>
      <c r="P13" s="65">
        <f>SUMIFS(Производительность_1!N$279:N$295,Производительность_1!$C$279:$C$295,$A13)/1000</f>
        <v>119.57991396368679</v>
      </c>
      <c r="Q13" s="65">
        <f>SUMIFS(Производительность_1!O$279:O$295,Производительность_1!$C$279:$C$295,$A13)/1000</f>
        <v>116.83704940724502</v>
      </c>
      <c r="R13" s="65">
        <f>SUMIFS(Производительность_1!P$279:P$295,Производительность_1!$C$279:$C$295,$A13)/1000</f>
        <v>121.9459817246974</v>
      </c>
      <c r="S13" s="65">
        <f>SUMIFS(Производительность_1!Q$279:Q$295,Производительность_1!$C$279:$C$295,$A13)/1000</f>
        <v>125.11903876582586</v>
      </c>
      <c r="T13" s="65">
        <f>SUMIFS(Производительность_1!R$279:R$295,Производительность_1!$C$279:$C$295,$A13)/1000</f>
        <v>125.9227172652916</v>
      </c>
      <c r="U13" s="65">
        <f>SUMIFS(Производительность_1!S$279:S$295,Производительность_1!$C$279:$C$295,$A13)/1000</f>
        <v>121.11160830895793</v>
      </c>
      <c r="V13" s="65">
        <f>SUMIFS(Производительность_1!T$279:T$295,Производительность_1!$C$279:$C$295,$A13)/1000</f>
        <v>122.98861011398171</v>
      </c>
      <c r="W13" s="65">
        <f>SUMIFS(Производительность_1!U$279:U$295,Производительность_1!$C$279:$C$295,$A13)/1000</f>
        <v>114.53765027958714</v>
      </c>
      <c r="X13" s="65">
        <f>SUMIFS(Производительность_1!V$279:V$295,Производительность_1!$C$279:$C$295,$A13)/1000</f>
        <v>114.90207548925936</v>
      </c>
      <c r="Y13" s="65">
        <f>SUMIFS(Производительность_1!W$279:W$295,Производительность_1!$C$279:$C$295,$A13)/1000</f>
        <v>125.8403355341362</v>
      </c>
      <c r="Z13" s="65">
        <f>SUMIFS(Производительность_1!X$279:X$295,Производительность_1!$C$279:$C$295,$A13)/1000</f>
        <v>127.34028002304549</v>
      </c>
    </row>
    <row r="14" spans="1:29" outlineLevel="1" x14ac:dyDescent="0.25">
      <c r="A14" s="39" t="str">
        <f t="shared" si="1"/>
        <v>NHL NTE 240</v>
      </c>
      <c r="B14" s="39"/>
      <c r="D14" s="31"/>
      <c r="E14" s="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9" outlineLevel="1" x14ac:dyDescent="0.25">
      <c r="A15" s="39" t="str">
        <f t="shared" si="1"/>
        <v>NHL NTE 240</v>
      </c>
      <c r="B15" s="39"/>
      <c r="D15" s="71" t="s">
        <v>58</v>
      </c>
      <c r="E15" s="72" t="s">
        <v>33</v>
      </c>
      <c r="F15" s="73">
        <f>F40+F41-F39</f>
        <v>0</v>
      </c>
      <c r="G15" s="73">
        <f t="shared" ref="G15:Z15" si="3">G40+G41-G39</f>
        <v>88109.824396630691</v>
      </c>
      <c r="H15" s="73">
        <f t="shared" si="3"/>
        <v>91720.888932277914</v>
      </c>
      <c r="I15" s="73">
        <f t="shared" si="3"/>
        <v>126414.67637461507</v>
      </c>
      <c r="J15" s="73">
        <f t="shared" si="3"/>
        <v>107273.38022677829</v>
      </c>
      <c r="K15" s="73">
        <f t="shared" si="3"/>
        <v>100380.94036716266</v>
      </c>
      <c r="L15" s="73">
        <f t="shared" si="3"/>
        <v>131144.40581406161</v>
      </c>
      <c r="M15" s="73">
        <f t="shared" si="3"/>
        <v>98086.045590586873</v>
      </c>
      <c r="N15" s="73">
        <f t="shared" si="3"/>
        <v>111694.12083085424</v>
      </c>
      <c r="O15" s="73">
        <f t="shared" si="3"/>
        <v>162203.34063511569</v>
      </c>
      <c r="P15" s="73">
        <f t="shared" si="3"/>
        <v>98989.52448369698</v>
      </c>
      <c r="Q15" s="73">
        <f t="shared" si="3"/>
        <v>241076.64218175467</v>
      </c>
      <c r="R15" s="73">
        <f t="shared" si="3"/>
        <v>131724.70202898452</v>
      </c>
      <c r="S15" s="73">
        <f t="shared" si="3"/>
        <v>103154.3018872329</v>
      </c>
      <c r="T15" s="73">
        <f t="shared" si="3"/>
        <v>103786.53484680247</v>
      </c>
      <c r="U15" s="73">
        <f t="shared" si="3"/>
        <v>146541.64496347355</v>
      </c>
      <c r="V15" s="73">
        <f t="shared" si="3"/>
        <v>101840.31472034658</v>
      </c>
      <c r="W15" s="73">
        <f t="shared" si="3"/>
        <v>96124.206162701041</v>
      </c>
      <c r="X15" s="73">
        <f t="shared" si="3"/>
        <v>173230.54167463211</v>
      </c>
      <c r="Y15" s="73">
        <f t="shared" si="3"/>
        <v>103836.20875211341</v>
      </c>
      <c r="Z15" s="73">
        <f t="shared" si="3"/>
        <v>106136.20070163935</v>
      </c>
    </row>
    <row r="16" spans="1:29" outlineLevel="1" x14ac:dyDescent="0.25">
      <c r="A16" s="39" t="str">
        <f t="shared" si="1"/>
        <v>NHL NTE 240</v>
      </c>
      <c r="B16" s="39"/>
      <c r="C16" s="619" t="str">
        <f>D16</f>
        <v>ТО, ТР, ППР</v>
      </c>
      <c r="D16" s="430" t="s">
        <v>59</v>
      </c>
      <c r="E16" s="68" t="str">
        <f>E15</f>
        <v>тыс. руб.</v>
      </c>
      <c r="F16" s="74"/>
      <c r="G16" s="455">
        <f>(G17+G18+G19)*'ФОТ, МТР, макро'!AK$8</f>
        <v>6011.0007709791998</v>
      </c>
      <c r="H16" s="455">
        <f>(H17+H18+H19)*'ФОТ, МТР, макро'!AL$8</f>
        <v>8352.9635055391991</v>
      </c>
      <c r="I16" s="455">
        <f>(I17+I18+I19)*'ФОТ, МТР, макро'!AM$8</f>
        <v>49489.736084433207</v>
      </c>
      <c r="J16" s="455">
        <f>(J17+J18+J19)*'ФОТ, МТР, макро'!AN$8</f>
        <v>26318.824091179205</v>
      </c>
      <c r="K16" s="455">
        <f>(K17+K18+K19)*'ФОТ, МТР, макро'!AO$8</f>
        <v>8777.1811212071989</v>
      </c>
      <c r="L16" s="455">
        <f>(L17+L18+L19)*'ФОТ, МТР, макро'!AP$8</f>
        <v>48329.775655157209</v>
      </c>
      <c r="M16" s="455">
        <f>(M17+M18+M19)*'ФОТ, МТР, макро'!AQ$8</f>
        <v>8136.7045104072013</v>
      </c>
      <c r="N16" s="455">
        <f>(N17+N18+N19)*'ФОТ, МТР, макро'!AR$8</f>
        <v>27892.955564379201</v>
      </c>
      <c r="O16" s="455">
        <f>(O17+O18+O19)*'ФОТ, МТР, макро'!AS$8</f>
        <v>90160.518063333206</v>
      </c>
      <c r="P16" s="455">
        <f>(P17+P18+P19)*'ФОТ, МТР, макро'!AT$8</f>
        <v>6914.6584335792004</v>
      </c>
      <c r="Q16" s="455">
        <f>(Q17+Q18+Q19)*'ФОТ, МТР, макро'!AU$8</f>
        <v>198804.3153851192</v>
      </c>
      <c r="R16" s="455">
        <f>(R17+R18+R19)*'ФОТ, МТР, макро'!AV$8</f>
        <v>48456.609281557205</v>
      </c>
      <c r="S16" s="455">
        <f>(S17+S18+S19)*'ФОТ, МТР, макро'!AW$8</f>
        <v>7539.8585649272</v>
      </c>
      <c r="T16" s="455">
        <f>(T17+T18+T19)*'ФОТ, МТР, макро'!AX$8</f>
        <v>7667.8499376591999</v>
      </c>
      <c r="U16" s="455">
        <f>(U17+U18+U19)*'ФОТ, МТР, макро'!AY$8</f>
        <v>68954.826578405206</v>
      </c>
      <c r="V16" s="455">
        <f>(V17+V18+V19)*'ФОТ, МТР, макро'!AZ$8</f>
        <v>7683.1938437671997</v>
      </c>
      <c r="W16" s="455">
        <f>(W17+W18+W19)*'ФОТ, МТР, макро'!BA$8</f>
        <v>7580.0420424592003</v>
      </c>
      <c r="X16" s="455">
        <f>(X17+X18+X19)*'ФОТ, МТР, макро'!BB$8</f>
        <v>110064.2815285652</v>
      </c>
      <c r="Y16" s="455">
        <f>(Y17+Y18+Y19)*'ФОТ, МТР, макро'!BC$8</f>
        <v>7807.3720347791996</v>
      </c>
      <c r="Z16" s="455">
        <f>(Z17+Z18+Z19)*'ФОТ, МТР, макро'!BD$8</f>
        <v>9539.614802133201</v>
      </c>
      <c r="AB16" s="76">
        <f>SUM(F16:Z16,F30:Z30)/E5</f>
        <v>37724.114089978306</v>
      </c>
    </row>
    <row r="17" spans="1:27" outlineLevel="1" x14ac:dyDescent="0.25">
      <c r="A17" s="39" t="str">
        <f t="shared" si="1"/>
        <v>NHL NTE 240</v>
      </c>
      <c r="B17" s="39"/>
      <c r="D17" s="427" t="s">
        <v>60</v>
      </c>
      <c r="E17" s="428" t="s">
        <v>37</v>
      </c>
      <c r="F17" s="30"/>
      <c r="G17" s="456">
        <f>'NHL NTE240_1'!E19</f>
        <v>297.27423999999996</v>
      </c>
      <c r="H17" s="456">
        <f>'NHL NTE240_1'!F19</f>
        <v>297.27423999999996</v>
      </c>
      <c r="I17" s="456">
        <f>'NHL NTE240_1'!G19</f>
        <v>297.27423999999996</v>
      </c>
      <c r="J17" s="456">
        <f>'NHL NTE240_1'!H19</f>
        <v>297.27423999999996</v>
      </c>
      <c r="K17" s="456">
        <f>'NHL NTE240_1'!I19</f>
        <v>297.27423999999996</v>
      </c>
      <c r="L17" s="456">
        <f>'NHL NTE240_1'!J19</f>
        <v>297.27423999999996</v>
      </c>
      <c r="M17" s="456">
        <f>'NHL NTE240_1'!K19</f>
        <v>297.27423999999996</v>
      </c>
      <c r="N17" s="456">
        <f>'NHL NTE240_1'!L19</f>
        <v>297.27423999999996</v>
      </c>
      <c r="O17" s="456">
        <f>'NHL NTE240_1'!M19</f>
        <v>297.27423999999996</v>
      </c>
      <c r="P17" s="456">
        <f>'NHL NTE240_1'!N19</f>
        <v>297.27423999999996</v>
      </c>
      <c r="Q17" s="456">
        <f>'NHL NTE240_1'!O19</f>
        <v>297.27423999999996</v>
      </c>
      <c r="R17" s="456">
        <f>'NHL NTE240_1'!P19</f>
        <v>297.27423999999996</v>
      </c>
      <c r="S17" s="456">
        <f>'NHL NTE240_1'!Q19</f>
        <v>297.27423999999996</v>
      </c>
      <c r="T17" s="456">
        <f>'NHL NTE240_1'!R19</f>
        <v>297.27423999999996</v>
      </c>
      <c r="U17" s="456">
        <f>'NHL NTE240_1'!S19</f>
        <v>297.27423999999996</v>
      </c>
      <c r="V17" s="456">
        <f>'NHL NTE240_1'!T19</f>
        <v>297.27423999999996</v>
      </c>
      <c r="W17" s="456">
        <f>'NHL NTE240_1'!U19</f>
        <v>297.27423999999996</v>
      </c>
      <c r="X17" s="456">
        <f>'NHL NTE240_1'!V19</f>
        <v>297.27423999999996</v>
      </c>
      <c r="Y17" s="456">
        <f>'NHL NTE240_1'!W19</f>
        <v>297.27423999999996</v>
      </c>
      <c r="Z17" s="456">
        <f>'NHL NTE240_1'!X19</f>
        <v>297.27423999999996</v>
      </c>
    </row>
    <row r="18" spans="1:27" outlineLevel="1" x14ac:dyDescent="0.25">
      <c r="A18" s="39" t="str">
        <f t="shared" si="1"/>
        <v>NHL NTE 240</v>
      </c>
      <c r="B18" s="39"/>
      <c r="D18" s="427" t="s">
        <v>61</v>
      </c>
      <c r="E18" s="428" t="s">
        <v>37</v>
      </c>
      <c r="F18" s="30"/>
      <c r="G18" s="456">
        <f>'NHL NTE240_1'!E20</f>
        <v>0</v>
      </c>
      <c r="H18" s="456">
        <f>'NHL NTE240_1'!F20</f>
        <v>151.6104</v>
      </c>
      <c r="I18" s="456">
        <f>'NHL NTE240_1'!G20</f>
        <v>3293.5407700000005</v>
      </c>
      <c r="J18" s="456">
        <f>'NHL NTE240_1'!H20</f>
        <v>1329.6506000000002</v>
      </c>
      <c r="K18" s="456">
        <f>'NHL NTE240_1'!I20</f>
        <v>207.44413999999998</v>
      </c>
      <c r="L18" s="456">
        <f>'NHL NTE240_1'!J20</f>
        <v>3259.1669900000002</v>
      </c>
      <c r="M18" s="456">
        <f>'NHL NTE240_1'!K20</f>
        <v>47.961739999999999</v>
      </c>
      <c r="N18" s="456">
        <f>'NHL NTE240_1'!L20</f>
        <v>1481.261</v>
      </c>
      <c r="O18" s="456">
        <f>'NHL NTE240_1'!M20</f>
        <v>6533.29187</v>
      </c>
      <c r="P18" s="456">
        <f>'NHL NTE240_1'!N20</f>
        <v>44.023000000000003</v>
      </c>
      <c r="Q18" s="456">
        <f>'NHL NTE240_1'!O20</f>
        <v>14777.315299999998</v>
      </c>
      <c r="R18" s="456">
        <f>'NHL NTE240_1'!P20</f>
        <v>3259.1669900000002</v>
      </c>
      <c r="S18" s="456">
        <f>'NHL NTE240_1'!Q20</f>
        <v>99.856739999999988</v>
      </c>
      <c r="T18" s="456">
        <f>'NHL NTE240_1'!R20</f>
        <v>107.58739999999999</v>
      </c>
      <c r="U18" s="456">
        <f>'NHL NTE240_1'!S20</f>
        <v>4575.2296299999998</v>
      </c>
      <c r="V18" s="456">
        <f>'NHL NTE240_1'!T20</f>
        <v>96.182940000000002</v>
      </c>
      <c r="W18" s="456">
        <f>'NHL NTE240_1'!U20</f>
        <v>107.58739999999999</v>
      </c>
      <c r="X18" s="456">
        <f>'NHL NTE240_1'!V20</f>
        <v>7876.5304299999998</v>
      </c>
      <c r="Y18" s="456">
        <f>'NHL NTE240_1'!W20</f>
        <v>44.023000000000003</v>
      </c>
      <c r="Z18" s="456">
        <f>'NHL NTE240_1'!X20</f>
        <v>237.35227000000003</v>
      </c>
    </row>
    <row r="19" spans="1:27" outlineLevel="1" x14ac:dyDescent="0.25">
      <c r="A19" s="39" t="str">
        <f t="shared" si="1"/>
        <v>NHL NTE 240</v>
      </c>
      <c r="B19" s="39"/>
      <c r="D19" s="427" t="s">
        <v>62</v>
      </c>
      <c r="E19" s="428" t="s">
        <v>37</v>
      </c>
      <c r="F19" s="30"/>
      <c r="G19" s="456">
        <f>'NHL NTE240_1'!E21+'NHL NTE240_1'!E22</f>
        <v>173.43105600000001</v>
      </c>
      <c r="H19" s="456">
        <f>'NHL NTE240_1'!F21+'NHL NTE240_1'!F22</f>
        <v>205.21345599999995</v>
      </c>
      <c r="I19" s="456">
        <f>'NHL NTE240_1'!G21+'NHL NTE240_1'!G22</f>
        <v>284.59305599999999</v>
      </c>
      <c r="J19" s="456">
        <f>'NHL NTE240_1'!H21+'NHL NTE240_1'!H22</f>
        <v>434.03145599999993</v>
      </c>
      <c r="K19" s="456">
        <f>'NHL NTE240_1'!I21+'NHL NTE240_1'!I22</f>
        <v>182.59905600000002</v>
      </c>
      <c r="L19" s="456">
        <f>'NHL NTE240_1'!J21+'NHL NTE240_1'!J22</f>
        <v>228.13345599999997</v>
      </c>
      <c r="M19" s="456">
        <f>'NHL NTE240_1'!K21+'NHL NTE240_1'!K22</f>
        <v>291.92745600000001</v>
      </c>
      <c r="N19" s="456">
        <f>'NHL NTE240_1'!L21+'NHL NTE240_1'!L22</f>
        <v>405.68705600000004</v>
      </c>
      <c r="O19" s="456">
        <f>'NHL NTE240_1'!M21+'NHL NTE240_1'!M22</f>
        <v>229.66145599999999</v>
      </c>
      <c r="P19" s="456">
        <f>'NHL NTE240_1'!N21+'NHL NTE240_1'!N22</f>
        <v>200.17105600000002</v>
      </c>
      <c r="Q19" s="456">
        <f>'NHL NTE240_1'!O21+'NHL NTE240_1'!O22</f>
        <v>493.24145599999997</v>
      </c>
      <c r="R19" s="456">
        <f>'NHL NTE240_1'!P21+'NHL NTE240_1'!P22</f>
        <v>238.06545599999998</v>
      </c>
      <c r="S19" s="456">
        <f>'NHL NTE240_1'!Q21+'NHL NTE240_1'!Q22</f>
        <v>193.29505599999999</v>
      </c>
      <c r="T19" s="456">
        <f>'NHL NTE240_1'!R21+'NHL NTE240_1'!R22</f>
        <v>195.58705599999996</v>
      </c>
      <c r="U19" s="456">
        <f>'NHL NTE240_1'!S21+'NHL NTE240_1'!S22</f>
        <v>527.16305599999998</v>
      </c>
      <c r="V19" s="456">
        <f>'NHL NTE240_1'!T21+'NHL NTE240_1'!T22</f>
        <v>208.19305600000001</v>
      </c>
      <c r="W19" s="456">
        <f>'NHL NTE240_1'!U21+'NHL NTE240_1'!U22</f>
        <v>188.71105599999999</v>
      </c>
      <c r="X19" s="456">
        <f>'NHL NTE240_1'!V21+'NHL NTE240_1'!V22</f>
        <v>445.03305599999999</v>
      </c>
      <c r="Y19" s="456">
        <f>'NHL NTE240_1'!W21+'NHL NTE240_1'!W22</f>
        <v>270.07705600000003</v>
      </c>
      <c r="Z19" s="456">
        <f>'NHL NTE240_1'!X21+'NHL NTE240_1'!X22</f>
        <v>212.39505599999995</v>
      </c>
    </row>
    <row r="20" spans="1:27" outlineLevel="1" x14ac:dyDescent="0.25">
      <c r="A20" s="39" t="str">
        <f t="shared" si="1"/>
        <v>NHL NTE 240</v>
      </c>
      <c r="B20" s="39"/>
      <c r="D20" s="80" t="s">
        <v>63</v>
      </c>
      <c r="E20" s="81"/>
      <c r="F20" s="82"/>
      <c r="G20" s="83" t="e">
        <f>G16/$F44</f>
        <v>#DIV/0!</v>
      </c>
      <c r="H20" s="83" t="e">
        <f t="shared" ref="H20:Z20" si="4">H16/$F44</f>
        <v>#DIV/0!</v>
      </c>
      <c r="I20" s="83" t="e">
        <f t="shared" si="4"/>
        <v>#DIV/0!</v>
      </c>
      <c r="J20" s="83" t="e">
        <f t="shared" si="4"/>
        <v>#DIV/0!</v>
      </c>
      <c r="K20" s="83" t="e">
        <f t="shared" si="4"/>
        <v>#DIV/0!</v>
      </c>
      <c r="L20" s="83" t="e">
        <f t="shared" si="4"/>
        <v>#DIV/0!</v>
      </c>
      <c r="M20" s="83" t="e">
        <f t="shared" si="4"/>
        <v>#DIV/0!</v>
      </c>
      <c r="N20" s="83" t="e">
        <f t="shared" si="4"/>
        <v>#DIV/0!</v>
      </c>
      <c r="O20" s="83" t="e">
        <f t="shared" si="4"/>
        <v>#DIV/0!</v>
      </c>
      <c r="P20" s="83" t="e">
        <f t="shared" si="4"/>
        <v>#DIV/0!</v>
      </c>
      <c r="Q20" s="83" t="e">
        <f t="shared" si="4"/>
        <v>#DIV/0!</v>
      </c>
      <c r="R20" s="83" t="e">
        <f t="shared" si="4"/>
        <v>#DIV/0!</v>
      </c>
      <c r="S20" s="83" t="e">
        <f t="shared" si="4"/>
        <v>#DIV/0!</v>
      </c>
      <c r="T20" s="83" t="e">
        <f t="shared" si="4"/>
        <v>#DIV/0!</v>
      </c>
      <c r="U20" s="83" t="e">
        <f t="shared" si="4"/>
        <v>#DIV/0!</v>
      </c>
      <c r="V20" s="83" t="e">
        <f t="shared" si="4"/>
        <v>#DIV/0!</v>
      </c>
      <c r="W20" s="83" t="e">
        <f t="shared" si="4"/>
        <v>#DIV/0!</v>
      </c>
      <c r="X20" s="83" t="e">
        <f t="shared" si="4"/>
        <v>#DIV/0!</v>
      </c>
      <c r="Y20" s="83" t="e">
        <f t="shared" si="4"/>
        <v>#DIV/0!</v>
      </c>
      <c r="Z20" s="83" t="e">
        <f t="shared" si="4"/>
        <v>#DIV/0!</v>
      </c>
      <c r="AA20" s="84" t="e">
        <f>SUM(F16:Z16)/$F44</f>
        <v>#DIV/0!</v>
      </c>
    </row>
    <row r="21" spans="1:27" outlineLevel="1" x14ac:dyDescent="0.25">
      <c r="A21" s="39" t="str">
        <f t="shared" si="1"/>
        <v>NHL NTE 240</v>
      </c>
      <c r="B21" s="39"/>
      <c r="D21" s="67" t="s">
        <v>39</v>
      </c>
      <c r="E21" s="68" t="str">
        <f>E15</f>
        <v>тыс. руб.</v>
      </c>
      <c r="F21" s="74"/>
      <c r="G21" s="85">
        <f>G23*G24</f>
        <v>23350.891901443927</v>
      </c>
      <c r="H21" s="85">
        <f t="shared" ref="H21:Z21" si="5">H23*H24</f>
        <v>23973.239770076794</v>
      </c>
      <c r="I21" s="85">
        <f t="shared" si="5"/>
        <v>25262.238639933428</v>
      </c>
      <c r="J21" s="85">
        <f t="shared" si="5"/>
        <v>24670.588938151588</v>
      </c>
      <c r="K21" s="85">
        <f t="shared" si="5"/>
        <v>26772.537404890878</v>
      </c>
      <c r="L21" s="85">
        <f t="shared" si="5"/>
        <v>27141.336738406553</v>
      </c>
      <c r="M21" s="85">
        <f t="shared" si="5"/>
        <v>26163.630897392395</v>
      </c>
      <c r="N21" s="85">
        <f t="shared" si="5"/>
        <v>25757.887352148769</v>
      </c>
      <c r="O21" s="85">
        <f t="shared" si="5"/>
        <v>27035.926439640709</v>
      </c>
      <c r="P21" s="85">
        <f t="shared" si="5"/>
        <v>26774.375037290189</v>
      </c>
      <c r="Q21" s="85">
        <f t="shared" si="5"/>
        <v>26160.237747201787</v>
      </c>
      <c r="R21" s="85">
        <f t="shared" si="5"/>
        <v>27304.146162699904</v>
      </c>
      <c r="S21" s="85">
        <f t="shared" si="5"/>
        <v>28014.605105325394</v>
      </c>
      <c r="T21" s="85">
        <f t="shared" si="5"/>
        <v>28194.551626784145</v>
      </c>
      <c r="U21" s="85">
        <f t="shared" si="5"/>
        <v>27117.326938520349</v>
      </c>
      <c r="V21" s="85">
        <f t="shared" si="5"/>
        <v>27537.594428331719</v>
      </c>
      <c r="W21" s="85">
        <f t="shared" si="5"/>
        <v>25645.393969817691</v>
      </c>
      <c r="X21" s="85">
        <f t="shared" si="5"/>
        <v>25726.99009171965</v>
      </c>
      <c r="Y21" s="85">
        <f t="shared" si="5"/>
        <v>28176.106059355105</v>
      </c>
      <c r="Z21" s="85">
        <f t="shared" si="5"/>
        <v>28511.949052964963</v>
      </c>
    </row>
    <row r="22" spans="1:27" outlineLevel="1" x14ac:dyDescent="0.25">
      <c r="A22" s="39" t="str">
        <f t="shared" si="1"/>
        <v>NHL NTE 240</v>
      </c>
      <c r="B22" s="39"/>
      <c r="D22" s="31" t="s">
        <v>64</v>
      </c>
      <c r="E22" s="9" t="s">
        <v>65</v>
      </c>
      <c r="F22" s="86">
        <f>SUMIFS('ФОТ, МТР, макро'!$Z$4:$Z$20,'ФОТ, МТР, макро'!$W$4:$W$20,$A22)</f>
        <v>7.4999999999999997E-2</v>
      </c>
      <c r="G22" s="87">
        <f>F22</f>
        <v>7.4999999999999997E-2</v>
      </c>
      <c r="H22" s="87">
        <f t="shared" ref="H22:Z22" si="6">G22</f>
        <v>7.4999999999999997E-2</v>
      </c>
      <c r="I22" s="87">
        <f t="shared" si="6"/>
        <v>7.4999999999999997E-2</v>
      </c>
      <c r="J22" s="87">
        <f t="shared" si="6"/>
        <v>7.4999999999999997E-2</v>
      </c>
      <c r="K22" s="87">
        <f t="shared" si="6"/>
        <v>7.4999999999999997E-2</v>
      </c>
      <c r="L22" s="87">
        <f t="shared" si="6"/>
        <v>7.4999999999999997E-2</v>
      </c>
      <c r="M22" s="87">
        <f t="shared" si="6"/>
        <v>7.4999999999999997E-2</v>
      </c>
      <c r="N22" s="87">
        <f t="shared" si="6"/>
        <v>7.4999999999999997E-2</v>
      </c>
      <c r="O22" s="87">
        <f t="shared" si="6"/>
        <v>7.4999999999999997E-2</v>
      </c>
      <c r="P22" s="87">
        <f t="shared" si="6"/>
        <v>7.4999999999999997E-2</v>
      </c>
      <c r="Q22" s="87">
        <f t="shared" si="6"/>
        <v>7.4999999999999997E-2</v>
      </c>
      <c r="R22" s="87">
        <f t="shared" si="6"/>
        <v>7.4999999999999997E-2</v>
      </c>
      <c r="S22" s="87">
        <f t="shared" si="6"/>
        <v>7.4999999999999997E-2</v>
      </c>
      <c r="T22" s="87">
        <f t="shared" si="6"/>
        <v>7.4999999999999997E-2</v>
      </c>
      <c r="U22" s="87">
        <f t="shared" si="6"/>
        <v>7.4999999999999997E-2</v>
      </c>
      <c r="V22" s="87">
        <f t="shared" si="6"/>
        <v>7.4999999999999997E-2</v>
      </c>
      <c r="W22" s="87">
        <f t="shared" si="6"/>
        <v>7.4999999999999997E-2</v>
      </c>
      <c r="X22" s="87">
        <f t="shared" si="6"/>
        <v>7.4999999999999997E-2</v>
      </c>
      <c r="Y22" s="87">
        <f t="shared" si="6"/>
        <v>7.4999999999999997E-2</v>
      </c>
      <c r="Z22" s="87">
        <f t="shared" si="6"/>
        <v>7.4999999999999997E-2</v>
      </c>
    </row>
    <row r="23" spans="1:27" outlineLevel="1" x14ac:dyDescent="0.25">
      <c r="A23" s="39" t="str">
        <f t="shared" si="1"/>
        <v>NHL NTE 240</v>
      </c>
      <c r="B23" s="39"/>
      <c r="D23" s="31" t="s">
        <v>66</v>
      </c>
      <c r="E23" s="9" t="s">
        <v>67</v>
      </c>
      <c r="F23" s="74"/>
      <c r="G23" s="78">
        <f>G13*G22</f>
        <v>7.8217445990644716</v>
      </c>
      <c r="H23" s="78">
        <f t="shared" ref="H23:Y23" si="7">H13*H22</f>
        <v>8.0302097018435834</v>
      </c>
      <c r="I23" s="78">
        <f t="shared" si="7"/>
        <v>8.4619799310517401</v>
      </c>
      <c r="J23" s="78">
        <f t="shared" si="7"/>
        <v>8.2637976569449396</v>
      </c>
      <c r="K23" s="78">
        <f t="shared" si="7"/>
        <v>8.9678780037094779</v>
      </c>
      <c r="L23" s="78">
        <f t="shared" si="7"/>
        <v>9.0914130792534849</v>
      </c>
      <c r="M23" s="78">
        <f t="shared" si="7"/>
        <v>8.7639152939995775</v>
      </c>
      <c r="N23" s="78">
        <f t="shared" si="7"/>
        <v>8.6280051798587838</v>
      </c>
      <c r="O23" s="78">
        <f t="shared" si="7"/>
        <v>9.0561042594217884</v>
      </c>
      <c r="P23" s="78">
        <f t="shared" si="7"/>
        <v>8.968493547276509</v>
      </c>
      <c r="Q23" s="78">
        <f t="shared" si="7"/>
        <v>8.7627787055433757</v>
      </c>
      <c r="R23" s="78">
        <f t="shared" si="7"/>
        <v>9.1459486293523042</v>
      </c>
      <c r="S23" s="78">
        <f t="shared" si="7"/>
        <v>9.3839279074369397</v>
      </c>
      <c r="T23" s="78">
        <f t="shared" si="7"/>
        <v>9.44420379489687</v>
      </c>
      <c r="U23" s="78">
        <f t="shared" si="7"/>
        <v>9.0833706231718434</v>
      </c>
      <c r="V23" s="78">
        <f t="shared" si="7"/>
        <v>9.2241457585486284</v>
      </c>
      <c r="W23" s="78">
        <f t="shared" si="7"/>
        <v>8.5903237709690359</v>
      </c>
      <c r="X23" s="78">
        <f t="shared" si="7"/>
        <v>8.6176556616944513</v>
      </c>
      <c r="Y23" s="78">
        <f t="shared" si="7"/>
        <v>9.4380251650602141</v>
      </c>
      <c r="Z23" s="78">
        <f>Z13*Z22</f>
        <v>9.550521001728411</v>
      </c>
      <c r="AA23" s="88">
        <f>SUM(F13:Z13)*F22-SUM(F23:Z23)</f>
        <v>0</v>
      </c>
    </row>
    <row r="24" spans="1:27" outlineLevel="1" x14ac:dyDescent="0.25">
      <c r="A24" s="39" t="str">
        <f t="shared" si="1"/>
        <v>NHL NTE 240</v>
      </c>
      <c r="B24" s="39"/>
      <c r="D24" s="31" t="s">
        <v>68</v>
      </c>
      <c r="E24" s="9" t="s">
        <v>69</v>
      </c>
      <c r="F24" s="78">
        <f>SUMIFS('ФОТ, МТР, макро'!$AA$4:$AA$20,'ФОТ, МТР, макро'!$W$4:$W$20,$A24)</f>
        <v>2985.3815355000002</v>
      </c>
      <c r="G24" s="89">
        <f>F24</f>
        <v>2985.3815355000002</v>
      </c>
      <c r="H24" s="89">
        <f t="shared" ref="H24:Z24" si="8">G24</f>
        <v>2985.3815355000002</v>
      </c>
      <c r="I24" s="89">
        <f t="shared" si="8"/>
        <v>2985.3815355000002</v>
      </c>
      <c r="J24" s="89">
        <f t="shared" si="8"/>
        <v>2985.3815355000002</v>
      </c>
      <c r="K24" s="89">
        <f t="shared" si="8"/>
        <v>2985.3815355000002</v>
      </c>
      <c r="L24" s="89">
        <f t="shared" si="8"/>
        <v>2985.3815355000002</v>
      </c>
      <c r="M24" s="89">
        <f t="shared" si="8"/>
        <v>2985.3815355000002</v>
      </c>
      <c r="N24" s="89">
        <f t="shared" si="8"/>
        <v>2985.3815355000002</v>
      </c>
      <c r="O24" s="89">
        <f t="shared" si="8"/>
        <v>2985.3815355000002</v>
      </c>
      <c r="P24" s="89">
        <f t="shared" si="8"/>
        <v>2985.3815355000002</v>
      </c>
      <c r="Q24" s="89">
        <f t="shared" si="8"/>
        <v>2985.3815355000002</v>
      </c>
      <c r="R24" s="89">
        <f t="shared" si="8"/>
        <v>2985.3815355000002</v>
      </c>
      <c r="S24" s="89">
        <f t="shared" si="8"/>
        <v>2985.3815355000002</v>
      </c>
      <c r="T24" s="89">
        <f t="shared" si="8"/>
        <v>2985.3815355000002</v>
      </c>
      <c r="U24" s="89">
        <f t="shared" si="8"/>
        <v>2985.3815355000002</v>
      </c>
      <c r="V24" s="89">
        <f t="shared" si="8"/>
        <v>2985.3815355000002</v>
      </c>
      <c r="W24" s="89">
        <f t="shared" si="8"/>
        <v>2985.3815355000002</v>
      </c>
      <c r="X24" s="89">
        <f t="shared" si="8"/>
        <v>2985.3815355000002</v>
      </c>
      <c r="Y24" s="89">
        <f t="shared" si="8"/>
        <v>2985.3815355000002</v>
      </c>
      <c r="Z24" s="89">
        <f t="shared" si="8"/>
        <v>2985.3815355000002</v>
      </c>
    </row>
    <row r="25" spans="1:27" outlineLevel="1" x14ac:dyDescent="0.25">
      <c r="A25" s="39" t="str">
        <f t="shared" si="1"/>
        <v>NHL NTE 240</v>
      </c>
      <c r="B25" s="39"/>
      <c r="D25" s="67" t="s">
        <v>70</v>
      </c>
      <c r="E25" s="68" t="str">
        <f>E15</f>
        <v>тыс. руб.</v>
      </c>
      <c r="F25" s="89"/>
      <c r="G25" s="85">
        <f>G28*G29</f>
        <v>69429.77694908902</v>
      </c>
      <c r="H25" s="85">
        <f t="shared" ref="H25:Z25" si="9">H28*H29</f>
        <v>71280.219060092466</v>
      </c>
      <c r="I25" s="85">
        <f t="shared" si="9"/>
        <v>75112.830867791345</v>
      </c>
      <c r="J25" s="85">
        <f t="shared" si="9"/>
        <v>73353.664365711476</v>
      </c>
      <c r="K25" s="85">
        <f t="shared" si="9"/>
        <v>79603.439056123389</v>
      </c>
      <c r="L25" s="85">
        <f t="shared" si="9"/>
        <v>80699.999117856307</v>
      </c>
      <c r="M25" s="85">
        <f t="shared" si="9"/>
        <v>77792.962472320811</v>
      </c>
      <c r="N25" s="85">
        <f t="shared" si="9"/>
        <v>76586.55528394891</v>
      </c>
      <c r="O25" s="85">
        <f t="shared" si="9"/>
        <v>80386.580103184897</v>
      </c>
      <c r="P25" s="85">
        <f t="shared" si="9"/>
        <v>79608.902933397825</v>
      </c>
      <c r="Q25" s="85">
        <f t="shared" si="9"/>
        <v>77782.873536023122</v>
      </c>
      <c r="R25" s="85">
        <f t="shared" si="9"/>
        <v>81184.084353726808</v>
      </c>
      <c r="S25" s="85">
        <f t="shared" si="9"/>
        <v>83296.509272062496</v>
      </c>
      <c r="T25" s="85">
        <f t="shared" si="9"/>
        <v>83831.548657297841</v>
      </c>
      <c r="U25" s="85">
        <f t="shared" si="9"/>
        <v>80628.610193710381</v>
      </c>
      <c r="V25" s="85">
        <f t="shared" si="9"/>
        <v>81878.201781034411</v>
      </c>
      <c r="W25" s="85">
        <f t="shared" si="9"/>
        <v>76252.075963995725</v>
      </c>
      <c r="X25" s="85">
        <f t="shared" si="9"/>
        <v>76494.687705229197</v>
      </c>
      <c r="Y25" s="85">
        <f t="shared" si="9"/>
        <v>83776.70400135481</v>
      </c>
      <c r="Z25" s="85">
        <f t="shared" si="9"/>
        <v>84775.274173092213</v>
      </c>
    </row>
    <row r="26" spans="1:27" outlineLevel="1" x14ac:dyDescent="0.25">
      <c r="A26" s="39" t="str">
        <f t="shared" si="1"/>
        <v>NHL NTE 240</v>
      </c>
      <c r="B26" s="39"/>
      <c r="D26" s="31" t="s">
        <v>64</v>
      </c>
      <c r="E26" s="77" t="str">
        <f>VLOOKUP($A26,'ФОТ, МТР, макро'!$N$4:$Q$20,4,FALSE)</f>
        <v>г/ткм</v>
      </c>
      <c r="F26" s="90">
        <f>IF($E26="г/ткм",SUMIFS('ФОТ, МТР, макро'!$O$4:$O$20,'ФОТ, МТР, макро'!$N$4:$N$20,$A26),SUMIFS('ФОТ, МТР, макро'!$P$4:$P$20,'ФОТ, МТР, макро'!$N$4:$N$20,$A26))</f>
        <v>90</v>
      </c>
      <c r="G26" s="91">
        <f>F26</f>
        <v>90</v>
      </c>
      <c r="H26" s="91">
        <f t="shared" ref="H26:Z26" si="10">G26</f>
        <v>90</v>
      </c>
      <c r="I26" s="91">
        <f t="shared" si="10"/>
        <v>90</v>
      </c>
      <c r="J26" s="91">
        <f t="shared" si="10"/>
        <v>90</v>
      </c>
      <c r="K26" s="91">
        <f t="shared" si="10"/>
        <v>90</v>
      </c>
      <c r="L26" s="91">
        <f t="shared" si="10"/>
        <v>90</v>
      </c>
      <c r="M26" s="91">
        <f t="shared" si="10"/>
        <v>90</v>
      </c>
      <c r="N26" s="91">
        <f t="shared" si="10"/>
        <v>90</v>
      </c>
      <c r="O26" s="91">
        <f t="shared" si="10"/>
        <v>90</v>
      </c>
      <c r="P26" s="91">
        <f t="shared" si="10"/>
        <v>90</v>
      </c>
      <c r="Q26" s="91">
        <f t="shared" si="10"/>
        <v>90</v>
      </c>
      <c r="R26" s="91">
        <f t="shared" si="10"/>
        <v>90</v>
      </c>
      <c r="S26" s="91">
        <f t="shared" si="10"/>
        <v>90</v>
      </c>
      <c r="T26" s="91">
        <f t="shared" si="10"/>
        <v>90</v>
      </c>
      <c r="U26" s="91">
        <f t="shared" si="10"/>
        <v>90</v>
      </c>
      <c r="V26" s="91">
        <f t="shared" si="10"/>
        <v>90</v>
      </c>
      <c r="W26" s="91">
        <f t="shared" si="10"/>
        <v>90</v>
      </c>
      <c r="X26" s="91">
        <f t="shared" si="10"/>
        <v>90</v>
      </c>
      <c r="Y26" s="91">
        <f t="shared" si="10"/>
        <v>90</v>
      </c>
      <c r="Z26" s="91">
        <f t="shared" si="10"/>
        <v>90</v>
      </c>
      <c r="AA26" s="92"/>
    </row>
    <row r="27" spans="1:27" outlineLevel="1" x14ac:dyDescent="0.25">
      <c r="A27" s="39" t="str">
        <f t="shared" si="1"/>
        <v>NHL NTE 240</v>
      </c>
      <c r="B27" s="39"/>
      <c r="D27" s="93" t="s">
        <v>71</v>
      </c>
      <c r="E27" s="94" t="str">
        <f>IF(E26='ФОТ, МТР, макро'!$O$4,'ФОТ, МТР, макро'!$P$4,'ФОТ, МТР, макро'!$O$4)</f>
        <v>л/час</v>
      </c>
      <c r="F27" s="95"/>
      <c r="G27" s="96">
        <f>IF($E26="г/ткм",G28*1000/(365*24*G9),G28/G11*1000)</f>
        <v>149.27598280152583</v>
      </c>
      <c r="H27" s="96">
        <f t="shared" ref="H27:Z27" si="11">IF($E26="г/ткм",H28*1000/(365*24*H9),H28/H11*1000)</f>
        <v>154.43547627639742</v>
      </c>
      <c r="I27" s="96">
        <f t="shared" si="11"/>
        <v>163.1152666815189</v>
      </c>
      <c r="J27" s="96">
        <f t="shared" si="11"/>
        <v>161.48645781561225</v>
      </c>
      <c r="K27" s="96">
        <f t="shared" si="11"/>
        <v>170.56482154465581</v>
      </c>
      <c r="L27" s="96">
        <f t="shared" si="11"/>
        <v>175.09222779008374</v>
      </c>
      <c r="M27" s="96">
        <f t="shared" si="11"/>
        <v>167.05503221901526</v>
      </c>
      <c r="N27" s="96">
        <f t="shared" si="11"/>
        <v>168.09837558947657</v>
      </c>
      <c r="O27" s="96">
        <f t="shared" si="11"/>
        <v>175.29873270457776</v>
      </c>
      <c r="P27" s="96">
        <f t="shared" si="11"/>
        <v>170.77960595711855</v>
      </c>
      <c r="Q27" s="96">
        <f t="shared" si="11"/>
        <v>170.07365538284944</v>
      </c>
      <c r="R27" s="96">
        <f t="shared" si="11"/>
        <v>177.76932022897032</v>
      </c>
      <c r="S27" s="96">
        <f t="shared" si="11"/>
        <v>178.39304288783683</v>
      </c>
      <c r="T27" s="96">
        <f t="shared" si="11"/>
        <v>179.75256222987173</v>
      </c>
      <c r="U27" s="96">
        <f t="shared" si="11"/>
        <v>179.4622518515138</v>
      </c>
      <c r="V27" s="96">
        <f t="shared" si="11"/>
        <v>176.91149390653479</v>
      </c>
      <c r="W27" s="96">
        <f t="shared" si="11"/>
        <v>163.22863916277149</v>
      </c>
      <c r="X27" s="96">
        <f t="shared" si="11"/>
        <v>169.09135119226048</v>
      </c>
      <c r="Y27" s="96">
        <f t="shared" si="11"/>
        <v>179.29359821471127</v>
      </c>
      <c r="Z27" s="96">
        <f t="shared" si="11"/>
        <v>183.87665751817727</v>
      </c>
      <c r="AA27" s="92"/>
    </row>
    <row r="28" spans="1:27" outlineLevel="1" x14ac:dyDescent="0.25">
      <c r="A28" s="39" t="str">
        <f t="shared" si="1"/>
        <v>NHL NTE 240</v>
      </c>
      <c r="B28" s="39"/>
      <c r="D28" s="31" t="s">
        <v>66</v>
      </c>
      <c r="E28" s="9" t="s">
        <v>11</v>
      </c>
      <c r="F28" s="89"/>
      <c r="G28" s="78">
        <f>IF($E26="г/ткм",G11*G26/1000,365*24*G9*G26*0.85/1000)</f>
        <v>1051.6648483226145</v>
      </c>
      <c r="H28" s="78">
        <f t="shared" ref="H28:Z28" si="12">IF($E26="г/ткм",H11*H26/1000,365*24*H9*H26*0.85/1000)</f>
        <v>1079.6938152516773</v>
      </c>
      <c r="I28" s="78">
        <f t="shared" si="12"/>
        <v>1137.7470496496308</v>
      </c>
      <c r="J28" s="78">
        <f t="shared" si="12"/>
        <v>1111.1006501668751</v>
      </c>
      <c r="K28" s="78">
        <f t="shared" si="12"/>
        <v>1205.7670691107544</v>
      </c>
      <c r="L28" s="78">
        <f t="shared" si="12"/>
        <v>1222.3768541579484</v>
      </c>
      <c r="M28" s="78">
        <f t="shared" si="12"/>
        <v>1178.3434669394189</v>
      </c>
      <c r="N28" s="78">
        <f t="shared" si="12"/>
        <v>1160.0698084527328</v>
      </c>
      <c r="O28" s="78">
        <f t="shared" si="12"/>
        <v>1217.6294420962975</v>
      </c>
      <c r="P28" s="78">
        <f t="shared" si="12"/>
        <v>1205.8498314055157</v>
      </c>
      <c r="Q28" s="78">
        <f t="shared" si="12"/>
        <v>1178.1906480751293</v>
      </c>
      <c r="R28" s="78">
        <f t="shared" si="12"/>
        <v>1229.7093770109352</v>
      </c>
      <c r="S28" s="78">
        <f t="shared" si="12"/>
        <v>1261.7066428665264</v>
      </c>
      <c r="T28" s="78">
        <f t="shared" si="12"/>
        <v>1269.810977039064</v>
      </c>
      <c r="U28" s="78">
        <f t="shared" si="12"/>
        <v>1221.2955137679469</v>
      </c>
      <c r="V28" s="78">
        <f t="shared" si="12"/>
        <v>1240.2232938198974</v>
      </c>
      <c r="W28" s="78">
        <f t="shared" si="12"/>
        <v>1155.0033923018707</v>
      </c>
      <c r="X28" s="78">
        <f t="shared" si="12"/>
        <v>1158.6782743374658</v>
      </c>
      <c r="Y28" s="78">
        <f t="shared" si="12"/>
        <v>1268.9802355430063</v>
      </c>
      <c r="Z28" s="78">
        <f t="shared" si="12"/>
        <v>1284.1057507663918</v>
      </c>
      <c r="AA28" s="92"/>
    </row>
    <row r="29" spans="1:27" outlineLevel="1" x14ac:dyDescent="0.25">
      <c r="A29" s="39" t="str">
        <f t="shared" si="1"/>
        <v>NHL NTE 240</v>
      </c>
      <c r="B29" s="39"/>
      <c r="D29" s="31" t="s">
        <v>68</v>
      </c>
      <c r="E29" s="9" t="s">
        <v>72</v>
      </c>
      <c r="F29" s="78">
        <f>'ФОТ, МТР, макро'!$G$2</f>
        <v>66.018919487352079</v>
      </c>
      <c r="G29" s="89">
        <f>F29</f>
        <v>66.018919487352079</v>
      </c>
      <c r="H29" s="89">
        <f t="shared" ref="H29:Z29" si="13">G29</f>
        <v>66.018919487352079</v>
      </c>
      <c r="I29" s="89">
        <f t="shared" si="13"/>
        <v>66.018919487352079</v>
      </c>
      <c r="J29" s="89">
        <f t="shared" si="13"/>
        <v>66.018919487352079</v>
      </c>
      <c r="K29" s="89">
        <f t="shared" si="13"/>
        <v>66.018919487352079</v>
      </c>
      <c r="L29" s="89">
        <f t="shared" si="13"/>
        <v>66.018919487352079</v>
      </c>
      <c r="M29" s="89">
        <f t="shared" si="13"/>
        <v>66.018919487352079</v>
      </c>
      <c r="N29" s="89">
        <f t="shared" si="13"/>
        <v>66.018919487352079</v>
      </c>
      <c r="O29" s="89">
        <f t="shared" si="13"/>
        <v>66.018919487352079</v>
      </c>
      <c r="P29" s="89">
        <f t="shared" si="13"/>
        <v>66.018919487352079</v>
      </c>
      <c r="Q29" s="89">
        <f t="shared" si="13"/>
        <v>66.018919487352079</v>
      </c>
      <c r="R29" s="89">
        <f t="shared" si="13"/>
        <v>66.018919487352079</v>
      </c>
      <c r="S29" s="89">
        <f t="shared" si="13"/>
        <v>66.018919487352079</v>
      </c>
      <c r="T29" s="89">
        <f t="shared" si="13"/>
        <v>66.018919487352079</v>
      </c>
      <c r="U29" s="89">
        <f t="shared" si="13"/>
        <v>66.018919487352079</v>
      </c>
      <c r="V29" s="89">
        <f t="shared" si="13"/>
        <v>66.018919487352079</v>
      </c>
      <c r="W29" s="89">
        <f t="shared" si="13"/>
        <v>66.018919487352079</v>
      </c>
      <c r="X29" s="89">
        <f t="shared" si="13"/>
        <v>66.018919487352079</v>
      </c>
      <c r="Y29" s="89">
        <f t="shared" si="13"/>
        <v>66.018919487352079</v>
      </c>
      <c r="Z29" s="89">
        <f t="shared" si="13"/>
        <v>66.018919487352079</v>
      </c>
    </row>
    <row r="30" spans="1:27" outlineLevel="1" x14ac:dyDescent="0.25">
      <c r="A30" s="39" t="str">
        <f t="shared" si="1"/>
        <v>NHL NTE 240</v>
      </c>
      <c r="B30" s="39"/>
      <c r="C30" s="619" t="str">
        <f>C16</f>
        <v>ТО, ТР, ППР</v>
      </c>
      <c r="D30" s="218" t="s">
        <v>73</v>
      </c>
      <c r="E30" s="68" t="str">
        <f>E15</f>
        <v>тыс. руб.</v>
      </c>
      <c r="F30" s="30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7" outlineLevel="1" x14ac:dyDescent="0.25">
      <c r="A31" s="39" t="str">
        <f t="shared" si="1"/>
        <v>NHL NTE 240</v>
      </c>
      <c r="B31" s="39"/>
      <c r="D31" s="67"/>
      <c r="E31" s="68"/>
      <c r="F31" s="30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7" outlineLevel="1" x14ac:dyDescent="0.25">
      <c r="A32" s="39" t="str">
        <f t="shared" si="1"/>
        <v>NHL NTE 240</v>
      </c>
      <c r="B32" s="39"/>
      <c r="D32" s="67" t="s">
        <v>74</v>
      </c>
      <c r="E32" s="68" t="str">
        <f>E15</f>
        <v>тыс. руб.</v>
      </c>
      <c r="F32" s="74"/>
      <c r="G32" s="85">
        <f>G33+G34+G35</f>
        <v>18475.596240662097</v>
      </c>
      <c r="H32" s="85">
        <f t="shared" ref="H32:Z32" si="14">H33+H34+H35</f>
        <v>18475.596240662097</v>
      </c>
      <c r="I32" s="85">
        <f t="shared" si="14"/>
        <v>18475.596240662097</v>
      </c>
      <c r="J32" s="85">
        <f t="shared" si="14"/>
        <v>18475.596240662097</v>
      </c>
      <c r="K32" s="85">
        <f t="shared" si="14"/>
        <v>18475.596240662097</v>
      </c>
      <c r="L32" s="85">
        <f t="shared" si="14"/>
        <v>18475.596240662097</v>
      </c>
      <c r="M32" s="85">
        <f t="shared" si="14"/>
        <v>18475.596240662097</v>
      </c>
      <c r="N32" s="85">
        <f t="shared" si="14"/>
        <v>18475.596240662097</v>
      </c>
      <c r="O32" s="85">
        <f t="shared" si="14"/>
        <v>18475.596240662097</v>
      </c>
      <c r="P32" s="85">
        <f t="shared" si="14"/>
        <v>18475.596240662097</v>
      </c>
      <c r="Q32" s="85">
        <f t="shared" si="14"/>
        <v>18475.596240662097</v>
      </c>
      <c r="R32" s="85">
        <f t="shared" si="14"/>
        <v>18475.596240662097</v>
      </c>
      <c r="S32" s="85">
        <f t="shared" si="14"/>
        <v>18475.596240662097</v>
      </c>
      <c r="T32" s="85">
        <f t="shared" si="14"/>
        <v>18475.596240662097</v>
      </c>
      <c r="U32" s="85">
        <f t="shared" si="14"/>
        <v>18475.596240662097</v>
      </c>
      <c r="V32" s="85">
        <f t="shared" si="14"/>
        <v>18475.596240662097</v>
      </c>
      <c r="W32" s="85">
        <f t="shared" si="14"/>
        <v>18475.596240662097</v>
      </c>
      <c r="X32" s="85">
        <f t="shared" si="14"/>
        <v>18475.596240662097</v>
      </c>
      <c r="Y32" s="85">
        <f t="shared" si="14"/>
        <v>18475.596240662097</v>
      </c>
      <c r="Z32" s="85">
        <f t="shared" si="14"/>
        <v>18475.596240662097</v>
      </c>
    </row>
    <row r="33" spans="1:28" outlineLevel="1" x14ac:dyDescent="0.25">
      <c r="A33" s="39" t="str">
        <f t="shared" si="1"/>
        <v>NHL NTE 240</v>
      </c>
      <c r="B33" s="39"/>
      <c r="D33" s="31" t="s">
        <v>257</v>
      </c>
      <c r="E33" s="9" t="str">
        <f>E32</f>
        <v>тыс. руб.</v>
      </c>
      <c r="F33" s="78">
        <f>'ФОТ, МТР, макро'!$B$4*'ФОТ, МТР, макро'!$B$7</f>
        <v>11107.5</v>
      </c>
      <c r="G33" s="89">
        <f>IF(G10=0,0,$F33)</f>
        <v>11107.5</v>
      </c>
      <c r="H33" s="89">
        <f t="shared" ref="H33:Z33" si="15">IF(H10=0,0,$F33)</f>
        <v>11107.5</v>
      </c>
      <c r="I33" s="89">
        <f t="shared" si="15"/>
        <v>11107.5</v>
      </c>
      <c r="J33" s="89">
        <f t="shared" si="15"/>
        <v>11107.5</v>
      </c>
      <c r="K33" s="89">
        <f t="shared" si="15"/>
        <v>11107.5</v>
      </c>
      <c r="L33" s="89">
        <f t="shared" si="15"/>
        <v>11107.5</v>
      </c>
      <c r="M33" s="89">
        <f t="shared" si="15"/>
        <v>11107.5</v>
      </c>
      <c r="N33" s="89">
        <f t="shared" si="15"/>
        <v>11107.5</v>
      </c>
      <c r="O33" s="89">
        <f t="shared" si="15"/>
        <v>11107.5</v>
      </c>
      <c r="P33" s="89">
        <f t="shared" si="15"/>
        <v>11107.5</v>
      </c>
      <c r="Q33" s="89">
        <f t="shared" si="15"/>
        <v>11107.5</v>
      </c>
      <c r="R33" s="89">
        <f t="shared" si="15"/>
        <v>11107.5</v>
      </c>
      <c r="S33" s="89">
        <f t="shared" si="15"/>
        <v>11107.5</v>
      </c>
      <c r="T33" s="89">
        <f t="shared" si="15"/>
        <v>11107.5</v>
      </c>
      <c r="U33" s="89">
        <f t="shared" si="15"/>
        <v>11107.5</v>
      </c>
      <c r="V33" s="89">
        <f t="shared" si="15"/>
        <v>11107.5</v>
      </c>
      <c r="W33" s="89">
        <f t="shared" si="15"/>
        <v>11107.5</v>
      </c>
      <c r="X33" s="89">
        <f t="shared" si="15"/>
        <v>11107.5</v>
      </c>
      <c r="Y33" s="89">
        <f t="shared" si="15"/>
        <v>11107.5</v>
      </c>
      <c r="Z33" s="89">
        <f t="shared" si="15"/>
        <v>11107.5</v>
      </c>
    </row>
    <row r="34" spans="1:28" outlineLevel="1" x14ac:dyDescent="0.25">
      <c r="A34" s="39" t="str">
        <f t="shared" si="1"/>
        <v>NHL NTE 240</v>
      </c>
      <c r="B34" s="39"/>
      <c r="D34" s="31" t="s">
        <v>75</v>
      </c>
      <c r="E34" s="9" t="str">
        <f>E32</f>
        <v>тыс. руб.</v>
      </c>
      <c r="F34" s="97">
        <f>'ФОТ, МТР, макро'!$B$5</f>
        <v>0.377</v>
      </c>
      <c r="G34" s="89">
        <f>G33*$F34</f>
        <v>4187.5275000000001</v>
      </c>
      <c r="H34" s="89">
        <f t="shared" ref="H34:Z34" si="16">H33*$F34</f>
        <v>4187.5275000000001</v>
      </c>
      <c r="I34" s="89">
        <f t="shared" si="16"/>
        <v>4187.5275000000001</v>
      </c>
      <c r="J34" s="89">
        <f t="shared" si="16"/>
        <v>4187.5275000000001</v>
      </c>
      <c r="K34" s="89">
        <f t="shared" si="16"/>
        <v>4187.5275000000001</v>
      </c>
      <c r="L34" s="89">
        <f t="shared" si="16"/>
        <v>4187.5275000000001</v>
      </c>
      <c r="M34" s="89">
        <f t="shared" si="16"/>
        <v>4187.5275000000001</v>
      </c>
      <c r="N34" s="89">
        <f t="shared" si="16"/>
        <v>4187.5275000000001</v>
      </c>
      <c r="O34" s="89">
        <f t="shared" si="16"/>
        <v>4187.5275000000001</v>
      </c>
      <c r="P34" s="89">
        <f t="shared" si="16"/>
        <v>4187.5275000000001</v>
      </c>
      <c r="Q34" s="89">
        <f t="shared" si="16"/>
        <v>4187.5275000000001</v>
      </c>
      <c r="R34" s="89">
        <f t="shared" si="16"/>
        <v>4187.5275000000001</v>
      </c>
      <c r="S34" s="89">
        <f t="shared" si="16"/>
        <v>4187.5275000000001</v>
      </c>
      <c r="T34" s="89">
        <f t="shared" si="16"/>
        <v>4187.5275000000001</v>
      </c>
      <c r="U34" s="89">
        <f t="shared" si="16"/>
        <v>4187.5275000000001</v>
      </c>
      <c r="V34" s="89">
        <f t="shared" si="16"/>
        <v>4187.5275000000001</v>
      </c>
      <c r="W34" s="89">
        <f t="shared" si="16"/>
        <v>4187.5275000000001</v>
      </c>
      <c r="X34" s="89">
        <f t="shared" si="16"/>
        <v>4187.5275000000001</v>
      </c>
      <c r="Y34" s="89">
        <f t="shared" si="16"/>
        <v>4187.5275000000001</v>
      </c>
      <c r="Z34" s="89">
        <f t="shared" si="16"/>
        <v>4187.5275000000001</v>
      </c>
    </row>
    <row r="35" spans="1:28" outlineLevel="1" x14ac:dyDescent="0.25">
      <c r="A35" s="39" t="str">
        <f t="shared" si="1"/>
        <v>NHL NTE 240</v>
      </c>
      <c r="B35" s="39"/>
      <c r="D35" s="31" t="s">
        <v>76</v>
      </c>
      <c r="E35" s="9"/>
      <c r="F35" s="78">
        <f>'ФОТ, МТР, макро'!$C$13*'ФОТ, МТР, макро'!$B$7</f>
        <v>3180.5687406620973</v>
      </c>
      <c r="G35" s="89">
        <f>IF(G10=0,0,$F35)</f>
        <v>3180.5687406620973</v>
      </c>
      <c r="H35" s="89">
        <f t="shared" ref="H35:Z35" si="17">IF(H10=0,0,$F35)</f>
        <v>3180.5687406620973</v>
      </c>
      <c r="I35" s="89">
        <f t="shared" si="17"/>
        <v>3180.5687406620973</v>
      </c>
      <c r="J35" s="89">
        <f t="shared" si="17"/>
        <v>3180.5687406620973</v>
      </c>
      <c r="K35" s="89">
        <f t="shared" si="17"/>
        <v>3180.5687406620973</v>
      </c>
      <c r="L35" s="89">
        <f t="shared" si="17"/>
        <v>3180.5687406620973</v>
      </c>
      <c r="M35" s="89">
        <f t="shared" si="17"/>
        <v>3180.5687406620973</v>
      </c>
      <c r="N35" s="89">
        <f t="shared" si="17"/>
        <v>3180.5687406620973</v>
      </c>
      <c r="O35" s="89">
        <f t="shared" si="17"/>
        <v>3180.5687406620973</v>
      </c>
      <c r="P35" s="89">
        <f t="shared" si="17"/>
        <v>3180.5687406620973</v>
      </c>
      <c r="Q35" s="89">
        <f t="shared" si="17"/>
        <v>3180.5687406620973</v>
      </c>
      <c r="R35" s="89">
        <f t="shared" si="17"/>
        <v>3180.5687406620973</v>
      </c>
      <c r="S35" s="89">
        <f t="shared" si="17"/>
        <v>3180.5687406620973</v>
      </c>
      <c r="T35" s="89">
        <f t="shared" si="17"/>
        <v>3180.5687406620973</v>
      </c>
      <c r="U35" s="89">
        <f t="shared" si="17"/>
        <v>3180.5687406620973</v>
      </c>
      <c r="V35" s="89">
        <f t="shared" si="17"/>
        <v>3180.5687406620973</v>
      </c>
      <c r="W35" s="89">
        <f t="shared" si="17"/>
        <v>3180.5687406620973</v>
      </c>
      <c r="X35" s="89">
        <f t="shared" si="17"/>
        <v>3180.5687406620973</v>
      </c>
      <c r="Y35" s="89">
        <f t="shared" si="17"/>
        <v>3180.5687406620973</v>
      </c>
      <c r="Z35" s="89">
        <f t="shared" si="17"/>
        <v>3180.5687406620973</v>
      </c>
    </row>
    <row r="36" spans="1:28" outlineLevel="1" x14ac:dyDescent="0.25">
      <c r="A36" s="39" t="str">
        <f t="shared" si="1"/>
        <v>NHL NTE 240</v>
      </c>
      <c r="B36" s="39"/>
      <c r="D36" s="98" t="s">
        <v>77</v>
      </c>
      <c r="E36" s="68" t="str">
        <f>E15</f>
        <v>тыс. руб.</v>
      </c>
      <c r="F36" s="74"/>
      <c r="G36" s="85">
        <f>IF(G10=0,0,G37*G38/1000)</f>
        <v>212.5</v>
      </c>
      <c r="H36" s="85">
        <f t="shared" ref="H36:Z36" si="18">IF(H10=0,0,H37*H38/1000)</f>
        <v>212.5</v>
      </c>
      <c r="I36" s="85">
        <f t="shared" si="18"/>
        <v>212.5</v>
      </c>
      <c r="J36" s="85">
        <f t="shared" si="18"/>
        <v>212.5</v>
      </c>
      <c r="K36" s="85">
        <f t="shared" si="18"/>
        <v>212.5</v>
      </c>
      <c r="L36" s="85">
        <f t="shared" si="18"/>
        <v>212.5</v>
      </c>
      <c r="M36" s="85">
        <f t="shared" si="18"/>
        <v>212.5</v>
      </c>
      <c r="N36" s="85">
        <f t="shared" si="18"/>
        <v>212.5</v>
      </c>
      <c r="O36" s="85">
        <f t="shared" si="18"/>
        <v>212.5</v>
      </c>
      <c r="P36" s="85">
        <f t="shared" si="18"/>
        <v>212.5</v>
      </c>
      <c r="Q36" s="85">
        <f t="shared" si="18"/>
        <v>212.5</v>
      </c>
      <c r="R36" s="85">
        <f t="shared" si="18"/>
        <v>212.5</v>
      </c>
      <c r="S36" s="85">
        <f t="shared" si="18"/>
        <v>212.5</v>
      </c>
      <c r="T36" s="85">
        <f t="shared" si="18"/>
        <v>212.5</v>
      </c>
      <c r="U36" s="85">
        <f t="shared" si="18"/>
        <v>212.5</v>
      </c>
      <c r="V36" s="85">
        <f t="shared" si="18"/>
        <v>212.5</v>
      </c>
      <c r="W36" s="85">
        <f t="shared" si="18"/>
        <v>212.5</v>
      </c>
      <c r="X36" s="85">
        <f t="shared" si="18"/>
        <v>212.5</v>
      </c>
      <c r="Y36" s="85">
        <f t="shared" si="18"/>
        <v>212.5</v>
      </c>
      <c r="Z36" s="85">
        <f t="shared" si="18"/>
        <v>212.5</v>
      </c>
    </row>
    <row r="37" spans="1:28" outlineLevel="1" x14ac:dyDescent="0.25">
      <c r="A37" s="39" t="str">
        <f t="shared" si="1"/>
        <v>NHL NTE 240</v>
      </c>
      <c r="B37" s="39"/>
      <c r="D37" s="31" t="s">
        <v>78</v>
      </c>
      <c r="E37" s="9" t="s">
        <v>13</v>
      </c>
      <c r="F37" s="78">
        <f>SUMIFS('ФОТ, МТР, макро'!$AC$4:$AC$20,'ФОТ, МТР, макро'!$W$4:$W$20,$A37)</f>
        <v>2500</v>
      </c>
      <c r="G37" s="89">
        <f>F37</f>
        <v>2500</v>
      </c>
      <c r="H37" s="89">
        <f t="shared" ref="H37:Z38" si="19">G37</f>
        <v>2500</v>
      </c>
      <c r="I37" s="89">
        <f t="shared" si="19"/>
        <v>2500</v>
      </c>
      <c r="J37" s="89">
        <f t="shared" si="19"/>
        <v>2500</v>
      </c>
      <c r="K37" s="89">
        <f t="shared" si="19"/>
        <v>2500</v>
      </c>
      <c r="L37" s="89">
        <f t="shared" si="19"/>
        <v>2500</v>
      </c>
      <c r="M37" s="89">
        <f t="shared" si="19"/>
        <v>2500</v>
      </c>
      <c r="N37" s="89">
        <f t="shared" si="19"/>
        <v>2500</v>
      </c>
      <c r="O37" s="89">
        <f t="shared" si="19"/>
        <v>2500</v>
      </c>
      <c r="P37" s="89">
        <f t="shared" si="19"/>
        <v>2500</v>
      </c>
      <c r="Q37" s="89">
        <f t="shared" si="19"/>
        <v>2500</v>
      </c>
      <c r="R37" s="89">
        <f t="shared" si="19"/>
        <v>2500</v>
      </c>
      <c r="S37" s="89">
        <f t="shared" si="19"/>
        <v>2500</v>
      </c>
      <c r="T37" s="89">
        <f t="shared" si="19"/>
        <v>2500</v>
      </c>
      <c r="U37" s="89">
        <f t="shared" si="19"/>
        <v>2500</v>
      </c>
      <c r="V37" s="89">
        <f t="shared" si="19"/>
        <v>2500</v>
      </c>
      <c r="W37" s="89">
        <f t="shared" si="19"/>
        <v>2500</v>
      </c>
      <c r="X37" s="89">
        <f t="shared" si="19"/>
        <v>2500</v>
      </c>
      <c r="Y37" s="89">
        <f t="shared" si="19"/>
        <v>2500</v>
      </c>
      <c r="Z37" s="89">
        <f t="shared" si="19"/>
        <v>2500</v>
      </c>
    </row>
    <row r="38" spans="1:28" outlineLevel="1" x14ac:dyDescent="0.25">
      <c r="A38" s="39" t="str">
        <f t="shared" si="1"/>
        <v>NHL NTE 240</v>
      </c>
      <c r="B38" s="39"/>
      <c r="D38" s="31" t="s">
        <v>79</v>
      </c>
      <c r="E38" s="9" t="s">
        <v>80</v>
      </c>
      <c r="F38" s="78">
        <f>SUMIFS('ФОТ, МТР, макро'!$AD$4:$AD$20,'ФОТ, МТР, макро'!$W$4:$W$20,$A38)</f>
        <v>85</v>
      </c>
      <c r="G38" s="89">
        <f>F38</f>
        <v>85</v>
      </c>
      <c r="H38" s="89">
        <f t="shared" si="19"/>
        <v>85</v>
      </c>
      <c r="I38" s="89">
        <f t="shared" si="19"/>
        <v>85</v>
      </c>
      <c r="J38" s="89">
        <f t="shared" si="19"/>
        <v>85</v>
      </c>
      <c r="K38" s="89">
        <f t="shared" si="19"/>
        <v>85</v>
      </c>
      <c r="L38" s="89">
        <f t="shared" si="19"/>
        <v>85</v>
      </c>
      <c r="M38" s="89">
        <f t="shared" si="19"/>
        <v>85</v>
      </c>
      <c r="N38" s="89">
        <f t="shared" si="19"/>
        <v>85</v>
      </c>
      <c r="O38" s="89">
        <f t="shared" si="19"/>
        <v>85</v>
      </c>
      <c r="P38" s="89">
        <f t="shared" si="19"/>
        <v>85</v>
      </c>
      <c r="Q38" s="89">
        <f t="shared" si="19"/>
        <v>85</v>
      </c>
      <c r="R38" s="89">
        <f t="shared" si="19"/>
        <v>85</v>
      </c>
      <c r="S38" s="89">
        <f t="shared" si="19"/>
        <v>85</v>
      </c>
      <c r="T38" s="89">
        <f t="shared" si="19"/>
        <v>85</v>
      </c>
      <c r="U38" s="89">
        <f t="shared" si="19"/>
        <v>85</v>
      </c>
      <c r="V38" s="89">
        <f t="shared" si="19"/>
        <v>85</v>
      </c>
      <c r="W38" s="89">
        <f t="shared" si="19"/>
        <v>85</v>
      </c>
      <c r="X38" s="89">
        <f t="shared" si="19"/>
        <v>85</v>
      </c>
      <c r="Y38" s="89">
        <f t="shared" si="19"/>
        <v>85</v>
      </c>
      <c r="Z38" s="89">
        <f t="shared" si="19"/>
        <v>85</v>
      </c>
    </row>
    <row r="39" spans="1:28" outlineLevel="1" x14ac:dyDescent="0.25">
      <c r="A39" s="39" t="str">
        <f t="shared" si="1"/>
        <v>NHL NTE 240</v>
      </c>
      <c r="B39" s="39"/>
      <c r="C39" s="99">
        <f>SUMIFS('ФОТ, МТР, макро'!$AG$4:$AG$20,'ФОТ, МТР, макро'!$W$4:$W$20,$A39)</f>
        <v>14.117647058823531</v>
      </c>
      <c r="D39" s="98" t="s">
        <v>81</v>
      </c>
      <c r="E39" s="68" t="str">
        <f>E15</f>
        <v>тыс. руб.</v>
      </c>
      <c r="F39" s="85"/>
      <c r="G39" s="100">
        <f>IF(G7&lt;=$C40,$F44*$C39%,"ОШИБКА")</f>
        <v>0</v>
      </c>
      <c r="H39" s="75">
        <f>IF(H7&lt;=$C40,$F44*$C39%,$F44-SUM($G39:G39))</f>
        <v>0</v>
      </c>
      <c r="I39" s="75">
        <f>IF(I7&lt;=$C40,$F44*$C39%,$F44-SUM($G39:H39))</f>
        <v>0</v>
      </c>
      <c r="J39" s="75">
        <f>IF(J7&lt;=$C40,$F44*$C39%,$F44-SUM($G39:I39))</f>
        <v>0</v>
      </c>
      <c r="K39" s="75">
        <f>IF(K7&lt;=$C40,$F44*$C39%,$F44-SUM($G39:J39))</f>
        <v>0</v>
      </c>
      <c r="L39" s="75">
        <f>IF(L7&lt;=$C40,$F44*$C39%,$F44-SUM($G39:K39))</f>
        <v>0</v>
      </c>
      <c r="M39" s="75">
        <f>IF(M7&lt;=$C40,$F44*$C39%,$F44-SUM($G39:L39))</f>
        <v>0</v>
      </c>
      <c r="N39" s="75">
        <f>IF(N7&lt;=$C40,$F44*$C39%,$F44-SUM($G39:M39))</f>
        <v>0</v>
      </c>
      <c r="O39" s="75">
        <f>IF(O7&lt;=$C40,$F44*$C39%,$F44-SUM($G39:N39))</f>
        <v>0</v>
      </c>
      <c r="P39" s="75">
        <f>IF(P7&lt;=$C40,$F44*$C39%,$F44-SUM($G39:O39))</f>
        <v>0</v>
      </c>
      <c r="Q39" s="75">
        <f>IF(Q7&lt;=$C40,$F44*$C39%,$F44-SUM($G39:P39))</f>
        <v>0</v>
      </c>
      <c r="R39" s="75">
        <f>IF(R7&lt;=$C40,$F44*$C39%,$F44-SUM($G39:Q39))</f>
        <v>0</v>
      </c>
      <c r="S39" s="75">
        <f>IF(S7&lt;=$C40,$F44*$C39%,$F44-SUM($G39:R39))</f>
        <v>0</v>
      </c>
      <c r="T39" s="75">
        <f>IF(T7&lt;=$C40,$F44*$C39%,$F44-SUM($G39:S39))</f>
        <v>0</v>
      </c>
      <c r="U39" s="75">
        <f>IF(U7&lt;=$C40,$F44*$C39%,$F44-SUM($G39:T39))</f>
        <v>0</v>
      </c>
      <c r="V39" s="75">
        <f>IF(V7&lt;=$C40,$F44*$C39%,$F44-SUM($G39:U39))</f>
        <v>0</v>
      </c>
      <c r="W39" s="75">
        <f>IF(W7&lt;=$C40,$F44*$C39%,$F44-SUM($G39:V39))</f>
        <v>0</v>
      </c>
      <c r="X39" s="75">
        <f>IF(X7&lt;=$C40,$F44*$C39%,$F44-SUM($G39:W39))</f>
        <v>0</v>
      </c>
      <c r="Y39" s="75">
        <f>IF(Y7&lt;=$C40,$F44*$C39%,$F44-SUM($G39:X39))</f>
        <v>0</v>
      </c>
      <c r="Z39" s="75">
        <f>IF(Z7&lt;=$C40,$F44*$C39%,$F44-SUM($G39:Y39))</f>
        <v>0</v>
      </c>
      <c r="AA39" s="88">
        <f>F44-SUM(G39:Z39)</f>
        <v>0</v>
      </c>
    </row>
    <row r="40" spans="1:28" outlineLevel="1" x14ac:dyDescent="0.25">
      <c r="A40" s="39" t="str">
        <f t="shared" si="1"/>
        <v>NHL NTE 240</v>
      </c>
      <c r="B40" s="39"/>
      <c r="C40" s="99">
        <f>SUMIFS('ФОТ, МТР, макро'!$AF$4:$AF$20,'ФОТ, МТР, макро'!$W$4:$W$20,$A40)/12</f>
        <v>7.083333333333333</v>
      </c>
      <c r="D40" s="98" t="s">
        <v>82</v>
      </c>
      <c r="E40" s="68" t="str">
        <f>E15</f>
        <v>тыс. руб.</v>
      </c>
      <c r="F40" s="69"/>
      <c r="G40" s="69">
        <f>SUM(G16,G21,G25,G30,G32,G36,G39)</f>
        <v>117479.76586217424</v>
      </c>
      <c r="H40" s="69">
        <f t="shared" ref="H40:Z40" si="20">SUM(H16,H21,H25,H30,H32,H36,H39)</f>
        <v>122294.51857637055</v>
      </c>
      <c r="I40" s="69">
        <f t="shared" si="20"/>
        <v>168552.90183282009</v>
      </c>
      <c r="J40" s="69">
        <f t="shared" si="20"/>
        <v>143031.17363570438</v>
      </c>
      <c r="K40" s="69">
        <f t="shared" si="20"/>
        <v>133841.25382288356</v>
      </c>
      <c r="L40" s="69">
        <f t="shared" si="20"/>
        <v>174859.20775208215</v>
      </c>
      <c r="M40" s="69">
        <f t="shared" si="20"/>
        <v>130781.3941207825</v>
      </c>
      <c r="N40" s="69">
        <f t="shared" si="20"/>
        <v>148925.49444113899</v>
      </c>
      <c r="O40" s="69">
        <f t="shared" si="20"/>
        <v>216271.12084682091</v>
      </c>
      <c r="P40" s="69">
        <f t="shared" si="20"/>
        <v>131986.03264492931</v>
      </c>
      <c r="Q40" s="69">
        <f t="shared" si="20"/>
        <v>321435.52290900622</v>
      </c>
      <c r="R40" s="69">
        <f t="shared" si="20"/>
        <v>175632.93603864603</v>
      </c>
      <c r="S40" s="69">
        <f t="shared" si="20"/>
        <v>137539.0691829772</v>
      </c>
      <c r="T40" s="69">
        <f t="shared" si="20"/>
        <v>138382.04646240329</v>
      </c>
      <c r="U40" s="69">
        <f t="shared" si="20"/>
        <v>195388.85995129804</v>
      </c>
      <c r="V40" s="69">
        <f t="shared" si="20"/>
        <v>135787.08629379544</v>
      </c>
      <c r="W40" s="69">
        <f t="shared" si="20"/>
        <v>128165.60821693472</v>
      </c>
      <c r="X40" s="69">
        <f t="shared" si="20"/>
        <v>230974.05556617613</v>
      </c>
      <c r="Y40" s="69">
        <f t="shared" si="20"/>
        <v>138448.27833615121</v>
      </c>
      <c r="Z40" s="69">
        <f t="shared" si="20"/>
        <v>141514.93426885246</v>
      </c>
      <c r="AB40" s="42"/>
    </row>
    <row r="41" spans="1:28" outlineLevel="1" x14ac:dyDescent="0.25">
      <c r="A41" s="39" t="str">
        <f t="shared" si="1"/>
        <v>NHL NTE 240</v>
      </c>
      <c r="B41" s="39"/>
      <c r="D41" s="98" t="s">
        <v>83</v>
      </c>
      <c r="E41" s="68" t="str">
        <f>E15</f>
        <v>тыс. руб.</v>
      </c>
      <c r="F41" s="69"/>
      <c r="G41" s="69">
        <f>-G40*'ФОТ, МТР, макро'!AK$11</f>
        <v>-29369.941465543561</v>
      </c>
      <c r="H41" s="69">
        <f>-H40*'ФОТ, МТР, макро'!AL$11</f>
        <v>-30573.629644092638</v>
      </c>
      <c r="I41" s="69">
        <f>-I40*'ФОТ, МТР, макро'!AM$11</f>
        <v>-42138.225458205023</v>
      </c>
      <c r="J41" s="69">
        <f>-J40*'ФОТ, МТР, макро'!AN$11</f>
        <v>-35757.793408926096</v>
      </c>
      <c r="K41" s="69">
        <f>-K40*'ФОТ, МТР, макро'!AO$11</f>
        <v>-33460.31345572089</v>
      </c>
      <c r="L41" s="69">
        <f>-L40*'ФОТ, МТР, макро'!AP$11</f>
        <v>-43714.801938020537</v>
      </c>
      <c r="M41" s="69">
        <f>-M40*'ФОТ, МТР, макро'!AQ$11</f>
        <v>-32695.348530195624</v>
      </c>
      <c r="N41" s="69">
        <f>-N40*'ФОТ, МТР, макро'!AR$11</f>
        <v>-37231.373610284747</v>
      </c>
      <c r="O41" s="69">
        <f>-O40*'ФОТ, МТР, макро'!AS$11</f>
        <v>-54067.780211705227</v>
      </c>
      <c r="P41" s="69">
        <f>-P40*'ФОТ, МТР, макро'!AT$11</f>
        <v>-32996.508161232327</v>
      </c>
      <c r="Q41" s="69">
        <f>-Q40*'ФОТ, МТР, макро'!AU$11</f>
        <v>-80358.880727251555</v>
      </c>
      <c r="R41" s="69">
        <f>-R40*'ФОТ, МТР, макро'!AV$11</f>
        <v>-43908.234009661508</v>
      </c>
      <c r="S41" s="69">
        <f>-S40*'ФОТ, МТР, макро'!AW$11</f>
        <v>-34384.767295744299</v>
      </c>
      <c r="T41" s="69">
        <f>-T40*'ФОТ, МТР, макро'!AX$11</f>
        <v>-34595.511615600823</v>
      </c>
      <c r="U41" s="69">
        <f>-U40*'ФОТ, МТР, макро'!AY$11</f>
        <v>-48847.214987824511</v>
      </c>
      <c r="V41" s="69">
        <f>-V40*'ФОТ, МТР, макро'!AZ$11</f>
        <v>-33946.771573448859</v>
      </c>
      <c r="W41" s="69">
        <f>-W40*'ФОТ, МТР, макро'!BA$11</f>
        <v>-32041.40205423368</v>
      </c>
      <c r="X41" s="69">
        <f>-X40*'ФОТ, МТР, макро'!BB$11</f>
        <v>-57743.513891544033</v>
      </c>
      <c r="Y41" s="69">
        <f>-Y40*'ФОТ, МТР, макро'!BC$11</f>
        <v>-34612.069584037803</v>
      </c>
      <c r="Z41" s="69">
        <f>-Z40*'ФОТ, МТР, макро'!BD$11</f>
        <v>-35378.733567213116</v>
      </c>
    </row>
    <row r="42" spans="1:28" outlineLevel="1" x14ac:dyDescent="0.25">
      <c r="A42" s="39" t="str">
        <f t="shared" si="1"/>
        <v>NHL NTE 240</v>
      </c>
      <c r="B42" s="39"/>
      <c r="D42" s="101"/>
      <c r="E42" s="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8" outlineLevel="1" x14ac:dyDescent="0.25">
      <c r="A43" s="39" t="str">
        <f t="shared" si="1"/>
        <v>NHL NTE 240</v>
      </c>
      <c r="B43" s="39"/>
      <c r="D43" s="71" t="s">
        <v>84</v>
      </c>
      <c r="E43" s="72" t="str">
        <f>E15</f>
        <v>тыс. руб.</v>
      </c>
      <c r="F43" s="73">
        <f>F44</f>
        <v>0</v>
      </c>
      <c r="G43" s="73">
        <f t="shared" ref="G43:Z43" si="21">G44</f>
        <v>0</v>
      </c>
      <c r="H43" s="73">
        <f t="shared" si="21"/>
        <v>0</v>
      </c>
      <c r="I43" s="73">
        <f t="shared" si="21"/>
        <v>0</v>
      </c>
      <c r="J43" s="73">
        <f t="shared" si="21"/>
        <v>0</v>
      </c>
      <c r="K43" s="73">
        <f t="shared" si="21"/>
        <v>0</v>
      </c>
      <c r="L43" s="73">
        <f t="shared" si="21"/>
        <v>0</v>
      </c>
      <c r="M43" s="73">
        <f t="shared" si="21"/>
        <v>0</v>
      </c>
      <c r="N43" s="73">
        <f t="shared" si="21"/>
        <v>0</v>
      </c>
      <c r="O43" s="73">
        <f t="shared" si="21"/>
        <v>0</v>
      </c>
      <c r="P43" s="73">
        <f t="shared" si="21"/>
        <v>0</v>
      </c>
      <c r="Q43" s="73">
        <f t="shared" si="21"/>
        <v>0</v>
      </c>
      <c r="R43" s="73">
        <f t="shared" si="21"/>
        <v>0</v>
      </c>
      <c r="S43" s="73">
        <f t="shared" si="21"/>
        <v>0</v>
      </c>
      <c r="T43" s="73">
        <f t="shared" si="21"/>
        <v>0</v>
      </c>
      <c r="U43" s="73">
        <f t="shared" si="21"/>
        <v>0</v>
      </c>
      <c r="V43" s="73">
        <f t="shared" si="21"/>
        <v>0</v>
      </c>
      <c r="W43" s="73">
        <f t="shared" si="21"/>
        <v>0</v>
      </c>
      <c r="X43" s="73">
        <f t="shared" si="21"/>
        <v>0</v>
      </c>
      <c r="Y43" s="73">
        <f t="shared" si="21"/>
        <v>0</v>
      </c>
      <c r="Z43" s="73">
        <f t="shared" si="21"/>
        <v>0</v>
      </c>
    </row>
    <row r="44" spans="1:28" outlineLevel="1" x14ac:dyDescent="0.25">
      <c r="A44" s="39" t="str">
        <f t="shared" si="1"/>
        <v>NHL NTE 240</v>
      </c>
      <c r="B44" s="39"/>
      <c r="D44" s="101" t="s">
        <v>85</v>
      </c>
      <c r="E44" s="9" t="str">
        <f>E43</f>
        <v>тыс. руб.</v>
      </c>
      <c r="F44" s="78">
        <f>SUMIFS(Свод_1!$D$41:$U$41,Свод_1!$D$23:$U$23,$A44)</f>
        <v>0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8" outlineLevel="1" x14ac:dyDescent="0.25">
      <c r="A45" s="39" t="str">
        <f t="shared" si="1"/>
        <v>NHL NTE 240</v>
      </c>
      <c r="B45" s="39"/>
      <c r="D45" s="101"/>
      <c r="E45" s="9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8" outlineLevel="1" x14ac:dyDescent="0.25">
      <c r="A46" s="39" t="str">
        <f t="shared" si="1"/>
        <v>NHL NTE 240</v>
      </c>
      <c r="B46" s="39"/>
      <c r="D46" s="71" t="s">
        <v>86</v>
      </c>
      <c r="E46" s="72" t="str">
        <f>E15</f>
        <v>тыс. руб.</v>
      </c>
      <c r="F46" s="73">
        <f>F15+F43</f>
        <v>0</v>
      </c>
      <c r="G46" s="73">
        <f>G15+G43</f>
        <v>88109.824396630691</v>
      </c>
      <c r="H46" s="73">
        <f t="shared" ref="H46:Z46" si="22">H15+H43</f>
        <v>91720.888932277914</v>
      </c>
      <c r="I46" s="73">
        <f t="shared" si="22"/>
        <v>126414.67637461507</v>
      </c>
      <c r="J46" s="73">
        <f t="shared" si="22"/>
        <v>107273.38022677829</v>
      </c>
      <c r="K46" s="73">
        <f t="shared" si="22"/>
        <v>100380.94036716266</v>
      </c>
      <c r="L46" s="73">
        <f t="shared" si="22"/>
        <v>131144.40581406161</v>
      </c>
      <c r="M46" s="73">
        <f t="shared" si="22"/>
        <v>98086.045590586873</v>
      </c>
      <c r="N46" s="73">
        <f t="shared" si="22"/>
        <v>111694.12083085424</v>
      </c>
      <c r="O46" s="73">
        <f t="shared" si="22"/>
        <v>162203.34063511569</v>
      </c>
      <c r="P46" s="73">
        <f t="shared" si="22"/>
        <v>98989.52448369698</v>
      </c>
      <c r="Q46" s="73">
        <f t="shared" si="22"/>
        <v>241076.64218175467</v>
      </c>
      <c r="R46" s="73">
        <f t="shared" si="22"/>
        <v>131724.70202898452</v>
      </c>
      <c r="S46" s="73">
        <f t="shared" si="22"/>
        <v>103154.3018872329</v>
      </c>
      <c r="T46" s="73">
        <f t="shared" si="22"/>
        <v>103786.53484680247</v>
      </c>
      <c r="U46" s="73">
        <f t="shared" si="22"/>
        <v>146541.64496347355</v>
      </c>
      <c r="V46" s="73">
        <f t="shared" si="22"/>
        <v>101840.31472034658</v>
      </c>
      <c r="W46" s="73">
        <f t="shared" si="22"/>
        <v>96124.206162701041</v>
      </c>
      <c r="X46" s="73">
        <f t="shared" si="22"/>
        <v>173230.54167463211</v>
      </c>
      <c r="Y46" s="73">
        <f t="shared" si="22"/>
        <v>103836.20875211341</v>
      </c>
      <c r="Z46" s="73">
        <f t="shared" si="22"/>
        <v>106136.20070163935</v>
      </c>
    </row>
    <row r="47" spans="1:28" outlineLevel="1" x14ac:dyDescent="0.25">
      <c r="A47" s="39" t="str">
        <f t="shared" si="1"/>
        <v>NHL NTE 240</v>
      </c>
      <c r="B47" s="39"/>
      <c r="D47" s="67" t="s">
        <v>87</v>
      </c>
      <c r="E47" s="68" t="str">
        <f>E46</f>
        <v>тыс. руб.</v>
      </c>
      <c r="F47" s="102"/>
      <c r="G47" s="69">
        <f>G15*'ФОТ, МТР, макро'!AK$13</f>
        <v>78669.486068420258</v>
      </c>
      <c r="H47" s="69">
        <f>H15*'ФОТ, МТР, макро'!AL$13</f>
        <v>73119.331100349082</v>
      </c>
      <c r="I47" s="69">
        <f>I15*'ФОТ, МТР, макро'!AM$13</f>
        <v>89979.469677175643</v>
      </c>
      <c r="J47" s="69">
        <f>J15*'ФОТ, МТР, макро'!AN$13</f>
        <v>68174.172465712938</v>
      </c>
      <c r="K47" s="69">
        <f>K15*'ФОТ, МТР, макро'!AO$13</f>
        <v>56958.841366615321</v>
      </c>
      <c r="L47" s="69">
        <f>L15*'ФОТ, МТР, макро'!AP$13</f>
        <v>66441.837353711569</v>
      </c>
      <c r="M47" s="69">
        <f>M15*'ФОТ, МТР, макро'!AQ$13</f>
        <v>44369.145758400729</v>
      </c>
      <c r="N47" s="69">
        <f>N15*'ФОТ, МТР, макро'!AR$13</f>
        <v>45111.3820674831</v>
      </c>
      <c r="O47" s="69">
        <f>O15*'ФОТ, МТР, макро'!AS$13</f>
        <v>58492.150718524717</v>
      </c>
      <c r="P47" s="69">
        <f>P15*'ФОТ, МТР, макро'!AT$13</f>
        <v>31871.977586589859</v>
      </c>
      <c r="Q47" s="69">
        <f>Q15*'ФОТ, МТР, макро'!AU$13</f>
        <v>69303.773883639864</v>
      </c>
      <c r="R47" s="69">
        <f>R15*'ФОТ, МТР, макро'!AV$13</f>
        <v>33810.450136493273</v>
      </c>
      <c r="S47" s="69">
        <f>S15*'ФОТ, МТР, макро'!AW$13</f>
        <v>23640.303593412693</v>
      </c>
      <c r="T47" s="69">
        <f>T15*'ФОТ, МТР, макро'!AX$13</f>
        <v>21236.781312406627</v>
      </c>
      <c r="U47" s="69">
        <f>U15*'ФОТ, МТР, макро'!AY$13</f>
        <v>26772.610654332289</v>
      </c>
      <c r="V47" s="69">
        <f>V15*'ФОТ, МТР, макро'!AZ$13</f>
        <v>16612.361379800637</v>
      </c>
      <c r="W47" s="69">
        <f>W15*'ФОТ, МТР, макро'!BA$13</f>
        <v>13999.946654109197</v>
      </c>
      <c r="X47" s="69">
        <f>X15*'ФОТ, МТР, макро'!BB$13</f>
        <v>22526.828635152357</v>
      </c>
      <c r="Y47" s="69">
        <f>Y15*'ФОТ, МТР, макро'!BC$13</f>
        <v>12056.087522723607</v>
      </c>
      <c r="Z47" s="69">
        <f>Z15*'ФОТ, МТР, макро'!BD$13</f>
        <v>11002.796584693628</v>
      </c>
    </row>
    <row r="48" spans="1:28" outlineLevel="1" x14ac:dyDescent="0.25">
      <c r="A48" s="39" t="str">
        <f t="shared" si="1"/>
        <v>NHL NTE 240</v>
      </c>
      <c r="B48" s="39"/>
      <c r="D48" s="18" t="str">
        <f>D16</f>
        <v>ТО, ТР, ППР</v>
      </c>
      <c r="E48" s="9" t="str">
        <f>E47</f>
        <v>тыс. руб.</v>
      </c>
      <c r="F48" s="103"/>
      <c r="G48" s="74">
        <f>G16*'ФОТ, МТР, макро'!AK$13</f>
        <v>5366.9649740885707</v>
      </c>
      <c r="H48" s="74">
        <f>H16*'ФОТ, МТР, макро'!AL$13</f>
        <v>6658.9313660229573</v>
      </c>
      <c r="I48" s="74">
        <f>I16*'ФОТ, МТР, макро'!AM$13</f>
        <v>35225.816614398173</v>
      </c>
      <c r="J48" s="74">
        <f>J16*'ФОТ, МТР, макро'!AN$13</f>
        <v>16726.088512300983</v>
      </c>
      <c r="K48" s="74">
        <f>K16*'ФОТ, МТР, макро'!AO$13</f>
        <v>4980.4082856792502</v>
      </c>
      <c r="L48" s="74">
        <f>L16*'ФОТ, МТР, макро'!AP$13</f>
        <v>24485.368426420675</v>
      </c>
      <c r="M48" s="74">
        <f>M16*'ФОТ, МТР, макро'!AQ$13</f>
        <v>3680.6319007108591</v>
      </c>
      <c r="N48" s="74">
        <f>N16*'ФОТ, МТР, макро'!AR$13</f>
        <v>11265.496931226577</v>
      </c>
      <c r="O48" s="74">
        <f>O16*'ФОТ, МТР, макро'!AS$13</f>
        <v>32512.786671170739</v>
      </c>
      <c r="P48" s="74">
        <f>P16*'ФОТ, МТР, макро'!AT$13</f>
        <v>2226.3349557786473</v>
      </c>
      <c r="Q48" s="74">
        <f>Q16*'ФОТ, МТР, макро'!AU$13</f>
        <v>57151.490064950289</v>
      </c>
      <c r="R48" s="74">
        <f>R16*'ФОТ, МТР, макро'!AV$13</f>
        <v>12437.604691162094</v>
      </c>
      <c r="S48" s="74">
        <f>S16*'ФОТ, МТР, макро'!AW$13</f>
        <v>1727.9409803105143</v>
      </c>
      <c r="T48" s="74">
        <f>T16*'ФОТ, МТР, макро'!AX$13</f>
        <v>1568.9940174106903</v>
      </c>
      <c r="U48" s="74">
        <f>U16*'ФОТ, МТР, макро'!AY$13</f>
        <v>12597.789011995868</v>
      </c>
      <c r="V48" s="74">
        <f>V16*'ФОТ, МТР, макро'!AZ$13</f>
        <v>1253.2953480574818</v>
      </c>
      <c r="W48" s="74">
        <f>W16*'ФОТ, МТР, макро'!BA$13</f>
        <v>1103.9902275053732</v>
      </c>
      <c r="X48" s="74">
        <f>X16*'ФОТ, МТР, макро'!BB$13</f>
        <v>14312.714056520419</v>
      </c>
      <c r="Y48" s="74">
        <f>Y16*'ФОТ, МТР, макро'!BC$13</f>
        <v>906.48880294222931</v>
      </c>
      <c r="Z48" s="74">
        <f>Z16*'ФОТ, МТР, макро'!BD$13</f>
        <v>988.94100665299902</v>
      </c>
    </row>
    <row r="49" spans="1:26" outlineLevel="1" x14ac:dyDescent="0.25">
      <c r="A49" s="39" t="str">
        <f t="shared" si="1"/>
        <v>NHL NTE 240</v>
      </c>
      <c r="B49" s="39"/>
      <c r="D49" s="18" t="str">
        <f>D21</f>
        <v>Шины</v>
      </c>
      <c r="E49" s="9" t="str">
        <f t="shared" ref="E49:E54" si="23">E48</f>
        <v>тыс. руб.</v>
      </c>
      <c r="F49" s="103"/>
      <c r="G49" s="74">
        <f>G21*'ФОТ, МТР, макро'!AK$13</f>
        <v>20849.010626289219</v>
      </c>
      <c r="H49" s="74">
        <f>H21*'ФОТ, МТР, макро'!AL$13</f>
        <v>19111.319969767846</v>
      </c>
      <c r="I49" s="74">
        <f>I21*'ФОТ, МТР, макро'!AM$13</f>
        <v>17981.162479453338</v>
      </c>
      <c r="J49" s="74">
        <f>J21*'ФОТ, МТР, макро'!AN$13</f>
        <v>15678.60527508958</v>
      </c>
      <c r="K49" s="74">
        <f>K21*'ФОТ, МТР, макро'!AO$13</f>
        <v>15191.456719265816</v>
      </c>
      <c r="L49" s="74">
        <f>L21*'ФОТ, МТР, макро'!AP$13</f>
        <v>13750.645862030116</v>
      </c>
      <c r="M49" s="74">
        <f>M21*'ФОТ, МТР, макро'!AQ$13</f>
        <v>11835.09790679955</v>
      </c>
      <c r="N49" s="74">
        <f>N21*'ФОТ, МТР, макро'!AR$13</f>
        <v>10403.178689714809</v>
      </c>
      <c r="O49" s="74">
        <f>O21*'ФОТ, МТР, макро'!AS$13</f>
        <v>9749.4261087989817</v>
      </c>
      <c r="P49" s="74">
        <f>P21*'ФОТ, МТР, макро'!AT$13</f>
        <v>8620.6321884494591</v>
      </c>
      <c r="Q49" s="74">
        <f>Q21*'ФОТ, МТР, макро'!AU$13</f>
        <v>7520.4432298648717</v>
      </c>
      <c r="R49" s="74">
        <f>R21*'ФОТ, МТР, макро'!AV$13</f>
        <v>7008.2942541054836</v>
      </c>
      <c r="S49" s="74">
        <f>S21*'ФОТ, МТР, макро'!AW$13</f>
        <v>6420.2244368194324</v>
      </c>
      <c r="T49" s="74">
        <f>T21*'ФОТ, МТР, макро'!AX$13</f>
        <v>5769.1638706619797</v>
      </c>
      <c r="U49" s="74">
        <f>U21*'ФОТ, МТР, макро'!AY$13</f>
        <v>4954.2342471466218</v>
      </c>
      <c r="V49" s="74">
        <f>V21*'ФОТ, МТР, макро'!AZ$13</f>
        <v>4491.9781663089725</v>
      </c>
      <c r="W49" s="74">
        <f>W21*'ФОТ, МТР, макро'!BA$13</f>
        <v>3735.1065026571523</v>
      </c>
      <c r="X49" s="74">
        <f>X21*'ФОТ, МТР, макро'!BB$13</f>
        <v>3345.527246476885</v>
      </c>
      <c r="Y49" s="74">
        <f>Y21*'ФОТ, МТР, макро'!BC$13</f>
        <v>3271.4368598729698</v>
      </c>
      <c r="Z49" s="74">
        <f>Z21*'ФОТ, МТР, макро'!BD$13</f>
        <v>2955.7415244662711</v>
      </c>
    </row>
    <row r="50" spans="1:26" outlineLevel="1" x14ac:dyDescent="0.25">
      <c r="A50" s="39" t="str">
        <f t="shared" si="1"/>
        <v>NHL NTE 240</v>
      </c>
      <c r="B50" s="39"/>
      <c r="D50" s="18" t="str">
        <f>D25</f>
        <v>Топливо</v>
      </c>
      <c r="E50" s="9" t="str">
        <f t="shared" si="23"/>
        <v>тыс. руб.</v>
      </c>
      <c r="F50" s="103"/>
      <c r="G50" s="74">
        <f>G25*'ФОТ, МТР, макро'!AK$13</f>
        <v>61990.872275972339</v>
      </c>
      <c r="H50" s="74">
        <f>H25*'ФОТ, МТР, макро'!AL$13</f>
        <v>56824.154225201251</v>
      </c>
      <c r="I50" s="74">
        <f>I25*'ФОТ, МТР, макро'!AM$13</f>
        <v>53463.829369043342</v>
      </c>
      <c r="J50" s="74">
        <f>J25*'ФОТ, МТР, макро'!AN$13</f>
        <v>46617.579821649888</v>
      </c>
      <c r="K50" s="74">
        <f>K25*'ФОТ, МТР, макро'!AO$13</f>
        <v>45169.129128003231</v>
      </c>
      <c r="L50" s="74">
        <f>L25*'ФОТ, МТР, макро'!AP$13</f>
        <v>40885.131032088328</v>
      </c>
      <c r="M50" s="74">
        <f>M25*'ФОТ, МТР, макро'!AQ$13</f>
        <v>35189.585533086713</v>
      </c>
      <c r="N50" s="74">
        <f>N25*'ФОТ, МТР, макро'!AR$13</f>
        <v>30932.025167901691</v>
      </c>
      <c r="O50" s="74">
        <f>O25*'ФОТ, МТР, макро'!AS$13</f>
        <v>28988.206659193249</v>
      </c>
      <c r="P50" s="74">
        <f>P25*'ФОТ, МТР, макро'!AT$13</f>
        <v>25631.936138900648</v>
      </c>
      <c r="Q50" s="74">
        <f>Q25*'ФОТ, МТР, макро'!AU$13</f>
        <v>22360.717449748354</v>
      </c>
      <c r="R50" s="74">
        <f>R25*'ФОТ, МТР, макро'!AV$13</f>
        <v>20837.932397179127</v>
      </c>
      <c r="S50" s="74">
        <f>S25*'ФОТ, МТР, макро'!AW$13</f>
        <v>19089.410053065265</v>
      </c>
      <c r="T50" s="74">
        <f>T25*'ФОТ, МТР, макро'!AX$13</f>
        <v>17153.595777557253</v>
      </c>
      <c r="U50" s="74">
        <f>U25*'ФОТ, МТР, макро'!AY$13</f>
        <v>14730.545633319391</v>
      </c>
      <c r="V50" s="74">
        <f>V25*'ФОТ, МТР, макро'!AZ$13</f>
        <v>13356.108343241684</v>
      </c>
      <c r="W50" s="74">
        <f>W25*'ФОТ, МТР, макро'!BA$13</f>
        <v>11105.68334841815</v>
      </c>
      <c r="X50" s="74">
        <f>X25*'ФОТ, МТР, макро'!BB$13</f>
        <v>9947.3378353324006</v>
      </c>
      <c r="Y50" s="74">
        <f>Y25*'ФОТ, МТР, макро'!BC$13</f>
        <v>9727.0430800959439</v>
      </c>
      <c r="Z50" s="74">
        <f>Z25*'ФОТ, МТР, макро'!BD$13</f>
        <v>8788.3784323528907</v>
      </c>
    </row>
    <row r="51" spans="1:26" outlineLevel="1" x14ac:dyDescent="0.25">
      <c r="A51" s="39" t="str">
        <f t="shared" si="1"/>
        <v>NHL NTE 240</v>
      </c>
      <c r="B51" s="39"/>
      <c r="D51" s="18" t="str">
        <f>D30</f>
        <v>Смазочные</v>
      </c>
      <c r="E51" s="9" t="str">
        <f t="shared" si="23"/>
        <v>тыс. руб.</v>
      </c>
      <c r="F51" s="103"/>
      <c r="G51" s="74">
        <f>G30*'ФОТ, МТР, макро'!AK$13</f>
        <v>0</v>
      </c>
      <c r="H51" s="74">
        <f>H30*'ФОТ, МТР, макро'!AL$13</f>
        <v>0</v>
      </c>
      <c r="I51" s="74">
        <f>I30*'ФОТ, МТР, макро'!AM$13</f>
        <v>0</v>
      </c>
      <c r="J51" s="74">
        <f>J30*'ФОТ, МТР, макро'!AN$13</f>
        <v>0</v>
      </c>
      <c r="K51" s="74">
        <f>K30*'ФОТ, МТР, макро'!AO$13</f>
        <v>0</v>
      </c>
      <c r="L51" s="74">
        <f>L30*'ФОТ, МТР, макро'!AP$13</f>
        <v>0</v>
      </c>
      <c r="M51" s="74">
        <f>M30*'ФОТ, МТР, макро'!AQ$13</f>
        <v>0</v>
      </c>
      <c r="N51" s="74">
        <f>N30*'ФОТ, МТР, макро'!AR$13</f>
        <v>0</v>
      </c>
      <c r="O51" s="74">
        <f>O30*'ФОТ, МТР, макро'!AS$13</f>
        <v>0</v>
      </c>
      <c r="P51" s="74">
        <f>P30*'ФОТ, МТР, макро'!AT$13</f>
        <v>0</v>
      </c>
      <c r="Q51" s="74">
        <f>Q30*'ФОТ, МТР, макро'!AU$13</f>
        <v>0</v>
      </c>
      <c r="R51" s="74">
        <f>R30*'ФОТ, МТР, макро'!AV$13</f>
        <v>0</v>
      </c>
      <c r="S51" s="74">
        <f>S30*'ФОТ, МТР, макро'!AW$13</f>
        <v>0</v>
      </c>
      <c r="T51" s="74">
        <f>T30*'ФОТ, МТР, макро'!AX$13</f>
        <v>0</v>
      </c>
      <c r="U51" s="74">
        <f>U30*'ФОТ, МТР, макро'!AY$13</f>
        <v>0</v>
      </c>
      <c r="V51" s="74">
        <f>V30*'ФОТ, МТР, макро'!AZ$13</f>
        <v>0</v>
      </c>
      <c r="W51" s="74">
        <f>W30*'ФОТ, МТР, макро'!BA$13</f>
        <v>0</v>
      </c>
      <c r="X51" s="74">
        <f>X30*'ФОТ, МТР, макро'!BB$13</f>
        <v>0</v>
      </c>
      <c r="Y51" s="74">
        <f>Y30*'ФОТ, МТР, макро'!BC$13</f>
        <v>0</v>
      </c>
      <c r="Z51" s="74">
        <f>Z30*'ФОТ, МТР, макро'!BD$13</f>
        <v>0</v>
      </c>
    </row>
    <row r="52" spans="1:26" outlineLevel="1" x14ac:dyDescent="0.25">
      <c r="A52" s="39" t="str">
        <f t="shared" si="1"/>
        <v>NHL NTE 240</v>
      </c>
      <c r="B52" s="39"/>
      <c r="D52" s="18" t="str">
        <f>D32</f>
        <v>Затраты на персонал</v>
      </c>
      <c r="E52" s="9" t="str">
        <f t="shared" si="23"/>
        <v>тыс. руб.</v>
      </c>
      <c r="F52" s="103"/>
      <c r="G52" s="74">
        <f>G32*'ФОТ, МТР, макро'!AK$13</f>
        <v>16496.068072019727</v>
      </c>
      <c r="H52" s="74">
        <f>H32*'ФОТ, МТР, макро'!AL$13</f>
        <v>14728.632207160468</v>
      </c>
      <c r="I52" s="74">
        <f>I32*'ФОТ, МТР, макро'!AM$13</f>
        <v>13150.56447067899</v>
      </c>
      <c r="J52" s="74">
        <f>J32*'ФОТ, МТР, макро'!AN$13</f>
        <v>11741.575420249097</v>
      </c>
      <c r="K52" s="74">
        <f>K32*'ФОТ, МТР, макро'!AO$13</f>
        <v>10483.549482365264</v>
      </c>
      <c r="L52" s="74">
        <f>L32*'ФОТ, МТР, макро'!AP$13</f>
        <v>9360.3120378261283</v>
      </c>
      <c r="M52" s="74">
        <f>M32*'ФОТ, МТР, макро'!AQ$13</f>
        <v>8357.4214623447569</v>
      </c>
      <c r="N52" s="74">
        <f>N32*'ФОТ, МТР, макро'!AR$13</f>
        <v>7461.9834485221045</v>
      </c>
      <c r="O52" s="74">
        <f>O32*'ФОТ, МТР, макро'!AS$13</f>
        <v>6662.4852218947353</v>
      </c>
      <c r="P52" s="74">
        <f>P32*'ФОТ, МТР, макро'!AT$13</f>
        <v>5948.6475195488702</v>
      </c>
      <c r="Q52" s="74">
        <f>Q32*'ФОТ, МТР, макро'!AU$13</f>
        <v>5311.2924281686337</v>
      </c>
      <c r="R52" s="74">
        <f>R32*'ФОТ, МТР, макро'!AV$13</f>
        <v>4742.2253822934226</v>
      </c>
      <c r="S52" s="74">
        <f>S32*'ФОТ, МТР, макро'!AW$13</f>
        <v>4234.1298056191272</v>
      </c>
      <c r="T52" s="74">
        <f>T32*'ФОТ, МТР, макро'!AX$13</f>
        <v>3780.4730407313632</v>
      </c>
      <c r="U52" s="74">
        <f>U32*'ФОТ, МТР, макро'!AY$13</f>
        <v>3375.4223577958596</v>
      </c>
      <c r="V52" s="74">
        <f>V32*'ФОТ, МТР, макро'!AZ$13</f>
        <v>3013.7699623177318</v>
      </c>
      <c r="W52" s="74">
        <f>W32*'ФОТ, МТР, макро'!BA$13</f>
        <v>2690.8660377836886</v>
      </c>
      <c r="X52" s="74">
        <f>X32*'ФОТ, МТР, макро'!BB$13</f>
        <v>2402.5589623068645</v>
      </c>
      <c r="Y52" s="74">
        <f>Y32*'ФОТ, МТР, макро'!BC$13</f>
        <v>2145.1419306311286</v>
      </c>
      <c r="Z52" s="74">
        <f>Z32*'ФОТ, МТР, макро'!BD$13</f>
        <v>1915.3052952063649</v>
      </c>
    </row>
    <row r="53" spans="1:26" outlineLevel="1" x14ac:dyDescent="0.25">
      <c r="A53" s="39" t="str">
        <f t="shared" si="1"/>
        <v>NHL NTE 240</v>
      </c>
      <c r="B53" s="39"/>
      <c r="D53" s="18" t="str">
        <f>D36</f>
        <v>Транспортный налог</v>
      </c>
      <c r="E53" s="9" t="str">
        <f t="shared" si="23"/>
        <v>тыс. руб.</v>
      </c>
      <c r="F53" s="103"/>
      <c r="G53" s="74">
        <f>G36*'ФОТ, МТР, макро'!AK$13</f>
        <v>189.73214285714283</v>
      </c>
      <c r="H53" s="74">
        <f>H36*'ФОТ, МТР, макро'!AL$13</f>
        <v>169.40369897959181</v>
      </c>
      <c r="I53" s="74">
        <f>I36*'ФОТ, МТР, макро'!AM$13</f>
        <v>151.25330266034982</v>
      </c>
      <c r="J53" s="74">
        <f>J36*'ФОТ, МТР, макро'!AN$13</f>
        <v>135.04759166102662</v>
      </c>
      <c r="K53" s="74">
        <f>K36*'ФОТ, МТР, макро'!AO$13</f>
        <v>120.57820684020233</v>
      </c>
      <c r="L53" s="74">
        <f>L36*'ФОТ, МТР, макро'!AP$13</f>
        <v>107.65911325018064</v>
      </c>
      <c r="M53" s="74">
        <f>M36*'ФОТ, МТР, макро'!AQ$13</f>
        <v>96.124208259089855</v>
      </c>
      <c r="N53" s="74">
        <f>N36*'ФОТ, МТР, макро'!AR$13</f>
        <v>85.825185945615928</v>
      </c>
      <c r="O53" s="74">
        <f>O36*'ФОТ, МТР, макро'!AS$13</f>
        <v>76.629630308585647</v>
      </c>
      <c r="P53" s="74">
        <f>P36*'ФОТ, МТР, макро'!AT$13</f>
        <v>68.419312775522897</v>
      </c>
      <c r="Q53" s="74">
        <f>Q36*'ФОТ, МТР, макро'!AU$13</f>
        <v>61.088672121002581</v>
      </c>
      <c r="R53" s="74">
        <f>R36*'ФОТ, МТР, макро'!AV$13</f>
        <v>54.543457250895159</v>
      </c>
      <c r="S53" s="74">
        <f>S36*'ФОТ, МТР, макро'!AW$13</f>
        <v>48.699515402584957</v>
      </c>
      <c r="T53" s="74">
        <f>T36*'ФОТ, МТР, макро'!AX$13</f>
        <v>43.481710180879425</v>
      </c>
      <c r="U53" s="74">
        <f>U36*'ФОТ, МТР, макро'!AY$13</f>
        <v>38.822955518642338</v>
      </c>
      <c r="V53" s="74">
        <f>V36*'ФОТ, МТР, макро'!AZ$13</f>
        <v>34.663353141644947</v>
      </c>
      <c r="W53" s="74">
        <f>W36*'ФОТ, МТР, макро'!BA$13</f>
        <v>30.949422447897266</v>
      </c>
      <c r="X53" s="74">
        <f>X36*'ФОТ, МТР, макро'!BB$13</f>
        <v>27.633412899908269</v>
      </c>
      <c r="Y53" s="74">
        <f>Y36*'ФОТ, МТР, макро'!BC$13</f>
        <v>24.672690089203808</v>
      </c>
      <c r="Z53" s="74">
        <f>Z36*'ФОТ, МТР, макро'!BD$13</f>
        <v>22.029187579646258</v>
      </c>
    </row>
    <row r="54" spans="1:26" outlineLevel="1" x14ac:dyDescent="0.25">
      <c r="A54" s="39" t="str">
        <f t="shared" si="1"/>
        <v>NHL NTE 240</v>
      </c>
      <c r="B54" s="39"/>
      <c r="D54" s="18" t="str">
        <f>D41</f>
        <v>Налог на прибыль</v>
      </c>
      <c r="E54" s="9" t="str">
        <f t="shared" si="23"/>
        <v>тыс. руб.</v>
      </c>
      <c r="F54" s="103"/>
      <c r="G54" s="74">
        <f>G41*'ФОТ, МТР, макро'!AK$13</f>
        <v>-26223.162022806748</v>
      </c>
      <c r="H54" s="74">
        <f>H41*'ФОТ, МТР, макро'!AL$13</f>
        <v>-24373.110366783028</v>
      </c>
      <c r="I54" s="74">
        <f>I41*'ФОТ, МТР, макро'!AM$13</f>
        <v>-29993.156559058549</v>
      </c>
      <c r="J54" s="74">
        <f>J41*'ФОТ, МТР, макро'!AN$13</f>
        <v>-22724.724155237647</v>
      </c>
      <c r="K54" s="74">
        <f>K41*'ФОТ, МТР, макро'!AO$13</f>
        <v>-18986.280455538439</v>
      </c>
      <c r="L54" s="74">
        <f>L41*'ФОТ, МТР, макро'!AP$13</f>
        <v>-22147.279117903854</v>
      </c>
      <c r="M54" s="74">
        <f>M41*'ФОТ, МТР, макро'!AQ$13</f>
        <v>-14789.715252800243</v>
      </c>
      <c r="N54" s="74">
        <f>N41*'ФОТ, МТР, макро'!AR$13</f>
        <v>-15037.127355827701</v>
      </c>
      <c r="O54" s="74">
        <f>O41*'ФОТ, МТР, макро'!AS$13</f>
        <v>-19497.383572841572</v>
      </c>
      <c r="P54" s="74">
        <f>P41*'ФОТ, МТР, макро'!AT$13</f>
        <v>-10623.992528863288</v>
      </c>
      <c r="Q54" s="74">
        <f>Q41*'ФОТ, МТР, макро'!AU$13</f>
        <v>-23101.257961213287</v>
      </c>
      <c r="R54" s="74">
        <f>R41*'ФОТ, МТР, макро'!AV$13</f>
        <v>-11270.150045497758</v>
      </c>
      <c r="S54" s="74">
        <f>S41*'ФОТ, МТР, макро'!AW$13</f>
        <v>-7880.1011978042316</v>
      </c>
      <c r="T54" s="74">
        <f>T41*'ФОТ, МТР, макро'!AX$13</f>
        <v>-7078.9271041355423</v>
      </c>
      <c r="U54" s="74">
        <f>U41*'ФОТ, МТР, макро'!AY$13</f>
        <v>-8924.2035514440959</v>
      </c>
      <c r="V54" s="74">
        <f>V41*'ФОТ, МТР, макро'!AZ$13</f>
        <v>-5537.4537932668791</v>
      </c>
      <c r="W54" s="74">
        <f>W41*'ФОТ, МТР, макро'!BA$13</f>
        <v>-4666.648884703066</v>
      </c>
      <c r="X54" s="74">
        <f>X41*'ФОТ, МТР, макро'!BB$13</f>
        <v>-7508.9428783841186</v>
      </c>
      <c r="Y54" s="74">
        <f>Y41*'ФОТ, МТР, макро'!BC$13</f>
        <v>-4018.6958409078688</v>
      </c>
      <c r="Z54" s="74">
        <f>Z41*'ФОТ, МТР, макро'!BD$13</f>
        <v>-3667.5988615645424</v>
      </c>
    </row>
    <row r="55" spans="1:26" outlineLevel="1" x14ac:dyDescent="0.25">
      <c r="A55" s="39" t="str">
        <f t="shared" si="1"/>
        <v>NHL NTE 240</v>
      </c>
      <c r="B55" s="39"/>
      <c r="D55" s="104" t="s">
        <v>88</v>
      </c>
      <c r="E55" s="9"/>
      <c r="F55" s="105"/>
      <c r="G55" s="106">
        <f>G47-SUM(G48:G54)</f>
        <v>0</v>
      </c>
      <c r="H55" s="106">
        <f t="shared" ref="H55:Z55" si="24">H47-SUM(H48:H54)</f>
        <v>0</v>
      </c>
      <c r="I55" s="106">
        <f t="shared" si="24"/>
        <v>0</v>
      </c>
      <c r="J55" s="106">
        <f t="shared" si="24"/>
        <v>0</v>
      </c>
      <c r="K55" s="106">
        <f t="shared" si="24"/>
        <v>0</v>
      </c>
      <c r="L55" s="106">
        <f t="shared" si="24"/>
        <v>0</v>
      </c>
      <c r="M55" s="106">
        <f t="shared" si="24"/>
        <v>0</v>
      </c>
      <c r="N55" s="106">
        <f t="shared" si="24"/>
        <v>0</v>
      </c>
      <c r="O55" s="106">
        <f t="shared" si="24"/>
        <v>0</v>
      </c>
      <c r="P55" s="106">
        <f t="shared" si="24"/>
        <v>0</v>
      </c>
      <c r="Q55" s="106">
        <f t="shared" si="24"/>
        <v>0</v>
      </c>
      <c r="R55" s="106">
        <f t="shared" si="24"/>
        <v>0</v>
      </c>
      <c r="S55" s="106">
        <f t="shared" si="24"/>
        <v>0</v>
      </c>
      <c r="T55" s="106">
        <f t="shared" si="24"/>
        <v>0</v>
      </c>
      <c r="U55" s="106">
        <f t="shared" si="24"/>
        <v>0</v>
      </c>
      <c r="V55" s="106">
        <f t="shared" si="24"/>
        <v>0</v>
      </c>
      <c r="W55" s="106">
        <f t="shared" si="24"/>
        <v>0</v>
      </c>
      <c r="X55" s="106">
        <f t="shared" si="24"/>
        <v>0</v>
      </c>
      <c r="Y55" s="106">
        <f t="shared" si="24"/>
        <v>0</v>
      </c>
      <c r="Z55" s="106">
        <f t="shared" si="24"/>
        <v>0</v>
      </c>
    </row>
    <row r="56" spans="1:26" ht="27.2" outlineLevel="1" x14ac:dyDescent="0.25">
      <c r="A56" s="39" t="str">
        <f t="shared" si="1"/>
        <v>NHL NTE 240</v>
      </c>
      <c r="B56" s="39"/>
      <c r="D56" s="107" t="s">
        <v>89</v>
      </c>
      <c r="E56" s="68" t="str">
        <f>E47</f>
        <v>тыс. руб.</v>
      </c>
      <c r="F56" s="69">
        <f>F47</f>
        <v>0</v>
      </c>
      <c r="G56" s="69">
        <f>F56+G47</f>
        <v>78669.486068420258</v>
      </c>
      <c r="H56" s="69">
        <f t="shared" ref="H56:Z63" si="25">G56+H47</f>
        <v>151788.81716876934</v>
      </c>
      <c r="I56" s="69">
        <f t="shared" si="25"/>
        <v>241768.286845945</v>
      </c>
      <c r="J56" s="69">
        <f t="shared" si="25"/>
        <v>309942.45931165793</v>
      </c>
      <c r="K56" s="69">
        <f t="shared" si="25"/>
        <v>366901.30067827326</v>
      </c>
      <c r="L56" s="69">
        <f t="shared" si="25"/>
        <v>433343.1380319848</v>
      </c>
      <c r="M56" s="69">
        <f t="shared" si="25"/>
        <v>477712.28379038553</v>
      </c>
      <c r="N56" s="69">
        <f t="shared" si="25"/>
        <v>522823.66585786862</v>
      </c>
      <c r="O56" s="69">
        <f t="shared" si="25"/>
        <v>581315.81657639332</v>
      </c>
      <c r="P56" s="69">
        <f t="shared" si="25"/>
        <v>613187.79416298319</v>
      </c>
      <c r="Q56" s="69">
        <f t="shared" si="25"/>
        <v>682491.56804662303</v>
      </c>
      <c r="R56" s="69">
        <f t="shared" si="25"/>
        <v>716302.01818311634</v>
      </c>
      <c r="S56" s="69">
        <f t="shared" si="25"/>
        <v>739942.32177652908</v>
      </c>
      <c r="T56" s="69">
        <f t="shared" si="25"/>
        <v>761179.10308893572</v>
      </c>
      <c r="U56" s="69">
        <f t="shared" si="25"/>
        <v>787951.71374326805</v>
      </c>
      <c r="V56" s="69">
        <f t="shared" si="25"/>
        <v>804564.07512306864</v>
      </c>
      <c r="W56" s="69">
        <f t="shared" si="25"/>
        <v>818564.02177717781</v>
      </c>
      <c r="X56" s="69">
        <f t="shared" si="25"/>
        <v>841090.85041233012</v>
      </c>
      <c r="Y56" s="69">
        <f t="shared" si="25"/>
        <v>853146.93793505372</v>
      </c>
      <c r="Z56" s="69">
        <f t="shared" si="25"/>
        <v>864149.73451974732</v>
      </c>
    </row>
    <row r="57" spans="1:26" outlineLevel="1" x14ac:dyDescent="0.25">
      <c r="A57" s="39" t="str">
        <f t="shared" si="1"/>
        <v>NHL NTE 240</v>
      </c>
      <c r="B57" s="39"/>
      <c r="D57" s="101" t="str">
        <f>D48</f>
        <v>ТО, ТР, ППР</v>
      </c>
      <c r="E57" s="9" t="str">
        <f>E48</f>
        <v>тыс. руб.</v>
      </c>
      <c r="F57" s="74">
        <f>F48</f>
        <v>0</v>
      </c>
      <c r="G57" s="74">
        <f>F57+G48</f>
        <v>5366.9649740885707</v>
      </c>
      <c r="H57" s="74">
        <f t="shared" si="25"/>
        <v>12025.896340111529</v>
      </c>
      <c r="I57" s="74">
        <f t="shared" si="25"/>
        <v>47251.712954509698</v>
      </c>
      <c r="J57" s="74">
        <f t="shared" si="25"/>
        <v>63977.801466810677</v>
      </c>
      <c r="K57" s="74">
        <f t="shared" si="25"/>
        <v>68958.209752489929</v>
      </c>
      <c r="L57" s="74">
        <f t="shared" si="25"/>
        <v>93443.578178910597</v>
      </c>
      <c r="M57" s="74">
        <f t="shared" si="25"/>
        <v>97124.210079621451</v>
      </c>
      <c r="N57" s="74">
        <f t="shared" si="25"/>
        <v>108389.70701084803</v>
      </c>
      <c r="O57" s="74">
        <f t="shared" si="25"/>
        <v>140902.49368201877</v>
      </c>
      <c r="P57" s="74">
        <f t="shared" si="25"/>
        <v>143128.82863779741</v>
      </c>
      <c r="Q57" s="74">
        <f t="shared" si="25"/>
        <v>200280.3187027477</v>
      </c>
      <c r="R57" s="74">
        <f t="shared" si="25"/>
        <v>212717.92339390979</v>
      </c>
      <c r="S57" s="74">
        <f t="shared" si="25"/>
        <v>214445.86437422031</v>
      </c>
      <c r="T57" s="74">
        <f t="shared" si="25"/>
        <v>216014.85839163102</v>
      </c>
      <c r="U57" s="74">
        <f t="shared" si="25"/>
        <v>228612.64740362688</v>
      </c>
      <c r="V57" s="74">
        <f t="shared" si="25"/>
        <v>229865.94275168437</v>
      </c>
      <c r="W57" s="74">
        <f t="shared" si="25"/>
        <v>230969.93297918973</v>
      </c>
      <c r="X57" s="74">
        <f t="shared" si="25"/>
        <v>245282.64703571016</v>
      </c>
      <c r="Y57" s="74">
        <f t="shared" si="25"/>
        <v>246189.13583865241</v>
      </c>
      <c r="Z57" s="74">
        <f t="shared" si="25"/>
        <v>247178.07684530542</v>
      </c>
    </row>
    <row r="58" spans="1:26" outlineLevel="1" x14ac:dyDescent="0.25">
      <c r="A58" s="39" t="str">
        <f t="shared" si="1"/>
        <v>NHL NTE 240</v>
      </c>
      <c r="B58" s="39"/>
      <c r="D58" s="101" t="str">
        <f t="shared" ref="D58:F63" si="26">D49</f>
        <v>Шины</v>
      </c>
      <c r="E58" s="9" t="str">
        <f t="shared" si="26"/>
        <v>тыс. руб.</v>
      </c>
      <c r="F58" s="74">
        <f t="shared" si="26"/>
        <v>0</v>
      </c>
      <c r="G58" s="74">
        <f t="shared" ref="G58:G63" si="27">F58+G49</f>
        <v>20849.010626289219</v>
      </c>
      <c r="H58" s="74">
        <f t="shared" si="25"/>
        <v>39960.330596057065</v>
      </c>
      <c r="I58" s="74">
        <f t="shared" si="25"/>
        <v>57941.4930755104</v>
      </c>
      <c r="J58" s="74">
        <f t="shared" si="25"/>
        <v>73620.098350599976</v>
      </c>
      <c r="K58" s="74">
        <f t="shared" si="25"/>
        <v>88811.55506986579</v>
      </c>
      <c r="L58" s="74">
        <f t="shared" si="25"/>
        <v>102562.2009318959</v>
      </c>
      <c r="M58" s="74">
        <f t="shared" si="25"/>
        <v>114397.29883869545</v>
      </c>
      <c r="N58" s="74">
        <f t="shared" si="25"/>
        <v>124800.47752841027</v>
      </c>
      <c r="O58" s="74">
        <f t="shared" si="25"/>
        <v>134549.90363720924</v>
      </c>
      <c r="P58" s="74">
        <f t="shared" si="25"/>
        <v>143170.53582565871</v>
      </c>
      <c r="Q58" s="74">
        <f t="shared" si="25"/>
        <v>150690.97905552358</v>
      </c>
      <c r="R58" s="74">
        <f t="shared" si="25"/>
        <v>157699.27330962906</v>
      </c>
      <c r="S58" s="74">
        <f t="shared" si="25"/>
        <v>164119.4977464485</v>
      </c>
      <c r="T58" s="74">
        <f t="shared" si="25"/>
        <v>169888.66161711048</v>
      </c>
      <c r="U58" s="74">
        <f t="shared" si="25"/>
        <v>174842.89586425709</v>
      </c>
      <c r="V58" s="74">
        <f t="shared" si="25"/>
        <v>179334.87403056608</v>
      </c>
      <c r="W58" s="74">
        <f t="shared" si="25"/>
        <v>183069.98053322322</v>
      </c>
      <c r="X58" s="74">
        <f t="shared" si="25"/>
        <v>186415.5077797001</v>
      </c>
      <c r="Y58" s="74">
        <f t="shared" si="25"/>
        <v>189686.94463957308</v>
      </c>
      <c r="Z58" s="74">
        <f t="shared" si="25"/>
        <v>192642.68616403936</v>
      </c>
    </row>
    <row r="59" spans="1:26" outlineLevel="1" x14ac:dyDescent="0.25">
      <c r="A59" s="39" t="str">
        <f t="shared" si="1"/>
        <v>NHL NTE 240</v>
      </c>
      <c r="B59" s="39"/>
      <c r="D59" s="101" t="str">
        <f t="shared" si="26"/>
        <v>Топливо</v>
      </c>
      <c r="E59" s="9" t="str">
        <f t="shared" si="26"/>
        <v>тыс. руб.</v>
      </c>
      <c r="F59" s="74">
        <f t="shared" si="26"/>
        <v>0</v>
      </c>
      <c r="G59" s="74">
        <f t="shared" si="27"/>
        <v>61990.872275972339</v>
      </c>
      <c r="H59" s="74">
        <f t="shared" si="25"/>
        <v>118815.02650117359</v>
      </c>
      <c r="I59" s="74">
        <f t="shared" si="25"/>
        <v>172278.85587021694</v>
      </c>
      <c r="J59" s="74">
        <f t="shared" si="25"/>
        <v>218896.43569186682</v>
      </c>
      <c r="K59" s="74">
        <f t="shared" si="25"/>
        <v>264065.56481987005</v>
      </c>
      <c r="L59" s="74">
        <f t="shared" si="25"/>
        <v>304950.69585195836</v>
      </c>
      <c r="M59" s="74">
        <f t="shared" si="25"/>
        <v>340140.28138504509</v>
      </c>
      <c r="N59" s="74">
        <f t="shared" si="25"/>
        <v>371072.3065529468</v>
      </c>
      <c r="O59" s="74">
        <f t="shared" si="25"/>
        <v>400060.51321214007</v>
      </c>
      <c r="P59" s="74">
        <f t="shared" si="25"/>
        <v>425692.4493510407</v>
      </c>
      <c r="Q59" s="74">
        <f t="shared" si="25"/>
        <v>448053.16680078907</v>
      </c>
      <c r="R59" s="74">
        <f t="shared" si="25"/>
        <v>468891.0991979682</v>
      </c>
      <c r="S59" s="74">
        <f t="shared" si="25"/>
        <v>487980.50925103348</v>
      </c>
      <c r="T59" s="74">
        <f t="shared" si="25"/>
        <v>505134.10502859071</v>
      </c>
      <c r="U59" s="74">
        <f t="shared" si="25"/>
        <v>519864.65066191013</v>
      </c>
      <c r="V59" s="74">
        <f t="shared" si="25"/>
        <v>533220.75900515181</v>
      </c>
      <c r="W59" s="74">
        <f t="shared" si="25"/>
        <v>544326.4423535699</v>
      </c>
      <c r="X59" s="74">
        <f t="shared" si="25"/>
        <v>554273.78018890228</v>
      </c>
      <c r="Y59" s="74">
        <f t="shared" si="25"/>
        <v>564000.82326899818</v>
      </c>
      <c r="Z59" s="74">
        <f t="shared" si="25"/>
        <v>572789.20170135109</v>
      </c>
    </row>
    <row r="60" spans="1:26" outlineLevel="1" x14ac:dyDescent="0.25">
      <c r="A60" s="39" t="str">
        <f t="shared" si="1"/>
        <v>NHL NTE 240</v>
      </c>
      <c r="B60" s="39"/>
      <c r="D60" s="101" t="str">
        <f t="shared" si="26"/>
        <v>Смазочные</v>
      </c>
      <c r="E60" s="9" t="str">
        <f t="shared" si="26"/>
        <v>тыс. руб.</v>
      </c>
      <c r="F60" s="74">
        <f t="shared" si="26"/>
        <v>0</v>
      </c>
      <c r="G60" s="74">
        <f t="shared" si="27"/>
        <v>0</v>
      </c>
      <c r="H60" s="74">
        <f t="shared" si="25"/>
        <v>0</v>
      </c>
      <c r="I60" s="74">
        <f t="shared" si="25"/>
        <v>0</v>
      </c>
      <c r="J60" s="74">
        <f t="shared" si="25"/>
        <v>0</v>
      </c>
      <c r="K60" s="74">
        <f t="shared" si="25"/>
        <v>0</v>
      </c>
      <c r="L60" s="74">
        <f t="shared" si="25"/>
        <v>0</v>
      </c>
      <c r="M60" s="74">
        <f t="shared" si="25"/>
        <v>0</v>
      </c>
      <c r="N60" s="74">
        <f t="shared" si="25"/>
        <v>0</v>
      </c>
      <c r="O60" s="74">
        <f t="shared" si="25"/>
        <v>0</v>
      </c>
      <c r="P60" s="74">
        <f t="shared" si="25"/>
        <v>0</v>
      </c>
      <c r="Q60" s="74">
        <f t="shared" si="25"/>
        <v>0</v>
      </c>
      <c r="R60" s="74">
        <f t="shared" si="25"/>
        <v>0</v>
      </c>
      <c r="S60" s="74">
        <f t="shared" si="25"/>
        <v>0</v>
      </c>
      <c r="T60" s="74">
        <f t="shared" si="25"/>
        <v>0</v>
      </c>
      <c r="U60" s="74">
        <f t="shared" si="25"/>
        <v>0</v>
      </c>
      <c r="V60" s="74">
        <f t="shared" si="25"/>
        <v>0</v>
      </c>
      <c r="W60" s="74">
        <f t="shared" si="25"/>
        <v>0</v>
      </c>
      <c r="X60" s="74">
        <f t="shared" si="25"/>
        <v>0</v>
      </c>
      <c r="Y60" s="74">
        <f t="shared" si="25"/>
        <v>0</v>
      </c>
      <c r="Z60" s="74">
        <f t="shared" si="25"/>
        <v>0</v>
      </c>
    </row>
    <row r="61" spans="1:26" outlineLevel="1" x14ac:dyDescent="0.25">
      <c r="A61" s="39" t="str">
        <f t="shared" si="1"/>
        <v>NHL NTE 240</v>
      </c>
      <c r="B61" s="39"/>
      <c r="D61" s="101" t="str">
        <f t="shared" si="26"/>
        <v>Затраты на персонал</v>
      </c>
      <c r="E61" s="9" t="str">
        <f t="shared" si="26"/>
        <v>тыс. руб.</v>
      </c>
      <c r="F61" s="74">
        <f t="shared" si="26"/>
        <v>0</v>
      </c>
      <c r="G61" s="74">
        <f t="shared" si="27"/>
        <v>16496.068072019727</v>
      </c>
      <c r="H61" s="74">
        <f t="shared" si="25"/>
        <v>31224.700279180193</v>
      </c>
      <c r="I61" s="74">
        <f t="shared" si="25"/>
        <v>44375.264749859183</v>
      </c>
      <c r="J61" s="74">
        <f t="shared" si="25"/>
        <v>56116.840170108277</v>
      </c>
      <c r="K61" s="74">
        <f t="shared" si="25"/>
        <v>66600.389652473546</v>
      </c>
      <c r="L61" s="74">
        <f t="shared" si="25"/>
        <v>75960.701690299669</v>
      </c>
      <c r="M61" s="74">
        <f t="shared" si="25"/>
        <v>84318.123152644432</v>
      </c>
      <c r="N61" s="74">
        <f t="shared" si="25"/>
        <v>91780.106601166539</v>
      </c>
      <c r="O61" s="74">
        <f t="shared" si="25"/>
        <v>98442.591823061273</v>
      </c>
      <c r="P61" s="74">
        <f t="shared" si="25"/>
        <v>104391.23934261015</v>
      </c>
      <c r="Q61" s="74">
        <f t="shared" si="25"/>
        <v>109702.53177077878</v>
      </c>
      <c r="R61" s="74">
        <f t="shared" si="25"/>
        <v>114444.75715307221</v>
      </c>
      <c r="S61" s="74">
        <f t="shared" si="25"/>
        <v>118678.88695869134</v>
      </c>
      <c r="T61" s="74">
        <f t="shared" si="25"/>
        <v>122459.3599994227</v>
      </c>
      <c r="U61" s="74">
        <f t="shared" si="25"/>
        <v>125834.78235721856</v>
      </c>
      <c r="V61" s="74">
        <f t="shared" si="25"/>
        <v>128848.55231953629</v>
      </c>
      <c r="W61" s="74">
        <f t="shared" si="25"/>
        <v>131539.41835731998</v>
      </c>
      <c r="X61" s="74">
        <f t="shared" si="25"/>
        <v>133941.97731962684</v>
      </c>
      <c r="Y61" s="74">
        <f t="shared" si="25"/>
        <v>136087.11925025797</v>
      </c>
      <c r="Z61" s="74">
        <f t="shared" si="25"/>
        <v>138002.42454546434</v>
      </c>
    </row>
    <row r="62" spans="1:26" outlineLevel="1" x14ac:dyDescent="0.25">
      <c r="A62" s="39" t="str">
        <f t="shared" si="1"/>
        <v>NHL NTE 240</v>
      </c>
      <c r="B62" s="39"/>
      <c r="D62" s="101" t="str">
        <f t="shared" si="26"/>
        <v>Транспортный налог</v>
      </c>
      <c r="E62" s="9" t="str">
        <f t="shared" si="26"/>
        <v>тыс. руб.</v>
      </c>
      <c r="F62" s="74">
        <f t="shared" si="26"/>
        <v>0</v>
      </c>
      <c r="G62" s="74">
        <f t="shared" si="27"/>
        <v>189.73214285714283</v>
      </c>
      <c r="H62" s="74">
        <f t="shared" si="25"/>
        <v>359.13584183673464</v>
      </c>
      <c r="I62" s="74">
        <f t="shared" si="25"/>
        <v>510.38914449708443</v>
      </c>
      <c r="J62" s="74">
        <f t="shared" si="25"/>
        <v>645.43673615811099</v>
      </c>
      <c r="K62" s="74">
        <f t="shared" si="25"/>
        <v>766.01494299831336</v>
      </c>
      <c r="L62" s="74">
        <f t="shared" si="25"/>
        <v>873.67405624849403</v>
      </c>
      <c r="M62" s="74">
        <f t="shared" si="25"/>
        <v>969.79826450758389</v>
      </c>
      <c r="N62" s="74">
        <f t="shared" si="25"/>
        <v>1055.6234504531999</v>
      </c>
      <c r="O62" s="74">
        <f t="shared" si="25"/>
        <v>1132.2530807617854</v>
      </c>
      <c r="P62" s="74">
        <f t="shared" si="25"/>
        <v>1200.6723935373084</v>
      </c>
      <c r="Q62" s="74">
        <f t="shared" si="25"/>
        <v>1261.7610656583111</v>
      </c>
      <c r="R62" s="74">
        <f t="shared" si="25"/>
        <v>1316.3045229092063</v>
      </c>
      <c r="S62" s="74">
        <f t="shared" si="25"/>
        <v>1365.0040383117912</v>
      </c>
      <c r="T62" s="74">
        <f t="shared" si="25"/>
        <v>1408.4857484926706</v>
      </c>
      <c r="U62" s="74">
        <f t="shared" si="25"/>
        <v>1447.308704011313</v>
      </c>
      <c r="V62" s="74">
        <f t="shared" si="25"/>
        <v>1481.9720571529579</v>
      </c>
      <c r="W62" s="74">
        <f t="shared" si="25"/>
        <v>1512.921479600855</v>
      </c>
      <c r="X62" s="74">
        <f t="shared" si="25"/>
        <v>1540.5548925007633</v>
      </c>
      <c r="Y62" s="74">
        <f t="shared" si="25"/>
        <v>1565.2275825899671</v>
      </c>
      <c r="Z62" s="74">
        <f t="shared" si="25"/>
        <v>1587.2567701696134</v>
      </c>
    </row>
    <row r="63" spans="1:26" outlineLevel="1" x14ac:dyDescent="0.25">
      <c r="A63" s="39" t="str">
        <f t="shared" si="1"/>
        <v>NHL NTE 240</v>
      </c>
      <c r="B63" s="39"/>
      <c r="D63" s="101" t="str">
        <f t="shared" si="26"/>
        <v>Налог на прибыль</v>
      </c>
      <c r="E63" s="9" t="str">
        <f t="shared" si="26"/>
        <v>тыс. руб.</v>
      </c>
      <c r="F63" s="74">
        <f t="shared" si="26"/>
        <v>0</v>
      </c>
      <c r="G63" s="74">
        <f t="shared" si="27"/>
        <v>-26223.162022806748</v>
      </c>
      <c r="H63" s="74">
        <f t="shared" si="25"/>
        <v>-50596.27238958978</v>
      </c>
      <c r="I63" s="74">
        <f t="shared" si="25"/>
        <v>-80589.428948648332</v>
      </c>
      <c r="J63" s="74">
        <f t="shared" si="25"/>
        <v>-103314.15310388598</v>
      </c>
      <c r="K63" s="74">
        <f t="shared" si="25"/>
        <v>-122300.43355942442</v>
      </c>
      <c r="L63" s="74">
        <f t="shared" si="25"/>
        <v>-144447.71267732827</v>
      </c>
      <c r="M63" s="74">
        <f t="shared" si="25"/>
        <v>-159237.4279301285</v>
      </c>
      <c r="N63" s="74">
        <f t="shared" si="25"/>
        <v>-174274.55528595619</v>
      </c>
      <c r="O63" s="74">
        <f t="shared" si="25"/>
        <v>-193771.93885879777</v>
      </c>
      <c r="P63" s="74">
        <f t="shared" si="25"/>
        <v>-204395.93138766105</v>
      </c>
      <c r="Q63" s="74">
        <f t="shared" si="25"/>
        <v>-227497.18934887435</v>
      </c>
      <c r="R63" s="74">
        <f t="shared" si="25"/>
        <v>-238767.3393943721</v>
      </c>
      <c r="S63" s="74">
        <f t="shared" si="25"/>
        <v>-246647.44059217634</v>
      </c>
      <c r="T63" s="74">
        <f t="shared" si="25"/>
        <v>-253726.36769631188</v>
      </c>
      <c r="U63" s="74">
        <f t="shared" si="25"/>
        <v>-262650.57124775596</v>
      </c>
      <c r="V63" s="74">
        <f t="shared" si="25"/>
        <v>-268188.02504102286</v>
      </c>
      <c r="W63" s="74">
        <f t="shared" si="25"/>
        <v>-272854.67392572592</v>
      </c>
      <c r="X63" s="74">
        <f t="shared" si="25"/>
        <v>-280363.61680411006</v>
      </c>
      <c r="Y63" s="74">
        <f t="shared" si="25"/>
        <v>-284382.31264501793</v>
      </c>
      <c r="Z63" s="74">
        <f t="shared" si="25"/>
        <v>-288049.91150658246</v>
      </c>
    </row>
    <row r="64" spans="1:26" outlineLevel="1" x14ac:dyDescent="0.25">
      <c r="A64" s="39" t="str">
        <f t="shared" si="1"/>
        <v>NHL NTE 240</v>
      </c>
      <c r="B64" s="39"/>
      <c r="D64" s="101"/>
      <c r="E64" s="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9" outlineLevel="1" x14ac:dyDescent="0.25">
      <c r="A65" s="39" t="str">
        <f t="shared" si="1"/>
        <v>NHL NTE 240</v>
      </c>
      <c r="B65" s="39"/>
      <c r="D65" s="67" t="s">
        <v>90</v>
      </c>
      <c r="E65" s="68" t="str">
        <f>E46</f>
        <v>тыс. руб.</v>
      </c>
      <c r="F65" s="69">
        <f>F43*'ФОТ, МТР, макро'!AJ$13</f>
        <v>0</v>
      </c>
      <c r="G65" s="69">
        <f>G43*'ФОТ, МТР, макро'!AK$13</f>
        <v>0</v>
      </c>
      <c r="H65" s="69">
        <f>H43*'ФОТ, МТР, макро'!AL$13</f>
        <v>0</v>
      </c>
      <c r="I65" s="69">
        <f>I43*'ФОТ, МТР, макро'!AM$13</f>
        <v>0</v>
      </c>
      <c r="J65" s="69">
        <f>J43*'ФОТ, МТР, макро'!AN$13</f>
        <v>0</v>
      </c>
      <c r="K65" s="69">
        <f>K43*'ФОТ, МТР, макро'!AO$13</f>
        <v>0</v>
      </c>
      <c r="L65" s="69">
        <f>L43*'ФОТ, МТР, макро'!AP$13</f>
        <v>0</v>
      </c>
      <c r="M65" s="69">
        <f>M43*'ФОТ, МТР, макро'!AQ$13</f>
        <v>0</v>
      </c>
      <c r="N65" s="69">
        <f>N43*'ФОТ, МТР, макро'!AR$13</f>
        <v>0</v>
      </c>
      <c r="O65" s="69">
        <f>O43*'ФОТ, МТР, макро'!AS$13</f>
        <v>0</v>
      </c>
      <c r="P65" s="69">
        <f>P43*'ФОТ, МТР, макро'!AT$13</f>
        <v>0</v>
      </c>
      <c r="Q65" s="69">
        <f>Q43*'ФОТ, МТР, макро'!AU$13</f>
        <v>0</v>
      </c>
      <c r="R65" s="69">
        <f>R43*'ФОТ, МТР, макро'!AV$13</f>
        <v>0</v>
      </c>
      <c r="S65" s="69">
        <f>S43*'ФОТ, МТР, макро'!AW$13</f>
        <v>0</v>
      </c>
      <c r="T65" s="69">
        <f>T43*'ФОТ, МТР, макро'!AX$13</f>
        <v>0</v>
      </c>
      <c r="U65" s="69">
        <f>U43*'ФОТ, МТР, макро'!AY$13</f>
        <v>0</v>
      </c>
      <c r="V65" s="69">
        <f>V43*'ФОТ, МТР, макро'!AZ$13</f>
        <v>0</v>
      </c>
      <c r="W65" s="69">
        <f>W43*'ФОТ, МТР, макро'!BA$13</f>
        <v>0</v>
      </c>
      <c r="X65" s="69">
        <f>X43*'ФОТ, МТР, макро'!BB$13</f>
        <v>0</v>
      </c>
      <c r="Y65" s="69">
        <f>Y43*'ФОТ, МТР, макро'!BC$13</f>
        <v>0</v>
      </c>
      <c r="Z65" s="69">
        <f>Z43*'ФОТ, МТР, макро'!BD$13</f>
        <v>0</v>
      </c>
    </row>
    <row r="66" spans="1:29" outlineLevel="1" x14ac:dyDescent="0.25">
      <c r="A66" s="39" t="str">
        <f t="shared" si="1"/>
        <v>NHL NTE 240</v>
      </c>
      <c r="B66" s="39"/>
      <c r="D66" s="101" t="str">
        <f>D44</f>
        <v>Самосвал</v>
      </c>
      <c r="E66" s="9" t="str">
        <f>E65</f>
        <v>тыс. руб.</v>
      </c>
      <c r="F66" s="74">
        <f>F44*'ФОТ, МТР, макро'!AJ$13</f>
        <v>0</v>
      </c>
      <c r="G66" s="74">
        <f>G44*'ФОТ, МТР, макро'!AK$13</f>
        <v>0</v>
      </c>
      <c r="H66" s="74">
        <f>H44*'ФОТ, МТР, макро'!AL$13</f>
        <v>0</v>
      </c>
      <c r="I66" s="74">
        <f>I44*'ФОТ, МТР, макро'!AM$13</f>
        <v>0</v>
      </c>
      <c r="J66" s="74">
        <f>J44*'ФОТ, МТР, макро'!AN$13</f>
        <v>0</v>
      </c>
      <c r="K66" s="74">
        <f>K44*'ФОТ, МТР, макро'!AO$13</f>
        <v>0</v>
      </c>
      <c r="L66" s="74">
        <f>L44*'ФОТ, МТР, макро'!AP$13</f>
        <v>0</v>
      </c>
      <c r="M66" s="74">
        <f>M44*'ФОТ, МТР, макро'!AQ$13</f>
        <v>0</v>
      </c>
      <c r="N66" s="74">
        <f>N44*'ФОТ, МТР, макро'!AR$13</f>
        <v>0</v>
      </c>
      <c r="O66" s="74">
        <f>O44*'ФОТ, МТР, макро'!AS$13</f>
        <v>0</v>
      </c>
      <c r="P66" s="74">
        <f>P44*'ФОТ, МТР, макро'!AT$13</f>
        <v>0</v>
      </c>
      <c r="Q66" s="74">
        <f>Q44*'ФОТ, МТР, макро'!AU$13</f>
        <v>0</v>
      </c>
      <c r="R66" s="74">
        <f>R44*'ФОТ, МТР, макро'!AV$13</f>
        <v>0</v>
      </c>
      <c r="S66" s="74">
        <f>S44*'ФОТ, МТР, макро'!AW$13</f>
        <v>0</v>
      </c>
      <c r="T66" s="74">
        <f>T44*'ФОТ, МТР, макро'!AX$13</f>
        <v>0</v>
      </c>
      <c r="U66" s="74">
        <f>U44*'ФОТ, МТР, макро'!AY$13</f>
        <v>0</v>
      </c>
      <c r="V66" s="74">
        <f>V44*'ФОТ, МТР, макро'!AZ$13</f>
        <v>0</v>
      </c>
      <c r="W66" s="74">
        <f>W44*'ФОТ, МТР, макро'!BA$13</f>
        <v>0</v>
      </c>
      <c r="X66" s="74">
        <f>X44*'ФОТ, МТР, макро'!BB$13</f>
        <v>0</v>
      </c>
      <c r="Y66" s="74">
        <f>Y44*'ФОТ, МТР, макро'!BC$13</f>
        <v>0</v>
      </c>
      <c r="Z66" s="74">
        <f>Z44*'ФОТ, МТР, макро'!BD$13</f>
        <v>0</v>
      </c>
    </row>
    <row r="67" spans="1:29" outlineLevel="1" x14ac:dyDescent="0.25">
      <c r="A67" s="39" t="str">
        <f t="shared" si="1"/>
        <v>NHL NTE 240</v>
      </c>
      <c r="B67" s="39"/>
      <c r="D67" s="104" t="s">
        <v>88</v>
      </c>
      <c r="E67" s="9"/>
      <c r="F67" s="106">
        <f>F65-F66</f>
        <v>0</v>
      </c>
      <c r="G67" s="106">
        <f t="shared" ref="G67:Z67" si="28">G65-G66</f>
        <v>0</v>
      </c>
      <c r="H67" s="106">
        <f t="shared" si="28"/>
        <v>0</v>
      </c>
      <c r="I67" s="106">
        <f t="shared" si="28"/>
        <v>0</v>
      </c>
      <c r="J67" s="106">
        <f t="shared" si="28"/>
        <v>0</v>
      </c>
      <c r="K67" s="106">
        <f t="shared" si="28"/>
        <v>0</v>
      </c>
      <c r="L67" s="106">
        <f t="shared" si="28"/>
        <v>0</v>
      </c>
      <c r="M67" s="106">
        <f t="shared" si="28"/>
        <v>0</v>
      </c>
      <c r="N67" s="106">
        <f t="shared" si="28"/>
        <v>0</v>
      </c>
      <c r="O67" s="106">
        <f t="shared" si="28"/>
        <v>0</v>
      </c>
      <c r="P67" s="106">
        <f t="shared" si="28"/>
        <v>0</v>
      </c>
      <c r="Q67" s="106">
        <f t="shared" si="28"/>
        <v>0</v>
      </c>
      <c r="R67" s="106">
        <f t="shared" si="28"/>
        <v>0</v>
      </c>
      <c r="S67" s="106">
        <f t="shared" si="28"/>
        <v>0</v>
      </c>
      <c r="T67" s="106">
        <f t="shared" si="28"/>
        <v>0</v>
      </c>
      <c r="U67" s="106">
        <f t="shared" si="28"/>
        <v>0</v>
      </c>
      <c r="V67" s="106">
        <f t="shared" si="28"/>
        <v>0</v>
      </c>
      <c r="W67" s="106">
        <f t="shared" si="28"/>
        <v>0</v>
      </c>
      <c r="X67" s="106">
        <f t="shared" si="28"/>
        <v>0</v>
      </c>
      <c r="Y67" s="106">
        <f t="shared" si="28"/>
        <v>0</v>
      </c>
      <c r="Z67" s="106">
        <f t="shared" si="28"/>
        <v>0</v>
      </c>
    </row>
    <row r="68" spans="1:29" outlineLevel="1" x14ac:dyDescent="0.25">
      <c r="A68" s="39" t="str">
        <f t="shared" si="1"/>
        <v>NHL NTE 240</v>
      </c>
      <c r="B68" s="39"/>
      <c r="D68" s="107" t="s">
        <v>91</v>
      </c>
      <c r="E68" s="68" t="str">
        <f>E65</f>
        <v>тыс. руб.</v>
      </c>
      <c r="F68" s="69">
        <f>F65</f>
        <v>0</v>
      </c>
      <c r="G68" s="69">
        <f>F68+G65</f>
        <v>0</v>
      </c>
      <c r="H68" s="69">
        <f t="shared" ref="H68:Z69" si="29">G68+H65</f>
        <v>0</v>
      </c>
      <c r="I68" s="69">
        <f t="shared" si="29"/>
        <v>0</v>
      </c>
      <c r="J68" s="69">
        <f t="shared" si="29"/>
        <v>0</v>
      </c>
      <c r="K68" s="69">
        <f t="shared" si="29"/>
        <v>0</v>
      </c>
      <c r="L68" s="69">
        <f t="shared" si="29"/>
        <v>0</v>
      </c>
      <c r="M68" s="69">
        <f t="shared" si="29"/>
        <v>0</v>
      </c>
      <c r="N68" s="69">
        <f t="shared" si="29"/>
        <v>0</v>
      </c>
      <c r="O68" s="69">
        <f t="shared" si="29"/>
        <v>0</v>
      </c>
      <c r="P68" s="69">
        <f t="shared" si="29"/>
        <v>0</v>
      </c>
      <c r="Q68" s="69">
        <f t="shared" si="29"/>
        <v>0</v>
      </c>
      <c r="R68" s="69">
        <f t="shared" si="29"/>
        <v>0</v>
      </c>
      <c r="S68" s="69">
        <f t="shared" si="29"/>
        <v>0</v>
      </c>
      <c r="T68" s="69">
        <f t="shared" si="29"/>
        <v>0</v>
      </c>
      <c r="U68" s="69">
        <f t="shared" si="29"/>
        <v>0</v>
      </c>
      <c r="V68" s="69">
        <f t="shared" si="29"/>
        <v>0</v>
      </c>
      <c r="W68" s="69">
        <f t="shared" si="29"/>
        <v>0</v>
      </c>
      <c r="X68" s="69">
        <f t="shared" si="29"/>
        <v>0</v>
      </c>
      <c r="Y68" s="69">
        <f t="shared" si="29"/>
        <v>0</v>
      </c>
      <c r="Z68" s="69">
        <f t="shared" si="29"/>
        <v>0</v>
      </c>
    </row>
    <row r="69" spans="1:29" outlineLevel="1" x14ac:dyDescent="0.25">
      <c r="A69" s="39" t="str">
        <f t="shared" si="1"/>
        <v>NHL NTE 240</v>
      </c>
      <c r="B69" s="39"/>
      <c r="D69" s="101" t="str">
        <f>D66</f>
        <v>Самосвал</v>
      </c>
      <c r="E69" s="9" t="str">
        <f>E66</f>
        <v>тыс. руб.</v>
      </c>
      <c r="F69" s="74">
        <f>F66</f>
        <v>0</v>
      </c>
      <c r="G69" s="74">
        <f>F69+G66</f>
        <v>0</v>
      </c>
      <c r="H69" s="74">
        <f t="shared" si="29"/>
        <v>0</v>
      </c>
      <c r="I69" s="74">
        <f t="shared" si="29"/>
        <v>0</v>
      </c>
      <c r="J69" s="74">
        <f t="shared" si="29"/>
        <v>0</v>
      </c>
      <c r="K69" s="74">
        <f t="shared" si="29"/>
        <v>0</v>
      </c>
      <c r="L69" s="74">
        <f t="shared" si="29"/>
        <v>0</v>
      </c>
      <c r="M69" s="74">
        <f t="shared" si="29"/>
        <v>0</v>
      </c>
      <c r="N69" s="74">
        <f t="shared" si="29"/>
        <v>0</v>
      </c>
      <c r="O69" s="74">
        <f t="shared" si="29"/>
        <v>0</v>
      </c>
      <c r="P69" s="74">
        <f t="shared" si="29"/>
        <v>0</v>
      </c>
      <c r="Q69" s="74">
        <f t="shared" si="29"/>
        <v>0</v>
      </c>
      <c r="R69" s="74">
        <f t="shared" si="29"/>
        <v>0</v>
      </c>
      <c r="S69" s="74">
        <f t="shared" si="29"/>
        <v>0</v>
      </c>
      <c r="T69" s="74">
        <f t="shared" si="29"/>
        <v>0</v>
      </c>
      <c r="U69" s="74">
        <f t="shared" si="29"/>
        <v>0</v>
      </c>
      <c r="V69" s="74">
        <f t="shared" si="29"/>
        <v>0</v>
      </c>
      <c r="W69" s="74">
        <f t="shared" si="29"/>
        <v>0</v>
      </c>
      <c r="X69" s="74">
        <f t="shared" si="29"/>
        <v>0</v>
      </c>
      <c r="Y69" s="74">
        <f t="shared" si="29"/>
        <v>0</v>
      </c>
      <c r="Z69" s="74">
        <f t="shared" si="29"/>
        <v>0</v>
      </c>
    </row>
    <row r="70" spans="1:29" outlineLevel="1" x14ac:dyDescent="0.25">
      <c r="A70" s="39" t="str">
        <f t="shared" si="1"/>
        <v>NHL NTE 240</v>
      </c>
      <c r="B70" s="39"/>
      <c r="D70" s="101"/>
      <c r="E70" s="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9" outlineLevel="1" x14ac:dyDescent="0.25">
      <c r="A71" s="39" t="str">
        <f t="shared" si="1"/>
        <v>NHL NTE 240</v>
      </c>
      <c r="B71" s="39"/>
      <c r="D71" s="67" t="s">
        <v>92</v>
      </c>
      <c r="E71" s="68" t="str">
        <f>E46</f>
        <v>тыс. руб.</v>
      </c>
      <c r="F71" s="69">
        <f>F46*'ФОТ, МТР, макро'!AJ$13</f>
        <v>0</v>
      </c>
      <c r="G71" s="69">
        <f>G46*'ФОТ, МТР, макро'!AK$13</f>
        <v>78669.486068420258</v>
      </c>
      <c r="H71" s="69">
        <f>H46*'ФОТ, МТР, макро'!AL$13</f>
        <v>73119.331100349082</v>
      </c>
      <c r="I71" s="69">
        <f>I46*'ФОТ, МТР, макро'!AM$13</f>
        <v>89979.469677175643</v>
      </c>
      <c r="J71" s="69">
        <f>J46*'ФОТ, МТР, макро'!AN$13</f>
        <v>68174.172465712938</v>
      </c>
      <c r="K71" s="69">
        <f>K46*'ФОТ, МТР, макро'!AO$13</f>
        <v>56958.841366615321</v>
      </c>
      <c r="L71" s="69">
        <f>L46*'ФОТ, МТР, макро'!AP$13</f>
        <v>66441.837353711569</v>
      </c>
      <c r="M71" s="69">
        <f>M46*'ФОТ, МТР, макро'!AQ$13</f>
        <v>44369.145758400729</v>
      </c>
      <c r="N71" s="69">
        <f>N46*'ФОТ, МТР, макро'!AR$13</f>
        <v>45111.3820674831</v>
      </c>
      <c r="O71" s="69">
        <f>O46*'ФОТ, МТР, макро'!AS$13</f>
        <v>58492.150718524717</v>
      </c>
      <c r="P71" s="69">
        <f>P46*'ФОТ, МТР, макро'!AT$13</f>
        <v>31871.977586589859</v>
      </c>
      <c r="Q71" s="69">
        <f>Q46*'ФОТ, МТР, макро'!AU$13</f>
        <v>69303.773883639864</v>
      </c>
      <c r="R71" s="69">
        <f>R46*'ФОТ, МТР, макро'!AV$13</f>
        <v>33810.450136493273</v>
      </c>
      <c r="S71" s="69">
        <f>S46*'ФОТ, МТР, макро'!AW$13</f>
        <v>23640.303593412693</v>
      </c>
      <c r="T71" s="69">
        <f>T46*'ФОТ, МТР, макро'!AX$13</f>
        <v>21236.781312406627</v>
      </c>
      <c r="U71" s="69">
        <f>U46*'ФОТ, МТР, макро'!AY$13</f>
        <v>26772.610654332289</v>
      </c>
      <c r="V71" s="69">
        <f>V46*'ФОТ, МТР, макро'!AZ$13</f>
        <v>16612.361379800637</v>
      </c>
      <c r="W71" s="69">
        <f>W46*'ФОТ, МТР, макро'!BA$13</f>
        <v>13999.946654109197</v>
      </c>
      <c r="X71" s="69">
        <f>X46*'ФОТ, МТР, макро'!BB$13</f>
        <v>22526.828635152357</v>
      </c>
      <c r="Y71" s="69">
        <f>Y46*'ФОТ, МТР, макро'!BC$13</f>
        <v>12056.087522723607</v>
      </c>
      <c r="Z71" s="69">
        <f>Z46*'ФОТ, МТР, макро'!BD$13</f>
        <v>11002.796584693628</v>
      </c>
    </row>
    <row r="72" spans="1:29" outlineLevel="1" x14ac:dyDescent="0.25">
      <c r="A72" s="39" t="str">
        <f t="shared" si="1"/>
        <v>NHL NTE 240</v>
      </c>
      <c r="B72" s="39"/>
      <c r="D72" s="107" t="s">
        <v>93</v>
      </c>
      <c r="E72" s="68" t="str">
        <f>E71</f>
        <v>тыс. руб.</v>
      </c>
      <c r="F72" s="69">
        <f>F71</f>
        <v>0</v>
      </c>
      <c r="G72" s="69">
        <f>F72+G71</f>
        <v>78669.486068420258</v>
      </c>
      <c r="H72" s="69">
        <f t="shared" ref="H72:Z72" si="30">G72+H71</f>
        <v>151788.81716876934</v>
      </c>
      <c r="I72" s="69">
        <f t="shared" si="30"/>
        <v>241768.286845945</v>
      </c>
      <c r="J72" s="69">
        <f t="shared" si="30"/>
        <v>309942.45931165793</v>
      </c>
      <c r="K72" s="69">
        <f t="shared" si="30"/>
        <v>366901.30067827326</v>
      </c>
      <c r="L72" s="69">
        <f t="shared" si="30"/>
        <v>433343.1380319848</v>
      </c>
      <c r="M72" s="69">
        <f t="shared" si="30"/>
        <v>477712.28379038553</v>
      </c>
      <c r="N72" s="69">
        <f t="shared" si="30"/>
        <v>522823.66585786862</v>
      </c>
      <c r="O72" s="69">
        <f t="shared" si="30"/>
        <v>581315.81657639332</v>
      </c>
      <c r="P72" s="69">
        <f t="shared" si="30"/>
        <v>613187.79416298319</v>
      </c>
      <c r="Q72" s="69">
        <f t="shared" si="30"/>
        <v>682491.56804662303</v>
      </c>
      <c r="R72" s="69">
        <f t="shared" si="30"/>
        <v>716302.01818311634</v>
      </c>
      <c r="S72" s="69">
        <f t="shared" si="30"/>
        <v>739942.32177652908</v>
      </c>
      <c r="T72" s="69">
        <f t="shared" si="30"/>
        <v>761179.10308893572</v>
      </c>
      <c r="U72" s="69">
        <f t="shared" si="30"/>
        <v>787951.71374326805</v>
      </c>
      <c r="V72" s="69">
        <f t="shared" si="30"/>
        <v>804564.07512306864</v>
      </c>
      <c r="W72" s="69">
        <f t="shared" si="30"/>
        <v>818564.02177717781</v>
      </c>
      <c r="X72" s="69">
        <f t="shared" si="30"/>
        <v>841090.85041233012</v>
      </c>
      <c r="Y72" s="69">
        <f t="shared" si="30"/>
        <v>853146.93793505372</v>
      </c>
      <c r="Z72" s="69">
        <f t="shared" si="30"/>
        <v>864149.73451974732</v>
      </c>
    </row>
    <row r="73" spans="1:29" outlineLevel="1" x14ac:dyDescent="0.25">
      <c r="A73" s="39" t="str">
        <f t="shared" ref="A73:A95" si="31">A72</f>
        <v>NHL NTE 240</v>
      </c>
      <c r="B73" s="39"/>
      <c r="D73" s="101"/>
      <c r="E73" s="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9" outlineLevel="1" x14ac:dyDescent="0.25">
      <c r="A74" s="39" t="str">
        <f t="shared" si="31"/>
        <v>NHL NTE 240</v>
      </c>
      <c r="B74" s="39" t="str">
        <f>D74</f>
        <v>Аннуитет операционный</v>
      </c>
      <c r="C74" s="61">
        <f>E5</f>
        <v>20</v>
      </c>
      <c r="D74" s="108" t="s">
        <v>94</v>
      </c>
      <c r="E74" s="109" t="s">
        <v>95</v>
      </c>
      <c r="F74" s="110"/>
      <c r="G74" s="111">
        <f>G56/'ФОТ, МТР, макро'!AK$14/(G12/G7)</f>
        <v>7.5403149666405378</v>
      </c>
      <c r="H74" s="111">
        <f>H56/'ФОТ, МТР, макро'!AL$14/(H12/H7)</f>
        <v>7.5850059808079822</v>
      </c>
      <c r="I74" s="111">
        <f>I56/'ФОТ, МТР, макро'!AM$14/(I12/I7)</f>
        <v>8.3136481103200275</v>
      </c>
      <c r="J74" s="111">
        <f>J56/'ФОТ, МТР, макро'!AN$14/(J12/J7)</f>
        <v>8.3867608209866287</v>
      </c>
      <c r="K74" s="111">
        <f>K56/'ФОТ, МТР, макро'!AO$14/(K12/K7)</f>
        <v>8.1994475474940725</v>
      </c>
      <c r="L74" s="111">
        <f>L56/'ФОТ, МТР, макро'!AP$14/(L12/L7)</f>
        <v>8.3597499368559447</v>
      </c>
      <c r="M74" s="111">
        <f>M56/'ФОТ, МТР, макро'!AQ$14/(M12/M7)</f>
        <v>8.2569082373086111</v>
      </c>
      <c r="N74" s="111">
        <f>N56/'ФОТ, МТР, макро'!AR$14/(N12/N7)</f>
        <v>8.2845740910141963</v>
      </c>
      <c r="O74" s="111">
        <f>O56/'ФОТ, МТР, макро'!AS$14/(O12/O7)</f>
        <v>8.5264590228719861</v>
      </c>
      <c r="P74" s="111">
        <f>P56/'ФОТ, МТР, макро'!AT$14/(P12/P7)</f>
        <v>8.4416617428744356</v>
      </c>
      <c r="Q74" s="111">
        <f>Q56/'ФОТ, МТР, макро'!AU$14/(Q12/Q7)</f>
        <v>8.9260121704272617</v>
      </c>
      <c r="R74" s="111">
        <f>R56/'ФОТ, МТР, макро'!AV$14/(R12/R7)</f>
        <v>8.9345568449852166</v>
      </c>
      <c r="S74" s="111">
        <f>S56/'ФОТ, МТР, макро'!AW$14/(S12/S7)</f>
        <v>8.8435787932836671</v>
      </c>
      <c r="T74" s="111">
        <f>T56/'ФОТ, МТР, макро'!AX$14/(T12/T7)</f>
        <v>8.7644715838431289</v>
      </c>
      <c r="U74" s="111">
        <f>U56/'ФОТ, МТР, макро'!AY$14/(U12/U7)</f>
        <v>8.8084396146164199</v>
      </c>
      <c r="V74" s="111">
        <f>V56/'ФОТ, МТР, макро'!AZ$14/(V12/V7)</f>
        <v>8.7568461561439772</v>
      </c>
      <c r="W74" s="111">
        <f>W56/'ФОТ, МТР, макро'!BA$14/(W12/W7)</f>
        <v>8.7402774354464956</v>
      </c>
      <c r="X74" s="111">
        <f>X56/'ФОТ, МТР, макро'!BB$14/(X12/X7)</f>
        <v>8.830165888594296</v>
      </c>
      <c r="Y74" s="111">
        <f>Y56/'ФОТ, МТР, макро'!BC$14/(Y12/Y7)</f>
        <v>8.7817459800610731</v>
      </c>
      <c r="Z74" s="111">
        <f>Z56/'ФОТ, МТР, макро'!BD$14/(Z12/Z7)</f>
        <v>8.7358346139070342</v>
      </c>
      <c r="AC74" s="112" cm="1">
        <f t="array" ref="AC74">INDEX(G74:Z74,1,$C74)</f>
        <v>8.7358346139070342</v>
      </c>
    </row>
    <row r="75" spans="1:29" outlineLevel="1" x14ac:dyDescent="0.25">
      <c r="A75" s="39" t="str">
        <f t="shared" si="31"/>
        <v>NHL NTE 240</v>
      </c>
      <c r="B75" s="39" t="str">
        <f>D75</f>
        <v>ТО, ТР, ППР</v>
      </c>
      <c r="C75" s="39">
        <f>C74</f>
        <v>20</v>
      </c>
      <c r="D75" s="113" t="str">
        <f>D57</f>
        <v>ТО, ТР, ППР</v>
      </c>
      <c r="E75" s="114" t="str">
        <f>E74</f>
        <v>руб/ткм</v>
      </c>
      <c r="F75" s="115"/>
      <c r="G75" s="116">
        <f>G57/'ФОТ, МТР, макро'!AK$14/(G12/G7)</f>
        <v>0.51441299977934685</v>
      </c>
      <c r="H75" s="116">
        <f>H57/'ФОТ, МТР, макро'!AL$14/(H12/H7)</f>
        <v>0.60094345134070015</v>
      </c>
      <c r="I75" s="116">
        <f>I57/'ФОТ, МТР, макро'!AM$14/(I12/I7)</f>
        <v>1.6248372325356228</v>
      </c>
      <c r="J75" s="116">
        <f>J57/'ФОТ, МТР, макро'!AN$14/(J12/J7)</f>
        <v>1.731181071307085</v>
      </c>
      <c r="K75" s="116">
        <f>K57/'ФОТ, МТР, макро'!AO$14/(K12/K7)</f>
        <v>1.541066283464712</v>
      </c>
      <c r="L75" s="116">
        <f>L57/'ФОТ, МТР, макро'!AP$14/(L12/L7)</f>
        <v>1.8026475516108995</v>
      </c>
      <c r="M75" s="116">
        <f>M57/'ФОТ, МТР, макро'!AQ$14/(M12/M7)</f>
        <v>1.6787210994147319</v>
      </c>
      <c r="N75" s="116">
        <f>N57/'ФОТ, МТР, макро'!AR$14/(N12/N7)</f>
        <v>1.7175246972825546</v>
      </c>
      <c r="O75" s="116">
        <f>O57/'ФОТ, МТР, макро'!AS$14/(O12/O7)</f>
        <v>2.0666895762027329</v>
      </c>
      <c r="P75" s="116">
        <f>P57/'ФОТ, МТР, макро'!AT$14/(P12/P7)</f>
        <v>1.9704324980300865</v>
      </c>
      <c r="Q75" s="116">
        <f>Q57/'ФОТ, МТР, макро'!AU$14/(Q12/Q7)</f>
        <v>2.619379705092054</v>
      </c>
      <c r="R75" s="116">
        <f>R57/'ФОТ, МТР, макро'!AV$14/(R12/R7)</f>
        <v>2.653266820789888</v>
      </c>
      <c r="S75" s="116">
        <f>S57/'ФОТ, МТР, макро'!AW$14/(S12/S7)</f>
        <v>2.5629955777282798</v>
      </c>
      <c r="T75" s="116">
        <f>T57/'ФОТ, МТР, макро'!AX$14/(T12/T7)</f>
        <v>2.4872675568448188</v>
      </c>
      <c r="U75" s="116">
        <f>U57/'ФОТ, МТР, макро'!AY$14/(U12/U7)</f>
        <v>2.5556397234368569</v>
      </c>
      <c r="V75" s="116">
        <f>V57/'ФОТ, МТР, макро'!AZ$14/(V12/V7)</f>
        <v>2.5018525676846792</v>
      </c>
      <c r="W75" s="116">
        <f>W57/'ФОТ, МТР, макро'!BA$14/(W12/W7)</f>
        <v>2.4661984154907373</v>
      </c>
      <c r="X75" s="116">
        <f>X57/'ФОТ, МТР, макро'!BB$14/(X12/X7)</f>
        <v>2.5750921697187112</v>
      </c>
      <c r="Y75" s="116">
        <f>Y57/'ФОТ, МТР, макро'!BC$14/(Y12/Y7)</f>
        <v>2.5341126573326296</v>
      </c>
      <c r="Z75" s="116">
        <f>Z57/'ФОТ, МТР, макро'!BD$14/(Z12/Z7)</f>
        <v>2.4987646390983738</v>
      </c>
      <c r="AC75" s="117" cm="1">
        <f t="array" ref="AC75">INDEX(G75:Z75,1,$C75)</f>
        <v>2.4987646390983738</v>
      </c>
    </row>
    <row r="76" spans="1:29" outlineLevel="1" x14ac:dyDescent="0.25">
      <c r="A76" s="39" t="str">
        <f t="shared" si="31"/>
        <v>NHL NTE 240</v>
      </c>
      <c r="B76" s="39" t="str">
        <f>D76</f>
        <v>Шины</v>
      </c>
      <c r="C76" s="39">
        <f t="shared" ref="C76:C84" si="32">C75</f>
        <v>20</v>
      </c>
      <c r="D76" s="113" t="str">
        <f t="shared" ref="D76:D81" si="33">D58</f>
        <v>Шины</v>
      </c>
      <c r="E76" s="114" t="str">
        <f t="shared" ref="E76:E81" si="34">E75</f>
        <v>руб/ткм</v>
      </c>
      <c r="F76" s="115"/>
      <c r="G76" s="116">
        <f>G58/'ФОТ, МТР, макро'!AK$14/(G12/G7)</f>
        <v>1.9983365180284707</v>
      </c>
      <c r="H76" s="116">
        <f>H58/'ФОТ, МТР, макро'!AL$14/(H12/H7)</f>
        <v>1.9968489920383934</v>
      </c>
      <c r="I76" s="116">
        <f>I58/'ФОТ, МТР, макро'!AM$14/(I12/I7)</f>
        <v>1.9924250227379121</v>
      </c>
      <c r="J76" s="116">
        <f>J58/'ФОТ, МТР, макро'!AN$14/(J12/J7)</f>
        <v>1.9920928479926097</v>
      </c>
      <c r="K76" s="116">
        <f>K58/'ФОТ, МТР, макро'!AO$14/(K12/K7)</f>
        <v>1.984745450780758</v>
      </c>
      <c r="L76" s="116">
        <f>L58/'ФОТ, МТР, макро'!AP$14/(L12/L7)</f>
        <v>1.9785575852384671</v>
      </c>
      <c r="M76" s="116">
        <f>M58/'ФОТ, МТР, макро'!AQ$14/(M12/M7)</f>
        <v>1.9772738343934746</v>
      </c>
      <c r="N76" s="116">
        <f>N58/'ФОТ, МТР, макро'!AR$14/(N12/N7)</f>
        <v>1.9775669507645077</v>
      </c>
      <c r="O76" s="116">
        <f>O58/'ФОТ, МТР, макро'!AS$14/(O12/O7)</f>
        <v>1.9735128602737333</v>
      </c>
      <c r="P76" s="116">
        <f>P58/'ФОТ, МТР, макро'!AT$14/(P12/P7)</f>
        <v>1.9710066744496484</v>
      </c>
      <c r="Q76" s="116">
        <f>Q58/'ФОТ, МТР, макро'!AU$14/(Q12/Q7)</f>
        <v>1.9708221698224959</v>
      </c>
      <c r="R76" s="116">
        <f>R58/'ФОТ, МТР, макро'!AV$14/(R12/R7)</f>
        <v>1.9670098450533042</v>
      </c>
      <c r="S76" s="116">
        <f>S58/'ФОТ, МТР, макро'!AW$14/(S12/S7)</f>
        <v>1.9615092516267756</v>
      </c>
      <c r="T76" s="116">
        <f>T58/'ФОТ, МТР, макро'!AX$14/(T12/T7)</f>
        <v>1.9561550509175418</v>
      </c>
      <c r="U76" s="116">
        <f>U58/'ФОТ, МТР, макро'!AY$14/(U12/U7)</f>
        <v>1.9545526247396066</v>
      </c>
      <c r="V76" s="116">
        <f>V58/'ФОТ, МТР, макро'!AZ$14/(V12/V7)</f>
        <v>1.9518742520002679</v>
      </c>
      <c r="W76" s="116">
        <f>W58/'ФОТ, МТР, макро'!BA$14/(W12/W7)</f>
        <v>1.9547431567884377</v>
      </c>
      <c r="X76" s="116">
        <f>X58/'ФОТ, МТР, макро'!BB$14/(X12/X7)</f>
        <v>1.9570773562622048</v>
      </c>
      <c r="Y76" s="116">
        <f>Y58/'ФОТ, МТР, макро'!BC$14/(Y12/Y7)</f>
        <v>1.9525154337311197</v>
      </c>
      <c r="Z76" s="116">
        <f>Z58/'ФОТ, МТР, макро'!BD$14/(Z12/Z7)</f>
        <v>1.9474572272398096</v>
      </c>
      <c r="AC76" s="117" cm="1">
        <f t="array" ref="AC76">INDEX(G76:Z76,1,$C76)</f>
        <v>1.9474572272398096</v>
      </c>
    </row>
    <row r="77" spans="1:29" outlineLevel="1" x14ac:dyDescent="0.25">
      <c r="A77" s="39" t="str">
        <f t="shared" si="31"/>
        <v>NHL NTE 240</v>
      </c>
      <c r="B77" s="39" t="str">
        <f t="shared" ref="B77:B84" si="35">D77</f>
        <v>Топливо</v>
      </c>
      <c r="C77" s="39">
        <f t="shared" si="32"/>
        <v>20</v>
      </c>
      <c r="D77" s="113" t="str">
        <f t="shared" si="33"/>
        <v>Топливо</v>
      </c>
      <c r="E77" s="114" t="str">
        <f t="shared" si="34"/>
        <v>руб/ткм</v>
      </c>
      <c r="F77" s="115"/>
      <c r="G77" s="116">
        <f>G59/'ФОТ, МТР, макро'!AK$14/(G12/G7)</f>
        <v>5.9417027538616862</v>
      </c>
      <c r="H77" s="116">
        <f>H59/'ФОТ, МТР, макро'!AL$14/(H12/H7)</f>
        <v>5.9372798565208509</v>
      </c>
      <c r="I77" s="116">
        <f>I59/'ФОТ, МТР, макро'!AM$14/(I12/I7)</f>
        <v>5.9241259605986567</v>
      </c>
      <c r="J77" s="116">
        <f>J59/'ФОТ, МТР, макро'!AN$14/(J12/J7)</f>
        <v>5.9231382973191629</v>
      </c>
      <c r="K77" s="116">
        <f>K59/'ФОТ, МТР, макро'!AO$14/(K12/K7)</f>
        <v>5.9012921018192959</v>
      </c>
      <c r="L77" s="116">
        <f>L59/'ФОТ, МТР, макро'!AP$14/(L12/L7)</f>
        <v>5.882893570139843</v>
      </c>
      <c r="M77" s="116">
        <f>M59/'ФОТ, МТР, макро'!AQ$14/(M12/M7)</f>
        <v>5.8790765624125907</v>
      </c>
      <c r="N77" s="116">
        <f>N59/'ФОТ, МТР, макро'!AR$14/(N12/N7)</f>
        <v>5.879948092474347</v>
      </c>
      <c r="O77" s="116">
        <f>O59/'ФОТ, МТР, макро'!AS$14/(O12/O7)</f>
        <v>5.8678939662467977</v>
      </c>
      <c r="P77" s="116">
        <f>P59/'ФОТ, МТР, макро'!AT$14/(P12/P7)</f>
        <v>5.86044226275326</v>
      </c>
      <c r="Q77" s="116">
        <f>Q59/'ФОТ, МТР, макро'!AU$14/(Q12/Q7)</f>
        <v>5.8598936706410907</v>
      </c>
      <c r="R77" s="116">
        <f>R59/'ФОТ, МТР, макро'!AV$14/(R12/R7)</f>
        <v>5.8485583923356792</v>
      </c>
      <c r="S77" s="116">
        <f>S59/'ФОТ, МТР, макро'!AW$14/(S12/S7)</f>
        <v>5.8322033436161949</v>
      </c>
      <c r="T77" s="116">
        <f>T59/'ФОТ, МТР, макро'!AX$14/(T12/T7)</f>
        <v>5.8162835679368863</v>
      </c>
      <c r="U77" s="116">
        <f>U59/'ФОТ, МТР, макро'!AY$14/(U12/U7)</f>
        <v>5.811519035062469</v>
      </c>
      <c r="V77" s="116">
        <f>V59/'ФОТ, МТР, макро'!AZ$14/(V12/V7)</f>
        <v>5.8035553640102586</v>
      </c>
      <c r="W77" s="116">
        <f>W59/'ФОТ, МТР, макро'!BA$14/(W12/W7)</f>
        <v>5.812085548654661</v>
      </c>
      <c r="X77" s="116">
        <f>X59/'ФОТ, МТР, макро'!BB$14/(X12/X7)</f>
        <v>5.8190258809341442</v>
      </c>
      <c r="Y77" s="116">
        <f>Y59/'ФОТ, МТР, макро'!BC$14/(Y12/Y7)</f>
        <v>5.8054618053035814</v>
      </c>
      <c r="Z77" s="116">
        <f>Z59/'ФОТ, МТР, макро'!BD$14/(Z12/Z7)</f>
        <v>5.7904221164584468</v>
      </c>
      <c r="AC77" s="117" cm="1">
        <f t="array" ref="AC77">INDEX(G77:Z77,1,$C77)</f>
        <v>5.7904221164584468</v>
      </c>
    </row>
    <row r="78" spans="1:29" outlineLevel="1" x14ac:dyDescent="0.25">
      <c r="A78" s="39" t="str">
        <f t="shared" si="31"/>
        <v>NHL NTE 240</v>
      </c>
      <c r="B78" s="39" t="str">
        <f t="shared" si="35"/>
        <v>Смазочные</v>
      </c>
      <c r="C78" s="39">
        <f t="shared" si="32"/>
        <v>20</v>
      </c>
      <c r="D78" s="113" t="str">
        <f t="shared" si="33"/>
        <v>Смазочные</v>
      </c>
      <c r="E78" s="114" t="str">
        <f t="shared" si="34"/>
        <v>руб/ткм</v>
      </c>
      <c r="F78" s="115"/>
      <c r="G78" s="116">
        <f>G60/'ФОТ, МТР, макро'!AK$14/(G12/G7)</f>
        <v>0</v>
      </c>
      <c r="H78" s="116">
        <f>H60/'ФОТ, МТР, макро'!AL$14/(H12/H7)</f>
        <v>0</v>
      </c>
      <c r="I78" s="116">
        <f>I60/'ФОТ, МТР, макро'!AM$14/(I12/I7)</f>
        <v>0</v>
      </c>
      <c r="J78" s="116">
        <f>J60/'ФОТ, МТР, макро'!AN$14/(J12/J7)</f>
        <v>0</v>
      </c>
      <c r="K78" s="116">
        <f>K60/'ФОТ, МТР, макро'!AO$14/(K12/K7)</f>
        <v>0</v>
      </c>
      <c r="L78" s="116">
        <f>L60/'ФОТ, МТР, макро'!AP$14/(L12/L7)</f>
        <v>0</v>
      </c>
      <c r="M78" s="116">
        <f>M60/'ФОТ, МТР, макро'!AQ$14/(M12/M7)</f>
        <v>0</v>
      </c>
      <c r="N78" s="116">
        <f>N60/'ФОТ, МТР, макро'!AR$14/(N12/N7)</f>
        <v>0</v>
      </c>
      <c r="O78" s="116">
        <f>O60/'ФОТ, МТР, макро'!AS$14/(O12/O7)</f>
        <v>0</v>
      </c>
      <c r="P78" s="116">
        <f>P60/'ФОТ, МТР, макро'!AT$14/(P12/P7)</f>
        <v>0</v>
      </c>
      <c r="Q78" s="116">
        <f>Q60/'ФОТ, МТР, макро'!AU$14/(Q12/Q7)</f>
        <v>0</v>
      </c>
      <c r="R78" s="116">
        <f>R60/'ФОТ, МТР, макро'!AV$14/(R12/R7)</f>
        <v>0</v>
      </c>
      <c r="S78" s="116">
        <f>S60/'ФОТ, МТР, макро'!AW$14/(S12/S7)</f>
        <v>0</v>
      </c>
      <c r="T78" s="116">
        <f>T60/'ФОТ, МТР, макро'!AX$14/(T12/T7)</f>
        <v>0</v>
      </c>
      <c r="U78" s="116">
        <f>U60/'ФОТ, МТР, макро'!AY$14/(U12/U7)</f>
        <v>0</v>
      </c>
      <c r="V78" s="116">
        <f>V60/'ФОТ, МТР, макро'!AZ$14/(V12/V7)</f>
        <v>0</v>
      </c>
      <c r="W78" s="116">
        <f>W60/'ФОТ, МТР, макро'!BA$14/(W12/W7)</f>
        <v>0</v>
      </c>
      <c r="X78" s="116">
        <f>X60/'ФОТ, МТР, макро'!BB$14/(X12/X7)</f>
        <v>0</v>
      </c>
      <c r="Y78" s="116">
        <f>Y60/'ФОТ, МТР, макро'!BC$14/(Y12/Y7)</f>
        <v>0</v>
      </c>
      <c r="Z78" s="116">
        <f>Z60/'ФОТ, МТР, макро'!BD$14/(Z12/Z7)</f>
        <v>0</v>
      </c>
      <c r="AC78" s="117" cm="1">
        <f t="array" ref="AC78">INDEX(G78:Z78,1,$C78)</f>
        <v>0</v>
      </c>
    </row>
    <row r="79" spans="1:29" outlineLevel="1" x14ac:dyDescent="0.25">
      <c r="A79" s="39" t="str">
        <f t="shared" si="31"/>
        <v>NHL NTE 240</v>
      </c>
      <c r="B79" s="39" t="str">
        <f t="shared" si="35"/>
        <v>Затраты на персонал</v>
      </c>
      <c r="C79" s="39">
        <f t="shared" si="32"/>
        <v>20</v>
      </c>
      <c r="D79" s="113" t="str">
        <f t="shared" si="33"/>
        <v>Затраты на персонал</v>
      </c>
      <c r="E79" s="114" t="str">
        <f t="shared" si="34"/>
        <v>руб/ткм</v>
      </c>
      <c r="F79" s="115"/>
      <c r="G79" s="116">
        <f>G61/'ФОТ, МТР, макро'!AK$14/(G12/G7)</f>
        <v>1.581115565773382</v>
      </c>
      <c r="H79" s="116">
        <f>H61/'ФОТ, МТР, макро'!AL$14/(H12/H7)</f>
        <v>1.5603227087749407</v>
      </c>
      <c r="I79" s="116">
        <f>I61/'ФОТ, МТР, макро'!AM$14/(I12/I7)</f>
        <v>1.5259252598654272</v>
      </c>
      <c r="J79" s="116">
        <f>J61/'ФОТ, МТР, макро'!AN$14/(J12/J7)</f>
        <v>1.5184706141309581</v>
      </c>
      <c r="K79" s="116">
        <f>K61/'ФОТ, МТР, макро'!AO$14/(K12/K7)</f>
        <v>1.4883741229278813</v>
      </c>
      <c r="L79" s="116">
        <f>L61/'ФОТ, МТР, макро'!AP$14/(L12/L7)</f>
        <v>1.4653802389554536</v>
      </c>
      <c r="M79" s="116">
        <f>M61/'ФОТ, МТР, макро'!AQ$14/(M12/M7)</f>
        <v>1.457377231519881</v>
      </c>
      <c r="N79" s="116">
        <f>N61/'ФОТ, МТР, макро'!AR$14/(N12/N7)</f>
        <v>1.4543318194499089</v>
      </c>
      <c r="O79" s="116">
        <f>O61/'ФОТ, МТР, макро'!AS$14/(O12/O7)</f>
        <v>1.4439082876292939</v>
      </c>
      <c r="P79" s="116">
        <f>P61/'ФОТ, МТР, макро'!AT$14/(P12/P7)</f>
        <v>1.4371380836969685</v>
      </c>
      <c r="Q79" s="116">
        <f>Q61/'ФОТ, МТР, макро'!AU$14/(Q12/Q7)</f>
        <v>1.4347519875084556</v>
      </c>
      <c r="R79" s="116">
        <f>R61/'ФОТ, МТР, макро'!AV$14/(R12/R7)</f>
        <v>1.4274889117138514</v>
      </c>
      <c r="S79" s="116">
        <f>S61/'ФОТ, МТР, макро'!AW$14/(S12/S7)</f>
        <v>1.4184160805919774</v>
      </c>
      <c r="T79" s="116">
        <f>T61/'ФОТ, МТР, макро'!AX$14/(T12/T7)</f>
        <v>1.4100381586081894</v>
      </c>
      <c r="U79" s="116">
        <f>U61/'ФОТ, МТР, макро'!AY$14/(U12/U7)</f>
        <v>1.4066954389201354</v>
      </c>
      <c r="V79" s="116">
        <f>V61/'ФОТ, МТР, макро'!AZ$14/(V12/V7)</f>
        <v>1.4023829611475731</v>
      </c>
      <c r="W79" s="116">
        <f>W61/'ФОТ, МТР, макро'!BA$14/(W12/W7)</f>
        <v>1.4045217961622052</v>
      </c>
      <c r="X79" s="116">
        <f>X61/'ФОТ, МТР, макро'!BB$14/(X12/X7)</f>
        <v>1.4061856440345619</v>
      </c>
      <c r="Y79" s="116">
        <f>Y61/'ФОТ, МТР, макро'!BC$14/(Y12/Y7)</f>
        <v>1.4007932974671486</v>
      </c>
      <c r="Z79" s="116">
        <f>Z61/'ФОТ, МТР, макро'!BD$14/(Z12/Z7)</f>
        <v>1.3950896574855243</v>
      </c>
      <c r="AC79" s="117" cm="1">
        <f t="array" ref="AC79">INDEX(G79:Z79,1,$C79)</f>
        <v>1.3950896574855243</v>
      </c>
    </row>
    <row r="80" spans="1:29" outlineLevel="1" x14ac:dyDescent="0.25">
      <c r="A80" s="39" t="str">
        <f t="shared" si="31"/>
        <v>NHL NTE 240</v>
      </c>
      <c r="B80" s="39" t="str">
        <f t="shared" si="35"/>
        <v>Транспортный налог</v>
      </c>
      <c r="C80" s="39">
        <f t="shared" si="32"/>
        <v>20</v>
      </c>
      <c r="D80" s="113" t="str">
        <f t="shared" si="33"/>
        <v>Транспортный налог</v>
      </c>
      <c r="E80" s="114" t="str">
        <f t="shared" si="34"/>
        <v>руб/ткм</v>
      </c>
      <c r="F80" s="115"/>
      <c r="G80" s="116">
        <f>G62/'ФОТ, МТР, макро'!AK$14/(G12/G7)</f>
        <v>1.8185451411163938E-2</v>
      </c>
      <c r="H80" s="116">
        <f>H62/'ФОТ, МТР, макро'!AL$14/(H12/H7)</f>
        <v>1.7946299069089896E-2</v>
      </c>
      <c r="I80" s="116">
        <f>I62/'ФОТ, МТР, макро'!AM$14/(I12/I7)</f>
        <v>1.7550671355750683E-2</v>
      </c>
      <c r="J80" s="116">
        <f>J62/'ФОТ, МТР, макро'!AN$14/(J12/J7)</f>
        <v>1.7464930565686855E-2</v>
      </c>
      <c r="K80" s="116">
        <f>K62/'ФОТ, МТР, макро'!AO$14/(K12/K7)</f>
        <v>1.7118770999448973E-2</v>
      </c>
      <c r="L80" s="116">
        <f>L62/'ФОТ, МТР, макро'!AP$14/(L12/L7)</f>
        <v>1.6854303196597392E-2</v>
      </c>
      <c r="M80" s="116">
        <f>M62/'ФОТ, МТР, макро'!AQ$14/(M12/M7)</f>
        <v>1.6762255337469775E-2</v>
      </c>
      <c r="N80" s="116">
        <f>N62/'ФОТ, МТР, макро'!AR$14/(N12/N7)</f>
        <v>1.6727228047609174E-2</v>
      </c>
      <c r="O80" s="116">
        <f>O62/'ФОТ, МТР, макро'!AS$14/(O12/O7)</f>
        <v>1.6607340143423119E-2</v>
      </c>
      <c r="P80" s="116">
        <f>P62/'ФОТ, МТР, макро'!AT$14/(P12/P7)</f>
        <v>1.6529471569284613E-2</v>
      </c>
      <c r="Q80" s="116">
        <f>Q62/'ФОТ, МТР, макро'!AU$14/(Q12/Q7)</f>
        <v>1.6502027505588143E-2</v>
      </c>
      <c r="R80" s="116">
        <f>R62/'ФОТ, МТР, макро'!AV$14/(R12/R7)</f>
        <v>1.6418490087566604E-2</v>
      </c>
      <c r="S80" s="116">
        <f>S62/'ФОТ, МТР, макро'!AW$14/(S12/S7)</f>
        <v>1.6314137481659628E-2</v>
      </c>
      <c r="T80" s="116">
        <f>T62/'ФОТ, МТР, макро'!AX$14/(T12/T7)</f>
        <v>1.621777748340221E-2</v>
      </c>
      <c r="U80" s="116">
        <f>U62/'ФОТ, МТР, макро'!AY$14/(U12/U7)</f>
        <v>1.6179330662825554E-2</v>
      </c>
      <c r="V80" s="116">
        <f>V62/'ФОТ, МТР, макро'!AZ$14/(V12/V7)</f>
        <v>1.6129730015856845E-2</v>
      </c>
      <c r="W80" s="116">
        <f>W62/'ФОТ, МТР, макро'!BA$14/(W12/W7)</f>
        <v>1.6154330165951542E-2</v>
      </c>
      <c r="X80" s="116">
        <f>X62/'ФОТ, МТР, макро'!BB$14/(X12/X7)</f>
        <v>1.6173467176106463E-2</v>
      </c>
      <c r="Y80" s="116">
        <f>Y62/'ФОТ, МТР, макро'!BC$14/(Y12/Y7)</f>
        <v>1.6111446246949469E-2</v>
      </c>
      <c r="Z80" s="116">
        <f>Z62/'ФОТ, МТР, макро'!BD$14/(Z12/Z7)</f>
        <v>1.6045844927224391E-2</v>
      </c>
      <c r="AC80" s="117" cm="1">
        <f t="array" ref="AC80">INDEX(G80:Z80,1,$C80)</f>
        <v>1.6045844927224391E-2</v>
      </c>
    </row>
    <row r="81" spans="1:29" outlineLevel="1" x14ac:dyDescent="0.25">
      <c r="A81" s="39" t="str">
        <f t="shared" si="31"/>
        <v>NHL NTE 240</v>
      </c>
      <c r="B81" s="39" t="str">
        <f t="shared" si="35"/>
        <v>Налог на прибыль</v>
      </c>
      <c r="C81" s="39">
        <f t="shared" si="32"/>
        <v>20</v>
      </c>
      <c r="D81" s="113" t="str">
        <f t="shared" si="33"/>
        <v>Налог на прибыль</v>
      </c>
      <c r="E81" s="114" t="str">
        <f t="shared" si="34"/>
        <v>руб/ткм</v>
      </c>
      <c r="F81" s="30"/>
      <c r="G81" s="116">
        <f>G63/'ФОТ, МТР, макро'!AK$14/(G12/G7)</f>
        <v>-2.5134383222135126</v>
      </c>
      <c r="H81" s="116">
        <f>H63/'ФОТ, МТР, макро'!AL$14/(H12/H7)</f>
        <v>-2.5283353269359936</v>
      </c>
      <c r="I81" s="116">
        <f>I63/'ФОТ, МТР, макро'!AM$14/(I12/I7)</f>
        <v>-2.7712160367733425</v>
      </c>
      <c r="J81" s="116">
        <f>J63/'ФОТ, МТР, макро'!AN$14/(J12/J7)</f>
        <v>-2.7955869403288762</v>
      </c>
      <c r="K81" s="116">
        <f>K63/'ФОТ, МТР, макро'!AO$14/(K12/K7)</f>
        <v>-2.7331491824980243</v>
      </c>
      <c r="L81" s="116">
        <f>L63/'ФОТ, МТР, макро'!AP$14/(L12/L7)</f>
        <v>-2.7865833122853156</v>
      </c>
      <c r="M81" s="116">
        <f>M63/'ФОТ, МТР, макро'!AQ$14/(M12/M7)</f>
        <v>-2.7523027457695366</v>
      </c>
      <c r="N81" s="116">
        <f>N63/'ФОТ, МТР, макро'!AR$14/(N12/N7)</f>
        <v>-2.7615246970047314</v>
      </c>
      <c r="O81" s="116">
        <f>O63/'ФОТ, МТР, макро'!AS$14/(O12/O7)</f>
        <v>-2.8421530076239949</v>
      </c>
      <c r="P81" s="116">
        <f>P63/'ФОТ, МТР, макро'!AT$14/(P12/P7)</f>
        <v>-2.813887247624812</v>
      </c>
      <c r="Q81" s="116">
        <f>Q63/'ФОТ, МТР, макро'!AU$14/(Q12/Q7)</f>
        <v>-2.9753373901424212</v>
      </c>
      <c r="R81" s="116">
        <f>R63/'ФОТ, МТР, макро'!AV$14/(R12/R7)</f>
        <v>-2.9781856149950721</v>
      </c>
      <c r="S81" s="116">
        <f>S63/'ФОТ, МТР, макро'!AW$14/(S12/S7)</f>
        <v>-2.9478595977612216</v>
      </c>
      <c r="T81" s="116">
        <f>T63/'ФОТ, МТР, макро'!AX$14/(T12/T7)</f>
        <v>-2.921490527947709</v>
      </c>
      <c r="U81" s="116">
        <f>U63/'ФОТ, МТР, макро'!AY$14/(U12/U7)</f>
        <v>-2.936146538205473</v>
      </c>
      <c r="V81" s="116">
        <f>V63/'ФОТ, МТР, макро'!AZ$14/(V12/V7)</f>
        <v>-2.9189487187146583</v>
      </c>
      <c r="W81" s="116">
        <f>W63/'ФОТ, МТР, макро'!BA$14/(W12/W7)</f>
        <v>-2.9134258118154976</v>
      </c>
      <c r="X81" s="116">
        <f>X63/'ФОТ, МТР, макро'!BB$14/(X12/X7)</f>
        <v>-2.9433886295314324</v>
      </c>
      <c r="Y81" s="116">
        <f>Y63/'ФОТ, МТР, макро'!BC$14/(Y12/Y7)</f>
        <v>-2.9272486600203576</v>
      </c>
      <c r="Z81" s="116">
        <f>Z63/'ФОТ, МТР, макро'!BD$14/(Z12/Z7)</f>
        <v>-2.911944871302345</v>
      </c>
      <c r="AC81" s="117" cm="1">
        <f t="array" ref="AC81">INDEX(G81:Z81,1,$C81)</f>
        <v>-2.911944871302345</v>
      </c>
    </row>
    <row r="82" spans="1:29" outlineLevel="1" x14ac:dyDescent="0.25">
      <c r="A82" s="39" t="str">
        <f t="shared" si="31"/>
        <v>NHL NTE 240</v>
      </c>
      <c r="B82" s="39" t="str">
        <f t="shared" si="35"/>
        <v>Аннуитет инвестиционный</v>
      </c>
      <c r="C82" s="39">
        <f t="shared" si="32"/>
        <v>20</v>
      </c>
      <c r="D82" s="108" t="s">
        <v>96</v>
      </c>
      <c r="E82" s="118" t="str">
        <f>E74</f>
        <v>руб/ткм</v>
      </c>
      <c r="F82" s="119"/>
      <c r="G82" s="111">
        <f>G68/'ФОТ, МТР, макро'!AK$14/(G12/G7)</f>
        <v>0</v>
      </c>
      <c r="H82" s="111">
        <f>H68/'ФОТ, МТР, макро'!AL$14/(H12/H7)</f>
        <v>0</v>
      </c>
      <c r="I82" s="111">
        <f>I68/'ФОТ, МТР, макро'!AM$14/(I12/I7)</f>
        <v>0</v>
      </c>
      <c r="J82" s="111">
        <f>J68/'ФОТ, МТР, макро'!AN$14/(J12/J7)</f>
        <v>0</v>
      </c>
      <c r="K82" s="111">
        <f>K68/'ФОТ, МТР, макро'!AO$14/(K12/K7)</f>
        <v>0</v>
      </c>
      <c r="L82" s="111">
        <f>L68/'ФОТ, МТР, макро'!AP$14/(L12/L7)</f>
        <v>0</v>
      </c>
      <c r="M82" s="111">
        <f>M68/'ФОТ, МТР, макро'!AQ$14/(M12/M7)</f>
        <v>0</v>
      </c>
      <c r="N82" s="111">
        <f>N68/'ФОТ, МТР, макро'!AR$14/(N12/N7)</f>
        <v>0</v>
      </c>
      <c r="O82" s="111">
        <f>O68/'ФОТ, МТР, макро'!AS$14/(O12/O7)</f>
        <v>0</v>
      </c>
      <c r="P82" s="111">
        <f>P68/'ФОТ, МТР, макро'!AT$14/(P12/P7)</f>
        <v>0</v>
      </c>
      <c r="Q82" s="111">
        <f>Q68/'ФОТ, МТР, макро'!AU$14/(Q12/Q7)</f>
        <v>0</v>
      </c>
      <c r="R82" s="111">
        <f>R68/'ФОТ, МТР, макро'!AV$14/(R12/R7)</f>
        <v>0</v>
      </c>
      <c r="S82" s="111">
        <f>S68/'ФОТ, МТР, макро'!AW$14/(S12/S7)</f>
        <v>0</v>
      </c>
      <c r="T82" s="111">
        <f>T68/'ФОТ, МТР, макро'!AX$14/(T12/T7)</f>
        <v>0</v>
      </c>
      <c r="U82" s="111">
        <f>U68/'ФОТ, МТР, макро'!AY$14/(U12/U7)</f>
        <v>0</v>
      </c>
      <c r="V82" s="111">
        <f>V68/'ФОТ, МТР, макро'!AZ$14/(V12/V7)</f>
        <v>0</v>
      </c>
      <c r="W82" s="111">
        <f>W68/'ФОТ, МТР, макро'!BA$14/(W12/W7)</f>
        <v>0</v>
      </c>
      <c r="X82" s="111">
        <f>X68/'ФОТ, МТР, макро'!BB$14/(X12/X7)</f>
        <v>0</v>
      </c>
      <c r="Y82" s="111">
        <f>Y68/'ФОТ, МТР, макро'!BC$14/(Y12/Y7)</f>
        <v>0</v>
      </c>
      <c r="Z82" s="111">
        <f>Z68/'ФОТ, МТР, макро'!BD$14/(Z12/Z7)</f>
        <v>0</v>
      </c>
      <c r="AC82" s="112" cm="1">
        <f t="array" ref="AC82">INDEX(G82:Z82,1,$C82)</f>
        <v>0</v>
      </c>
    </row>
    <row r="83" spans="1:29" outlineLevel="1" x14ac:dyDescent="0.25">
      <c r="A83" s="39" t="str">
        <f t="shared" si="31"/>
        <v>NHL NTE 240</v>
      </c>
      <c r="B83" s="39" t="str">
        <f t="shared" si="35"/>
        <v>Самосвал</v>
      </c>
      <c r="C83" s="39">
        <f t="shared" si="32"/>
        <v>20</v>
      </c>
      <c r="D83" s="101" t="str">
        <f>D69</f>
        <v>Самосвал</v>
      </c>
      <c r="E83" s="9" t="str">
        <f>E82</f>
        <v>руб/ткм</v>
      </c>
      <c r="F83" s="30"/>
      <c r="G83" s="120">
        <f>G69/'ФОТ, МТР, макро'!AK$14/(G12/G7)</f>
        <v>0</v>
      </c>
      <c r="H83" s="120">
        <f>H69/'ФОТ, МТР, макро'!AL$14/(H12/H7)</f>
        <v>0</v>
      </c>
      <c r="I83" s="120">
        <f>I69/'ФОТ, МТР, макро'!AM$14/(I12/I7)</f>
        <v>0</v>
      </c>
      <c r="J83" s="120">
        <f>J69/'ФОТ, МТР, макро'!AN$14/(J12/J7)</f>
        <v>0</v>
      </c>
      <c r="K83" s="120">
        <f>K69/'ФОТ, МТР, макро'!AO$14/(K12/K7)</f>
        <v>0</v>
      </c>
      <c r="L83" s="120">
        <f>L69/'ФОТ, МТР, макро'!AP$14/(L12/L7)</f>
        <v>0</v>
      </c>
      <c r="M83" s="120">
        <f>M69/'ФОТ, МТР, макро'!AQ$14/(M12/M7)</f>
        <v>0</v>
      </c>
      <c r="N83" s="120">
        <f>N69/'ФОТ, МТР, макро'!AR$14/(N12/N7)</f>
        <v>0</v>
      </c>
      <c r="O83" s="120">
        <f>O69/'ФОТ, МТР, макро'!AS$14/(O12/O7)</f>
        <v>0</v>
      </c>
      <c r="P83" s="120">
        <f>P69/'ФОТ, МТР, макро'!AT$14/(P12/P7)</f>
        <v>0</v>
      </c>
      <c r="Q83" s="120">
        <f>Q69/'ФОТ, МТР, макро'!AU$14/(Q12/Q7)</f>
        <v>0</v>
      </c>
      <c r="R83" s="120">
        <f>R69/'ФОТ, МТР, макро'!AV$14/(R12/R7)</f>
        <v>0</v>
      </c>
      <c r="S83" s="120">
        <f>S69/'ФОТ, МТР, макро'!AW$14/(S12/S7)</f>
        <v>0</v>
      </c>
      <c r="T83" s="120">
        <f>T69/'ФОТ, МТР, макро'!AX$14/(T12/T7)</f>
        <v>0</v>
      </c>
      <c r="U83" s="120">
        <f>U69/'ФОТ, МТР, макро'!AY$14/(U12/U7)</f>
        <v>0</v>
      </c>
      <c r="V83" s="120">
        <f>V69/'ФОТ, МТР, макро'!AZ$14/(V12/V7)</f>
        <v>0</v>
      </c>
      <c r="W83" s="120">
        <f>W69/'ФОТ, МТР, макро'!BA$14/(W12/W7)</f>
        <v>0</v>
      </c>
      <c r="X83" s="120">
        <f>X69/'ФОТ, МТР, макро'!BB$14/(X12/X7)</f>
        <v>0</v>
      </c>
      <c r="Y83" s="120">
        <f>Y69/'ФОТ, МТР, макро'!BC$14/(Y12/Y7)</f>
        <v>0</v>
      </c>
      <c r="Z83" s="120">
        <f>Z69/'ФОТ, МТР, макро'!BD$14/(Z12/Z7)</f>
        <v>0</v>
      </c>
      <c r="AC83" s="117" cm="1">
        <f t="array" ref="AC83">INDEX(G83:Z83,1,$C83)</f>
        <v>0</v>
      </c>
    </row>
    <row r="84" spans="1:29" outlineLevel="1" x14ac:dyDescent="0.25">
      <c r="A84" s="39" t="str">
        <f t="shared" si="31"/>
        <v>NHL NTE 240</v>
      </c>
      <c r="B84" s="39" t="str">
        <f t="shared" si="35"/>
        <v>Аннуитет общий</v>
      </c>
      <c r="C84" s="39">
        <f t="shared" si="32"/>
        <v>20</v>
      </c>
      <c r="D84" s="108" t="s">
        <v>97</v>
      </c>
      <c r="E84" s="118" t="str">
        <f>E74</f>
        <v>руб/ткм</v>
      </c>
      <c r="F84" s="119"/>
      <c r="G84" s="111">
        <f>G72/'ФОТ, МТР, макро'!AK$14/(G12/G7)</f>
        <v>7.5403149666405378</v>
      </c>
      <c r="H84" s="111">
        <f>H72/'ФОТ, МТР, макро'!AL$14/(H12/H7)</f>
        <v>7.5850059808079822</v>
      </c>
      <c r="I84" s="111">
        <f>I72/'ФОТ, МТР, макро'!AM$14/(I12/I7)</f>
        <v>8.3136481103200275</v>
      </c>
      <c r="J84" s="111">
        <f>J72/'ФОТ, МТР, макро'!AN$14/(J12/J7)</f>
        <v>8.3867608209866287</v>
      </c>
      <c r="K84" s="111">
        <f>K72/'ФОТ, МТР, макро'!AO$14/(K12/K7)</f>
        <v>8.1994475474940725</v>
      </c>
      <c r="L84" s="111">
        <f>L72/'ФОТ, МТР, макро'!AP$14/(L12/L7)</f>
        <v>8.3597499368559447</v>
      </c>
      <c r="M84" s="111">
        <f>M72/'ФОТ, МТР, макро'!AQ$14/(M12/M7)</f>
        <v>8.2569082373086111</v>
      </c>
      <c r="N84" s="111">
        <f>N72/'ФОТ, МТР, макро'!AR$14/(N12/N7)</f>
        <v>8.2845740910141963</v>
      </c>
      <c r="O84" s="111">
        <f>O72/'ФОТ, МТР, макро'!AS$14/(O12/O7)</f>
        <v>8.5264590228719861</v>
      </c>
      <c r="P84" s="111">
        <f>P72/'ФОТ, МТР, макро'!AT$14/(P12/P7)</f>
        <v>8.4416617428744356</v>
      </c>
      <c r="Q84" s="111">
        <f>Q72/'ФОТ, МТР, макро'!AU$14/(Q12/Q7)</f>
        <v>8.9260121704272617</v>
      </c>
      <c r="R84" s="111">
        <f>R72/'ФОТ, МТР, макро'!AV$14/(R12/R7)</f>
        <v>8.9345568449852166</v>
      </c>
      <c r="S84" s="111">
        <f>S72/'ФОТ, МТР, макро'!AW$14/(S12/S7)</f>
        <v>8.8435787932836671</v>
      </c>
      <c r="T84" s="111">
        <f>T72/'ФОТ, МТР, макро'!AX$14/(T12/T7)</f>
        <v>8.7644715838431289</v>
      </c>
      <c r="U84" s="111">
        <f>U72/'ФОТ, МТР, макро'!AY$14/(U12/U7)</f>
        <v>8.8084396146164199</v>
      </c>
      <c r="V84" s="111">
        <f>V72/'ФОТ, МТР, макро'!AZ$14/(V12/V7)</f>
        <v>8.7568461561439772</v>
      </c>
      <c r="W84" s="111">
        <f>W72/'ФОТ, МТР, макро'!BA$14/(W12/W7)</f>
        <v>8.7402774354464956</v>
      </c>
      <c r="X84" s="111">
        <f>X72/'ФОТ, МТР, макро'!BB$14/(X12/X7)</f>
        <v>8.830165888594296</v>
      </c>
      <c r="Y84" s="111">
        <f>Y72/'ФОТ, МТР, макро'!BC$14/(Y12/Y7)</f>
        <v>8.7817459800610731</v>
      </c>
      <c r="Z84" s="111">
        <f>Z72/'ФОТ, МТР, макро'!BD$14/(Z12/Z7)</f>
        <v>8.7358346139070342</v>
      </c>
      <c r="AC84" s="112" cm="1">
        <f t="array" ref="AC84">INDEX(G84:Z84,1,$C84)</f>
        <v>8.7358346139070342</v>
      </c>
    </row>
    <row r="85" spans="1:29" outlineLevel="1" x14ac:dyDescent="0.25">
      <c r="A85" s="39" t="str">
        <f t="shared" si="31"/>
        <v>NHL NTE 240</v>
      </c>
      <c r="B85" s="39"/>
      <c r="D85" s="121"/>
      <c r="E85" s="1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9" outlineLevel="1" x14ac:dyDescent="0.25">
      <c r="A86" s="39" t="str">
        <f t="shared" si="31"/>
        <v>NHL NTE 240</v>
      </c>
      <c r="B86" s="39"/>
      <c r="D86" s="123" t="s">
        <v>88</v>
      </c>
      <c r="E86" s="124"/>
      <c r="F86" s="125"/>
      <c r="G86" s="126">
        <f>G84-G74-G82+G74-SUM(G75:G81)+G82-G83</f>
        <v>1.7763568394002505E-15</v>
      </c>
      <c r="H86" s="126">
        <f t="shared" ref="H86" si="36">H84-H74-H82+H74-SUM(H75:H81)+H82-H83</f>
        <v>8.8817841970012523E-16</v>
      </c>
      <c r="I86" s="126">
        <f t="shared" ref="I86:Z86" si="37">I84-I74-I82+I74-SUM(I75:I81)+I82-I83</f>
        <v>-1.7763568394002505E-15</v>
      </c>
      <c r="J86" s="126">
        <f t="shared" si="37"/>
        <v>1.7763568394002505E-15</v>
      </c>
      <c r="K86" s="126">
        <f t="shared" si="37"/>
        <v>0</v>
      </c>
      <c r="L86" s="126">
        <f t="shared" si="37"/>
        <v>0</v>
      </c>
      <c r="M86" s="126">
        <f t="shared" si="37"/>
        <v>-1.7763568394002505E-15</v>
      </c>
      <c r="N86" s="126">
        <f t="shared" si="37"/>
        <v>0</v>
      </c>
      <c r="O86" s="126">
        <f t="shared" si="37"/>
        <v>1.7763568394002505E-15</v>
      </c>
      <c r="P86" s="126">
        <f t="shared" si="37"/>
        <v>0</v>
      </c>
      <c r="Q86" s="126">
        <f t="shared" si="37"/>
        <v>-1.7763568394002505E-15</v>
      </c>
      <c r="R86" s="126">
        <f t="shared" si="37"/>
        <v>-1.7763568394002505E-15</v>
      </c>
      <c r="S86" s="126">
        <f t="shared" si="37"/>
        <v>1.7763568394002505E-15</v>
      </c>
      <c r="T86" s="126">
        <f t="shared" si="37"/>
        <v>0</v>
      </c>
      <c r="U86" s="126">
        <f t="shared" si="37"/>
        <v>-1.7763568394002505E-15</v>
      </c>
      <c r="V86" s="126">
        <f t="shared" si="37"/>
        <v>-1.7763568394002505E-15</v>
      </c>
      <c r="W86" s="126">
        <f t="shared" si="37"/>
        <v>-1.7763568394002505E-15</v>
      </c>
      <c r="X86" s="126">
        <f t="shared" si="37"/>
        <v>0</v>
      </c>
      <c r="Y86" s="126">
        <f t="shared" si="37"/>
        <v>3.5527136788005009E-15</v>
      </c>
      <c r="Z86" s="126">
        <f t="shared" si="37"/>
        <v>0</v>
      </c>
    </row>
    <row r="87" spans="1:29" outlineLevel="1" x14ac:dyDescent="0.25">
      <c r="A87" s="39" t="str">
        <f t="shared" si="31"/>
        <v>NHL NTE 240</v>
      </c>
      <c r="B87" s="39"/>
      <c r="D87" s="125"/>
      <c r="E87" s="124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9" outlineLevel="1" x14ac:dyDescent="0.25">
      <c r="A88" s="39" t="str">
        <f t="shared" si="31"/>
        <v>NHL NTE 240</v>
      </c>
      <c r="B88" s="39"/>
      <c r="D88" s="127" t="s">
        <v>98</v>
      </c>
      <c r="E88" s="128" t="str">
        <f>E84</f>
        <v>руб/ткм</v>
      </c>
      <c r="F88" s="129"/>
      <c r="G88" s="130">
        <f>SUM(G89:G94)</f>
        <v>10.053753288854049</v>
      </c>
      <c r="H88" s="130">
        <f t="shared" ref="H88:Z88" si="38">SUM(H89:H94)</f>
        <v>10.194099953520368</v>
      </c>
      <c r="I88" s="130">
        <f t="shared" si="38"/>
        <v>13.333157989401364</v>
      </c>
      <c r="J88" s="130">
        <f t="shared" si="38"/>
        <v>11.585634141497481</v>
      </c>
      <c r="K88" s="130">
        <f t="shared" si="38"/>
        <v>9.9900827884967534</v>
      </c>
      <c r="L88" s="130">
        <f t="shared" si="38"/>
        <v>12.874367380367552</v>
      </c>
      <c r="M88" s="130">
        <f t="shared" si="38"/>
        <v>9.9888748918362342</v>
      </c>
      <c r="N88" s="130">
        <f t="shared" si="38"/>
        <v>11.553868915508996</v>
      </c>
      <c r="O88" s="130">
        <f t="shared" si="38"/>
        <v>15.985488033784353</v>
      </c>
      <c r="P88" s="130">
        <f t="shared" si="38"/>
        <v>9.8509305459685628</v>
      </c>
      <c r="Q88" s="130">
        <f t="shared" si="38"/>
        <v>24.553918424894711</v>
      </c>
      <c r="R88" s="130">
        <f t="shared" si="38"/>
        <v>12.854227624010042</v>
      </c>
      <c r="S88" s="130">
        <f t="shared" si="38"/>
        <v>9.8109305332217751</v>
      </c>
      <c r="T88" s="130">
        <f t="shared" si="38"/>
        <v>9.808061520036107</v>
      </c>
      <c r="U88" s="130">
        <f t="shared" si="38"/>
        <v>14.398642423047557</v>
      </c>
      <c r="V88" s="130">
        <f t="shared" si="38"/>
        <v>9.8537399090459861</v>
      </c>
      <c r="W88" s="130">
        <f t="shared" si="38"/>
        <v>9.9869011783035262</v>
      </c>
      <c r="X88" s="130">
        <f t="shared" si="38"/>
        <v>17.940842994438878</v>
      </c>
      <c r="Y88" s="130">
        <f t="shared" si="38"/>
        <v>9.8191797643891068</v>
      </c>
      <c r="Z88" s="130">
        <f t="shared" si="38"/>
        <v>9.9184542056565839</v>
      </c>
    </row>
    <row r="89" spans="1:29" outlineLevel="1" x14ac:dyDescent="0.25">
      <c r="A89" s="39" t="str">
        <f t="shared" si="31"/>
        <v>NHL NTE 240</v>
      </c>
      <c r="B89" s="39"/>
      <c r="D89" s="113" t="str">
        <f>D75</f>
        <v>ТО, ТР, ППР</v>
      </c>
      <c r="E89" s="114" t="str">
        <f>E88</f>
        <v>руб/ткм</v>
      </c>
      <c r="F89" s="115"/>
      <c r="G89" s="116">
        <f>G16/G11</f>
        <v>0.51441299977934685</v>
      </c>
      <c r="H89" s="116">
        <f t="shared" ref="H89:Z89" si="39">H16/H11</f>
        <v>0.69627768991460848</v>
      </c>
      <c r="I89" s="116">
        <f t="shared" si="39"/>
        <v>3.9148211801301716</v>
      </c>
      <c r="J89" s="116">
        <f t="shared" si="39"/>
        <v>2.131844822384342</v>
      </c>
      <c r="K89" s="116">
        <f t="shared" si="39"/>
        <v>0.65514005245741902</v>
      </c>
      <c r="L89" s="116">
        <f t="shared" si="39"/>
        <v>3.5583787390677384</v>
      </c>
      <c r="M89" s="116">
        <f t="shared" si="39"/>
        <v>0.62146855011527569</v>
      </c>
      <c r="N89" s="116">
        <f t="shared" si="39"/>
        <v>2.1639783938023358</v>
      </c>
      <c r="O89" s="116">
        <f t="shared" si="39"/>
        <v>6.6641347072964834</v>
      </c>
      <c r="P89" s="116">
        <f t="shared" si="39"/>
        <v>0.51608354773061949</v>
      </c>
      <c r="Q89" s="116">
        <f t="shared" si="39"/>
        <v>15.186326944533505</v>
      </c>
      <c r="R89" s="116">
        <f t="shared" si="39"/>
        <v>3.5464435067907654</v>
      </c>
      <c r="S89" s="116">
        <f t="shared" si="39"/>
        <v>0.53783284306226353</v>
      </c>
      <c r="T89" s="116">
        <f t="shared" si="39"/>
        <v>0.54347182916823833</v>
      </c>
      <c r="U89" s="116">
        <f t="shared" si="39"/>
        <v>5.0814355101574789</v>
      </c>
      <c r="V89" s="116">
        <f t="shared" si="39"/>
        <v>0.55755076475725696</v>
      </c>
      <c r="W89" s="116">
        <f t="shared" si="39"/>
        <v>0.59065089190926623</v>
      </c>
      <c r="X89" s="116">
        <f t="shared" si="39"/>
        <v>8.5492112495463957</v>
      </c>
      <c r="Y89" s="116">
        <f t="shared" si="39"/>
        <v>0.55372295284760908</v>
      </c>
      <c r="Z89" s="116">
        <f t="shared" si="39"/>
        <v>0.66860952198023504</v>
      </c>
    </row>
    <row r="90" spans="1:29" outlineLevel="1" x14ac:dyDescent="0.25">
      <c r="A90" s="39" t="str">
        <f t="shared" si="31"/>
        <v>NHL NTE 240</v>
      </c>
      <c r="B90" s="39"/>
      <c r="D90" s="113" t="str">
        <f t="shared" ref="D90:D94" si="40">D76</f>
        <v>Шины</v>
      </c>
      <c r="E90" s="114" t="str">
        <f t="shared" ref="E90:E94" si="41">E89</f>
        <v>руб/ткм</v>
      </c>
      <c r="F90" s="115"/>
      <c r="G90" s="116">
        <f>G21/G11</f>
        <v>1.9983365180284707</v>
      </c>
      <c r="H90" s="116">
        <f t="shared" ref="H90:Z90" si="42">H21/H11</f>
        <v>1.9983365180284707</v>
      </c>
      <c r="I90" s="116">
        <f t="shared" si="42"/>
        <v>1.9983365180284705</v>
      </c>
      <c r="J90" s="116">
        <f t="shared" si="42"/>
        <v>1.9983365180284707</v>
      </c>
      <c r="K90" s="116">
        <f t="shared" si="42"/>
        <v>1.9983365180284707</v>
      </c>
      <c r="L90" s="116">
        <f t="shared" si="42"/>
        <v>1.9983365180284702</v>
      </c>
      <c r="M90" s="116">
        <f t="shared" si="42"/>
        <v>1.9983365180284709</v>
      </c>
      <c r="N90" s="116">
        <f t="shared" si="42"/>
        <v>1.9983365180284707</v>
      </c>
      <c r="O90" s="116">
        <f t="shared" si="42"/>
        <v>1.9983365180284705</v>
      </c>
      <c r="P90" s="116">
        <f t="shared" si="42"/>
        <v>1.9983365180284707</v>
      </c>
      <c r="Q90" s="116">
        <f t="shared" si="42"/>
        <v>1.9983365180284702</v>
      </c>
      <c r="R90" s="116">
        <f t="shared" si="42"/>
        <v>1.9983365180284702</v>
      </c>
      <c r="S90" s="116">
        <f t="shared" si="42"/>
        <v>1.9983365180284705</v>
      </c>
      <c r="T90" s="116">
        <f t="shared" si="42"/>
        <v>1.9983365180284705</v>
      </c>
      <c r="U90" s="116">
        <f t="shared" si="42"/>
        <v>1.9983365180284707</v>
      </c>
      <c r="V90" s="116">
        <f t="shared" si="42"/>
        <v>1.9983365180284707</v>
      </c>
      <c r="W90" s="116">
        <f t="shared" si="42"/>
        <v>1.9983365180284707</v>
      </c>
      <c r="X90" s="116">
        <f t="shared" si="42"/>
        <v>1.9983365180284705</v>
      </c>
      <c r="Y90" s="116">
        <f t="shared" si="42"/>
        <v>1.9983365180284705</v>
      </c>
      <c r="Z90" s="116">
        <f t="shared" si="42"/>
        <v>1.9983365180284707</v>
      </c>
    </row>
    <row r="91" spans="1:29" outlineLevel="1" x14ac:dyDescent="0.25">
      <c r="A91" s="39" t="str">
        <f t="shared" si="31"/>
        <v>NHL NTE 240</v>
      </c>
      <c r="B91" s="39"/>
      <c r="D91" s="113" t="str">
        <f t="shared" si="40"/>
        <v>Топливо</v>
      </c>
      <c r="E91" s="114" t="str">
        <f t="shared" si="41"/>
        <v>руб/ткм</v>
      </c>
      <c r="F91" s="115"/>
      <c r="G91" s="116">
        <f>G25/G11</f>
        <v>5.9417027538616862</v>
      </c>
      <c r="H91" s="116">
        <f t="shared" ref="H91:Z91" si="43">H25/H11</f>
        <v>5.9417027538616871</v>
      </c>
      <c r="I91" s="116">
        <f t="shared" si="43"/>
        <v>5.9417027538616871</v>
      </c>
      <c r="J91" s="116">
        <f t="shared" si="43"/>
        <v>5.941702753861688</v>
      </c>
      <c r="K91" s="116">
        <f t="shared" si="43"/>
        <v>5.941702753861688</v>
      </c>
      <c r="L91" s="116">
        <f t="shared" si="43"/>
        <v>5.9417027538616871</v>
      </c>
      <c r="M91" s="116">
        <f t="shared" si="43"/>
        <v>5.9417027538616853</v>
      </c>
      <c r="N91" s="116">
        <f t="shared" si="43"/>
        <v>5.9417027538616862</v>
      </c>
      <c r="O91" s="116">
        <f t="shared" si="43"/>
        <v>5.941702753861688</v>
      </c>
      <c r="P91" s="116">
        <f t="shared" si="43"/>
        <v>5.9417027538616871</v>
      </c>
      <c r="Q91" s="116">
        <f t="shared" si="43"/>
        <v>5.9417027538616862</v>
      </c>
      <c r="R91" s="116">
        <f t="shared" si="43"/>
        <v>5.9417027538616871</v>
      </c>
      <c r="S91" s="116">
        <f t="shared" si="43"/>
        <v>5.9417027538616871</v>
      </c>
      <c r="T91" s="116">
        <f t="shared" si="43"/>
        <v>5.9417027538616871</v>
      </c>
      <c r="U91" s="116">
        <f t="shared" si="43"/>
        <v>5.9417027538616862</v>
      </c>
      <c r="V91" s="116">
        <f t="shared" si="43"/>
        <v>5.9417027538616871</v>
      </c>
      <c r="W91" s="116">
        <f t="shared" si="43"/>
        <v>5.9417027538616862</v>
      </c>
      <c r="X91" s="116">
        <f t="shared" si="43"/>
        <v>5.9417027538616862</v>
      </c>
      <c r="Y91" s="116">
        <f t="shared" si="43"/>
        <v>5.9417027538616871</v>
      </c>
      <c r="Z91" s="116">
        <f t="shared" si="43"/>
        <v>5.9417027538616871</v>
      </c>
    </row>
    <row r="92" spans="1:29" outlineLevel="1" x14ac:dyDescent="0.25">
      <c r="A92" s="39" t="str">
        <f t="shared" si="31"/>
        <v>NHL NTE 240</v>
      </c>
      <c r="B92" s="39"/>
      <c r="D92" s="113" t="str">
        <f t="shared" si="40"/>
        <v>Смазочные</v>
      </c>
      <c r="E92" s="114" t="str">
        <f t="shared" si="41"/>
        <v>руб/ткм</v>
      </c>
      <c r="F92" s="115"/>
      <c r="G92" s="116">
        <f>G30/G11</f>
        <v>0</v>
      </c>
      <c r="H92" s="116">
        <f t="shared" ref="H92:Z92" si="44">H30/H11</f>
        <v>0</v>
      </c>
      <c r="I92" s="116">
        <f t="shared" si="44"/>
        <v>0</v>
      </c>
      <c r="J92" s="116">
        <f t="shared" si="44"/>
        <v>0</v>
      </c>
      <c r="K92" s="116">
        <f t="shared" si="44"/>
        <v>0</v>
      </c>
      <c r="L92" s="116">
        <f t="shared" si="44"/>
        <v>0</v>
      </c>
      <c r="M92" s="116">
        <f t="shared" si="44"/>
        <v>0</v>
      </c>
      <c r="N92" s="116">
        <f t="shared" si="44"/>
        <v>0</v>
      </c>
      <c r="O92" s="116">
        <f t="shared" si="44"/>
        <v>0</v>
      </c>
      <c r="P92" s="116">
        <f t="shared" si="44"/>
        <v>0</v>
      </c>
      <c r="Q92" s="116">
        <f t="shared" si="44"/>
        <v>0</v>
      </c>
      <c r="R92" s="116">
        <f t="shared" si="44"/>
        <v>0</v>
      </c>
      <c r="S92" s="116">
        <f t="shared" si="44"/>
        <v>0</v>
      </c>
      <c r="T92" s="116">
        <f t="shared" si="44"/>
        <v>0</v>
      </c>
      <c r="U92" s="116">
        <f t="shared" si="44"/>
        <v>0</v>
      </c>
      <c r="V92" s="116">
        <f t="shared" si="44"/>
        <v>0</v>
      </c>
      <c r="W92" s="116">
        <f t="shared" si="44"/>
        <v>0</v>
      </c>
      <c r="X92" s="116">
        <f t="shared" si="44"/>
        <v>0</v>
      </c>
      <c r="Y92" s="116">
        <f t="shared" si="44"/>
        <v>0</v>
      </c>
      <c r="Z92" s="116">
        <f t="shared" si="44"/>
        <v>0</v>
      </c>
    </row>
    <row r="93" spans="1:29" outlineLevel="1" x14ac:dyDescent="0.25">
      <c r="A93" s="39" t="str">
        <f t="shared" si="31"/>
        <v>NHL NTE 240</v>
      </c>
      <c r="B93" s="39"/>
      <c r="D93" s="113" t="str">
        <f t="shared" si="40"/>
        <v>Затраты на персонал</v>
      </c>
      <c r="E93" s="114" t="str">
        <f t="shared" si="41"/>
        <v>руб/ткм</v>
      </c>
      <c r="F93" s="115"/>
      <c r="G93" s="116">
        <f>G32/G11</f>
        <v>1.581115565773382</v>
      </c>
      <c r="H93" s="116">
        <f t="shared" ref="H93:Z93" si="45">H32/H11</f>
        <v>1.5400696365682045</v>
      </c>
      <c r="I93" s="116">
        <f t="shared" si="45"/>
        <v>1.4614880013722287</v>
      </c>
      <c r="J93" s="116">
        <f t="shared" si="45"/>
        <v>1.4965373851683501</v>
      </c>
      <c r="K93" s="116">
        <f t="shared" si="45"/>
        <v>1.3790421916945335</v>
      </c>
      <c r="L93" s="116">
        <f t="shared" si="45"/>
        <v>1.3603036215906057</v>
      </c>
      <c r="M93" s="116">
        <f t="shared" si="45"/>
        <v>1.4111366577849211</v>
      </c>
      <c r="N93" s="116">
        <f t="shared" si="45"/>
        <v>1.4333651729781567</v>
      </c>
      <c r="O93" s="116">
        <f t="shared" si="45"/>
        <v>1.3656073056157954</v>
      </c>
      <c r="P93" s="116">
        <f t="shared" si="45"/>
        <v>1.3789475425156847</v>
      </c>
      <c r="Q93" s="116">
        <f t="shared" si="45"/>
        <v>1.4113196912368948</v>
      </c>
      <c r="R93" s="116">
        <f t="shared" si="45"/>
        <v>1.3521923901250388</v>
      </c>
      <c r="S93" s="116">
        <f t="shared" si="45"/>
        <v>1.3179003780797987</v>
      </c>
      <c r="T93" s="116">
        <f t="shared" si="45"/>
        <v>1.3094891221817142</v>
      </c>
      <c r="U93" s="116">
        <f t="shared" si="45"/>
        <v>1.3615080403673132</v>
      </c>
      <c r="V93" s="116">
        <f t="shared" si="45"/>
        <v>1.340729262178378</v>
      </c>
      <c r="W93" s="116">
        <f t="shared" si="45"/>
        <v>1.439652621578621</v>
      </c>
      <c r="X93" s="116">
        <f t="shared" si="45"/>
        <v>1.4350865969333744</v>
      </c>
      <c r="Y93" s="116">
        <f t="shared" si="45"/>
        <v>1.3103463829348472</v>
      </c>
      <c r="Z93" s="116">
        <f t="shared" si="45"/>
        <v>1.2949117786188395</v>
      </c>
    </row>
    <row r="94" spans="1:29" outlineLevel="1" x14ac:dyDescent="0.25">
      <c r="A94" s="39" t="str">
        <f t="shared" si="31"/>
        <v>NHL NTE 240</v>
      </c>
      <c r="B94" s="39"/>
      <c r="D94" s="113" t="str">
        <f t="shared" si="40"/>
        <v>Транспортный налог</v>
      </c>
      <c r="E94" s="114" t="str">
        <f t="shared" si="41"/>
        <v>руб/ткм</v>
      </c>
      <c r="F94" s="115"/>
      <c r="G94" s="116">
        <f>G36/G11</f>
        <v>1.8185451411163938E-2</v>
      </c>
      <c r="H94" s="116">
        <f t="shared" ref="H94:Z94" si="46">H36/H11</f>
        <v>1.7713355147396071E-2</v>
      </c>
      <c r="I94" s="116">
        <f t="shared" si="46"/>
        <v>1.6809536008807531E-2</v>
      </c>
      <c r="J94" s="116">
        <f t="shared" si="46"/>
        <v>1.7212662054628118E-2</v>
      </c>
      <c r="K94" s="116">
        <f t="shared" si="46"/>
        <v>1.5861272454641317E-2</v>
      </c>
      <c r="L94" s="116">
        <f t="shared" si="46"/>
        <v>1.5645747819050884E-2</v>
      </c>
      <c r="M94" s="116">
        <f t="shared" si="46"/>
        <v>1.6230412045882079E-2</v>
      </c>
      <c r="N94" s="116">
        <f t="shared" si="46"/>
        <v>1.6486076838348518E-2</v>
      </c>
      <c r="O94" s="116">
        <f t="shared" si="46"/>
        <v>1.5706748981918494E-2</v>
      </c>
      <c r="P94" s="116">
        <f t="shared" si="46"/>
        <v>1.5860183832101433E-2</v>
      </c>
      <c r="Q94" s="116">
        <f t="shared" si="46"/>
        <v>1.6232517234155183E-2</v>
      </c>
      <c r="R94" s="116">
        <f t="shared" si="46"/>
        <v>1.5552455204080249E-2</v>
      </c>
      <c r="S94" s="116">
        <f t="shared" si="46"/>
        <v>1.5158040189555534E-2</v>
      </c>
      <c r="T94" s="116">
        <f t="shared" si="46"/>
        <v>1.5061296795996784E-2</v>
      </c>
      <c r="U94" s="116">
        <f t="shared" si="46"/>
        <v>1.565960063260648E-2</v>
      </c>
      <c r="V94" s="116">
        <f t="shared" si="46"/>
        <v>1.5420610220192567E-2</v>
      </c>
      <c r="W94" s="116">
        <f t="shared" si="46"/>
        <v>1.6558392925482859E-2</v>
      </c>
      <c r="X94" s="116">
        <f t="shared" si="46"/>
        <v>1.650587606895081E-2</v>
      </c>
      <c r="Y94" s="116">
        <f t="shared" si="46"/>
        <v>1.5071156716492331E-2</v>
      </c>
      <c r="Z94" s="116">
        <f t="shared" si="46"/>
        <v>1.4893633167350618E-2</v>
      </c>
    </row>
    <row r="95" spans="1:29" outlineLevel="1" x14ac:dyDescent="0.25">
      <c r="A95" s="39" t="str">
        <f t="shared" si="31"/>
        <v>NHL NTE 240</v>
      </c>
      <c r="B95" s="39"/>
      <c r="D95" s="121"/>
      <c r="E95" s="12"/>
      <c r="F95" s="122"/>
      <c r="G95" s="131">
        <f>G88-(G15-G41)/G11</f>
        <v>0</v>
      </c>
      <c r="H95" s="131">
        <f t="shared" ref="H95:Z95" si="47">H88-(H15-H41)/H11</f>
        <v>0</v>
      </c>
      <c r="I95" s="131">
        <f t="shared" si="47"/>
        <v>0</v>
      </c>
      <c r="J95" s="131">
        <f t="shared" si="47"/>
        <v>0</v>
      </c>
      <c r="K95" s="131">
        <f t="shared" si="47"/>
        <v>0</v>
      </c>
      <c r="L95" s="131">
        <f t="shared" si="47"/>
        <v>0</v>
      </c>
      <c r="M95" s="131">
        <f t="shared" si="47"/>
        <v>0</v>
      </c>
      <c r="N95" s="131">
        <f t="shared" si="47"/>
        <v>0</v>
      </c>
      <c r="O95" s="131">
        <f t="shared" si="47"/>
        <v>0</v>
      </c>
      <c r="P95" s="131">
        <f t="shared" si="47"/>
        <v>0</v>
      </c>
      <c r="Q95" s="131">
        <f t="shared" si="47"/>
        <v>0</v>
      </c>
      <c r="R95" s="131">
        <f t="shared" si="47"/>
        <v>0</v>
      </c>
      <c r="S95" s="131">
        <f t="shared" si="47"/>
        <v>0</v>
      </c>
      <c r="T95" s="131">
        <f t="shared" si="47"/>
        <v>0</v>
      </c>
      <c r="U95" s="131">
        <f t="shared" si="47"/>
        <v>0</v>
      </c>
      <c r="V95" s="131">
        <f t="shared" si="47"/>
        <v>0</v>
      </c>
      <c r="W95" s="131">
        <f t="shared" si="47"/>
        <v>0</v>
      </c>
      <c r="X95" s="131">
        <f t="shared" si="47"/>
        <v>0</v>
      </c>
      <c r="Y95" s="131">
        <f t="shared" si="47"/>
        <v>0</v>
      </c>
      <c r="Z95" s="131">
        <f t="shared" si="47"/>
        <v>0</v>
      </c>
    </row>
    <row r="96" spans="1:29" outlineLevel="1" x14ac:dyDescent="0.25">
      <c r="A96" s="2" t="s">
        <v>45</v>
      </c>
    </row>
    <row r="97" spans="1:28" x14ac:dyDescent="0.25">
      <c r="A97" s="2" t="s">
        <v>45</v>
      </c>
    </row>
    <row r="98" spans="1:28" ht="14.3" x14ac:dyDescent="0.25">
      <c r="A98" s="2" t="s">
        <v>45</v>
      </c>
      <c r="C98" s="57">
        <f>SUM(F148:Z148,F160:Z160,F179:Z179,AA132)</f>
        <v>-2.3092638912203256E-14</v>
      </c>
      <c r="D98" s="58" t="str">
        <f>Свод_1!G23</f>
        <v>Estar ESDE240 (ГПБ К)</v>
      </c>
      <c r="E98" s="59">
        <f>SUMIFS(Производительность_1!$Y$55:$Y$71,Производительность_1!$C$55:$C$71,$D98)</f>
        <v>10</v>
      </c>
      <c r="F98" s="60" t="str">
        <f>$F$2</f>
        <v>лет</v>
      </c>
    </row>
    <row r="99" spans="1:28" outlineLevel="1" x14ac:dyDescent="0.25">
      <c r="A99" s="2" t="s">
        <v>45</v>
      </c>
    </row>
    <row r="100" spans="1:28" outlineLevel="1" x14ac:dyDescent="0.25">
      <c r="A100" s="61" t="str">
        <f>D98</f>
        <v>Estar ESDE240 (ГПБ К)</v>
      </c>
      <c r="D100" s="62" t="str">
        <f>D$1</f>
        <v>Показатель</v>
      </c>
      <c r="E100" s="62" t="str">
        <f t="shared" ref="E100:Z100" si="48">E$1</f>
        <v>Ед. изм.</v>
      </c>
      <c r="F100" s="62">
        <f t="shared" si="48"/>
        <v>0</v>
      </c>
      <c r="G100" s="62">
        <f t="shared" si="48"/>
        <v>1</v>
      </c>
      <c r="H100" s="62">
        <f t="shared" si="48"/>
        <v>2</v>
      </c>
      <c r="I100" s="62">
        <f t="shared" si="48"/>
        <v>3</v>
      </c>
      <c r="J100" s="62">
        <f t="shared" si="48"/>
        <v>4</v>
      </c>
      <c r="K100" s="62">
        <f t="shared" si="48"/>
        <v>5</v>
      </c>
      <c r="L100" s="62">
        <f t="shared" si="48"/>
        <v>6</v>
      </c>
      <c r="M100" s="62">
        <f t="shared" si="48"/>
        <v>7</v>
      </c>
      <c r="N100" s="62">
        <f t="shared" si="48"/>
        <v>8</v>
      </c>
      <c r="O100" s="62">
        <f t="shared" si="48"/>
        <v>9</v>
      </c>
      <c r="P100" s="62">
        <f t="shared" si="48"/>
        <v>10</v>
      </c>
      <c r="Q100" s="62">
        <f t="shared" si="48"/>
        <v>11</v>
      </c>
      <c r="R100" s="62">
        <f t="shared" si="48"/>
        <v>12</v>
      </c>
      <c r="S100" s="62">
        <f t="shared" si="48"/>
        <v>13</v>
      </c>
      <c r="T100" s="62">
        <f t="shared" si="48"/>
        <v>14</v>
      </c>
      <c r="U100" s="62">
        <f t="shared" si="48"/>
        <v>15</v>
      </c>
      <c r="V100" s="62">
        <f t="shared" si="48"/>
        <v>16</v>
      </c>
      <c r="W100" s="62">
        <f t="shared" si="48"/>
        <v>17</v>
      </c>
      <c r="X100" s="62">
        <f t="shared" si="48"/>
        <v>18</v>
      </c>
      <c r="Y100" s="62">
        <f t="shared" si="48"/>
        <v>19</v>
      </c>
      <c r="Z100" s="62">
        <f t="shared" si="48"/>
        <v>20</v>
      </c>
    </row>
    <row r="101" spans="1:28" outlineLevel="1" x14ac:dyDescent="0.25">
      <c r="A101" s="39" t="str">
        <f>A100</f>
        <v>Estar ESDE240 (ГПБ К)</v>
      </c>
      <c r="B101" s="39"/>
      <c r="D101" s="63" t="s">
        <v>50</v>
      </c>
      <c r="E101" s="64" t="s">
        <v>51</v>
      </c>
      <c r="F101" s="65"/>
      <c r="G101" s="66">
        <f>SUMIFS(Производительность_1!E$55:E$71,Производительность_1!$C$55:$C$71,$A101)</f>
        <v>0.91162480974124804</v>
      </c>
      <c r="H101" s="66">
        <f>SUMIFS(Производительность_1!F$55:F$71,Производительность_1!$C$55:$C$71,$A101)</f>
        <v>0.89608701166920346</v>
      </c>
      <c r="I101" s="66">
        <f>SUMIFS(Производительность_1!G$55:G$71,Производительность_1!$C$55:$C$71,$A101)</f>
        <v>0.84869672754946723</v>
      </c>
      <c r="J101" s="66">
        <f>SUMIFS(Производительность_1!H$55:H$71,Производительность_1!$C$55:$C$71,$A101)</f>
        <v>0.80563483003551495</v>
      </c>
      <c r="K101" s="66">
        <f>SUMIFS(Производительность_1!I$55:I$71,Производительность_1!$C$55:$C$71,$A101)</f>
        <v>0.89852866565195333</v>
      </c>
      <c r="L101" s="66">
        <f>SUMIFS(Производительность_1!J$55:J$71,Производительность_1!$C$55:$C$71,$A101)</f>
        <v>0.82206050228310501</v>
      </c>
      <c r="M101" s="66">
        <f>SUMIFS(Производительность_1!K$55:K$71,Производительность_1!$C$55:$C$71,$A101)</f>
        <v>0.88942795535261288</v>
      </c>
      <c r="N101" s="66">
        <f>SUMIFS(Производительность_1!L$55:L$71,Производительность_1!$C$55:$C$71,$A101)</f>
        <v>0.81118404363267382</v>
      </c>
      <c r="O101" s="66">
        <f>SUMIFS(Производительность_1!M$55:M$71,Производительность_1!$C$55:$C$71,$A101)</f>
        <v>0.85613267376966007</v>
      </c>
      <c r="P101" s="66">
        <f>SUMIFS(Производительность_1!N$55:N$71,Производительность_1!$C$55:$C$71,$A101)</f>
        <v>0.83393581938102479</v>
      </c>
      <c r="Q101" s="66">
        <f>SUMIFS(Производительность_1!O$55:O$71,Производительность_1!$C$55:$C$71,$A101)</f>
        <v>0</v>
      </c>
      <c r="R101" s="66">
        <f>SUMIFS(Производительность_1!P$55:P$71,Производительность_1!$C$55:$C$71,$A101)</f>
        <v>0</v>
      </c>
      <c r="S101" s="66">
        <f>SUMIFS(Производительность_1!Q$55:Q$71,Производительность_1!$C$55:$C$71,$A101)</f>
        <v>0</v>
      </c>
      <c r="T101" s="66">
        <f>SUMIFS(Производительность_1!R$55:R$71,Производительность_1!$C$55:$C$71,$A101)</f>
        <v>0</v>
      </c>
      <c r="U101" s="66">
        <f>SUMIFS(Производительность_1!S$55:S$71,Производительность_1!$C$55:$C$71,$A101)</f>
        <v>0</v>
      </c>
      <c r="V101" s="66">
        <f>SUMIFS(Производительность_1!T$55:T$71,Производительность_1!$C$55:$C$71,$A101)</f>
        <v>0</v>
      </c>
      <c r="W101" s="66">
        <f>SUMIFS(Производительность_1!U$55:U$71,Производительность_1!$C$55:$C$71,$A101)</f>
        <v>0</v>
      </c>
      <c r="X101" s="66">
        <f>SUMIFS(Производительность_1!V$55:V$71,Производительность_1!$C$55:$C$71,$A101)</f>
        <v>0</v>
      </c>
      <c r="Y101" s="66">
        <f>SUMIFS(Производительность_1!W$55:W$71,Производительность_1!$C$55:$C$71,$A101)</f>
        <v>0</v>
      </c>
      <c r="Z101" s="66">
        <f>SUMIFS(Производительность_1!X$55:X$71,Производительность_1!$C$55:$C$71,$A101)</f>
        <v>0</v>
      </c>
    </row>
    <row r="102" spans="1:28" outlineLevel="1" x14ac:dyDescent="0.25">
      <c r="A102" s="39" t="str">
        <f t="shared" ref="A102:A165" si="49">A101</f>
        <v>Estar ESDE240 (ГПБ К)</v>
      </c>
      <c r="B102" s="39"/>
      <c r="D102" s="63" t="s">
        <v>52</v>
      </c>
      <c r="E102" s="64" t="str">
        <f>E101</f>
        <v>%</v>
      </c>
      <c r="F102" s="65"/>
      <c r="G102" s="66">
        <f>SUMIFS(Производительность_1!E$119:E$135,Производительность_1!$C$119:$C$135,$A102)</f>
        <v>0.7819966188134716</v>
      </c>
      <c r="H102" s="66">
        <f>SUMIFS(Производительность_1!F$119:F$135,Производительность_1!$C$119:$C$135,$A102)</f>
        <v>0.76866821284392139</v>
      </c>
      <c r="I102" s="66">
        <f>SUMIFS(Производительность_1!G$119:G$135,Производительность_1!$C$119:$C$135,$A102)</f>
        <v>0.73381368343152964</v>
      </c>
      <c r="J102" s="66">
        <f>SUMIFS(Производительность_1!H$119:H$135,Производительность_1!$C$119:$C$135,$A102)</f>
        <v>0.69658081967169794</v>
      </c>
      <c r="K102" s="66">
        <f>SUMIFS(Производительность_1!I$119:I$135,Производительность_1!$C$119:$C$135,$A102)</f>
        <v>0.77690016752473712</v>
      </c>
      <c r="L102" s="66">
        <f>SUMIFS(Производительность_1!J$119:J$135,Производительность_1!$C$119:$C$135,$A102)</f>
        <v>0.71078304605431419</v>
      </c>
      <c r="M102" s="66">
        <f>SUMIFS(Производительность_1!K$119:K$135,Производительность_1!$C$119:$C$135,$A102)</f>
        <v>0.76903136642085512</v>
      </c>
      <c r="N102" s="66">
        <f>SUMIFS(Производительность_1!L$119:L$135,Производительность_1!$C$119:$C$135,$A102)</f>
        <v>0.70137886912528458</v>
      </c>
      <c r="O102" s="66">
        <f>SUMIFS(Производительность_1!M$119:M$135,Производительность_1!$C$119:$C$135,$A102)</f>
        <v>0.74024306969933573</v>
      </c>
      <c r="P102" s="66">
        <f>SUMIFS(Производительность_1!N$119:N$135,Производительность_1!$C$119:$C$135,$A102)</f>
        <v>0.7210508718849894</v>
      </c>
      <c r="Q102" s="66">
        <f>SUMIFS(Производительность_1!O$119:O$135,Производительность_1!$C$119:$C$135,$A102)</f>
        <v>0</v>
      </c>
      <c r="R102" s="66">
        <f>SUMIFS(Производительность_1!P$119:P$135,Производительность_1!$C$119:$C$135,$A102)</f>
        <v>0</v>
      </c>
      <c r="S102" s="66">
        <f>SUMIFS(Производительность_1!Q$119:Q$135,Производительность_1!$C$119:$C$135,$A102)</f>
        <v>0</v>
      </c>
      <c r="T102" s="66">
        <f>SUMIFS(Производительность_1!R$119:R$135,Производительность_1!$C$119:$C$135,$A102)</f>
        <v>0</v>
      </c>
      <c r="U102" s="66">
        <f>SUMIFS(Производительность_1!S$119:S$135,Производительность_1!$C$119:$C$135,$A102)</f>
        <v>0</v>
      </c>
      <c r="V102" s="66">
        <f>SUMIFS(Производительность_1!T$119:T$135,Производительность_1!$C$119:$C$135,$A102)</f>
        <v>0</v>
      </c>
      <c r="W102" s="66">
        <f>SUMIFS(Производительность_1!U$119:U$135,Производительность_1!$C$119:$C$135,$A102)</f>
        <v>0</v>
      </c>
      <c r="X102" s="66">
        <f>SUMIFS(Производительность_1!V$119:V$135,Производительность_1!$C$119:$C$135,$A102)</f>
        <v>0</v>
      </c>
      <c r="Y102" s="66">
        <f>SUMIFS(Производительность_1!W$119:W$135,Производительность_1!$C$119:$C$135,$A102)</f>
        <v>0</v>
      </c>
      <c r="Z102" s="66">
        <f>SUMIFS(Производительность_1!X$119:X$135,Производительность_1!$C$119:$C$135,$A102)</f>
        <v>0</v>
      </c>
    </row>
    <row r="103" spans="1:28" outlineLevel="1" x14ac:dyDescent="0.25">
      <c r="A103" s="39" t="str">
        <f t="shared" si="49"/>
        <v>Estar ESDE240 (ГПБ К)</v>
      </c>
      <c r="B103" s="39"/>
      <c r="D103" s="67" t="s">
        <v>53</v>
      </c>
      <c r="E103" s="68" t="s">
        <v>23</v>
      </c>
      <c r="F103" s="69"/>
      <c r="G103" s="69">
        <f>SUMIFS(Производительность_1!E$247:E$263,Производительность_1!$C$247:$C$263,$A103)</f>
        <v>3468.7825332226494</v>
      </c>
      <c r="H103" s="69">
        <f>SUMIFS(Производительность_1!F$247:F$263,Производительность_1!$C$247:$C$263,$A103)</f>
        <v>3181.8179175320083</v>
      </c>
      <c r="I103" s="69">
        <f>SUMIFS(Производительность_1!G$247:G$263,Производительность_1!$C$247:$C$263,$A103)</f>
        <v>2671.6234903014893</v>
      </c>
      <c r="J103" s="69">
        <f>SUMIFS(Производительность_1!H$247:H$263,Производительность_1!$C$247:$C$263,$A103)</f>
        <v>2601.2507701990708</v>
      </c>
      <c r="K103" s="69">
        <f>SUMIFS(Производительность_1!I$247:I$263,Производительность_1!$C$247:$C$263,$A103)</f>
        <v>2495.9958236214775</v>
      </c>
      <c r="L103" s="69">
        <f>SUMIFS(Производительность_1!J$247:J$263,Производительность_1!$C$247:$C$263,$A103)</f>
        <v>2098.7034958810245</v>
      </c>
      <c r="M103" s="69">
        <f>SUMIFS(Производительность_1!K$247:K$263,Производительность_1!$C$247:$C$263,$A103)</f>
        <v>2625.7802162816274</v>
      </c>
      <c r="N103" s="69">
        <f>SUMIFS(Производительность_1!L$247:L$263,Производительность_1!$C$247:$C$263,$A103)</f>
        <v>2352.7470042377572</v>
      </c>
      <c r="O103" s="69">
        <f>SUMIFS(Производительность_1!M$247:M$263,Производительность_1!$C$247:$C$263,$A103)</f>
        <v>2176.9070476514285</v>
      </c>
      <c r="P103" s="69">
        <f>SUMIFS(Производительность_1!N$247:N$263,Производительность_1!$C$247:$C$263,$A103)</f>
        <v>2307.6680129701058</v>
      </c>
      <c r="Q103" s="69">
        <f>SUMIFS(Производительность_1!O$247:O$263,Производительность_1!$C$247:$C$263,$A103)</f>
        <v>0</v>
      </c>
      <c r="R103" s="69">
        <f>SUMIFS(Производительность_1!P$247:P$263,Производительность_1!$C$247:$C$263,$A103)</f>
        <v>0</v>
      </c>
      <c r="S103" s="69">
        <f>SUMIFS(Производительность_1!Q$247:Q$263,Производительность_1!$C$247:$C$263,$A103)</f>
        <v>0</v>
      </c>
      <c r="T103" s="69">
        <f>SUMIFS(Производительность_1!R$247:R$263,Производительность_1!$C$247:$C$263,$A103)</f>
        <v>0</v>
      </c>
      <c r="U103" s="69">
        <f>SUMIFS(Производительность_1!S$247:S$263,Производительность_1!$C$247:$C$263,$A103)</f>
        <v>0</v>
      </c>
      <c r="V103" s="69">
        <f>SUMIFS(Производительность_1!T$247:T$263,Производительность_1!$C$247:$C$263,$A103)</f>
        <v>0</v>
      </c>
      <c r="W103" s="69">
        <f>SUMIFS(Производительность_1!U$247:U$263,Производительность_1!$C$247:$C$263,$A103)</f>
        <v>0</v>
      </c>
      <c r="X103" s="69">
        <f>SUMIFS(Производительность_1!V$247:V$263,Производительность_1!$C$247:$C$263,$A103)</f>
        <v>0</v>
      </c>
      <c r="Y103" s="69">
        <f>SUMIFS(Производительность_1!W$247:W$263,Производительность_1!$C$247:$C$263,$A103)</f>
        <v>0</v>
      </c>
      <c r="Z103" s="69">
        <f>SUMIFS(Производительность_1!X$247:X$263,Производительность_1!$C$247:$C$263,$A103)</f>
        <v>0</v>
      </c>
    </row>
    <row r="104" spans="1:28" outlineLevel="1" x14ac:dyDescent="0.25">
      <c r="A104" s="39" t="str">
        <f t="shared" si="49"/>
        <v>Estar ESDE240 (ГПБ К)</v>
      </c>
      <c r="B104" s="39"/>
      <c r="D104" s="67" t="s">
        <v>54</v>
      </c>
      <c r="E104" s="68" t="s">
        <v>24</v>
      </c>
      <c r="F104" s="69"/>
      <c r="G104" s="69">
        <f>SUMIFS(Производительность_1!E$263:E$279,Производительность_1!$C$263:$C$279,$A104)</f>
        <v>10543.656267432647</v>
      </c>
      <c r="H104" s="69">
        <f>SUMIFS(Производительность_1!F$263:F$279,Производительность_1!$C$263:$C$279,$A104)</f>
        <v>10722.163323869008</v>
      </c>
      <c r="I104" s="69">
        <f>SUMIFS(Производительность_1!G$263:G$279,Производительность_1!$C$263:$C$279,$A104)</f>
        <v>10811.273171800669</v>
      </c>
      <c r="J104" s="69">
        <f>SUMIFS(Производительность_1!H$263:H$279,Производительность_1!$C$263:$C$279,$A104)</f>
        <v>10160.241833220283</v>
      </c>
      <c r="K104" s="69">
        <f>SUMIFS(Производительность_1!I$263:I$279,Производительность_1!$C$263:$C$279,$A104)</f>
        <v>11968.813615069706</v>
      </c>
      <c r="L104" s="69">
        <f>SUMIFS(Производительность_1!J$263:J$279,Производительность_1!$C$263:$C$279,$A104)</f>
        <v>11240.881082414868</v>
      </c>
      <c r="M104" s="69">
        <f>SUMIFS(Производительность_1!K$263:K$279,Производительность_1!$C$263:$C$279,$A104)</f>
        <v>11603.794817186421</v>
      </c>
      <c r="N104" s="69">
        <f>SUMIFS(Производительность_1!L$263:L$279,Производительность_1!$C$263:$C$279,$A104)</f>
        <v>10649.092975859176</v>
      </c>
      <c r="O104" s="69">
        <f>SUMIFS(Производительность_1!M$263:M$279,Производительность_1!$C$263:$C$279,$A104)</f>
        <v>11720.592082139747</v>
      </c>
      <c r="P104" s="69">
        <f>SUMIFS(Производительность_1!N$263:N$279,Производительность_1!$C$263:$C$279,$A104)</f>
        <v>11122.395605287671</v>
      </c>
      <c r="Q104" s="69">
        <f>SUMIFS(Производительность_1!O$263:O$279,Производительность_1!$C$263:$C$279,$A104)</f>
        <v>0</v>
      </c>
      <c r="R104" s="69">
        <f>SUMIFS(Производительность_1!P$263:P$279,Производительность_1!$C$263:$C$279,$A104)</f>
        <v>0</v>
      </c>
      <c r="S104" s="69">
        <f>SUMIFS(Производительность_1!Q$263:Q$279,Производительность_1!$C$263:$C$279,$A104)</f>
        <v>0</v>
      </c>
      <c r="T104" s="69">
        <f>SUMIFS(Производительность_1!R$263:R$279,Производительность_1!$C$263:$C$279,$A104)</f>
        <v>0</v>
      </c>
      <c r="U104" s="69">
        <f>SUMIFS(Производительность_1!S$263:S$279,Производительность_1!$C$263:$C$279,$A104)</f>
        <v>0</v>
      </c>
      <c r="V104" s="69">
        <f>SUMIFS(Производительность_1!T$263:T$279,Производительность_1!$C$263:$C$279,$A104)</f>
        <v>0</v>
      </c>
      <c r="W104" s="69">
        <f>SUMIFS(Производительность_1!U$263:U$279,Производительность_1!$C$263:$C$279,$A104)</f>
        <v>0</v>
      </c>
      <c r="X104" s="69">
        <f>SUMIFS(Производительность_1!V$263:V$279,Производительность_1!$C$263:$C$279,$A104)</f>
        <v>0</v>
      </c>
      <c r="Y104" s="69">
        <f>SUMIFS(Производительность_1!W$263:W$279,Производительность_1!$C$263:$C$279,$A104)</f>
        <v>0</v>
      </c>
      <c r="Z104" s="69">
        <f>SUMIFS(Производительность_1!X$263:X$279,Производительность_1!$C$263:$C$279,$A104)</f>
        <v>0</v>
      </c>
    </row>
    <row r="105" spans="1:28" outlineLevel="1" x14ac:dyDescent="0.25">
      <c r="A105" s="39" t="str">
        <f t="shared" si="49"/>
        <v>Estar ESDE240 (ГПБ К)</v>
      </c>
      <c r="B105" s="39"/>
      <c r="D105" s="70" t="s">
        <v>55</v>
      </c>
      <c r="E105" s="64" t="str">
        <f>E104</f>
        <v>тыс. ткм</v>
      </c>
      <c r="F105" s="65"/>
      <c r="G105" s="65">
        <f>G104</f>
        <v>10543.656267432647</v>
      </c>
      <c r="H105" s="65">
        <f>G105+H104</f>
        <v>21265.819591301653</v>
      </c>
      <c r="I105" s="65">
        <f t="shared" ref="I105:Z105" si="50">H105+I104</f>
        <v>32077.092763102322</v>
      </c>
      <c r="J105" s="65">
        <f t="shared" si="50"/>
        <v>42237.334596322602</v>
      </c>
      <c r="K105" s="65">
        <f t="shared" si="50"/>
        <v>54206.148211392312</v>
      </c>
      <c r="L105" s="65">
        <f t="shared" si="50"/>
        <v>65447.02929380718</v>
      </c>
      <c r="M105" s="65">
        <f t="shared" si="50"/>
        <v>77050.824110993606</v>
      </c>
      <c r="N105" s="65">
        <f t="shared" si="50"/>
        <v>87699.917086852787</v>
      </c>
      <c r="O105" s="65">
        <f t="shared" si="50"/>
        <v>99420.509168992532</v>
      </c>
      <c r="P105" s="65">
        <f t="shared" si="50"/>
        <v>110542.90477428021</v>
      </c>
      <c r="Q105" s="65">
        <f t="shared" si="50"/>
        <v>110542.90477428021</v>
      </c>
      <c r="R105" s="65">
        <f t="shared" si="50"/>
        <v>110542.90477428021</v>
      </c>
      <c r="S105" s="65">
        <f t="shared" si="50"/>
        <v>110542.90477428021</v>
      </c>
      <c r="T105" s="65">
        <f t="shared" si="50"/>
        <v>110542.90477428021</v>
      </c>
      <c r="U105" s="65">
        <f t="shared" si="50"/>
        <v>110542.90477428021</v>
      </c>
      <c r="V105" s="65">
        <f t="shared" si="50"/>
        <v>110542.90477428021</v>
      </c>
      <c r="W105" s="65">
        <f t="shared" si="50"/>
        <v>110542.90477428021</v>
      </c>
      <c r="X105" s="65">
        <f t="shared" si="50"/>
        <v>110542.90477428021</v>
      </c>
      <c r="Y105" s="65">
        <f t="shared" si="50"/>
        <v>110542.90477428021</v>
      </c>
      <c r="Z105" s="65">
        <f t="shared" si="50"/>
        <v>110542.90477428021</v>
      </c>
    </row>
    <row r="106" spans="1:28" outlineLevel="1" x14ac:dyDescent="0.25">
      <c r="A106" s="39" t="str">
        <f t="shared" si="49"/>
        <v>Estar ESDE240 (ГПБ К)</v>
      </c>
      <c r="B106" s="39"/>
      <c r="D106" s="63" t="s">
        <v>56</v>
      </c>
      <c r="E106" s="64" t="s">
        <v>57</v>
      </c>
      <c r="F106" s="65"/>
      <c r="G106" s="65">
        <f>SUMIFS(Производительность_1!E$279:E$295,Производительность_1!$C$279:$C$295,$A106)/1000</f>
        <v>101.40606493131789</v>
      </c>
      <c r="H106" s="65">
        <f>SUMIFS(Производительность_1!F$279:F$295,Производительность_1!$C$279:$C$295,$A106)/1000</f>
        <v>103.12289803897492</v>
      </c>
      <c r="I106" s="65">
        <f>SUMIFS(Производительность_1!G$279:G$295,Производительность_1!$C$279:$C$295,$A106)/1000</f>
        <v>103.97993271425065</v>
      </c>
      <c r="J106" s="65">
        <f>SUMIFS(Производительность_1!H$279:H$295,Производительность_1!$C$279:$C$295,$A106)/1000</f>
        <v>97.7184874889995</v>
      </c>
      <c r="K106" s="65">
        <f>SUMIFS(Производительность_1!I$279:I$295,Производительность_1!$C$279:$C$295,$A106)/1000</f>
        <v>115.11284698738908</v>
      </c>
      <c r="L106" s="65">
        <f>SUMIFS(Производительность_1!J$279:J$295,Производительность_1!$C$279:$C$295,$A106)/1000</f>
        <v>108.11178665312714</v>
      </c>
      <c r="M106" s="65">
        <f>SUMIFS(Производительность_1!K$279:K$295,Производительность_1!$C$279:$C$295,$A106)/1000</f>
        <v>111.60219385336794</v>
      </c>
      <c r="N106" s="65">
        <f>SUMIFS(Производительность_1!L$279:L$295,Производительность_1!$C$279:$C$295,$A106)/1000</f>
        <v>102.42012698243673</v>
      </c>
      <c r="O106" s="65">
        <f>SUMIFS(Производительность_1!M$279:M$295,Производительность_1!$C$279:$C$295,$A106)/1000</f>
        <v>112.72551869754375</v>
      </c>
      <c r="P106" s="65">
        <f>SUMIFS(Производительность_1!N$279:N$295,Производительность_1!$C$279:$C$295,$A106)/1000</f>
        <v>106.97222503595916</v>
      </c>
      <c r="Q106" s="65">
        <f>SUMIFS(Производительность_1!O$279:O$295,Производительность_1!$C$279:$C$295,$A106)/1000</f>
        <v>0</v>
      </c>
      <c r="R106" s="65">
        <f>SUMIFS(Производительность_1!P$279:P$295,Производительность_1!$C$279:$C$295,$A106)/1000</f>
        <v>0</v>
      </c>
      <c r="S106" s="65">
        <f>SUMIFS(Производительность_1!Q$279:Q$295,Производительность_1!$C$279:$C$295,$A106)/1000</f>
        <v>0</v>
      </c>
      <c r="T106" s="65">
        <f>SUMIFS(Производительность_1!R$279:R$295,Производительность_1!$C$279:$C$295,$A106)/1000</f>
        <v>0</v>
      </c>
      <c r="U106" s="65">
        <f>SUMIFS(Производительность_1!S$279:S$295,Производительность_1!$C$279:$C$295,$A106)/1000</f>
        <v>0</v>
      </c>
      <c r="V106" s="65">
        <f>SUMIFS(Производительность_1!T$279:T$295,Производительность_1!$C$279:$C$295,$A106)/1000</f>
        <v>0</v>
      </c>
      <c r="W106" s="65">
        <f>SUMIFS(Производительность_1!U$279:U$295,Производительность_1!$C$279:$C$295,$A106)/1000</f>
        <v>0</v>
      </c>
      <c r="X106" s="65">
        <f>SUMIFS(Производительность_1!V$279:V$295,Производительность_1!$C$279:$C$295,$A106)/1000</f>
        <v>0</v>
      </c>
      <c r="Y106" s="65">
        <f>SUMIFS(Производительность_1!W$279:W$295,Производительность_1!$C$279:$C$295,$A106)/1000</f>
        <v>0</v>
      </c>
      <c r="Z106" s="65">
        <f>SUMIFS(Производительность_1!X$279:X$295,Производительность_1!$C$279:$C$295,$A106)/1000</f>
        <v>0</v>
      </c>
    </row>
    <row r="107" spans="1:28" outlineLevel="1" x14ac:dyDescent="0.25">
      <c r="A107" s="39" t="str">
        <f t="shared" si="49"/>
        <v>Estar ESDE240 (ГПБ К)</v>
      </c>
      <c r="B107" s="39"/>
      <c r="D107" s="31"/>
      <c r="E107" s="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8" outlineLevel="1" x14ac:dyDescent="0.25">
      <c r="A108" s="39" t="str">
        <f t="shared" si="49"/>
        <v>Estar ESDE240 (ГПБ К)</v>
      </c>
      <c r="B108" s="39"/>
      <c r="D108" s="71" t="s">
        <v>58</v>
      </c>
      <c r="E108" s="72" t="s">
        <v>33</v>
      </c>
      <c r="F108" s="73">
        <f>F133+F134-F132</f>
        <v>0</v>
      </c>
      <c r="G108" s="73">
        <f t="shared" ref="G108:Z108" si="51">G133+G134-G132</f>
        <v>90723.802825498133</v>
      </c>
      <c r="H108" s="73">
        <f t="shared" si="51"/>
        <v>98593.128819186328</v>
      </c>
      <c r="I108" s="73">
        <f t="shared" si="51"/>
        <v>145082.30686393863</v>
      </c>
      <c r="J108" s="73">
        <f t="shared" si="51"/>
        <v>269731.49545957893</v>
      </c>
      <c r="K108" s="73">
        <f t="shared" si="51"/>
        <v>99637.643565928272</v>
      </c>
      <c r="L108" s="73">
        <f t="shared" si="51"/>
        <v>154476.15675630298</v>
      </c>
      <c r="M108" s="73">
        <f t="shared" si="51"/>
        <v>97160.286525640782</v>
      </c>
      <c r="N108" s="73">
        <f t="shared" si="51"/>
        <v>272699.48715474195</v>
      </c>
      <c r="O108" s="73">
        <f t="shared" si="51"/>
        <v>97869.404868962913</v>
      </c>
      <c r="P108" s="73">
        <f t="shared" si="51"/>
        <v>94237.538191125961</v>
      </c>
      <c r="Q108" s="73">
        <f t="shared" si="51"/>
        <v>0</v>
      </c>
      <c r="R108" s="73">
        <f t="shared" si="51"/>
        <v>0</v>
      </c>
      <c r="S108" s="73">
        <f t="shared" si="51"/>
        <v>0</v>
      </c>
      <c r="T108" s="73">
        <f t="shared" si="51"/>
        <v>0</v>
      </c>
      <c r="U108" s="73">
        <f t="shared" si="51"/>
        <v>0</v>
      </c>
      <c r="V108" s="73">
        <f t="shared" si="51"/>
        <v>0</v>
      </c>
      <c r="W108" s="73">
        <f t="shared" si="51"/>
        <v>0</v>
      </c>
      <c r="X108" s="73">
        <f t="shared" si="51"/>
        <v>0</v>
      </c>
      <c r="Y108" s="73">
        <f t="shared" si="51"/>
        <v>0</v>
      </c>
      <c r="Z108" s="73">
        <f t="shared" si="51"/>
        <v>0</v>
      </c>
    </row>
    <row r="109" spans="1:28" outlineLevel="1" x14ac:dyDescent="0.25">
      <c r="A109" s="39" t="str">
        <f t="shared" si="49"/>
        <v>Estar ESDE240 (ГПБ К)</v>
      </c>
      <c r="B109" s="39"/>
      <c r="C109" s="619" t="str">
        <f>D109</f>
        <v>ТО, ТР, ППР</v>
      </c>
      <c r="D109" s="430" t="s">
        <v>59</v>
      </c>
      <c r="E109" s="68" t="str">
        <f>E108</f>
        <v>тыс. руб.</v>
      </c>
      <c r="F109" s="74"/>
      <c r="G109" s="455">
        <f>(G110+G111+G112)*'ФОТ, МТР, макро'!AK$7</f>
        <v>16978.57817583454</v>
      </c>
      <c r="H109" s="455">
        <f>(H110+H111+H112)*'ФОТ, МТР, макро'!AL$7</f>
        <v>26025.971825838711</v>
      </c>
      <c r="I109" s="455">
        <f>(I110+I111+I112)*'ФОТ, МТР, макро'!AM$7</f>
        <v>87290.185161209505</v>
      </c>
      <c r="J109" s="455">
        <f>(J110+J111+J112)*'ФОТ, МТР, макро'!AN$7</f>
        <v>258759.29820809895</v>
      </c>
      <c r="K109" s="455">
        <f>(K110+K111+K112)*'ФОТ, МТР, макро'!AO$7</f>
        <v>17326.83977133454</v>
      </c>
      <c r="L109" s="455">
        <f>(L110+L111+L112)*'ФОТ, МТР, макро'!AP$7</f>
        <v>96337.578811213665</v>
      </c>
      <c r="M109" s="455">
        <f>(M110+M111+M112)*'ФОТ, МТР, макро'!AQ$7</f>
        <v>16978.57817583454</v>
      </c>
      <c r="N109" s="455">
        <f>(N110+N111+N112)*'ФОТ, МТР, макро'!AR$7</f>
        <v>258759.29820809895</v>
      </c>
      <c r="O109" s="455">
        <f>(O110+O111+O112)*'ФОТ, МТР, макро'!AS$7</f>
        <v>16978.57817583454</v>
      </c>
      <c r="P109" s="455">
        <f>(P110+P111+P112)*'ФОТ, МТР, макро'!AT$7</f>
        <v>16978.57817583454</v>
      </c>
      <c r="Q109" s="455"/>
      <c r="R109" s="455"/>
      <c r="S109" s="455"/>
      <c r="T109" s="455"/>
      <c r="U109" s="455"/>
      <c r="V109" s="455"/>
      <c r="W109" s="455"/>
      <c r="X109" s="455"/>
      <c r="Y109" s="455"/>
      <c r="Z109" s="455"/>
      <c r="AB109" s="76">
        <f>SUM(F109:Z109,F123:Z123)/E98</f>
        <v>81241.348468913246</v>
      </c>
    </row>
    <row r="110" spans="1:28" outlineLevel="1" x14ac:dyDescent="0.25">
      <c r="A110" s="39" t="str">
        <f t="shared" si="49"/>
        <v>Estar ESDE240 (ГПБ К)</v>
      </c>
      <c r="B110" s="39"/>
      <c r="D110" s="427" t="s">
        <v>60</v>
      </c>
      <c r="E110" s="428" t="s">
        <v>35</v>
      </c>
      <c r="F110" s="30"/>
      <c r="G110" s="456">
        <f>ESDE240_1!E19</f>
        <v>154.71899099571866</v>
      </c>
      <c r="H110" s="456">
        <f>ESDE240_1!F19</f>
        <v>154.71899099571866</v>
      </c>
      <c r="I110" s="456">
        <f>ESDE240_1!G19</f>
        <v>154.71899099571866</v>
      </c>
      <c r="J110" s="456">
        <f>ESDE240_1!H19</f>
        <v>154.71899099571866</v>
      </c>
      <c r="K110" s="456">
        <f>ESDE240_1!I19</f>
        <v>154.71899099571866</v>
      </c>
      <c r="L110" s="456">
        <f>ESDE240_1!J19</f>
        <v>154.71899099571866</v>
      </c>
      <c r="M110" s="456">
        <f>ESDE240_1!K19</f>
        <v>154.71899099571866</v>
      </c>
      <c r="N110" s="456">
        <f>ESDE240_1!L19</f>
        <v>154.71899099571866</v>
      </c>
      <c r="O110" s="456">
        <f>ESDE240_1!M19</f>
        <v>154.71899099571866</v>
      </c>
      <c r="P110" s="456">
        <f>ESDE240_1!N19</f>
        <v>154.71899099571866</v>
      </c>
      <c r="Q110" s="456"/>
      <c r="R110" s="456"/>
      <c r="S110" s="456"/>
      <c r="T110" s="456"/>
      <c r="U110" s="456"/>
      <c r="V110" s="456"/>
      <c r="W110" s="456"/>
      <c r="X110" s="456"/>
      <c r="Y110" s="456"/>
      <c r="Z110" s="456"/>
    </row>
    <row r="111" spans="1:28" outlineLevel="1" x14ac:dyDescent="0.25">
      <c r="A111" s="39" t="str">
        <f t="shared" si="49"/>
        <v>Estar ESDE240 (ГПБ К)</v>
      </c>
      <c r="B111" s="39"/>
      <c r="D111" s="427" t="s">
        <v>61</v>
      </c>
      <c r="E111" s="428" t="s">
        <v>35</v>
      </c>
      <c r="F111" s="30"/>
      <c r="G111" s="456">
        <f>ESDE240_1!E20+ESDE240_1!E21</f>
        <v>4.9310352762000003</v>
      </c>
      <c r="H111" s="456">
        <f>ESDE240_1!F20+ESDE240_1!F21</f>
        <v>88.530269182154584</v>
      </c>
      <c r="I111" s="456">
        <f>ESDE240_1!G20+ESDE240_1!G21</f>
        <v>701.51111927940008</v>
      </c>
      <c r="J111" s="456">
        <f>ESDE240_1!H20+ESDE240_1!H21</f>
        <v>2494.2899267764833</v>
      </c>
      <c r="K111" s="456">
        <f>ESDE240_1!I20+ESDE240_1!I21</f>
        <v>7.0140352762000004</v>
      </c>
      <c r="L111" s="456">
        <f>ESDE240_1!J20+ESDE240_1!J21</f>
        <v>785.1103531853546</v>
      </c>
      <c r="M111" s="456">
        <f>ESDE240_1!K20+ESDE240_1!K21</f>
        <v>4.9310352762000003</v>
      </c>
      <c r="N111" s="456">
        <f>ESDE240_1!L20+ESDE240_1!L21</f>
        <v>2494.2899267764833</v>
      </c>
      <c r="O111" s="456">
        <f>ESDE240_1!M20+ESDE240_1!M21</f>
        <v>4.9310352762000003</v>
      </c>
      <c r="P111" s="456">
        <f>ESDE240_1!N20+ESDE240_1!N21</f>
        <v>4.9310352762000003</v>
      </c>
      <c r="Q111" s="456"/>
      <c r="R111" s="456"/>
      <c r="S111" s="456"/>
      <c r="T111" s="456"/>
      <c r="U111" s="456"/>
      <c r="V111" s="456"/>
      <c r="W111" s="456"/>
      <c r="X111" s="456"/>
      <c r="Y111" s="456"/>
      <c r="Z111" s="456"/>
    </row>
    <row r="112" spans="1:28" outlineLevel="1" x14ac:dyDescent="0.25">
      <c r="A112" s="39" t="str">
        <f t="shared" si="49"/>
        <v>Estar ESDE240 (ГПБ К)</v>
      </c>
      <c r="B112" s="39"/>
      <c r="D112" s="427" t="s">
        <v>62</v>
      </c>
      <c r="E112" s="428" t="s">
        <v>33</v>
      </c>
      <c r="F112" s="30"/>
      <c r="G112" s="456">
        <f>ESDE240_1!E22+ESDE240_1!E23</f>
        <v>20.880000000000003</v>
      </c>
      <c r="H112" s="456">
        <f>ESDE240_1!F22+ESDE240_1!F23</f>
        <v>33.480000000000004</v>
      </c>
      <c r="I112" s="456">
        <f>ESDE240_1!G22+ESDE240_1!G23</f>
        <v>71.91</v>
      </c>
      <c r="J112" s="456">
        <f>ESDE240_1!H22+ESDE240_1!H23</f>
        <v>102.33</v>
      </c>
      <c r="K112" s="456">
        <f>ESDE240_1!I22+ESDE240_1!I23</f>
        <v>22.5</v>
      </c>
      <c r="L112" s="456">
        <f>ESDE240_1!J22+ESDE240_1!J23</f>
        <v>84.509999999999991</v>
      </c>
      <c r="M112" s="456">
        <f>ESDE240_1!K22+ESDE240_1!K23</f>
        <v>20.880000000000003</v>
      </c>
      <c r="N112" s="456">
        <f>ESDE240_1!L22+ESDE240_1!L23</f>
        <v>102.33</v>
      </c>
      <c r="O112" s="456">
        <f>ESDE240_1!M22+ESDE240_1!M23</f>
        <v>20.880000000000003</v>
      </c>
      <c r="P112" s="456">
        <f>ESDE240_1!N22+ESDE240_1!N23</f>
        <v>20.880000000000003</v>
      </c>
      <c r="Q112" s="456"/>
      <c r="R112" s="456"/>
      <c r="S112" s="456"/>
      <c r="T112" s="456"/>
      <c r="U112" s="456"/>
      <c r="V112" s="456"/>
      <c r="W112" s="456"/>
      <c r="X112" s="456"/>
      <c r="Y112" s="456"/>
      <c r="Z112" s="456"/>
    </row>
    <row r="113" spans="1:28" outlineLevel="1" x14ac:dyDescent="0.25">
      <c r="A113" s="39" t="str">
        <f t="shared" si="49"/>
        <v>Estar ESDE240 (ГПБ К)</v>
      </c>
      <c r="B113" s="39"/>
      <c r="D113" s="80" t="s">
        <v>63</v>
      </c>
      <c r="E113" s="81"/>
      <c r="F113" s="82"/>
      <c r="G113" s="83" t="e">
        <f>G109/$F137</f>
        <v>#DIV/0!</v>
      </c>
      <c r="H113" s="83" t="e">
        <f t="shared" ref="H113:Z113" si="52">H109/$F137</f>
        <v>#DIV/0!</v>
      </c>
      <c r="I113" s="83" t="e">
        <f t="shared" si="52"/>
        <v>#DIV/0!</v>
      </c>
      <c r="J113" s="83" t="e">
        <f t="shared" si="52"/>
        <v>#DIV/0!</v>
      </c>
      <c r="K113" s="83" t="e">
        <f t="shared" si="52"/>
        <v>#DIV/0!</v>
      </c>
      <c r="L113" s="83" t="e">
        <f t="shared" si="52"/>
        <v>#DIV/0!</v>
      </c>
      <c r="M113" s="83" t="e">
        <f t="shared" si="52"/>
        <v>#DIV/0!</v>
      </c>
      <c r="N113" s="83" t="e">
        <f t="shared" si="52"/>
        <v>#DIV/0!</v>
      </c>
      <c r="O113" s="83" t="e">
        <f t="shared" si="52"/>
        <v>#DIV/0!</v>
      </c>
      <c r="P113" s="83" t="e">
        <f t="shared" si="52"/>
        <v>#DIV/0!</v>
      </c>
      <c r="Q113" s="83" t="e">
        <f t="shared" si="52"/>
        <v>#DIV/0!</v>
      </c>
      <c r="R113" s="83" t="e">
        <f t="shared" si="52"/>
        <v>#DIV/0!</v>
      </c>
      <c r="S113" s="83" t="e">
        <f t="shared" si="52"/>
        <v>#DIV/0!</v>
      </c>
      <c r="T113" s="83" t="e">
        <f t="shared" si="52"/>
        <v>#DIV/0!</v>
      </c>
      <c r="U113" s="83" t="e">
        <f t="shared" si="52"/>
        <v>#DIV/0!</v>
      </c>
      <c r="V113" s="83" t="e">
        <f t="shared" si="52"/>
        <v>#DIV/0!</v>
      </c>
      <c r="W113" s="83" t="e">
        <f t="shared" si="52"/>
        <v>#DIV/0!</v>
      </c>
      <c r="X113" s="83" t="e">
        <f t="shared" si="52"/>
        <v>#DIV/0!</v>
      </c>
      <c r="Y113" s="83" t="e">
        <f t="shared" si="52"/>
        <v>#DIV/0!</v>
      </c>
      <c r="Z113" s="83" t="e">
        <f t="shared" si="52"/>
        <v>#DIV/0!</v>
      </c>
      <c r="AA113" s="84" t="e">
        <f>SUM(F109:Z109)/$F137</f>
        <v>#DIV/0!</v>
      </c>
    </row>
    <row r="114" spans="1:28" outlineLevel="1" x14ac:dyDescent="0.25">
      <c r="A114" s="39" t="str">
        <f t="shared" si="49"/>
        <v>Estar ESDE240 (ГПБ К)</v>
      </c>
      <c r="B114" s="39"/>
      <c r="D114" s="67" t="s">
        <v>39</v>
      </c>
      <c r="E114" s="68" t="str">
        <f>E108</f>
        <v>тыс. руб.</v>
      </c>
      <c r="F114" s="74"/>
      <c r="G114" s="85">
        <f>G116*G117</f>
        <v>22705.184537525285</v>
      </c>
      <c r="H114" s="85">
        <f t="shared" ref="H114:Z114" si="53">H116*H117</f>
        <v>23089.589676960368</v>
      </c>
      <c r="I114" s="85">
        <f t="shared" si="53"/>
        <v>23281.482839074222</v>
      </c>
      <c r="J114" s="85">
        <f t="shared" si="53"/>
        <v>21879.522616998514</v>
      </c>
      <c r="K114" s="85">
        <f t="shared" si="53"/>
        <v>25774.182592124111</v>
      </c>
      <c r="L114" s="85">
        <f t="shared" si="53"/>
        <v>24206.619873312084</v>
      </c>
      <c r="M114" s="85">
        <f t="shared" si="53"/>
        <v>24988.134663835215</v>
      </c>
      <c r="N114" s="85">
        <f t="shared" si="53"/>
        <v>22932.236696769894</v>
      </c>
      <c r="O114" s="85">
        <f t="shared" si="53"/>
        <v>25239.651157448032</v>
      </c>
      <c r="P114" s="85">
        <f t="shared" si="53"/>
        <v>23951.467907527745</v>
      </c>
      <c r="Q114" s="85">
        <f t="shared" si="53"/>
        <v>0</v>
      </c>
      <c r="R114" s="85">
        <f t="shared" si="53"/>
        <v>0</v>
      </c>
      <c r="S114" s="85">
        <f t="shared" si="53"/>
        <v>0</v>
      </c>
      <c r="T114" s="85">
        <f t="shared" si="53"/>
        <v>0</v>
      </c>
      <c r="U114" s="85">
        <f t="shared" si="53"/>
        <v>0</v>
      </c>
      <c r="V114" s="85">
        <f t="shared" si="53"/>
        <v>0</v>
      </c>
      <c r="W114" s="85">
        <f t="shared" si="53"/>
        <v>0</v>
      </c>
      <c r="X114" s="85">
        <f t="shared" si="53"/>
        <v>0</v>
      </c>
      <c r="Y114" s="85">
        <f t="shared" si="53"/>
        <v>0</v>
      </c>
      <c r="Z114" s="85">
        <f t="shared" si="53"/>
        <v>0</v>
      </c>
    </row>
    <row r="115" spans="1:28" outlineLevel="1" x14ac:dyDescent="0.25">
      <c r="A115" s="39" t="str">
        <f t="shared" si="49"/>
        <v>Estar ESDE240 (ГПБ К)</v>
      </c>
      <c r="B115" s="39"/>
      <c r="D115" s="31" t="s">
        <v>64</v>
      </c>
      <c r="E115" s="9" t="s">
        <v>65</v>
      </c>
      <c r="F115" s="86">
        <f>SUMIFS('ФОТ, МТР, макро'!$Z$4:$Z$20,'ФОТ, МТР, макро'!$W$4:$W$20,$A115)</f>
        <v>7.4999999999999997E-2</v>
      </c>
      <c r="G115" s="87">
        <f>F115</f>
        <v>7.4999999999999997E-2</v>
      </c>
      <c r="H115" s="87">
        <f t="shared" ref="H115:Z115" si="54">G115</f>
        <v>7.4999999999999997E-2</v>
      </c>
      <c r="I115" s="87">
        <f t="shared" si="54"/>
        <v>7.4999999999999997E-2</v>
      </c>
      <c r="J115" s="87">
        <f t="shared" si="54"/>
        <v>7.4999999999999997E-2</v>
      </c>
      <c r="K115" s="87">
        <f t="shared" si="54"/>
        <v>7.4999999999999997E-2</v>
      </c>
      <c r="L115" s="87">
        <f t="shared" si="54"/>
        <v>7.4999999999999997E-2</v>
      </c>
      <c r="M115" s="87">
        <f t="shared" si="54"/>
        <v>7.4999999999999997E-2</v>
      </c>
      <c r="N115" s="87">
        <f t="shared" si="54"/>
        <v>7.4999999999999997E-2</v>
      </c>
      <c r="O115" s="87">
        <f t="shared" si="54"/>
        <v>7.4999999999999997E-2</v>
      </c>
      <c r="P115" s="87">
        <f t="shared" si="54"/>
        <v>7.4999999999999997E-2</v>
      </c>
      <c r="Q115" s="87">
        <f t="shared" si="54"/>
        <v>7.4999999999999997E-2</v>
      </c>
      <c r="R115" s="87">
        <f t="shared" si="54"/>
        <v>7.4999999999999997E-2</v>
      </c>
      <c r="S115" s="87">
        <f t="shared" si="54"/>
        <v>7.4999999999999997E-2</v>
      </c>
      <c r="T115" s="87">
        <f t="shared" si="54"/>
        <v>7.4999999999999997E-2</v>
      </c>
      <c r="U115" s="87">
        <f t="shared" si="54"/>
        <v>7.4999999999999997E-2</v>
      </c>
      <c r="V115" s="87">
        <f t="shared" si="54"/>
        <v>7.4999999999999997E-2</v>
      </c>
      <c r="W115" s="87">
        <f t="shared" si="54"/>
        <v>7.4999999999999997E-2</v>
      </c>
      <c r="X115" s="87">
        <f t="shared" si="54"/>
        <v>7.4999999999999997E-2</v>
      </c>
      <c r="Y115" s="87">
        <f t="shared" si="54"/>
        <v>7.4999999999999997E-2</v>
      </c>
      <c r="Z115" s="87">
        <f t="shared" si="54"/>
        <v>7.4999999999999997E-2</v>
      </c>
    </row>
    <row r="116" spans="1:28" outlineLevel="1" x14ac:dyDescent="0.25">
      <c r="A116" s="39" t="str">
        <f t="shared" si="49"/>
        <v>Estar ESDE240 (ГПБ К)</v>
      </c>
      <c r="B116" s="39"/>
      <c r="D116" s="31" t="s">
        <v>66</v>
      </c>
      <c r="E116" s="9" t="s">
        <v>67</v>
      </c>
      <c r="F116" s="74"/>
      <c r="G116" s="78">
        <f>G106*G115</f>
        <v>7.6054548698488409</v>
      </c>
      <c r="H116" s="78">
        <f t="shared" ref="H116:Z116" si="55">H106*H115</f>
        <v>7.7342173529231193</v>
      </c>
      <c r="I116" s="78">
        <f t="shared" si="55"/>
        <v>7.7984949535687988</v>
      </c>
      <c r="J116" s="78">
        <f t="shared" si="55"/>
        <v>7.3288865616749623</v>
      </c>
      <c r="K116" s="78">
        <f t="shared" si="55"/>
        <v>8.6334635240541804</v>
      </c>
      <c r="L116" s="78">
        <f t="shared" si="55"/>
        <v>8.1083839989845359</v>
      </c>
      <c r="M116" s="78">
        <f t="shared" si="55"/>
        <v>8.3701645390025945</v>
      </c>
      <c r="N116" s="78">
        <f t="shared" si="55"/>
        <v>7.6815095236827542</v>
      </c>
      <c r="O116" s="78">
        <f t="shared" si="55"/>
        <v>8.45441390231578</v>
      </c>
      <c r="P116" s="78">
        <f t="shared" si="55"/>
        <v>8.022916877696936</v>
      </c>
      <c r="Q116" s="78">
        <f t="shared" si="55"/>
        <v>0</v>
      </c>
      <c r="R116" s="78">
        <f t="shared" si="55"/>
        <v>0</v>
      </c>
      <c r="S116" s="78">
        <f t="shared" si="55"/>
        <v>0</v>
      </c>
      <c r="T116" s="78">
        <f t="shared" si="55"/>
        <v>0</v>
      </c>
      <c r="U116" s="78">
        <f t="shared" si="55"/>
        <v>0</v>
      </c>
      <c r="V116" s="78">
        <f t="shared" si="55"/>
        <v>0</v>
      </c>
      <c r="W116" s="78">
        <f t="shared" si="55"/>
        <v>0</v>
      </c>
      <c r="X116" s="78">
        <f t="shared" si="55"/>
        <v>0</v>
      </c>
      <c r="Y116" s="78">
        <f t="shared" si="55"/>
        <v>0</v>
      </c>
      <c r="Z116" s="78">
        <f t="shared" si="55"/>
        <v>0</v>
      </c>
      <c r="AA116" s="88">
        <f>SUM(F106:Z106)*F115-SUM(F116:Z116)</f>
        <v>0</v>
      </c>
    </row>
    <row r="117" spans="1:28" outlineLevel="1" x14ac:dyDescent="0.25">
      <c r="A117" s="39" t="str">
        <f t="shared" si="49"/>
        <v>Estar ESDE240 (ГПБ К)</v>
      </c>
      <c r="B117" s="39"/>
      <c r="D117" s="31" t="s">
        <v>68</v>
      </c>
      <c r="E117" s="9" t="s">
        <v>69</v>
      </c>
      <c r="F117" s="78">
        <f>SUMIFS('ФОТ, МТР, макро'!$AA$4:$AA$20,'ФОТ, МТР, макро'!$W$4:$W$20,$A117)</f>
        <v>2985.3815355000002</v>
      </c>
      <c r="G117" s="89">
        <f>F117</f>
        <v>2985.3815355000002</v>
      </c>
      <c r="H117" s="89">
        <f t="shared" ref="H117:Z117" si="56">G117</f>
        <v>2985.3815355000002</v>
      </c>
      <c r="I117" s="89">
        <f t="shared" si="56"/>
        <v>2985.3815355000002</v>
      </c>
      <c r="J117" s="89">
        <f t="shared" si="56"/>
        <v>2985.3815355000002</v>
      </c>
      <c r="K117" s="89">
        <f t="shared" si="56"/>
        <v>2985.3815355000002</v>
      </c>
      <c r="L117" s="89">
        <f t="shared" si="56"/>
        <v>2985.3815355000002</v>
      </c>
      <c r="M117" s="89">
        <f t="shared" si="56"/>
        <v>2985.3815355000002</v>
      </c>
      <c r="N117" s="89">
        <f t="shared" si="56"/>
        <v>2985.3815355000002</v>
      </c>
      <c r="O117" s="89">
        <f t="shared" si="56"/>
        <v>2985.3815355000002</v>
      </c>
      <c r="P117" s="89">
        <f t="shared" si="56"/>
        <v>2985.3815355000002</v>
      </c>
      <c r="Q117" s="89">
        <f t="shared" si="56"/>
        <v>2985.3815355000002</v>
      </c>
      <c r="R117" s="89">
        <f t="shared" si="56"/>
        <v>2985.3815355000002</v>
      </c>
      <c r="S117" s="89">
        <f t="shared" si="56"/>
        <v>2985.3815355000002</v>
      </c>
      <c r="T117" s="89">
        <f t="shared" si="56"/>
        <v>2985.3815355000002</v>
      </c>
      <c r="U117" s="89">
        <f t="shared" si="56"/>
        <v>2985.3815355000002</v>
      </c>
      <c r="V117" s="89">
        <f t="shared" si="56"/>
        <v>2985.3815355000002</v>
      </c>
      <c r="W117" s="89">
        <f t="shared" si="56"/>
        <v>2985.3815355000002</v>
      </c>
      <c r="X117" s="89">
        <f t="shared" si="56"/>
        <v>2985.3815355000002</v>
      </c>
      <c r="Y117" s="89">
        <f t="shared" si="56"/>
        <v>2985.3815355000002</v>
      </c>
      <c r="Z117" s="89">
        <f t="shared" si="56"/>
        <v>2985.3815355000002</v>
      </c>
    </row>
    <row r="118" spans="1:28" outlineLevel="1" x14ac:dyDescent="0.25">
      <c r="A118" s="39" t="str">
        <f t="shared" si="49"/>
        <v>Estar ESDE240 (ГПБ К)</v>
      </c>
      <c r="B118" s="39"/>
      <c r="D118" s="67" t="s">
        <v>70</v>
      </c>
      <c r="E118" s="68" t="str">
        <f>E108</f>
        <v>тыс. руб.</v>
      </c>
      <c r="F118" s="89"/>
      <c r="G118" s="85">
        <f>G121*G122</f>
        <v>62647.2714799756</v>
      </c>
      <c r="H118" s="85">
        <f t="shared" ref="H118:Z118" si="57">H121*H122</f>
        <v>63707.907348787259</v>
      </c>
      <c r="I118" s="85">
        <f t="shared" si="57"/>
        <v>64237.371577639009</v>
      </c>
      <c r="J118" s="85">
        <f t="shared" si="57"/>
        <v>60369.136880345679</v>
      </c>
      <c r="K118" s="85">
        <f t="shared" si="57"/>
        <v>71115.13281711693</v>
      </c>
      <c r="L118" s="85">
        <f t="shared" si="57"/>
        <v>66789.974083216162</v>
      </c>
      <c r="M118" s="85">
        <f t="shared" si="57"/>
        <v>68946.299620522535</v>
      </c>
      <c r="N118" s="85">
        <f t="shared" si="57"/>
        <v>63273.745060791611</v>
      </c>
      <c r="O118" s="85">
        <f t="shared" si="57"/>
        <v>69640.274251339215</v>
      </c>
      <c r="P118" s="85">
        <f t="shared" si="57"/>
        <v>66085.96859747688</v>
      </c>
      <c r="Q118" s="85">
        <f t="shared" si="57"/>
        <v>0</v>
      </c>
      <c r="R118" s="85">
        <f t="shared" si="57"/>
        <v>0</v>
      </c>
      <c r="S118" s="85">
        <f t="shared" si="57"/>
        <v>0</v>
      </c>
      <c r="T118" s="85">
        <f t="shared" si="57"/>
        <v>0</v>
      </c>
      <c r="U118" s="85">
        <f t="shared" si="57"/>
        <v>0</v>
      </c>
      <c r="V118" s="85">
        <f t="shared" si="57"/>
        <v>0</v>
      </c>
      <c r="W118" s="85">
        <f t="shared" si="57"/>
        <v>0</v>
      </c>
      <c r="X118" s="85">
        <f t="shared" si="57"/>
        <v>0</v>
      </c>
      <c r="Y118" s="85">
        <f t="shared" si="57"/>
        <v>0</v>
      </c>
      <c r="Z118" s="85">
        <f t="shared" si="57"/>
        <v>0</v>
      </c>
    </row>
    <row r="119" spans="1:28" outlineLevel="1" x14ac:dyDescent="0.25">
      <c r="A119" s="39" t="str">
        <f t="shared" si="49"/>
        <v>Estar ESDE240 (ГПБ К)</v>
      </c>
      <c r="B119" s="39"/>
      <c r="D119" s="31" t="s">
        <v>64</v>
      </c>
      <c r="E119" s="77" t="str">
        <f>VLOOKUP($A119,'ФОТ, МТР, макро'!$N$4:$Q$20,4,FALSE)</f>
        <v>г/ткм</v>
      </c>
      <c r="F119" s="90">
        <f>IF($E119="г/ткм",SUMIFS('ФОТ, МТР, макро'!$O$4:$O$20,'ФОТ, МТР, макро'!$N$4:$N$20,$A119),SUMIFS('ФОТ, МТР, макро'!$P$4:$P$20,'ФОТ, МТР, макро'!$N$4:$N$20,$A119))</f>
        <v>90</v>
      </c>
      <c r="G119" s="91">
        <f>F119</f>
        <v>90</v>
      </c>
      <c r="H119" s="91">
        <f t="shared" ref="H119:Z119" si="58">G119</f>
        <v>90</v>
      </c>
      <c r="I119" s="91">
        <f t="shared" si="58"/>
        <v>90</v>
      </c>
      <c r="J119" s="91">
        <f t="shared" si="58"/>
        <v>90</v>
      </c>
      <c r="K119" s="91">
        <f t="shared" si="58"/>
        <v>90</v>
      </c>
      <c r="L119" s="91">
        <f t="shared" si="58"/>
        <v>90</v>
      </c>
      <c r="M119" s="91">
        <f t="shared" si="58"/>
        <v>90</v>
      </c>
      <c r="N119" s="91">
        <f t="shared" si="58"/>
        <v>90</v>
      </c>
      <c r="O119" s="91">
        <f t="shared" si="58"/>
        <v>90</v>
      </c>
      <c r="P119" s="91">
        <f t="shared" si="58"/>
        <v>90</v>
      </c>
      <c r="Q119" s="91">
        <f t="shared" si="58"/>
        <v>90</v>
      </c>
      <c r="R119" s="91">
        <f t="shared" si="58"/>
        <v>90</v>
      </c>
      <c r="S119" s="91">
        <f t="shared" si="58"/>
        <v>90</v>
      </c>
      <c r="T119" s="91">
        <f t="shared" si="58"/>
        <v>90</v>
      </c>
      <c r="U119" s="91">
        <f t="shared" si="58"/>
        <v>90</v>
      </c>
      <c r="V119" s="91">
        <f t="shared" si="58"/>
        <v>90</v>
      </c>
      <c r="W119" s="91">
        <f t="shared" si="58"/>
        <v>90</v>
      </c>
      <c r="X119" s="91">
        <f t="shared" si="58"/>
        <v>90</v>
      </c>
      <c r="Y119" s="91">
        <f t="shared" si="58"/>
        <v>90</v>
      </c>
      <c r="Z119" s="91">
        <f t="shared" si="58"/>
        <v>90</v>
      </c>
    </row>
    <row r="120" spans="1:28" outlineLevel="1" x14ac:dyDescent="0.25">
      <c r="A120" s="39" t="str">
        <f t="shared" si="49"/>
        <v>Estar ESDE240 (ГПБ К)</v>
      </c>
      <c r="B120" s="39"/>
      <c r="D120" s="93" t="s">
        <v>71</v>
      </c>
      <c r="E120" s="94" t="str">
        <f>IF(E119='ФОТ, МТР, макро'!$O$4,'ФОТ, МТР, макро'!$P$4,'ФОТ, МТР, макро'!$O$4)</f>
        <v>л/час</v>
      </c>
      <c r="F120" s="95"/>
      <c r="G120" s="96">
        <f>IF($E119="г/ткм",G121*1000/(365*24*G102),G121/G104*1000)</f>
        <v>138.52391815794624</v>
      </c>
      <c r="H120" s="96">
        <f t="shared" ref="H120:Z120" si="59">IF($E119="г/ткм",H121*1000/(365*24*H102),H121/H104*1000)</f>
        <v>143.31178314758648</v>
      </c>
      <c r="I120" s="96">
        <f t="shared" si="59"/>
        <v>151.36638478638997</v>
      </c>
      <c r="J120" s="96">
        <f t="shared" si="59"/>
        <v>149.85489591992055</v>
      </c>
      <c r="K120" s="96">
        <f t="shared" si="59"/>
        <v>158.27936240547794</v>
      </c>
      <c r="L120" s="96">
        <f t="shared" si="59"/>
        <v>162.48066820457143</v>
      </c>
      <c r="M120" s="96">
        <f t="shared" si="59"/>
        <v>155.02237651818297</v>
      </c>
      <c r="N120" s="96">
        <f t="shared" si="59"/>
        <v>155.99056985342685</v>
      </c>
      <c r="O120" s="96">
        <f t="shared" si="59"/>
        <v>162.67229896350352</v>
      </c>
      <c r="P120" s="96">
        <f t="shared" si="59"/>
        <v>158.47867630591395</v>
      </c>
      <c r="Q120" s="96" t="e">
        <f t="shared" si="59"/>
        <v>#DIV/0!</v>
      </c>
      <c r="R120" s="96" t="e">
        <f t="shared" si="59"/>
        <v>#DIV/0!</v>
      </c>
      <c r="S120" s="96" t="e">
        <f t="shared" si="59"/>
        <v>#DIV/0!</v>
      </c>
      <c r="T120" s="96" t="e">
        <f t="shared" si="59"/>
        <v>#DIV/0!</v>
      </c>
      <c r="U120" s="96" t="e">
        <f t="shared" si="59"/>
        <v>#DIV/0!</v>
      </c>
      <c r="V120" s="96" t="e">
        <f t="shared" si="59"/>
        <v>#DIV/0!</v>
      </c>
      <c r="W120" s="96" t="e">
        <f t="shared" si="59"/>
        <v>#DIV/0!</v>
      </c>
      <c r="X120" s="96" t="e">
        <f t="shared" si="59"/>
        <v>#DIV/0!</v>
      </c>
      <c r="Y120" s="96" t="e">
        <f t="shared" si="59"/>
        <v>#DIV/0!</v>
      </c>
      <c r="Z120" s="96" t="e">
        <f t="shared" si="59"/>
        <v>#DIV/0!</v>
      </c>
    </row>
    <row r="121" spans="1:28" outlineLevel="1" x14ac:dyDescent="0.25">
      <c r="A121" s="39" t="str">
        <f t="shared" si="49"/>
        <v>Estar ESDE240 (ГПБ К)</v>
      </c>
      <c r="B121" s="39"/>
      <c r="D121" s="31" t="s">
        <v>66</v>
      </c>
      <c r="E121" s="9" t="s">
        <v>11</v>
      </c>
      <c r="F121" s="89"/>
      <c r="G121" s="78">
        <f>IF($E119="г/ткм",G104*G119/1000,365*24*G102*G119*0.85/1000)</f>
        <v>948.92906406893826</v>
      </c>
      <c r="H121" s="78">
        <f t="shared" ref="H121:Z121" si="60">IF($E119="г/ткм",H104*H119/1000,365*24*H102*H119*0.85/1000)</f>
        <v>964.99469914821066</v>
      </c>
      <c r="I121" s="78">
        <f t="shared" si="60"/>
        <v>973.01458546206015</v>
      </c>
      <c r="J121" s="78">
        <f t="shared" si="60"/>
        <v>914.42176498982553</v>
      </c>
      <c r="K121" s="78">
        <f t="shared" si="60"/>
        <v>1077.1932253562736</v>
      </c>
      <c r="L121" s="78">
        <f t="shared" si="60"/>
        <v>1011.6792974173381</v>
      </c>
      <c r="M121" s="78">
        <f t="shared" si="60"/>
        <v>1044.341533546778</v>
      </c>
      <c r="N121" s="78">
        <f t="shared" si="60"/>
        <v>958.41836782732582</v>
      </c>
      <c r="O121" s="78">
        <f t="shared" si="60"/>
        <v>1054.8532873925772</v>
      </c>
      <c r="P121" s="78">
        <f t="shared" si="60"/>
        <v>1001.0156044758904</v>
      </c>
      <c r="Q121" s="78">
        <f t="shared" si="60"/>
        <v>0</v>
      </c>
      <c r="R121" s="78">
        <f t="shared" si="60"/>
        <v>0</v>
      </c>
      <c r="S121" s="78">
        <f t="shared" si="60"/>
        <v>0</v>
      </c>
      <c r="T121" s="78">
        <f t="shared" si="60"/>
        <v>0</v>
      </c>
      <c r="U121" s="78">
        <f t="shared" si="60"/>
        <v>0</v>
      </c>
      <c r="V121" s="78">
        <f t="shared" si="60"/>
        <v>0</v>
      </c>
      <c r="W121" s="78">
        <f t="shared" si="60"/>
        <v>0</v>
      </c>
      <c r="X121" s="78">
        <f t="shared" si="60"/>
        <v>0</v>
      </c>
      <c r="Y121" s="78">
        <f t="shared" si="60"/>
        <v>0</v>
      </c>
      <c r="Z121" s="78">
        <f t="shared" si="60"/>
        <v>0</v>
      </c>
    </row>
    <row r="122" spans="1:28" outlineLevel="1" x14ac:dyDescent="0.25">
      <c r="A122" s="39" t="str">
        <f t="shared" si="49"/>
        <v>Estar ESDE240 (ГПБ К)</v>
      </c>
      <c r="B122" s="39"/>
      <c r="D122" s="31" t="s">
        <v>68</v>
      </c>
      <c r="E122" s="9" t="s">
        <v>72</v>
      </c>
      <c r="F122" s="78">
        <f>'ФОТ, МТР, макро'!$G$2</f>
        <v>66.018919487352079</v>
      </c>
      <c r="G122" s="89">
        <f>F122</f>
        <v>66.018919487352079</v>
      </c>
      <c r="H122" s="89">
        <f t="shared" ref="H122:Z122" si="61">G122</f>
        <v>66.018919487352079</v>
      </c>
      <c r="I122" s="89">
        <f t="shared" si="61"/>
        <v>66.018919487352079</v>
      </c>
      <c r="J122" s="89">
        <f t="shared" si="61"/>
        <v>66.018919487352079</v>
      </c>
      <c r="K122" s="89">
        <f t="shared" si="61"/>
        <v>66.018919487352079</v>
      </c>
      <c r="L122" s="89">
        <f t="shared" si="61"/>
        <v>66.018919487352079</v>
      </c>
      <c r="M122" s="89">
        <f t="shared" si="61"/>
        <v>66.018919487352079</v>
      </c>
      <c r="N122" s="89">
        <f t="shared" si="61"/>
        <v>66.018919487352079</v>
      </c>
      <c r="O122" s="89">
        <f t="shared" si="61"/>
        <v>66.018919487352079</v>
      </c>
      <c r="P122" s="89">
        <f t="shared" si="61"/>
        <v>66.018919487352079</v>
      </c>
      <c r="Q122" s="89">
        <f t="shared" si="61"/>
        <v>66.018919487352079</v>
      </c>
      <c r="R122" s="89">
        <f t="shared" si="61"/>
        <v>66.018919487352079</v>
      </c>
      <c r="S122" s="89">
        <f t="shared" si="61"/>
        <v>66.018919487352079</v>
      </c>
      <c r="T122" s="89">
        <f t="shared" si="61"/>
        <v>66.018919487352079</v>
      </c>
      <c r="U122" s="89">
        <f t="shared" si="61"/>
        <v>66.018919487352079</v>
      </c>
      <c r="V122" s="89">
        <f t="shared" si="61"/>
        <v>66.018919487352079</v>
      </c>
      <c r="W122" s="89">
        <f t="shared" si="61"/>
        <v>66.018919487352079</v>
      </c>
      <c r="X122" s="89">
        <f t="shared" si="61"/>
        <v>66.018919487352079</v>
      </c>
      <c r="Y122" s="89">
        <f t="shared" si="61"/>
        <v>66.018919487352079</v>
      </c>
      <c r="Z122" s="89">
        <f t="shared" si="61"/>
        <v>66.018919487352079</v>
      </c>
      <c r="AB122" s="92"/>
    </row>
    <row r="123" spans="1:28" outlineLevel="1" x14ac:dyDescent="0.25">
      <c r="A123" s="39" t="str">
        <f t="shared" si="49"/>
        <v>Estar ESDE240 (ГПБ К)</v>
      </c>
      <c r="B123" s="39"/>
      <c r="C123" s="619" t="str">
        <f>C109</f>
        <v>ТО, ТР, ППР</v>
      </c>
      <c r="D123" s="218" t="s">
        <v>73</v>
      </c>
      <c r="E123" s="68" t="str">
        <f>E108</f>
        <v>тыс. руб.</v>
      </c>
      <c r="F123" s="30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8" outlineLevel="1" x14ac:dyDescent="0.25">
      <c r="A124" s="39" t="str">
        <f t="shared" si="49"/>
        <v>Estar ESDE240 (ГПБ К)</v>
      </c>
      <c r="B124" s="39"/>
      <c r="D124" s="67"/>
      <c r="E124" s="68"/>
      <c r="F124" s="30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8" outlineLevel="1" x14ac:dyDescent="0.25">
      <c r="A125" s="39" t="str">
        <f t="shared" si="49"/>
        <v>Estar ESDE240 (ГПБ К)</v>
      </c>
      <c r="B125" s="39"/>
      <c r="D125" s="67" t="s">
        <v>74</v>
      </c>
      <c r="E125" s="68" t="str">
        <f>E108</f>
        <v>тыс. руб.</v>
      </c>
      <c r="F125" s="74"/>
      <c r="G125" s="85">
        <f>G126+G127+G128</f>
        <v>18475.596240662097</v>
      </c>
      <c r="H125" s="85">
        <f t="shared" ref="H125:Z125" si="62">H126+H127+H128</f>
        <v>18475.596240662097</v>
      </c>
      <c r="I125" s="85">
        <f t="shared" si="62"/>
        <v>18475.596240662097</v>
      </c>
      <c r="J125" s="85">
        <f t="shared" si="62"/>
        <v>18475.596240662097</v>
      </c>
      <c r="K125" s="85">
        <f t="shared" si="62"/>
        <v>18475.596240662097</v>
      </c>
      <c r="L125" s="85">
        <f t="shared" si="62"/>
        <v>18475.596240662097</v>
      </c>
      <c r="M125" s="85">
        <f t="shared" si="62"/>
        <v>18475.596240662097</v>
      </c>
      <c r="N125" s="85">
        <f t="shared" si="62"/>
        <v>18475.596240662097</v>
      </c>
      <c r="O125" s="85">
        <f t="shared" si="62"/>
        <v>18475.596240662097</v>
      </c>
      <c r="P125" s="85">
        <f t="shared" si="62"/>
        <v>18475.596240662097</v>
      </c>
      <c r="Q125" s="85">
        <f t="shared" si="62"/>
        <v>0</v>
      </c>
      <c r="R125" s="85">
        <f t="shared" si="62"/>
        <v>0</v>
      </c>
      <c r="S125" s="85">
        <f t="shared" si="62"/>
        <v>0</v>
      </c>
      <c r="T125" s="85">
        <f t="shared" si="62"/>
        <v>0</v>
      </c>
      <c r="U125" s="85">
        <f t="shared" si="62"/>
        <v>0</v>
      </c>
      <c r="V125" s="85">
        <f t="shared" si="62"/>
        <v>0</v>
      </c>
      <c r="W125" s="85">
        <f t="shared" si="62"/>
        <v>0</v>
      </c>
      <c r="X125" s="85">
        <f t="shared" si="62"/>
        <v>0</v>
      </c>
      <c r="Y125" s="85">
        <f t="shared" si="62"/>
        <v>0</v>
      </c>
      <c r="Z125" s="85">
        <f t="shared" si="62"/>
        <v>0</v>
      </c>
    </row>
    <row r="126" spans="1:28" outlineLevel="1" x14ac:dyDescent="0.25">
      <c r="A126" s="39" t="str">
        <f t="shared" si="49"/>
        <v>Estar ESDE240 (ГПБ К)</v>
      </c>
      <c r="B126" s="39"/>
      <c r="D126" s="31" t="s">
        <v>257</v>
      </c>
      <c r="E126" s="9" t="str">
        <f>E125</f>
        <v>тыс. руб.</v>
      </c>
      <c r="F126" s="78">
        <f>'ФОТ, МТР, макро'!$B$4*'ФОТ, МТР, макро'!$B$7</f>
        <v>11107.5</v>
      </c>
      <c r="G126" s="89">
        <f>IF(G103=0,0,$F126)</f>
        <v>11107.5</v>
      </c>
      <c r="H126" s="89">
        <f t="shared" ref="H126:Z126" si="63">IF(H103=0,0,$F126)</f>
        <v>11107.5</v>
      </c>
      <c r="I126" s="89">
        <f t="shared" si="63"/>
        <v>11107.5</v>
      </c>
      <c r="J126" s="89">
        <f t="shared" si="63"/>
        <v>11107.5</v>
      </c>
      <c r="K126" s="89">
        <f t="shared" si="63"/>
        <v>11107.5</v>
      </c>
      <c r="L126" s="89">
        <f t="shared" si="63"/>
        <v>11107.5</v>
      </c>
      <c r="M126" s="89">
        <f t="shared" si="63"/>
        <v>11107.5</v>
      </c>
      <c r="N126" s="89">
        <f t="shared" si="63"/>
        <v>11107.5</v>
      </c>
      <c r="O126" s="89">
        <f t="shared" si="63"/>
        <v>11107.5</v>
      </c>
      <c r="P126" s="89">
        <f t="shared" si="63"/>
        <v>11107.5</v>
      </c>
      <c r="Q126" s="89">
        <f t="shared" si="63"/>
        <v>0</v>
      </c>
      <c r="R126" s="89">
        <f t="shared" si="63"/>
        <v>0</v>
      </c>
      <c r="S126" s="89">
        <f t="shared" si="63"/>
        <v>0</v>
      </c>
      <c r="T126" s="89">
        <f t="shared" si="63"/>
        <v>0</v>
      </c>
      <c r="U126" s="89">
        <f t="shared" si="63"/>
        <v>0</v>
      </c>
      <c r="V126" s="89">
        <f t="shared" si="63"/>
        <v>0</v>
      </c>
      <c r="W126" s="89">
        <f t="shared" si="63"/>
        <v>0</v>
      </c>
      <c r="X126" s="89">
        <f t="shared" si="63"/>
        <v>0</v>
      </c>
      <c r="Y126" s="89">
        <f t="shared" si="63"/>
        <v>0</v>
      </c>
      <c r="Z126" s="89">
        <f t="shared" si="63"/>
        <v>0</v>
      </c>
    </row>
    <row r="127" spans="1:28" outlineLevel="1" x14ac:dyDescent="0.25">
      <c r="A127" s="39" t="str">
        <f t="shared" si="49"/>
        <v>Estar ESDE240 (ГПБ К)</v>
      </c>
      <c r="B127" s="39"/>
      <c r="D127" s="31" t="s">
        <v>75</v>
      </c>
      <c r="E127" s="9" t="str">
        <f>E125</f>
        <v>тыс. руб.</v>
      </c>
      <c r="F127" s="97">
        <f>'ФОТ, МТР, макро'!$B$5</f>
        <v>0.377</v>
      </c>
      <c r="G127" s="89">
        <f>G126*$F127</f>
        <v>4187.5275000000001</v>
      </c>
      <c r="H127" s="89">
        <f t="shared" ref="H127:Z127" si="64">H126*$F127</f>
        <v>4187.5275000000001</v>
      </c>
      <c r="I127" s="89">
        <f t="shared" si="64"/>
        <v>4187.5275000000001</v>
      </c>
      <c r="J127" s="89">
        <f t="shared" si="64"/>
        <v>4187.5275000000001</v>
      </c>
      <c r="K127" s="89">
        <f t="shared" si="64"/>
        <v>4187.5275000000001</v>
      </c>
      <c r="L127" s="89">
        <f t="shared" si="64"/>
        <v>4187.5275000000001</v>
      </c>
      <c r="M127" s="89">
        <f t="shared" si="64"/>
        <v>4187.5275000000001</v>
      </c>
      <c r="N127" s="89">
        <f t="shared" si="64"/>
        <v>4187.5275000000001</v>
      </c>
      <c r="O127" s="89">
        <f t="shared" si="64"/>
        <v>4187.5275000000001</v>
      </c>
      <c r="P127" s="89">
        <f t="shared" si="64"/>
        <v>4187.5275000000001</v>
      </c>
      <c r="Q127" s="89">
        <f t="shared" si="64"/>
        <v>0</v>
      </c>
      <c r="R127" s="89">
        <f t="shared" si="64"/>
        <v>0</v>
      </c>
      <c r="S127" s="89">
        <f t="shared" si="64"/>
        <v>0</v>
      </c>
      <c r="T127" s="89">
        <f t="shared" si="64"/>
        <v>0</v>
      </c>
      <c r="U127" s="89">
        <f t="shared" si="64"/>
        <v>0</v>
      </c>
      <c r="V127" s="89">
        <f t="shared" si="64"/>
        <v>0</v>
      </c>
      <c r="W127" s="89">
        <f t="shared" si="64"/>
        <v>0</v>
      </c>
      <c r="X127" s="89">
        <f t="shared" si="64"/>
        <v>0</v>
      </c>
      <c r="Y127" s="89">
        <f t="shared" si="64"/>
        <v>0</v>
      </c>
      <c r="Z127" s="89">
        <f t="shared" si="64"/>
        <v>0</v>
      </c>
    </row>
    <row r="128" spans="1:28" outlineLevel="1" x14ac:dyDescent="0.25">
      <c r="A128" s="39" t="str">
        <f t="shared" si="49"/>
        <v>Estar ESDE240 (ГПБ К)</v>
      </c>
      <c r="B128" s="39"/>
      <c r="D128" s="31" t="s">
        <v>76</v>
      </c>
      <c r="E128" s="9"/>
      <c r="F128" s="78">
        <f>'ФОТ, МТР, макро'!$C$13*'ФОТ, МТР, макро'!$B$7</f>
        <v>3180.5687406620973</v>
      </c>
      <c r="G128" s="89">
        <f>IF(G103=0,0,$F128)</f>
        <v>3180.5687406620973</v>
      </c>
      <c r="H128" s="89">
        <f t="shared" ref="H128:Z128" si="65">IF(H103=0,0,$F128)</f>
        <v>3180.5687406620973</v>
      </c>
      <c r="I128" s="89">
        <f t="shared" si="65"/>
        <v>3180.5687406620973</v>
      </c>
      <c r="J128" s="89">
        <f t="shared" si="65"/>
        <v>3180.5687406620973</v>
      </c>
      <c r="K128" s="89">
        <f t="shared" si="65"/>
        <v>3180.5687406620973</v>
      </c>
      <c r="L128" s="89">
        <f t="shared" si="65"/>
        <v>3180.5687406620973</v>
      </c>
      <c r="M128" s="89">
        <f t="shared" si="65"/>
        <v>3180.5687406620973</v>
      </c>
      <c r="N128" s="89">
        <f t="shared" si="65"/>
        <v>3180.5687406620973</v>
      </c>
      <c r="O128" s="89">
        <f t="shared" si="65"/>
        <v>3180.5687406620973</v>
      </c>
      <c r="P128" s="89">
        <f t="shared" si="65"/>
        <v>3180.5687406620973</v>
      </c>
      <c r="Q128" s="89">
        <f t="shared" si="65"/>
        <v>0</v>
      </c>
      <c r="R128" s="89">
        <f t="shared" si="65"/>
        <v>0</v>
      </c>
      <c r="S128" s="89">
        <f t="shared" si="65"/>
        <v>0</v>
      </c>
      <c r="T128" s="89">
        <f t="shared" si="65"/>
        <v>0</v>
      </c>
      <c r="U128" s="89">
        <f t="shared" si="65"/>
        <v>0</v>
      </c>
      <c r="V128" s="89">
        <f t="shared" si="65"/>
        <v>0</v>
      </c>
      <c r="W128" s="89">
        <f t="shared" si="65"/>
        <v>0</v>
      </c>
      <c r="X128" s="89">
        <f t="shared" si="65"/>
        <v>0</v>
      </c>
      <c r="Y128" s="89">
        <f t="shared" si="65"/>
        <v>0</v>
      </c>
      <c r="Z128" s="89">
        <f t="shared" si="65"/>
        <v>0</v>
      </c>
    </row>
    <row r="129" spans="1:28" outlineLevel="1" x14ac:dyDescent="0.25">
      <c r="A129" s="39" t="str">
        <f t="shared" si="49"/>
        <v>Estar ESDE240 (ГПБ К)</v>
      </c>
      <c r="B129" s="39"/>
      <c r="D129" s="98" t="s">
        <v>77</v>
      </c>
      <c r="E129" s="68" t="str">
        <f>E108</f>
        <v>тыс. руб.</v>
      </c>
      <c r="F129" s="74"/>
      <c r="G129" s="85">
        <f>IF(G103=0,0,G130*G131/1000)</f>
        <v>158.44</v>
      </c>
      <c r="H129" s="85">
        <f t="shared" ref="H129:Z129" si="66">IF(H103=0,0,H130*H131/1000)</f>
        <v>158.44</v>
      </c>
      <c r="I129" s="85">
        <f t="shared" si="66"/>
        <v>158.44</v>
      </c>
      <c r="J129" s="85">
        <f t="shared" si="66"/>
        <v>158.44</v>
      </c>
      <c r="K129" s="85">
        <f t="shared" si="66"/>
        <v>158.44</v>
      </c>
      <c r="L129" s="85">
        <f t="shared" si="66"/>
        <v>158.44</v>
      </c>
      <c r="M129" s="85">
        <f t="shared" si="66"/>
        <v>158.44</v>
      </c>
      <c r="N129" s="85">
        <f t="shared" si="66"/>
        <v>158.44</v>
      </c>
      <c r="O129" s="85">
        <f t="shared" si="66"/>
        <v>158.44</v>
      </c>
      <c r="P129" s="85">
        <f t="shared" si="66"/>
        <v>158.44</v>
      </c>
      <c r="Q129" s="85">
        <f t="shared" si="66"/>
        <v>0</v>
      </c>
      <c r="R129" s="85">
        <f t="shared" si="66"/>
        <v>0</v>
      </c>
      <c r="S129" s="85">
        <f t="shared" si="66"/>
        <v>0</v>
      </c>
      <c r="T129" s="85">
        <f t="shared" si="66"/>
        <v>0</v>
      </c>
      <c r="U129" s="85">
        <f t="shared" si="66"/>
        <v>0</v>
      </c>
      <c r="V129" s="85">
        <f t="shared" si="66"/>
        <v>0</v>
      </c>
      <c r="W129" s="85">
        <f t="shared" si="66"/>
        <v>0</v>
      </c>
      <c r="X129" s="85">
        <f t="shared" si="66"/>
        <v>0</v>
      </c>
      <c r="Y129" s="85">
        <f t="shared" si="66"/>
        <v>0</v>
      </c>
      <c r="Z129" s="85">
        <f t="shared" si="66"/>
        <v>0</v>
      </c>
    </row>
    <row r="130" spans="1:28" outlineLevel="1" x14ac:dyDescent="0.25">
      <c r="A130" s="39" t="str">
        <f t="shared" si="49"/>
        <v>Estar ESDE240 (ГПБ К)</v>
      </c>
      <c r="B130" s="39"/>
      <c r="D130" s="31" t="s">
        <v>78</v>
      </c>
      <c r="E130" s="9" t="s">
        <v>13</v>
      </c>
      <c r="F130" s="78">
        <f>SUMIFS('ФОТ, МТР, макро'!$AC$4:$AC$20,'ФОТ, МТР, макро'!$W$4:$W$20,$A130)</f>
        <v>1864</v>
      </c>
      <c r="G130" s="89">
        <f>F130</f>
        <v>1864</v>
      </c>
      <c r="H130" s="89">
        <f t="shared" ref="H130:Z131" si="67">G130</f>
        <v>1864</v>
      </c>
      <c r="I130" s="89">
        <f t="shared" si="67"/>
        <v>1864</v>
      </c>
      <c r="J130" s="89">
        <f t="shared" si="67"/>
        <v>1864</v>
      </c>
      <c r="K130" s="89">
        <f t="shared" si="67"/>
        <v>1864</v>
      </c>
      <c r="L130" s="89">
        <f t="shared" si="67"/>
        <v>1864</v>
      </c>
      <c r="M130" s="89">
        <f t="shared" si="67"/>
        <v>1864</v>
      </c>
      <c r="N130" s="89">
        <f t="shared" si="67"/>
        <v>1864</v>
      </c>
      <c r="O130" s="89">
        <f t="shared" si="67"/>
        <v>1864</v>
      </c>
      <c r="P130" s="89">
        <f t="shared" si="67"/>
        <v>1864</v>
      </c>
      <c r="Q130" s="89">
        <f t="shared" si="67"/>
        <v>1864</v>
      </c>
      <c r="R130" s="89">
        <f t="shared" si="67"/>
        <v>1864</v>
      </c>
      <c r="S130" s="89">
        <f t="shared" si="67"/>
        <v>1864</v>
      </c>
      <c r="T130" s="89">
        <f t="shared" si="67"/>
        <v>1864</v>
      </c>
      <c r="U130" s="89">
        <f t="shared" si="67"/>
        <v>1864</v>
      </c>
      <c r="V130" s="89">
        <f t="shared" si="67"/>
        <v>1864</v>
      </c>
      <c r="W130" s="89">
        <f t="shared" si="67"/>
        <v>1864</v>
      </c>
      <c r="X130" s="89">
        <f t="shared" si="67"/>
        <v>1864</v>
      </c>
      <c r="Y130" s="89">
        <f t="shared" si="67"/>
        <v>1864</v>
      </c>
      <c r="Z130" s="89">
        <f t="shared" si="67"/>
        <v>1864</v>
      </c>
    </row>
    <row r="131" spans="1:28" outlineLevel="1" x14ac:dyDescent="0.25">
      <c r="A131" s="39" t="str">
        <f t="shared" si="49"/>
        <v>Estar ESDE240 (ГПБ К)</v>
      </c>
      <c r="B131" s="39"/>
      <c r="D131" s="31" t="s">
        <v>79</v>
      </c>
      <c r="E131" s="9" t="s">
        <v>80</v>
      </c>
      <c r="F131" s="78">
        <f>SUMIFS('ФОТ, МТР, макро'!$AD$4:$AD$20,'ФОТ, МТР, макро'!$W$4:$W$20,$A131)</f>
        <v>85</v>
      </c>
      <c r="G131" s="89">
        <f>F131</f>
        <v>85</v>
      </c>
      <c r="H131" s="89">
        <f t="shared" si="67"/>
        <v>85</v>
      </c>
      <c r="I131" s="89">
        <f t="shared" si="67"/>
        <v>85</v>
      </c>
      <c r="J131" s="89">
        <f t="shared" si="67"/>
        <v>85</v>
      </c>
      <c r="K131" s="89">
        <f t="shared" si="67"/>
        <v>85</v>
      </c>
      <c r="L131" s="89">
        <f t="shared" si="67"/>
        <v>85</v>
      </c>
      <c r="M131" s="89">
        <f t="shared" si="67"/>
        <v>85</v>
      </c>
      <c r="N131" s="89">
        <f t="shared" si="67"/>
        <v>85</v>
      </c>
      <c r="O131" s="89">
        <f t="shared" si="67"/>
        <v>85</v>
      </c>
      <c r="P131" s="89">
        <f t="shared" si="67"/>
        <v>85</v>
      </c>
      <c r="Q131" s="89">
        <f t="shared" si="67"/>
        <v>85</v>
      </c>
      <c r="R131" s="89">
        <f t="shared" si="67"/>
        <v>85</v>
      </c>
      <c r="S131" s="89">
        <f t="shared" si="67"/>
        <v>85</v>
      </c>
      <c r="T131" s="89">
        <f t="shared" si="67"/>
        <v>85</v>
      </c>
      <c r="U131" s="89">
        <f t="shared" si="67"/>
        <v>85</v>
      </c>
      <c r="V131" s="89">
        <f t="shared" si="67"/>
        <v>85</v>
      </c>
      <c r="W131" s="89">
        <f t="shared" si="67"/>
        <v>85</v>
      </c>
      <c r="X131" s="89">
        <f t="shared" si="67"/>
        <v>85</v>
      </c>
      <c r="Y131" s="89">
        <f t="shared" si="67"/>
        <v>85</v>
      </c>
      <c r="Z131" s="89">
        <f t="shared" si="67"/>
        <v>85</v>
      </c>
    </row>
    <row r="132" spans="1:28" outlineLevel="1" x14ac:dyDescent="0.25">
      <c r="A132" s="39" t="str">
        <f t="shared" si="49"/>
        <v>Estar ESDE240 (ГПБ К)</v>
      </c>
      <c r="B132" s="39"/>
      <c r="C132" s="99">
        <f>SUMIFS('ФОТ, МТР, макро'!$AG$4:$AG$20,'ФОТ, МТР, макро'!$W$4:$W$20,$A132)</f>
        <v>14.117647058823531</v>
      </c>
      <c r="D132" s="98" t="s">
        <v>81</v>
      </c>
      <c r="E132" s="68" t="str">
        <f>E108</f>
        <v>тыс. руб.</v>
      </c>
      <c r="F132" s="85"/>
      <c r="G132" s="100">
        <f>IF(G100&lt;=$C133,$F137*$C132%,"ОШИБКА")</f>
        <v>0</v>
      </c>
      <c r="H132" s="75">
        <f>IF(H100&lt;=$C133,$F137*$C132%,$F137-SUM($G132:G132))</f>
        <v>0</v>
      </c>
      <c r="I132" s="75">
        <f>IF(I100&lt;=$C133,$F137*$C132%,$F137-SUM($G132:H132))</f>
        <v>0</v>
      </c>
      <c r="J132" s="75">
        <f>IF(J100&lt;=$C133,$F137*$C132%,$F137-SUM($G132:I132))</f>
        <v>0</v>
      </c>
      <c r="K132" s="75">
        <f>IF(K100&lt;=$C133,$F137*$C132%,$F137-SUM($G132:J132))</f>
        <v>0</v>
      </c>
      <c r="L132" s="75">
        <f>IF(L100&lt;=$C133,$F137*$C132%,$F137-SUM($G132:K132))</f>
        <v>0</v>
      </c>
      <c r="M132" s="75">
        <f>IF(M100&lt;=$C133,$F137*$C132%,$F137-SUM($G132:L132))</f>
        <v>0</v>
      </c>
      <c r="N132" s="75">
        <f>IF(N100&lt;=$C133,$F137*$C132%,$F137-SUM($G132:M132))</f>
        <v>0</v>
      </c>
      <c r="O132" s="75">
        <f>IF(O100&lt;=$C133,$F137*$C132%,$F137-SUM($G132:N132))</f>
        <v>0</v>
      </c>
      <c r="P132" s="75">
        <f>IF(P100&lt;=$C133,$F137*$C132%,$F137-SUM($G132:O132))</f>
        <v>0</v>
      </c>
      <c r="Q132" s="75">
        <f>IF(Q100&lt;=$C133,$F137*$C132%,$F137-SUM($G132:P132))</f>
        <v>0</v>
      </c>
      <c r="R132" s="75">
        <f>IF(R100&lt;=$C133,$F137*$C132%,$F137-SUM($G132:Q132))</f>
        <v>0</v>
      </c>
      <c r="S132" s="75">
        <f>IF(S100&lt;=$C133,$F137*$C132%,$F137-SUM($G132:R132))</f>
        <v>0</v>
      </c>
      <c r="T132" s="75">
        <f>IF(T100&lt;=$C133,$F137*$C132%,$F137-SUM($G132:S132))</f>
        <v>0</v>
      </c>
      <c r="U132" s="75">
        <f>IF(U100&lt;=$C133,$F137*$C132%,$F137-SUM($G132:T132))</f>
        <v>0</v>
      </c>
      <c r="V132" s="75">
        <f>IF(V100&lt;=$C133,$F137*$C132%,$F137-SUM($G132:U132))</f>
        <v>0</v>
      </c>
      <c r="W132" s="75">
        <f>IF(W100&lt;=$C133,$F137*$C132%,$F137-SUM($G132:V132))</f>
        <v>0</v>
      </c>
      <c r="X132" s="75">
        <f>IF(X100&lt;=$C133,$F137*$C132%,$F137-SUM($G132:W132))</f>
        <v>0</v>
      </c>
      <c r="Y132" s="75">
        <f>IF(Y100&lt;=$C133,$F137*$C132%,$F137-SUM($G132:X132))</f>
        <v>0</v>
      </c>
      <c r="Z132" s="75">
        <f>IF(Z100&lt;=$C133,$F137*$C132%,$F137-SUM($G132:Y132))</f>
        <v>0</v>
      </c>
      <c r="AA132" s="88">
        <f>F137-SUM(G132:Z132)</f>
        <v>0</v>
      </c>
    </row>
    <row r="133" spans="1:28" outlineLevel="1" x14ac:dyDescent="0.25">
      <c r="A133" s="39" t="str">
        <f t="shared" si="49"/>
        <v>Estar ESDE240 (ГПБ К)</v>
      </c>
      <c r="B133" s="39"/>
      <c r="C133" s="99">
        <f>SUMIFS('ФОТ, МТР, макро'!$AF$4:$AF$20,'ФОТ, МТР, макро'!$W$4:$W$20,$A133)/12</f>
        <v>7.083333333333333</v>
      </c>
      <c r="D133" s="98" t="s">
        <v>82</v>
      </c>
      <c r="E133" s="68" t="str">
        <f>E108</f>
        <v>тыс. руб.</v>
      </c>
      <c r="F133" s="69"/>
      <c r="G133" s="69">
        <f>SUM(G109,G114,G118,G123,G125,G129,G132)</f>
        <v>120965.07043399752</v>
      </c>
      <c r="H133" s="69">
        <f>SUM(H109,H114,H118,H123,H125,H129,H132)</f>
        <v>131457.50509224844</v>
      </c>
      <c r="I133" s="69">
        <f t="shared" ref="I133:Z133" si="68">SUM(I109,I114,I118,I123,I125,I129,I132)</f>
        <v>193443.07581858482</v>
      </c>
      <c r="J133" s="69">
        <f t="shared" si="68"/>
        <v>359641.99394610524</v>
      </c>
      <c r="K133" s="69">
        <f t="shared" si="68"/>
        <v>132850.19142123769</v>
      </c>
      <c r="L133" s="69">
        <f t="shared" si="68"/>
        <v>205968.209008404</v>
      </c>
      <c r="M133" s="69">
        <f t="shared" si="68"/>
        <v>129547.04870085439</v>
      </c>
      <c r="N133" s="69">
        <f t="shared" si="68"/>
        <v>363599.31620632258</v>
      </c>
      <c r="O133" s="69">
        <f t="shared" si="68"/>
        <v>130492.53982528389</v>
      </c>
      <c r="P133" s="69">
        <f t="shared" si="68"/>
        <v>125650.05092150127</v>
      </c>
      <c r="Q133" s="69">
        <f t="shared" si="68"/>
        <v>0</v>
      </c>
      <c r="R133" s="69">
        <f t="shared" si="68"/>
        <v>0</v>
      </c>
      <c r="S133" s="69">
        <f t="shared" si="68"/>
        <v>0</v>
      </c>
      <c r="T133" s="69">
        <f t="shared" si="68"/>
        <v>0</v>
      </c>
      <c r="U133" s="69">
        <f t="shared" si="68"/>
        <v>0</v>
      </c>
      <c r="V133" s="69">
        <f t="shared" si="68"/>
        <v>0</v>
      </c>
      <c r="W133" s="69">
        <f t="shared" si="68"/>
        <v>0</v>
      </c>
      <c r="X133" s="69">
        <f t="shared" si="68"/>
        <v>0</v>
      </c>
      <c r="Y133" s="69">
        <f t="shared" si="68"/>
        <v>0</v>
      </c>
      <c r="Z133" s="69">
        <f t="shared" si="68"/>
        <v>0</v>
      </c>
      <c r="AB133" s="42"/>
    </row>
    <row r="134" spans="1:28" outlineLevel="1" x14ac:dyDescent="0.25">
      <c r="A134" s="39" t="str">
        <f t="shared" si="49"/>
        <v>Estar ESDE240 (ГПБ К)</v>
      </c>
      <c r="B134" s="39"/>
      <c r="D134" s="98" t="s">
        <v>83</v>
      </c>
      <c r="E134" s="68" t="str">
        <f>E108</f>
        <v>тыс. руб.</v>
      </c>
      <c r="F134" s="69"/>
      <c r="G134" s="69">
        <f>-G133*'ФОТ, МТР, макро'!AK$11</f>
        <v>-30241.26760849938</v>
      </c>
      <c r="H134" s="69">
        <f>-H133*'ФОТ, МТР, макро'!AL$11</f>
        <v>-32864.376273062109</v>
      </c>
      <c r="I134" s="69">
        <f>-I133*'ФОТ, МТР, макро'!AM$11</f>
        <v>-48360.768954646206</v>
      </c>
      <c r="J134" s="69">
        <f>-J133*'ФОТ, МТР, макро'!AN$11</f>
        <v>-89910.49848652631</v>
      </c>
      <c r="K134" s="69">
        <f>-K133*'ФОТ, МТР, макро'!AO$11</f>
        <v>-33212.547855309422</v>
      </c>
      <c r="L134" s="69">
        <f>-L133*'ФОТ, МТР, макро'!AP$11</f>
        <v>-51492.052252100999</v>
      </c>
      <c r="M134" s="69">
        <f>-M133*'ФОТ, МТР, макро'!AQ$11</f>
        <v>-32386.762175213596</v>
      </c>
      <c r="N134" s="69">
        <f>-N133*'ФОТ, МТР, макро'!AR$11</f>
        <v>-90899.829051580644</v>
      </c>
      <c r="O134" s="69">
        <f>-O133*'ФОТ, МТР, макро'!AS$11</f>
        <v>-32623.134956320973</v>
      </c>
      <c r="P134" s="69">
        <f>-P133*'ФОТ, МТР, макро'!AT$11</f>
        <v>-31412.512730375318</v>
      </c>
      <c r="Q134" s="69">
        <f>-Q133*'ФОТ, МТР, макро'!AU$11</f>
        <v>0</v>
      </c>
      <c r="R134" s="69">
        <f>-R133*'ФОТ, МТР, макро'!AV$11</f>
        <v>0</v>
      </c>
      <c r="S134" s="69">
        <f>-S133*'ФОТ, МТР, макро'!AW$11</f>
        <v>0</v>
      </c>
      <c r="T134" s="69">
        <f>-T133*'ФОТ, МТР, макро'!AX$11</f>
        <v>0</v>
      </c>
      <c r="U134" s="69">
        <f>-U133*'ФОТ, МТР, макро'!AY$11</f>
        <v>0</v>
      </c>
      <c r="V134" s="69">
        <f>-V133*'ФОТ, МТР, макро'!AZ$11</f>
        <v>0</v>
      </c>
      <c r="W134" s="69">
        <f>-W133*'ФОТ, МТР, макро'!BA$11</f>
        <v>0</v>
      </c>
      <c r="X134" s="69">
        <f>-X133*'ФОТ, МТР, макро'!BB$11</f>
        <v>0</v>
      </c>
      <c r="Y134" s="69">
        <f>-Y133*'ФОТ, МТР, макро'!BC$11</f>
        <v>0</v>
      </c>
      <c r="Z134" s="69">
        <f>-Z133*'ФОТ, МТР, макро'!BD$11</f>
        <v>0</v>
      </c>
    </row>
    <row r="135" spans="1:28" outlineLevel="1" x14ac:dyDescent="0.25">
      <c r="A135" s="39" t="str">
        <f t="shared" si="49"/>
        <v>Estar ESDE240 (ГПБ К)</v>
      </c>
      <c r="B135" s="39"/>
      <c r="D135" s="101"/>
      <c r="E135" s="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8" outlineLevel="1" x14ac:dyDescent="0.25">
      <c r="A136" s="39" t="str">
        <f t="shared" si="49"/>
        <v>Estar ESDE240 (ГПБ К)</v>
      </c>
      <c r="B136" s="39"/>
      <c r="D136" s="71" t="s">
        <v>84</v>
      </c>
      <c r="E136" s="72" t="str">
        <f>E108</f>
        <v>тыс. руб.</v>
      </c>
      <c r="F136" s="73">
        <f>F137</f>
        <v>0</v>
      </c>
      <c r="G136" s="73">
        <f t="shared" ref="G136:Z136" si="69">G137</f>
        <v>0</v>
      </c>
      <c r="H136" s="73">
        <f t="shared" si="69"/>
        <v>0</v>
      </c>
      <c r="I136" s="73">
        <f t="shared" si="69"/>
        <v>0</v>
      </c>
      <c r="J136" s="73">
        <f t="shared" si="69"/>
        <v>0</v>
      </c>
      <c r="K136" s="73">
        <f t="shared" si="69"/>
        <v>0</v>
      </c>
      <c r="L136" s="73">
        <f t="shared" si="69"/>
        <v>0</v>
      </c>
      <c r="M136" s="73">
        <f t="shared" si="69"/>
        <v>0</v>
      </c>
      <c r="N136" s="73">
        <f t="shared" si="69"/>
        <v>0</v>
      </c>
      <c r="O136" s="73">
        <f t="shared" si="69"/>
        <v>0</v>
      </c>
      <c r="P136" s="73">
        <f t="shared" si="69"/>
        <v>0</v>
      </c>
      <c r="Q136" s="73">
        <f t="shared" si="69"/>
        <v>0</v>
      </c>
      <c r="R136" s="73">
        <f t="shared" si="69"/>
        <v>0</v>
      </c>
      <c r="S136" s="73">
        <f t="shared" si="69"/>
        <v>0</v>
      </c>
      <c r="T136" s="73">
        <f t="shared" si="69"/>
        <v>0</v>
      </c>
      <c r="U136" s="73">
        <f t="shared" si="69"/>
        <v>0</v>
      </c>
      <c r="V136" s="73">
        <f t="shared" si="69"/>
        <v>0</v>
      </c>
      <c r="W136" s="73">
        <f t="shared" si="69"/>
        <v>0</v>
      </c>
      <c r="X136" s="73">
        <f t="shared" si="69"/>
        <v>0</v>
      </c>
      <c r="Y136" s="73">
        <f t="shared" si="69"/>
        <v>0</v>
      </c>
      <c r="Z136" s="73">
        <f t="shared" si="69"/>
        <v>0</v>
      </c>
    </row>
    <row r="137" spans="1:28" outlineLevel="1" x14ac:dyDescent="0.25">
      <c r="A137" s="39" t="str">
        <f t="shared" si="49"/>
        <v>Estar ESDE240 (ГПБ К)</v>
      </c>
      <c r="B137" s="39"/>
      <c r="D137" s="101" t="s">
        <v>85</v>
      </c>
      <c r="E137" s="9" t="str">
        <f>E136</f>
        <v>тыс. руб.</v>
      </c>
      <c r="F137" s="78">
        <f>SUMIFS(Свод_1!$D$41:$U$41,Свод_1!$D$23:$U$23,$A137)</f>
        <v>0</v>
      </c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8" outlineLevel="1" x14ac:dyDescent="0.25">
      <c r="A138" s="39" t="str">
        <f t="shared" si="49"/>
        <v>Estar ESDE240 (ГПБ К)</v>
      </c>
      <c r="B138" s="39"/>
      <c r="D138" s="101"/>
      <c r="E138" s="9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8" outlineLevel="1" x14ac:dyDescent="0.25">
      <c r="A139" s="39" t="str">
        <f t="shared" si="49"/>
        <v>Estar ESDE240 (ГПБ К)</v>
      </c>
      <c r="B139" s="39"/>
      <c r="D139" s="71" t="s">
        <v>86</v>
      </c>
      <c r="E139" s="72" t="str">
        <f>E108</f>
        <v>тыс. руб.</v>
      </c>
      <c r="F139" s="73">
        <f>F108+F136</f>
        <v>0</v>
      </c>
      <c r="G139" s="73">
        <f t="shared" ref="G139:Z139" si="70">G108+G136</f>
        <v>90723.802825498133</v>
      </c>
      <c r="H139" s="73">
        <f t="shared" si="70"/>
        <v>98593.128819186328</v>
      </c>
      <c r="I139" s="73">
        <f t="shared" si="70"/>
        <v>145082.30686393863</v>
      </c>
      <c r="J139" s="73">
        <f t="shared" si="70"/>
        <v>269731.49545957893</v>
      </c>
      <c r="K139" s="73">
        <f t="shared" si="70"/>
        <v>99637.643565928272</v>
      </c>
      <c r="L139" s="73">
        <f t="shared" si="70"/>
        <v>154476.15675630298</v>
      </c>
      <c r="M139" s="73">
        <f t="shared" si="70"/>
        <v>97160.286525640782</v>
      </c>
      <c r="N139" s="73">
        <f t="shared" si="70"/>
        <v>272699.48715474195</v>
      </c>
      <c r="O139" s="73">
        <f t="shared" si="70"/>
        <v>97869.404868962913</v>
      </c>
      <c r="P139" s="73">
        <f t="shared" si="70"/>
        <v>94237.538191125961</v>
      </c>
      <c r="Q139" s="73">
        <f t="shared" si="70"/>
        <v>0</v>
      </c>
      <c r="R139" s="73">
        <f t="shared" si="70"/>
        <v>0</v>
      </c>
      <c r="S139" s="73">
        <f t="shared" si="70"/>
        <v>0</v>
      </c>
      <c r="T139" s="73">
        <f t="shared" si="70"/>
        <v>0</v>
      </c>
      <c r="U139" s="73">
        <f t="shared" si="70"/>
        <v>0</v>
      </c>
      <c r="V139" s="73">
        <f t="shared" si="70"/>
        <v>0</v>
      </c>
      <c r="W139" s="73">
        <f t="shared" si="70"/>
        <v>0</v>
      </c>
      <c r="X139" s="73">
        <f t="shared" si="70"/>
        <v>0</v>
      </c>
      <c r="Y139" s="73">
        <f t="shared" si="70"/>
        <v>0</v>
      </c>
      <c r="Z139" s="73">
        <f t="shared" si="70"/>
        <v>0</v>
      </c>
    </row>
    <row r="140" spans="1:28" outlineLevel="1" x14ac:dyDescent="0.25">
      <c r="A140" s="39" t="str">
        <f t="shared" si="49"/>
        <v>Estar ESDE240 (ГПБ К)</v>
      </c>
      <c r="B140" s="39"/>
      <c r="D140" s="67" t="s">
        <v>87</v>
      </c>
      <c r="E140" s="68" t="str">
        <f>E139</f>
        <v>тыс. руб.</v>
      </c>
      <c r="F140" s="102"/>
      <c r="G140" s="69">
        <f>G108*'ФОТ, МТР, макро'!AK$13</f>
        <v>81003.395379909038</v>
      </c>
      <c r="H140" s="69">
        <f>H108*'ФОТ, МТР, макро'!AL$13</f>
        <v>78597.838663254384</v>
      </c>
      <c r="I140" s="69">
        <f>I108*'ФОТ, МТР, макро'!AM$13</f>
        <v>103266.72033295556</v>
      </c>
      <c r="J140" s="69">
        <f>J108*'ФОТ, МТР, макро'!AN$13</f>
        <v>171419.24167973304</v>
      </c>
      <c r="K140" s="69">
        <f>K108*'ФОТ, МТР, макро'!AO$13</f>
        <v>56537.074799825197</v>
      </c>
      <c r="L140" s="69">
        <f>L108*'ФОТ, МТР, макро'!AP$13</f>
        <v>78262.428492609324</v>
      </c>
      <c r="M140" s="69">
        <f>M108*'ФОТ, МТР, макро'!AQ$13</f>
        <v>43950.379371781346</v>
      </c>
      <c r="N140" s="69">
        <f>N108*'ФОТ, МТР, макро'!AR$13</f>
        <v>110138.74914037567</v>
      </c>
      <c r="O140" s="69">
        <f>O108*'ФОТ, МТР, макро'!AS$13</f>
        <v>35292.688534729037</v>
      </c>
      <c r="P140" s="69">
        <f>P108*'ФОТ, МТР, макро'!AT$13</f>
        <v>30341.965179736148</v>
      </c>
      <c r="Q140" s="69">
        <f>Q108*'ФОТ, МТР, макро'!AU$13</f>
        <v>0</v>
      </c>
      <c r="R140" s="69">
        <f>R108*'ФОТ, МТР, макро'!AV$13</f>
        <v>0</v>
      </c>
      <c r="S140" s="69">
        <f>S108*'ФОТ, МТР, макро'!AW$13</f>
        <v>0</v>
      </c>
      <c r="T140" s="69">
        <f>T108*'ФОТ, МТР, макро'!AX$13</f>
        <v>0</v>
      </c>
      <c r="U140" s="69">
        <f>U108*'ФОТ, МТР, макро'!AY$13</f>
        <v>0</v>
      </c>
      <c r="V140" s="69">
        <f>V108*'ФОТ, МТР, макро'!AZ$13</f>
        <v>0</v>
      </c>
      <c r="W140" s="69">
        <f>W108*'ФОТ, МТР, макро'!BA$13</f>
        <v>0</v>
      </c>
      <c r="X140" s="69">
        <f>X108*'ФОТ, МТР, макро'!BB$13</f>
        <v>0</v>
      </c>
      <c r="Y140" s="69">
        <f>Y108*'ФОТ, МТР, макро'!BC$13</f>
        <v>0</v>
      </c>
      <c r="Z140" s="69">
        <f>Z108*'ФОТ, МТР, макро'!BD$13</f>
        <v>0</v>
      </c>
    </row>
    <row r="141" spans="1:28" outlineLevel="1" x14ac:dyDescent="0.25">
      <c r="A141" s="39" t="str">
        <f t="shared" si="49"/>
        <v>Estar ESDE240 (ГПБ К)</v>
      </c>
      <c r="B141" s="39"/>
      <c r="D141" s="18" t="str">
        <f>D109</f>
        <v>ТО, ТР, ППР</v>
      </c>
      <c r="E141" s="9" t="str">
        <f>E140</f>
        <v>тыс. руб.</v>
      </c>
      <c r="F141" s="103"/>
      <c r="G141" s="74">
        <f>G109*'ФОТ, МТР, макро'!AK$13</f>
        <v>15159.444799852266</v>
      </c>
      <c r="H141" s="74">
        <f>H109*'ФОТ, МТР, макро'!AL$13</f>
        <v>20747.745396873968</v>
      </c>
      <c r="I141" s="74">
        <f>I109*'ФОТ, МТР, макро'!AM$13</f>
        <v>62131.429625724224</v>
      </c>
      <c r="J141" s="74">
        <f>J109*'ФОТ, МТР, макро'!AN$13</f>
        <v>164446.21196659369</v>
      </c>
      <c r="K141" s="74">
        <f>K109*'ФОТ, МТР, макро'!AO$13</f>
        <v>9831.7142109883298</v>
      </c>
      <c r="L141" s="74">
        <f>L109*'ФОТ, МТР, макро'!AP$13</f>
        <v>48807.61556463367</v>
      </c>
      <c r="M141" s="74">
        <f>M109*'ФОТ, МТР, макро'!AQ$13</f>
        <v>7680.2465153748581</v>
      </c>
      <c r="N141" s="74">
        <f>N109*'ФОТ, МТР, макро'!AR$13</f>
        <v>104508.54062996319</v>
      </c>
      <c r="O141" s="74">
        <f>O109*'ФОТ, МТР, макро'!AS$13</f>
        <v>6122.6455001393942</v>
      </c>
      <c r="P141" s="74">
        <f>P109*'ФОТ, МТР, макро'!AT$13</f>
        <v>5466.6477679816016</v>
      </c>
      <c r="Q141" s="74">
        <f>Q109*'ФОТ, МТР, макро'!AU$13</f>
        <v>0</v>
      </c>
      <c r="R141" s="74">
        <f>R109*'ФОТ, МТР, макро'!AV$13</f>
        <v>0</v>
      </c>
      <c r="S141" s="74">
        <f>S109*'ФОТ, МТР, макро'!AW$13</f>
        <v>0</v>
      </c>
      <c r="T141" s="74">
        <f>T109*'ФОТ, МТР, макро'!AX$13</f>
        <v>0</v>
      </c>
      <c r="U141" s="74">
        <f>U109*'ФОТ, МТР, макро'!AY$13</f>
        <v>0</v>
      </c>
      <c r="V141" s="74">
        <f>V109*'ФОТ, МТР, макро'!AZ$13</f>
        <v>0</v>
      </c>
      <c r="W141" s="74">
        <f>W109*'ФОТ, МТР, макро'!BA$13</f>
        <v>0</v>
      </c>
      <c r="X141" s="74">
        <f>X109*'ФОТ, МТР, макро'!BB$13</f>
        <v>0</v>
      </c>
      <c r="Y141" s="74">
        <f>Y109*'ФОТ, МТР, макро'!BC$13</f>
        <v>0</v>
      </c>
      <c r="Z141" s="74">
        <f>Z109*'ФОТ, МТР, макро'!BD$13</f>
        <v>0</v>
      </c>
    </row>
    <row r="142" spans="1:28" outlineLevel="1" x14ac:dyDescent="0.25">
      <c r="A142" s="39" t="str">
        <f t="shared" si="49"/>
        <v>Estar ESDE240 (ГПБ К)</v>
      </c>
      <c r="B142" s="39"/>
      <c r="D142" s="18" t="str">
        <f>D114</f>
        <v>Шины</v>
      </c>
      <c r="E142" s="9" t="str">
        <f t="shared" ref="E142:E147" si="71">E141</f>
        <v>тыс. руб.</v>
      </c>
      <c r="F142" s="103"/>
      <c r="G142" s="74">
        <f>G114*'ФОТ, МТР, макро'!AK$13</f>
        <v>20272.486194219004</v>
      </c>
      <c r="H142" s="74">
        <f>H114*'ФОТ, МТР, макро'!AL$13</f>
        <v>18406.879525638044</v>
      </c>
      <c r="I142" s="74">
        <f>I114*'ФОТ, МТР, макро'!AM$13</f>
        <v>16571.299624659921</v>
      </c>
      <c r="J142" s="74">
        <f>J114*'ФОТ, МТР, макро'!AN$13</f>
        <v>13904.832169969937</v>
      </c>
      <c r="K142" s="74">
        <f>K114*'ФОТ, МТР, макро'!AO$13</f>
        <v>14624.963386966039</v>
      </c>
      <c r="L142" s="74">
        <f>L114*'ФОТ, МТР, макро'!AP$13</f>
        <v>12263.826966329314</v>
      </c>
      <c r="M142" s="74">
        <f>M114*'ФОТ, МТР, макро'!AQ$13</f>
        <v>11303.363107918487</v>
      </c>
      <c r="N142" s="74">
        <f>N114*'ФОТ, МТР, макро'!AR$13</f>
        <v>9261.9457818783685</v>
      </c>
      <c r="O142" s="74">
        <f>O114*'ФОТ, МТР, макро'!AS$13</f>
        <v>9101.6712344136868</v>
      </c>
      <c r="P142" s="74">
        <f>P114*'ФОТ, МТР, макро'!AT$13</f>
        <v>7711.7316432848929</v>
      </c>
      <c r="Q142" s="74">
        <f>Q114*'ФОТ, МТР, макро'!AU$13</f>
        <v>0</v>
      </c>
      <c r="R142" s="74">
        <f>R114*'ФОТ, МТР, макро'!AV$13</f>
        <v>0</v>
      </c>
      <c r="S142" s="74">
        <f>S114*'ФОТ, МТР, макро'!AW$13</f>
        <v>0</v>
      </c>
      <c r="T142" s="74">
        <f>T114*'ФОТ, МТР, макро'!AX$13</f>
        <v>0</v>
      </c>
      <c r="U142" s="74">
        <f>U114*'ФОТ, МТР, макро'!AY$13</f>
        <v>0</v>
      </c>
      <c r="V142" s="74">
        <f>V114*'ФОТ, МТР, макро'!AZ$13</f>
        <v>0</v>
      </c>
      <c r="W142" s="74">
        <f>W114*'ФОТ, МТР, макро'!BA$13</f>
        <v>0</v>
      </c>
      <c r="X142" s="74">
        <f>X114*'ФОТ, МТР, макро'!BB$13</f>
        <v>0</v>
      </c>
      <c r="Y142" s="74">
        <f>Y114*'ФОТ, МТР, макро'!BC$13</f>
        <v>0</v>
      </c>
      <c r="Z142" s="74">
        <f>Z114*'ФОТ, МТР, макро'!BD$13</f>
        <v>0</v>
      </c>
    </row>
    <row r="143" spans="1:28" outlineLevel="1" x14ac:dyDescent="0.25">
      <c r="A143" s="39" t="str">
        <f t="shared" si="49"/>
        <v>Estar ESDE240 (ГПБ К)</v>
      </c>
      <c r="B143" s="39"/>
      <c r="D143" s="18" t="str">
        <f>D118</f>
        <v>Топливо</v>
      </c>
      <c r="E143" s="9" t="str">
        <f t="shared" si="71"/>
        <v>тыс. руб.</v>
      </c>
      <c r="F143" s="103"/>
      <c r="G143" s="74">
        <f>G118*'ФОТ, МТР, макро'!AK$13</f>
        <v>55935.06382140678</v>
      </c>
      <c r="H143" s="74">
        <f>H118*'ФОТ, МТР, макро'!AL$13</f>
        <v>50787.553690040855</v>
      </c>
      <c r="I143" s="74">
        <f>I118*'ФОТ, МТР, макро'!AM$13</f>
        <v>45722.892260414053</v>
      </c>
      <c r="J143" s="74">
        <f>J118*'ФОТ, МТР, макро'!AN$13</f>
        <v>38365.677865155507</v>
      </c>
      <c r="K143" s="74">
        <f>K118*'ФОТ, МТР, макро'!AO$13</f>
        <v>40352.636208427226</v>
      </c>
      <c r="L143" s="74">
        <f>L118*'ФОТ, МТР, макро'!AP$13</f>
        <v>33837.879453183996</v>
      </c>
      <c r="M143" s="74">
        <f>M118*'ФОТ, МТР, макро'!AQ$13</f>
        <v>31187.804533725721</v>
      </c>
      <c r="N143" s="74">
        <f>N118*'ФОТ, МТР, макро'!AR$13</f>
        <v>25555.204401496176</v>
      </c>
      <c r="O143" s="74">
        <f>O118*'ФОТ, МТР, макро'!AS$13</f>
        <v>25112.981037499481</v>
      </c>
      <c r="P143" s="74">
        <f>P118*'ФОТ, МТР, макро'!AT$13</f>
        <v>21277.913202560729</v>
      </c>
      <c r="Q143" s="74">
        <f>Q118*'ФОТ, МТР, макро'!AU$13</f>
        <v>0</v>
      </c>
      <c r="R143" s="74">
        <f>R118*'ФОТ, МТР, макро'!AV$13</f>
        <v>0</v>
      </c>
      <c r="S143" s="74">
        <f>S118*'ФОТ, МТР, макро'!AW$13</f>
        <v>0</v>
      </c>
      <c r="T143" s="74">
        <f>T118*'ФОТ, МТР, макро'!AX$13</f>
        <v>0</v>
      </c>
      <c r="U143" s="74">
        <f>U118*'ФОТ, МТР, макро'!AY$13</f>
        <v>0</v>
      </c>
      <c r="V143" s="74">
        <f>V118*'ФОТ, МТР, макро'!AZ$13</f>
        <v>0</v>
      </c>
      <c r="W143" s="74">
        <f>W118*'ФОТ, МТР, макро'!BA$13</f>
        <v>0</v>
      </c>
      <c r="X143" s="74">
        <f>X118*'ФОТ, МТР, макро'!BB$13</f>
        <v>0</v>
      </c>
      <c r="Y143" s="74">
        <f>Y118*'ФОТ, МТР, макро'!BC$13</f>
        <v>0</v>
      </c>
      <c r="Z143" s="74">
        <f>Z118*'ФОТ, МТР, макро'!BD$13</f>
        <v>0</v>
      </c>
    </row>
    <row r="144" spans="1:28" outlineLevel="1" x14ac:dyDescent="0.25">
      <c r="A144" s="39" t="str">
        <f t="shared" si="49"/>
        <v>Estar ESDE240 (ГПБ К)</v>
      </c>
      <c r="B144" s="39"/>
      <c r="D144" s="18" t="str">
        <f>D123</f>
        <v>Смазочные</v>
      </c>
      <c r="E144" s="9" t="str">
        <f t="shared" si="71"/>
        <v>тыс. руб.</v>
      </c>
      <c r="F144" s="103"/>
      <c r="G144" s="74">
        <f>G123*'ФОТ, МТР, макро'!AK$13</f>
        <v>0</v>
      </c>
      <c r="H144" s="74">
        <f>H123*'ФОТ, МТР, макро'!AL$13</f>
        <v>0</v>
      </c>
      <c r="I144" s="74">
        <f>I123*'ФОТ, МТР, макро'!AM$13</f>
        <v>0</v>
      </c>
      <c r="J144" s="74">
        <f>J123*'ФОТ, МТР, макро'!AN$13</f>
        <v>0</v>
      </c>
      <c r="K144" s="74">
        <f>K123*'ФОТ, МТР, макро'!AO$13</f>
        <v>0</v>
      </c>
      <c r="L144" s="74">
        <f>L123*'ФОТ, МТР, макро'!AP$13</f>
        <v>0</v>
      </c>
      <c r="M144" s="74">
        <f>M123*'ФОТ, МТР, макро'!AQ$13</f>
        <v>0</v>
      </c>
      <c r="N144" s="74">
        <f>N123*'ФОТ, МТР, макро'!AR$13</f>
        <v>0</v>
      </c>
      <c r="O144" s="74">
        <f>O123*'ФОТ, МТР, макро'!AS$13</f>
        <v>0</v>
      </c>
      <c r="P144" s="74">
        <f>P123*'ФОТ, МТР, макро'!AT$13</f>
        <v>0</v>
      </c>
      <c r="Q144" s="74">
        <f>Q123*'ФОТ, МТР, макро'!AU$13</f>
        <v>0</v>
      </c>
      <c r="R144" s="74">
        <f>R123*'ФОТ, МТР, макро'!AV$13</f>
        <v>0</v>
      </c>
      <c r="S144" s="74">
        <f>S123*'ФОТ, МТР, макро'!AW$13</f>
        <v>0</v>
      </c>
      <c r="T144" s="74">
        <f>T123*'ФОТ, МТР, макро'!AX$13</f>
        <v>0</v>
      </c>
      <c r="U144" s="74">
        <f>U123*'ФОТ, МТР, макро'!AY$13</f>
        <v>0</v>
      </c>
      <c r="V144" s="74">
        <f>V123*'ФОТ, МТР, макро'!AZ$13</f>
        <v>0</v>
      </c>
      <c r="W144" s="74">
        <f>W123*'ФОТ, МТР, макро'!BA$13</f>
        <v>0</v>
      </c>
      <c r="X144" s="74">
        <f>X123*'ФОТ, МТР, макро'!BB$13</f>
        <v>0</v>
      </c>
      <c r="Y144" s="74">
        <f>Y123*'ФОТ, МТР, макро'!BC$13</f>
        <v>0</v>
      </c>
      <c r="Z144" s="74">
        <f>Z123*'ФОТ, МТР, макро'!BD$13</f>
        <v>0</v>
      </c>
    </row>
    <row r="145" spans="1:26" outlineLevel="1" x14ac:dyDescent="0.25">
      <c r="A145" s="39" t="str">
        <f t="shared" si="49"/>
        <v>Estar ESDE240 (ГПБ К)</v>
      </c>
      <c r="B145" s="39"/>
      <c r="D145" s="18" t="str">
        <f>D125</f>
        <v>Затраты на персонал</v>
      </c>
      <c r="E145" s="9" t="str">
        <f t="shared" si="71"/>
        <v>тыс. руб.</v>
      </c>
      <c r="F145" s="103"/>
      <c r="G145" s="74">
        <f>G125*'ФОТ, МТР, макро'!AK$13</f>
        <v>16496.068072019727</v>
      </c>
      <c r="H145" s="74">
        <f>H125*'ФОТ, МТР, макро'!AL$13</f>
        <v>14728.632207160468</v>
      </c>
      <c r="I145" s="74">
        <f>I125*'ФОТ, МТР, макро'!AM$13</f>
        <v>13150.56447067899</v>
      </c>
      <c r="J145" s="74">
        <f>J125*'ФОТ, МТР, макро'!AN$13</f>
        <v>11741.575420249097</v>
      </c>
      <c r="K145" s="74">
        <f>K125*'ФОТ, МТР, макро'!AO$13</f>
        <v>10483.549482365264</v>
      </c>
      <c r="L145" s="74">
        <f>L125*'ФОТ, МТР, макро'!AP$13</f>
        <v>9360.3120378261283</v>
      </c>
      <c r="M145" s="74">
        <f>M125*'ФОТ, МТР, макро'!AQ$13</f>
        <v>8357.4214623447569</v>
      </c>
      <c r="N145" s="74">
        <f>N125*'ФОТ, МТР, макро'!AR$13</f>
        <v>7461.9834485221045</v>
      </c>
      <c r="O145" s="74">
        <f>O125*'ФОТ, МТР, макро'!AS$13</f>
        <v>6662.4852218947353</v>
      </c>
      <c r="P145" s="74">
        <f>P125*'ФОТ, МТР, макро'!AT$13</f>
        <v>5948.6475195488702</v>
      </c>
      <c r="Q145" s="74">
        <f>Q125*'ФОТ, МТР, макро'!AU$13</f>
        <v>0</v>
      </c>
      <c r="R145" s="74">
        <f>R125*'ФОТ, МТР, макро'!AV$13</f>
        <v>0</v>
      </c>
      <c r="S145" s="74">
        <f>S125*'ФОТ, МТР, макро'!AW$13</f>
        <v>0</v>
      </c>
      <c r="T145" s="74">
        <f>T125*'ФОТ, МТР, макро'!AX$13</f>
        <v>0</v>
      </c>
      <c r="U145" s="74">
        <f>U125*'ФОТ, МТР, макро'!AY$13</f>
        <v>0</v>
      </c>
      <c r="V145" s="74">
        <f>V125*'ФОТ, МТР, макро'!AZ$13</f>
        <v>0</v>
      </c>
      <c r="W145" s="74">
        <f>W125*'ФОТ, МТР, макро'!BA$13</f>
        <v>0</v>
      </c>
      <c r="X145" s="74">
        <f>X125*'ФОТ, МТР, макро'!BB$13</f>
        <v>0</v>
      </c>
      <c r="Y145" s="74">
        <f>Y125*'ФОТ, МТР, макро'!BC$13</f>
        <v>0</v>
      </c>
      <c r="Z145" s="74">
        <f>Z125*'ФОТ, МТР, макро'!BD$13</f>
        <v>0</v>
      </c>
    </row>
    <row r="146" spans="1:26" outlineLevel="1" x14ac:dyDescent="0.25">
      <c r="A146" s="39" t="str">
        <f t="shared" si="49"/>
        <v>Estar ESDE240 (ГПБ К)</v>
      </c>
      <c r="B146" s="39"/>
      <c r="D146" s="18" t="str">
        <f>D129</f>
        <v>Транспортный налог</v>
      </c>
      <c r="E146" s="9" t="str">
        <f t="shared" si="71"/>
        <v>тыс. руб.</v>
      </c>
      <c r="F146" s="103"/>
      <c r="G146" s="74">
        <f>G129*'ФОТ, МТР, макро'!AK$13</f>
        <v>141.46428571428569</v>
      </c>
      <c r="H146" s="74">
        <f>H129*'ФОТ, МТР, макро'!AL$13</f>
        <v>126.30739795918365</v>
      </c>
      <c r="I146" s="74">
        <f>I129*'ФОТ, МТР, макро'!AM$13</f>
        <v>112.77446246355682</v>
      </c>
      <c r="J146" s="74">
        <f>J129*'ФОТ, МТР, макро'!AN$13</f>
        <v>100.69148434246144</v>
      </c>
      <c r="K146" s="74">
        <f>K129*'ФОТ, МТР, макро'!AO$13</f>
        <v>89.903111020054851</v>
      </c>
      <c r="L146" s="74">
        <f>L129*'ФОТ, МТР, макро'!AP$13</f>
        <v>80.27063483933469</v>
      </c>
      <c r="M146" s="74">
        <f>M129*'ФОТ, МТР, макро'!AQ$13</f>
        <v>71.670209677977397</v>
      </c>
      <c r="N146" s="74">
        <f>N129*'ФОТ, МТР, макро'!AR$13</f>
        <v>63.991258641051239</v>
      </c>
      <c r="O146" s="74">
        <f>O129*'ФОТ, МТР, макро'!AS$13</f>
        <v>57.13505235808146</v>
      </c>
      <c r="P146" s="74">
        <f>P129*'ФОТ, МТР, макро'!AT$13</f>
        <v>51.013439605429873</v>
      </c>
      <c r="Q146" s="74">
        <f>Q129*'ФОТ, МТР, макро'!AU$13</f>
        <v>0</v>
      </c>
      <c r="R146" s="74">
        <f>R129*'ФОТ, МТР, макро'!AV$13</f>
        <v>0</v>
      </c>
      <c r="S146" s="74">
        <f>S129*'ФОТ, МТР, макро'!AW$13</f>
        <v>0</v>
      </c>
      <c r="T146" s="74">
        <f>T129*'ФОТ, МТР, макро'!AX$13</f>
        <v>0</v>
      </c>
      <c r="U146" s="74">
        <f>U129*'ФОТ, МТР, макро'!AY$13</f>
        <v>0</v>
      </c>
      <c r="V146" s="74">
        <f>V129*'ФОТ, МТР, макро'!AZ$13</f>
        <v>0</v>
      </c>
      <c r="W146" s="74">
        <f>W129*'ФОТ, МТР, макро'!BA$13</f>
        <v>0</v>
      </c>
      <c r="X146" s="74">
        <f>X129*'ФОТ, МТР, макро'!BB$13</f>
        <v>0</v>
      </c>
      <c r="Y146" s="74">
        <f>Y129*'ФОТ, МТР, макро'!BC$13</f>
        <v>0</v>
      </c>
      <c r="Z146" s="74">
        <f>Z129*'ФОТ, МТР, макро'!BD$13</f>
        <v>0</v>
      </c>
    </row>
    <row r="147" spans="1:26" outlineLevel="1" x14ac:dyDescent="0.25">
      <c r="A147" s="39" t="str">
        <f t="shared" si="49"/>
        <v>Estar ESDE240 (ГПБ К)</v>
      </c>
      <c r="B147" s="39"/>
      <c r="D147" s="18" t="str">
        <f>D134</f>
        <v>Налог на прибыль</v>
      </c>
      <c r="E147" s="9" t="str">
        <f t="shared" si="71"/>
        <v>тыс. руб.</v>
      </c>
      <c r="F147" s="103"/>
      <c r="G147" s="74">
        <f>G134*'ФОТ, МТР, макро'!AK$13</f>
        <v>-27001.131793303015</v>
      </c>
      <c r="H147" s="74">
        <f>H134*'ФОТ, МТР, макро'!AL$13</f>
        <v>-26199.279554418128</v>
      </c>
      <c r="I147" s="74">
        <f>I134*'ФОТ, МТР, макро'!AM$13</f>
        <v>-34422.240110985185</v>
      </c>
      <c r="J147" s="74">
        <f>J134*'ФОТ, МТР, макро'!AN$13</f>
        <v>-57139.747226577674</v>
      </c>
      <c r="K147" s="74">
        <f>K134*'ФОТ, МТР, макро'!AO$13</f>
        <v>-18845.691599941729</v>
      </c>
      <c r="L147" s="74">
        <f>L134*'ФОТ, МТР, макро'!AP$13</f>
        <v>-26087.476164203108</v>
      </c>
      <c r="M147" s="74">
        <f>M134*'ФОТ, МТР, макро'!AQ$13</f>
        <v>-14650.12645726045</v>
      </c>
      <c r="N147" s="74">
        <f>N134*'ФОТ, МТР, макро'!AR$13</f>
        <v>-36712.916380125222</v>
      </c>
      <c r="O147" s="74">
        <f>O134*'ФОТ, МТР, макро'!AS$13</f>
        <v>-11764.229511576346</v>
      </c>
      <c r="P147" s="74">
        <f>P134*'ФОТ, МТР, макро'!AT$13</f>
        <v>-10113.988393245381</v>
      </c>
      <c r="Q147" s="74">
        <f>Q134*'ФОТ, МТР, макро'!AU$13</f>
        <v>0</v>
      </c>
      <c r="R147" s="74">
        <f>R134*'ФОТ, МТР, макро'!AV$13</f>
        <v>0</v>
      </c>
      <c r="S147" s="74">
        <f>S134*'ФОТ, МТР, макро'!AW$13</f>
        <v>0</v>
      </c>
      <c r="T147" s="74">
        <f>T134*'ФОТ, МТР, макро'!AX$13</f>
        <v>0</v>
      </c>
      <c r="U147" s="74">
        <f>U134*'ФОТ, МТР, макро'!AY$13</f>
        <v>0</v>
      </c>
      <c r="V147" s="74">
        <f>V134*'ФОТ, МТР, макро'!AZ$13</f>
        <v>0</v>
      </c>
      <c r="W147" s="74">
        <f>W134*'ФОТ, МТР, макро'!BA$13</f>
        <v>0</v>
      </c>
      <c r="X147" s="74">
        <f>X134*'ФОТ, МТР, макро'!BB$13</f>
        <v>0</v>
      </c>
      <c r="Y147" s="74">
        <f>Y134*'ФОТ, МТР, макро'!BC$13</f>
        <v>0</v>
      </c>
      <c r="Z147" s="74">
        <f>Z134*'ФОТ, МТР, макро'!BD$13</f>
        <v>0</v>
      </c>
    </row>
    <row r="148" spans="1:26" outlineLevel="1" x14ac:dyDescent="0.25">
      <c r="A148" s="39" t="str">
        <f t="shared" si="49"/>
        <v>Estar ESDE240 (ГПБ К)</v>
      </c>
      <c r="B148" s="39"/>
      <c r="D148" s="104" t="s">
        <v>88</v>
      </c>
      <c r="E148" s="9"/>
      <c r="F148" s="105"/>
      <c r="G148" s="106">
        <f>G140-SUM(G141:G147)</f>
        <v>0</v>
      </c>
      <c r="H148" s="106">
        <f t="shared" ref="H148" si="72">H140-SUM(H141:H147)</f>
        <v>0</v>
      </c>
      <c r="I148" s="106">
        <f t="shared" ref="I148:Z148" si="73">I140-SUM(I141:I147)</f>
        <v>0</v>
      </c>
      <c r="J148" s="106">
        <f t="shared" si="73"/>
        <v>0</v>
      </c>
      <c r="K148" s="106">
        <f t="shared" si="73"/>
        <v>0</v>
      </c>
      <c r="L148" s="106">
        <f t="shared" si="73"/>
        <v>0</v>
      </c>
      <c r="M148" s="106">
        <f t="shared" si="73"/>
        <v>0</v>
      </c>
      <c r="N148" s="106">
        <f t="shared" si="73"/>
        <v>0</v>
      </c>
      <c r="O148" s="106">
        <f t="shared" si="73"/>
        <v>0</v>
      </c>
      <c r="P148" s="106">
        <f t="shared" si="73"/>
        <v>0</v>
      </c>
      <c r="Q148" s="106">
        <f t="shared" si="73"/>
        <v>0</v>
      </c>
      <c r="R148" s="106">
        <f t="shared" si="73"/>
        <v>0</v>
      </c>
      <c r="S148" s="106">
        <f t="shared" si="73"/>
        <v>0</v>
      </c>
      <c r="T148" s="106">
        <f t="shared" si="73"/>
        <v>0</v>
      </c>
      <c r="U148" s="106">
        <f t="shared" si="73"/>
        <v>0</v>
      </c>
      <c r="V148" s="106">
        <f t="shared" si="73"/>
        <v>0</v>
      </c>
      <c r="W148" s="106">
        <f t="shared" si="73"/>
        <v>0</v>
      </c>
      <c r="X148" s="106">
        <f t="shared" si="73"/>
        <v>0</v>
      </c>
      <c r="Y148" s="106">
        <f t="shared" si="73"/>
        <v>0</v>
      </c>
      <c r="Z148" s="106">
        <f t="shared" si="73"/>
        <v>0</v>
      </c>
    </row>
    <row r="149" spans="1:26" ht="27.2" outlineLevel="1" x14ac:dyDescent="0.25">
      <c r="A149" s="39" t="str">
        <f t="shared" si="49"/>
        <v>Estar ESDE240 (ГПБ К)</v>
      </c>
      <c r="B149" s="39"/>
      <c r="D149" s="107" t="s">
        <v>89</v>
      </c>
      <c r="E149" s="68" t="str">
        <f>E140</f>
        <v>тыс. руб.</v>
      </c>
      <c r="F149" s="69">
        <f>F140</f>
        <v>0</v>
      </c>
      <c r="G149" s="69">
        <f>F149+G140</f>
        <v>81003.395379909038</v>
      </c>
      <c r="H149" s="69">
        <f t="shared" ref="H149:Z156" si="74">G149+H140</f>
        <v>159601.23404316342</v>
      </c>
      <c r="I149" s="69">
        <f t="shared" si="74"/>
        <v>262867.95437611896</v>
      </c>
      <c r="J149" s="69">
        <f t="shared" si="74"/>
        <v>434287.19605585199</v>
      </c>
      <c r="K149" s="69">
        <f t="shared" si="74"/>
        <v>490824.2708556772</v>
      </c>
      <c r="L149" s="69">
        <f t="shared" si="74"/>
        <v>569086.69934828649</v>
      </c>
      <c r="M149" s="69">
        <f t="shared" si="74"/>
        <v>613037.07872006786</v>
      </c>
      <c r="N149" s="69">
        <f t="shared" si="74"/>
        <v>723175.8278604435</v>
      </c>
      <c r="O149" s="69">
        <f t="shared" si="74"/>
        <v>758468.51639517257</v>
      </c>
      <c r="P149" s="69">
        <f t="shared" si="74"/>
        <v>788810.48157490871</v>
      </c>
      <c r="Q149" s="69">
        <f t="shared" si="74"/>
        <v>788810.48157490871</v>
      </c>
      <c r="R149" s="69">
        <f t="shared" si="74"/>
        <v>788810.48157490871</v>
      </c>
      <c r="S149" s="69">
        <f t="shared" si="74"/>
        <v>788810.48157490871</v>
      </c>
      <c r="T149" s="69">
        <f t="shared" si="74"/>
        <v>788810.48157490871</v>
      </c>
      <c r="U149" s="69">
        <f t="shared" si="74"/>
        <v>788810.48157490871</v>
      </c>
      <c r="V149" s="69">
        <f t="shared" si="74"/>
        <v>788810.48157490871</v>
      </c>
      <c r="W149" s="69">
        <f t="shared" si="74"/>
        <v>788810.48157490871</v>
      </c>
      <c r="X149" s="69">
        <f t="shared" si="74"/>
        <v>788810.48157490871</v>
      </c>
      <c r="Y149" s="69">
        <f t="shared" si="74"/>
        <v>788810.48157490871</v>
      </c>
      <c r="Z149" s="69">
        <f t="shared" si="74"/>
        <v>788810.48157490871</v>
      </c>
    </row>
    <row r="150" spans="1:26" outlineLevel="1" x14ac:dyDescent="0.25">
      <c r="A150" s="39" t="str">
        <f t="shared" si="49"/>
        <v>Estar ESDE240 (ГПБ К)</v>
      </c>
      <c r="B150" s="39"/>
      <c r="D150" s="101" t="str">
        <f>D141</f>
        <v>ТО, ТР, ППР</v>
      </c>
      <c r="E150" s="9" t="str">
        <f>E141</f>
        <v>тыс. руб.</v>
      </c>
      <c r="F150" s="74">
        <f>F141</f>
        <v>0</v>
      </c>
      <c r="G150" s="74">
        <f>F150+G141</f>
        <v>15159.444799852266</v>
      </c>
      <c r="H150" s="74">
        <f t="shared" si="74"/>
        <v>35907.190196726238</v>
      </c>
      <c r="I150" s="74">
        <f t="shared" si="74"/>
        <v>98038.619822450462</v>
      </c>
      <c r="J150" s="74">
        <f t="shared" si="74"/>
        <v>262484.83178904414</v>
      </c>
      <c r="K150" s="74">
        <f t="shared" si="74"/>
        <v>272316.54600003245</v>
      </c>
      <c r="L150" s="74">
        <f t="shared" si="74"/>
        <v>321124.16156466614</v>
      </c>
      <c r="M150" s="74">
        <f t="shared" si="74"/>
        <v>328804.408080041</v>
      </c>
      <c r="N150" s="74">
        <f t="shared" si="74"/>
        <v>433312.94871000422</v>
      </c>
      <c r="O150" s="74">
        <f t="shared" si="74"/>
        <v>439435.59421014361</v>
      </c>
      <c r="P150" s="74">
        <f t="shared" si="74"/>
        <v>444902.24197812518</v>
      </c>
      <c r="Q150" s="74">
        <f t="shared" si="74"/>
        <v>444902.24197812518</v>
      </c>
      <c r="R150" s="74">
        <f t="shared" si="74"/>
        <v>444902.24197812518</v>
      </c>
      <c r="S150" s="74">
        <f t="shared" si="74"/>
        <v>444902.24197812518</v>
      </c>
      <c r="T150" s="74">
        <f t="shared" si="74"/>
        <v>444902.24197812518</v>
      </c>
      <c r="U150" s="74">
        <f t="shared" si="74"/>
        <v>444902.24197812518</v>
      </c>
      <c r="V150" s="74">
        <f t="shared" si="74"/>
        <v>444902.24197812518</v>
      </c>
      <c r="W150" s="74">
        <f t="shared" si="74"/>
        <v>444902.24197812518</v>
      </c>
      <c r="X150" s="74">
        <f t="shared" si="74"/>
        <v>444902.24197812518</v>
      </c>
      <c r="Y150" s="74">
        <f t="shared" si="74"/>
        <v>444902.24197812518</v>
      </c>
      <c r="Z150" s="74">
        <f t="shared" si="74"/>
        <v>444902.24197812518</v>
      </c>
    </row>
    <row r="151" spans="1:26" outlineLevel="1" x14ac:dyDescent="0.25">
      <c r="A151" s="39" t="str">
        <f t="shared" si="49"/>
        <v>Estar ESDE240 (ГПБ К)</v>
      </c>
      <c r="B151" s="39"/>
      <c r="D151" s="101" t="str">
        <f t="shared" ref="D151:F156" si="75">D142</f>
        <v>Шины</v>
      </c>
      <c r="E151" s="9" t="str">
        <f t="shared" si="75"/>
        <v>тыс. руб.</v>
      </c>
      <c r="F151" s="74">
        <f t="shared" si="75"/>
        <v>0</v>
      </c>
      <c r="G151" s="74">
        <f t="shared" ref="G151:G156" si="76">F151+G142</f>
        <v>20272.486194219004</v>
      </c>
      <c r="H151" s="74">
        <f t="shared" si="74"/>
        <v>38679.365719857044</v>
      </c>
      <c r="I151" s="74">
        <f t="shared" si="74"/>
        <v>55250.665344516965</v>
      </c>
      <c r="J151" s="74">
        <f t="shared" si="74"/>
        <v>69155.497514486895</v>
      </c>
      <c r="K151" s="74">
        <f t="shared" si="74"/>
        <v>83780.460901452927</v>
      </c>
      <c r="L151" s="74">
        <f t="shared" si="74"/>
        <v>96044.287867782245</v>
      </c>
      <c r="M151" s="74">
        <f t="shared" si="74"/>
        <v>107347.65097570073</v>
      </c>
      <c r="N151" s="74">
        <f t="shared" si="74"/>
        <v>116609.5967575791</v>
      </c>
      <c r="O151" s="74">
        <f t="shared" si="74"/>
        <v>125711.26799199279</v>
      </c>
      <c r="P151" s="74">
        <f t="shared" si="74"/>
        <v>133422.99963527769</v>
      </c>
      <c r="Q151" s="74">
        <f t="shared" si="74"/>
        <v>133422.99963527769</v>
      </c>
      <c r="R151" s="74">
        <f t="shared" si="74"/>
        <v>133422.99963527769</v>
      </c>
      <c r="S151" s="74">
        <f t="shared" si="74"/>
        <v>133422.99963527769</v>
      </c>
      <c r="T151" s="74">
        <f t="shared" si="74"/>
        <v>133422.99963527769</v>
      </c>
      <c r="U151" s="74">
        <f t="shared" si="74"/>
        <v>133422.99963527769</v>
      </c>
      <c r="V151" s="74">
        <f t="shared" si="74"/>
        <v>133422.99963527769</v>
      </c>
      <c r="W151" s="74">
        <f t="shared" si="74"/>
        <v>133422.99963527769</v>
      </c>
      <c r="X151" s="74">
        <f t="shared" si="74"/>
        <v>133422.99963527769</v>
      </c>
      <c r="Y151" s="74">
        <f t="shared" si="74"/>
        <v>133422.99963527769</v>
      </c>
      <c r="Z151" s="74">
        <f t="shared" si="74"/>
        <v>133422.99963527769</v>
      </c>
    </row>
    <row r="152" spans="1:26" outlineLevel="1" x14ac:dyDescent="0.25">
      <c r="A152" s="39" t="str">
        <f t="shared" si="49"/>
        <v>Estar ESDE240 (ГПБ К)</v>
      </c>
      <c r="B152" s="39"/>
      <c r="D152" s="101" t="str">
        <f t="shared" si="75"/>
        <v>Топливо</v>
      </c>
      <c r="E152" s="9" t="str">
        <f t="shared" si="75"/>
        <v>тыс. руб.</v>
      </c>
      <c r="F152" s="74">
        <f t="shared" si="75"/>
        <v>0</v>
      </c>
      <c r="G152" s="74">
        <f t="shared" si="76"/>
        <v>55935.06382140678</v>
      </c>
      <c r="H152" s="74">
        <f t="shared" si="74"/>
        <v>106722.61751144764</v>
      </c>
      <c r="I152" s="74">
        <f t="shared" si="74"/>
        <v>152445.50977186169</v>
      </c>
      <c r="J152" s="74">
        <f t="shared" si="74"/>
        <v>190811.1876370172</v>
      </c>
      <c r="K152" s="74">
        <f t="shared" si="74"/>
        <v>231163.82384544442</v>
      </c>
      <c r="L152" s="74">
        <f t="shared" si="74"/>
        <v>265001.70329862845</v>
      </c>
      <c r="M152" s="74">
        <f t="shared" si="74"/>
        <v>296189.50783235417</v>
      </c>
      <c r="N152" s="74">
        <f t="shared" si="74"/>
        <v>321744.71223385032</v>
      </c>
      <c r="O152" s="74">
        <f t="shared" si="74"/>
        <v>346857.69327134982</v>
      </c>
      <c r="P152" s="74">
        <f t="shared" si="74"/>
        <v>368135.60647391056</v>
      </c>
      <c r="Q152" s="74">
        <f t="shared" si="74"/>
        <v>368135.60647391056</v>
      </c>
      <c r="R152" s="74">
        <f t="shared" si="74"/>
        <v>368135.60647391056</v>
      </c>
      <c r="S152" s="74">
        <f t="shared" si="74"/>
        <v>368135.60647391056</v>
      </c>
      <c r="T152" s="74">
        <f t="shared" si="74"/>
        <v>368135.60647391056</v>
      </c>
      <c r="U152" s="74">
        <f t="shared" si="74"/>
        <v>368135.60647391056</v>
      </c>
      <c r="V152" s="74">
        <f t="shared" si="74"/>
        <v>368135.60647391056</v>
      </c>
      <c r="W152" s="74">
        <f t="shared" si="74"/>
        <v>368135.60647391056</v>
      </c>
      <c r="X152" s="74">
        <f t="shared" si="74"/>
        <v>368135.60647391056</v>
      </c>
      <c r="Y152" s="74">
        <f t="shared" si="74"/>
        <v>368135.60647391056</v>
      </c>
      <c r="Z152" s="74">
        <f t="shared" si="74"/>
        <v>368135.60647391056</v>
      </c>
    </row>
    <row r="153" spans="1:26" outlineLevel="1" x14ac:dyDescent="0.25">
      <c r="A153" s="39" t="str">
        <f t="shared" si="49"/>
        <v>Estar ESDE240 (ГПБ К)</v>
      </c>
      <c r="B153" s="39"/>
      <c r="D153" s="101" t="str">
        <f t="shared" si="75"/>
        <v>Смазочные</v>
      </c>
      <c r="E153" s="9" t="str">
        <f t="shared" si="75"/>
        <v>тыс. руб.</v>
      </c>
      <c r="F153" s="74">
        <f t="shared" si="75"/>
        <v>0</v>
      </c>
      <c r="G153" s="74">
        <f t="shared" si="76"/>
        <v>0</v>
      </c>
      <c r="H153" s="74">
        <f t="shared" si="74"/>
        <v>0</v>
      </c>
      <c r="I153" s="74">
        <f t="shared" si="74"/>
        <v>0</v>
      </c>
      <c r="J153" s="74">
        <f t="shared" si="74"/>
        <v>0</v>
      </c>
      <c r="K153" s="74">
        <f t="shared" si="74"/>
        <v>0</v>
      </c>
      <c r="L153" s="74">
        <f t="shared" si="74"/>
        <v>0</v>
      </c>
      <c r="M153" s="74">
        <f t="shared" si="74"/>
        <v>0</v>
      </c>
      <c r="N153" s="74">
        <f t="shared" si="74"/>
        <v>0</v>
      </c>
      <c r="O153" s="74">
        <f t="shared" si="74"/>
        <v>0</v>
      </c>
      <c r="P153" s="74">
        <f t="shared" si="74"/>
        <v>0</v>
      </c>
      <c r="Q153" s="74">
        <f t="shared" si="74"/>
        <v>0</v>
      </c>
      <c r="R153" s="74">
        <f t="shared" si="74"/>
        <v>0</v>
      </c>
      <c r="S153" s="74">
        <f t="shared" si="74"/>
        <v>0</v>
      </c>
      <c r="T153" s="74">
        <f t="shared" si="74"/>
        <v>0</v>
      </c>
      <c r="U153" s="74">
        <f t="shared" si="74"/>
        <v>0</v>
      </c>
      <c r="V153" s="74">
        <f t="shared" si="74"/>
        <v>0</v>
      </c>
      <c r="W153" s="74">
        <f t="shared" si="74"/>
        <v>0</v>
      </c>
      <c r="X153" s="74">
        <f t="shared" si="74"/>
        <v>0</v>
      </c>
      <c r="Y153" s="74">
        <f t="shared" si="74"/>
        <v>0</v>
      </c>
      <c r="Z153" s="74">
        <f t="shared" si="74"/>
        <v>0</v>
      </c>
    </row>
    <row r="154" spans="1:26" outlineLevel="1" x14ac:dyDescent="0.25">
      <c r="A154" s="39" t="str">
        <f t="shared" si="49"/>
        <v>Estar ESDE240 (ГПБ К)</v>
      </c>
      <c r="B154" s="39"/>
      <c r="D154" s="101" t="str">
        <f t="shared" si="75"/>
        <v>Затраты на персонал</v>
      </c>
      <c r="E154" s="9" t="str">
        <f t="shared" si="75"/>
        <v>тыс. руб.</v>
      </c>
      <c r="F154" s="74">
        <f t="shared" si="75"/>
        <v>0</v>
      </c>
      <c r="G154" s="74">
        <f t="shared" si="76"/>
        <v>16496.068072019727</v>
      </c>
      <c r="H154" s="74">
        <f t="shared" si="74"/>
        <v>31224.700279180193</v>
      </c>
      <c r="I154" s="74">
        <f t="shared" si="74"/>
        <v>44375.264749859183</v>
      </c>
      <c r="J154" s="74">
        <f t="shared" si="74"/>
        <v>56116.840170108277</v>
      </c>
      <c r="K154" s="74">
        <f t="shared" si="74"/>
        <v>66600.389652473546</v>
      </c>
      <c r="L154" s="74">
        <f t="shared" si="74"/>
        <v>75960.701690299669</v>
      </c>
      <c r="M154" s="74">
        <f t="shared" si="74"/>
        <v>84318.123152644432</v>
      </c>
      <c r="N154" s="74">
        <f t="shared" si="74"/>
        <v>91780.106601166539</v>
      </c>
      <c r="O154" s="74">
        <f t="shared" si="74"/>
        <v>98442.591823061273</v>
      </c>
      <c r="P154" s="74">
        <f t="shared" si="74"/>
        <v>104391.23934261015</v>
      </c>
      <c r="Q154" s="74">
        <f t="shared" si="74"/>
        <v>104391.23934261015</v>
      </c>
      <c r="R154" s="74">
        <f t="shared" si="74"/>
        <v>104391.23934261015</v>
      </c>
      <c r="S154" s="74">
        <f t="shared" si="74"/>
        <v>104391.23934261015</v>
      </c>
      <c r="T154" s="74">
        <f t="shared" si="74"/>
        <v>104391.23934261015</v>
      </c>
      <c r="U154" s="74">
        <f t="shared" si="74"/>
        <v>104391.23934261015</v>
      </c>
      <c r="V154" s="74">
        <f t="shared" si="74"/>
        <v>104391.23934261015</v>
      </c>
      <c r="W154" s="74">
        <f t="shared" si="74"/>
        <v>104391.23934261015</v>
      </c>
      <c r="X154" s="74">
        <f t="shared" si="74"/>
        <v>104391.23934261015</v>
      </c>
      <c r="Y154" s="74">
        <f t="shared" si="74"/>
        <v>104391.23934261015</v>
      </c>
      <c r="Z154" s="74">
        <f t="shared" si="74"/>
        <v>104391.23934261015</v>
      </c>
    </row>
    <row r="155" spans="1:26" outlineLevel="1" x14ac:dyDescent="0.25">
      <c r="A155" s="39" t="str">
        <f t="shared" si="49"/>
        <v>Estar ESDE240 (ГПБ К)</v>
      </c>
      <c r="B155" s="39"/>
      <c r="D155" s="101" t="str">
        <f t="shared" si="75"/>
        <v>Транспортный налог</v>
      </c>
      <c r="E155" s="9" t="str">
        <f t="shared" si="75"/>
        <v>тыс. руб.</v>
      </c>
      <c r="F155" s="74">
        <f t="shared" si="75"/>
        <v>0</v>
      </c>
      <c r="G155" s="74">
        <f t="shared" si="76"/>
        <v>141.46428571428569</v>
      </c>
      <c r="H155" s="74">
        <f t="shared" si="74"/>
        <v>267.77168367346934</v>
      </c>
      <c r="I155" s="74">
        <f t="shared" si="74"/>
        <v>380.54614613702614</v>
      </c>
      <c r="J155" s="74">
        <f t="shared" si="74"/>
        <v>481.23763047948756</v>
      </c>
      <c r="K155" s="74">
        <f t="shared" si="74"/>
        <v>571.1407414995424</v>
      </c>
      <c r="L155" s="74">
        <f t="shared" si="74"/>
        <v>651.41137633887706</v>
      </c>
      <c r="M155" s="74">
        <f t="shared" si="74"/>
        <v>723.08158601685443</v>
      </c>
      <c r="N155" s="74">
        <f t="shared" si="74"/>
        <v>787.07284465790565</v>
      </c>
      <c r="O155" s="74">
        <f t="shared" si="74"/>
        <v>844.2078970159871</v>
      </c>
      <c r="P155" s="74">
        <f t="shared" si="74"/>
        <v>895.22133662141698</v>
      </c>
      <c r="Q155" s="74">
        <f t="shared" si="74"/>
        <v>895.22133662141698</v>
      </c>
      <c r="R155" s="74">
        <f t="shared" si="74"/>
        <v>895.22133662141698</v>
      </c>
      <c r="S155" s="74">
        <f t="shared" si="74"/>
        <v>895.22133662141698</v>
      </c>
      <c r="T155" s="74">
        <f t="shared" si="74"/>
        <v>895.22133662141698</v>
      </c>
      <c r="U155" s="74">
        <f t="shared" si="74"/>
        <v>895.22133662141698</v>
      </c>
      <c r="V155" s="74">
        <f t="shared" si="74"/>
        <v>895.22133662141698</v>
      </c>
      <c r="W155" s="74">
        <f t="shared" si="74"/>
        <v>895.22133662141698</v>
      </c>
      <c r="X155" s="74">
        <f t="shared" si="74"/>
        <v>895.22133662141698</v>
      </c>
      <c r="Y155" s="74">
        <f t="shared" si="74"/>
        <v>895.22133662141698</v>
      </c>
      <c r="Z155" s="74">
        <f t="shared" si="74"/>
        <v>895.22133662141698</v>
      </c>
    </row>
    <row r="156" spans="1:26" outlineLevel="1" x14ac:dyDescent="0.25">
      <c r="A156" s="39" t="str">
        <f t="shared" si="49"/>
        <v>Estar ESDE240 (ГПБ К)</v>
      </c>
      <c r="B156" s="39"/>
      <c r="D156" s="101" t="str">
        <f t="shared" si="75"/>
        <v>Налог на прибыль</v>
      </c>
      <c r="E156" s="9" t="str">
        <f t="shared" si="75"/>
        <v>тыс. руб.</v>
      </c>
      <c r="F156" s="74">
        <f t="shared" si="75"/>
        <v>0</v>
      </c>
      <c r="G156" s="74">
        <f t="shared" si="76"/>
        <v>-27001.131793303015</v>
      </c>
      <c r="H156" s="74">
        <f t="shared" si="74"/>
        <v>-53200.411347721143</v>
      </c>
      <c r="I156" s="74">
        <f t="shared" si="74"/>
        <v>-87622.651458706328</v>
      </c>
      <c r="J156" s="74">
        <f t="shared" si="74"/>
        <v>-144762.39868528402</v>
      </c>
      <c r="K156" s="74">
        <f t="shared" si="74"/>
        <v>-163608.09028522574</v>
      </c>
      <c r="L156" s="74">
        <f t="shared" si="74"/>
        <v>-189695.56644942885</v>
      </c>
      <c r="M156" s="74">
        <f t="shared" si="74"/>
        <v>-204345.69290668931</v>
      </c>
      <c r="N156" s="74">
        <f t="shared" si="74"/>
        <v>-241058.60928681452</v>
      </c>
      <c r="O156" s="74">
        <f t="shared" si="74"/>
        <v>-252822.83879839088</v>
      </c>
      <c r="P156" s="74">
        <f t="shared" si="74"/>
        <v>-262936.82719163626</v>
      </c>
      <c r="Q156" s="74">
        <f t="shared" si="74"/>
        <v>-262936.82719163626</v>
      </c>
      <c r="R156" s="74">
        <f t="shared" si="74"/>
        <v>-262936.82719163626</v>
      </c>
      <c r="S156" s="74">
        <f t="shared" si="74"/>
        <v>-262936.82719163626</v>
      </c>
      <c r="T156" s="74">
        <f t="shared" si="74"/>
        <v>-262936.82719163626</v>
      </c>
      <c r="U156" s="74">
        <f t="shared" si="74"/>
        <v>-262936.82719163626</v>
      </c>
      <c r="V156" s="74">
        <f t="shared" si="74"/>
        <v>-262936.82719163626</v>
      </c>
      <c r="W156" s="74">
        <f t="shared" si="74"/>
        <v>-262936.82719163626</v>
      </c>
      <c r="X156" s="74">
        <f t="shared" si="74"/>
        <v>-262936.82719163626</v>
      </c>
      <c r="Y156" s="74">
        <f t="shared" si="74"/>
        <v>-262936.82719163626</v>
      </c>
      <c r="Z156" s="74">
        <f t="shared" si="74"/>
        <v>-262936.82719163626</v>
      </c>
    </row>
    <row r="157" spans="1:26" outlineLevel="1" x14ac:dyDescent="0.25">
      <c r="A157" s="39" t="str">
        <f t="shared" si="49"/>
        <v>Estar ESDE240 (ГПБ К)</v>
      </c>
      <c r="B157" s="39"/>
      <c r="D157" s="101"/>
      <c r="E157" s="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outlineLevel="1" x14ac:dyDescent="0.25">
      <c r="A158" s="39" t="str">
        <f t="shared" si="49"/>
        <v>Estar ESDE240 (ГПБ К)</v>
      </c>
      <c r="B158" s="39"/>
      <c r="D158" s="67" t="s">
        <v>90</v>
      </c>
      <c r="E158" s="68" t="str">
        <f>E139</f>
        <v>тыс. руб.</v>
      </c>
      <c r="F158" s="69">
        <f>F136*'ФОТ, МТР, макро'!AJ$13</f>
        <v>0</v>
      </c>
      <c r="G158" s="69">
        <f>G136*'ФОТ, МТР, макро'!AK$13</f>
        <v>0</v>
      </c>
      <c r="H158" s="69">
        <f>H136*'ФОТ, МТР, макро'!AL$13</f>
        <v>0</v>
      </c>
      <c r="I158" s="69">
        <f>I136*'ФОТ, МТР, макро'!AM$13</f>
        <v>0</v>
      </c>
      <c r="J158" s="69">
        <f>J136*'ФОТ, МТР, макро'!AN$13</f>
        <v>0</v>
      </c>
      <c r="K158" s="69">
        <f>K136*'ФОТ, МТР, макро'!AO$13</f>
        <v>0</v>
      </c>
      <c r="L158" s="69">
        <f>L136*'ФОТ, МТР, макро'!AP$13</f>
        <v>0</v>
      </c>
      <c r="M158" s="69">
        <f>M136*'ФОТ, МТР, макро'!AQ$13</f>
        <v>0</v>
      </c>
      <c r="N158" s="69">
        <f>N136*'ФОТ, МТР, макро'!AR$13</f>
        <v>0</v>
      </c>
      <c r="O158" s="69">
        <f>O136*'ФОТ, МТР, макро'!AS$13</f>
        <v>0</v>
      </c>
      <c r="P158" s="69">
        <f>P136*'ФОТ, МТР, макро'!AT$13</f>
        <v>0</v>
      </c>
      <c r="Q158" s="69">
        <f>Q136*'ФОТ, МТР, макро'!AU$13</f>
        <v>0</v>
      </c>
      <c r="R158" s="69">
        <f>R136*'ФОТ, МТР, макро'!AV$13</f>
        <v>0</v>
      </c>
      <c r="S158" s="69">
        <f>S136*'ФОТ, МТР, макро'!AW$13</f>
        <v>0</v>
      </c>
      <c r="T158" s="69">
        <f>T136*'ФОТ, МТР, макро'!AX$13</f>
        <v>0</v>
      </c>
      <c r="U158" s="69">
        <f>U136*'ФОТ, МТР, макро'!AY$13</f>
        <v>0</v>
      </c>
      <c r="V158" s="69">
        <f>V136*'ФОТ, МТР, макро'!AZ$13</f>
        <v>0</v>
      </c>
      <c r="W158" s="69">
        <f>W136*'ФОТ, МТР, макро'!BA$13</f>
        <v>0</v>
      </c>
      <c r="X158" s="69">
        <f>X136*'ФОТ, МТР, макро'!BB$13</f>
        <v>0</v>
      </c>
      <c r="Y158" s="69">
        <f>Y136*'ФОТ, МТР, макро'!BC$13</f>
        <v>0</v>
      </c>
      <c r="Z158" s="69">
        <f>Z136*'ФОТ, МТР, макро'!BD$13</f>
        <v>0</v>
      </c>
    </row>
    <row r="159" spans="1:26" outlineLevel="1" x14ac:dyDescent="0.25">
      <c r="A159" s="39" t="str">
        <f t="shared" si="49"/>
        <v>Estar ESDE240 (ГПБ К)</v>
      </c>
      <c r="B159" s="39"/>
      <c r="D159" s="101" t="str">
        <f>D137</f>
        <v>Самосвал</v>
      </c>
      <c r="E159" s="9" t="str">
        <f>E158</f>
        <v>тыс. руб.</v>
      </c>
      <c r="F159" s="74">
        <f>F137*'ФОТ, МТР, макро'!AJ$13</f>
        <v>0</v>
      </c>
      <c r="G159" s="74">
        <f>G137*'ФОТ, МТР, макро'!AK$13</f>
        <v>0</v>
      </c>
      <c r="H159" s="74">
        <f>H137*'ФОТ, МТР, макро'!AL$13</f>
        <v>0</v>
      </c>
      <c r="I159" s="74">
        <f>I137*'ФОТ, МТР, макро'!AM$13</f>
        <v>0</v>
      </c>
      <c r="J159" s="74">
        <f>J137*'ФОТ, МТР, макро'!AN$13</f>
        <v>0</v>
      </c>
      <c r="K159" s="74">
        <f>K137*'ФОТ, МТР, макро'!AO$13</f>
        <v>0</v>
      </c>
      <c r="L159" s="74">
        <f>L137*'ФОТ, МТР, макро'!AP$13</f>
        <v>0</v>
      </c>
      <c r="M159" s="74">
        <f>M137*'ФОТ, МТР, макро'!AQ$13</f>
        <v>0</v>
      </c>
      <c r="N159" s="74">
        <f>N137*'ФОТ, МТР, макро'!AR$13</f>
        <v>0</v>
      </c>
      <c r="O159" s="74">
        <f>O137*'ФОТ, МТР, макро'!AS$13</f>
        <v>0</v>
      </c>
      <c r="P159" s="74">
        <f>P137*'ФОТ, МТР, макро'!AT$13</f>
        <v>0</v>
      </c>
      <c r="Q159" s="74">
        <f>Q137*'ФОТ, МТР, макро'!AU$13</f>
        <v>0</v>
      </c>
      <c r="R159" s="74">
        <f>R137*'ФОТ, МТР, макро'!AV$13</f>
        <v>0</v>
      </c>
      <c r="S159" s="74">
        <f>S137*'ФОТ, МТР, макро'!AW$13</f>
        <v>0</v>
      </c>
      <c r="T159" s="74">
        <f>T137*'ФОТ, МТР, макро'!AX$13</f>
        <v>0</v>
      </c>
      <c r="U159" s="74">
        <f>U137*'ФОТ, МТР, макро'!AY$13</f>
        <v>0</v>
      </c>
      <c r="V159" s="74">
        <f>V137*'ФОТ, МТР, макро'!AZ$13</f>
        <v>0</v>
      </c>
      <c r="W159" s="74">
        <f>W137*'ФОТ, МТР, макро'!BA$13</f>
        <v>0</v>
      </c>
      <c r="X159" s="74">
        <f>X137*'ФОТ, МТР, макро'!BB$13</f>
        <v>0</v>
      </c>
      <c r="Y159" s="74">
        <f>Y137*'ФОТ, МТР, макро'!BC$13</f>
        <v>0</v>
      </c>
      <c r="Z159" s="74">
        <f>Z137*'ФОТ, МТР, макро'!BD$13</f>
        <v>0</v>
      </c>
    </row>
    <row r="160" spans="1:26" outlineLevel="1" x14ac:dyDescent="0.25">
      <c r="A160" s="39" t="str">
        <f t="shared" si="49"/>
        <v>Estar ESDE240 (ГПБ К)</v>
      </c>
      <c r="B160" s="39"/>
      <c r="D160" s="104" t="s">
        <v>88</v>
      </c>
      <c r="E160" s="9"/>
      <c r="F160" s="106">
        <f>F158-F159</f>
        <v>0</v>
      </c>
      <c r="G160" s="106">
        <f t="shared" ref="G160:Z160" si="77">G158-G159</f>
        <v>0</v>
      </c>
      <c r="H160" s="106">
        <f t="shared" si="77"/>
        <v>0</v>
      </c>
      <c r="I160" s="106">
        <f t="shared" si="77"/>
        <v>0</v>
      </c>
      <c r="J160" s="106">
        <f t="shared" si="77"/>
        <v>0</v>
      </c>
      <c r="K160" s="106">
        <f t="shared" si="77"/>
        <v>0</v>
      </c>
      <c r="L160" s="106">
        <f t="shared" si="77"/>
        <v>0</v>
      </c>
      <c r="M160" s="106">
        <f t="shared" si="77"/>
        <v>0</v>
      </c>
      <c r="N160" s="106">
        <f t="shared" si="77"/>
        <v>0</v>
      </c>
      <c r="O160" s="106">
        <f t="shared" si="77"/>
        <v>0</v>
      </c>
      <c r="P160" s="106">
        <f t="shared" si="77"/>
        <v>0</v>
      </c>
      <c r="Q160" s="106">
        <f t="shared" si="77"/>
        <v>0</v>
      </c>
      <c r="R160" s="106">
        <f t="shared" si="77"/>
        <v>0</v>
      </c>
      <c r="S160" s="106">
        <f t="shared" si="77"/>
        <v>0</v>
      </c>
      <c r="T160" s="106">
        <f t="shared" si="77"/>
        <v>0</v>
      </c>
      <c r="U160" s="106">
        <f t="shared" si="77"/>
        <v>0</v>
      </c>
      <c r="V160" s="106">
        <f t="shared" si="77"/>
        <v>0</v>
      </c>
      <c r="W160" s="106">
        <f t="shared" si="77"/>
        <v>0</v>
      </c>
      <c r="X160" s="106">
        <f t="shared" si="77"/>
        <v>0</v>
      </c>
      <c r="Y160" s="106">
        <f t="shared" si="77"/>
        <v>0</v>
      </c>
      <c r="Z160" s="106">
        <f t="shared" si="77"/>
        <v>0</v>
      </c>
    </row>
    <row r="161" spans="1:29" outlineLevel="1" x14ac:dyDescent="0.25">
      <c r="A161" s="39" t="str">
        <f t="shared" si="49"/>
        <v>Estar ESDE240 (ГПБ К)</v>
      </c>
      <c r="B161" s="39"/>
      <c r="D161" s="107" t="s">
        <v>91</v>
      </c>
      <c r="E161" s="68" t="str">
        <f>E158</f>
        <v>тыс. руб.</v>
      </c>
      <c r="F161" s="69">
        <f>F158</f>
        <v>0</v>
      </c>
      <c r="G161" s="69">
        <f>F161+G158</f>
        <v>0</v>
      </c>
      <c r="H161" s="69">
        <f t="shared" ref="H161:Z162" si="78">G161+H158</f>
        <v>0</v>
      </c>
      <c r="I161" s="69">
        <f t="shared" si="78"/>
        <v>0</v>
      </c>
      <c r="J161" s="69">
        <f t="shared" si="78"/>
        <v>0</v>
      </c>
      <c r="K161" s="69">
        <f t="shared" si="78"/>
        <v>0</v>
      </c>
      <c r="L161" s="69">
        <f t="shared" si="78"/>
        <v>0</v>
      </c>
      <c r="M161" s="69">
        <f t="shared" si="78"/>
        <v>0</v>
      </c>
      <c r="N161" s="69">
        <f t="shared" si="78"/>
        <v>0</v>
      </c>
      <c r="O161" s="69">
        <f t="shared" si="78"/>
        <v>0</v>
      </c>
      <c r="P161" s="69">
        <f t="shared" si="78"/>
        <v>0</v>
      </c>
      <c r="Q161" s="69">
        <f t="shared" si="78"/>
        <v>0</v>
      </c>
      <c r="R161" s="69">
        <f t="shared" si="78"/>
        <v>0</v>
      </c>
      <c r="S161" s="69">
        <f t="shared" si="78"/>
        <v>0</v>
      </c>
      <c r="T161" s="69">
        <f t="shared" si="78"/>
        <v>0</v>
      </c>
      <c r="U161" s="69">
        <f t="shared" si="78"/>
        <v>0</v>
      </c>
      <c r="V161" s="69">
        <f t="shared" si="78"/>
        <v>0</v>
      </c>
      <c r="W161" s="69">
        <f t="shared" si="78"/>
        <v>0</v>
      </c>
      <c r="X161" s="69">
        <f t="shared" si="78"/>
        <v>0</v>
      </c>
      <c r="Y161" s="69">
        <f t="shared" si="78"/>
        <v>0</v>
      </c>
      <c r="Z161" s="69">
        <f t="shared" si="78"/>
        <v>0</v>
      </c>
    </row>
    <row r="162" spans="1:29" outlineLevel="1" x14ac:dyDescent="0.25">
      <c r="A162" s="39" t="str">
        <f t="shared" si="49"/>
        <v>Estar ESDE240 (ГПБ К)</v>
      </c>
      <c r="B162" s="39"/>
      <c r="D162" s="101" t="str">
        <f>D159</f>
        <v>Самосвал</v>
      </c>
      <c r="E162" s="9" t="str">
        <f>E159</f>
        <v>тыс. руб.</v>
      </c>
      <c r="F162" s="74">
        <f>F159</f>
        <v>0</v>
      </c>
      <c r="G162" s="74">
        <f>F162+G159</f>
        <v>0</v>
      </c>
      <c r="H162" s="74">
        <f t="shared" si="78"/>
        <v>0</v>
      </c>
      <c r="I162" s="74">
        <f t="shared" si="78"/>
        <v>0</v>
      </c>
      <c r="J162" s="74">
        <f t="shared" si="78"/>
        <v>0</v>
      </c>
      <c r="K162" s="74">
        <f t="shared" si="78"/>
        <v>0</v>
      </c>
      <c r="L162" s="74">
        <f t="shared" si="78"/>
        <v>0</v>
      </c>
      <c r="M162" s="74">
        <f t="shared" si="78"/>
        <v>0</v>
      </c>
      <c r="N162" s="74">
        <f t="shared" si="78"/>
        <v>0</v>
      </c>
      <c r="O162" s="74">
        <f t="shared" si="78"/>
        <v>0</v>
      </c>
      <c r="P162" s="74">
        <f t="shared" si="78"/>
        <v>0</v>
      </c>
      <c r="Q162" s="74">
        <f t="shared" si="78"/>
        <v>0</v>
      </c>
      <c r="R162" s="74">
        <f t="shared" si="78"/>
        <v>0</v>
      </c>
      <c r="S162" s="74">
        <f t="shared" si="78"/>
        <v>0</v>
      </c>
      <c r="T162" s="74">
        <f t="shared" si="78"/>
        <v>0</v>
      </c>
      <c r="U162" s="74">
        <f t="shared" si="78"/>
        <v>0</v>
      </c>
      <c r="V162" s="74">
        <f t="shared" si="78"/>
        <v>0</v>
      </c>
      <c r="W162" s="74">
        <f t="shared" si="78"/>
        <v>0</v>
      </c>
      <c r="X162" s="74">
        <f t="shared" si="78"/>
        <v>0</v>
      </c>
      <c r="Y162" s="74">
        <f t="shared" si="78"/>
        <v>0</v>
      </c>
      <c r="Z162" s="74">
        <f t="shared" si="78"/>
        <v>0</v>
      </c>
    </row>
    <row r="163" spans="1:29" outlineLevel="1" x14ac:dyDescent="0.25">
      <c r="A163" s="39" t="str">
        <f t="shared" si="49"/>
        <v>Estar ESDE240 (ГПБ К)</v>
      </c>
      <c r="B163" s="39"/>
      <c r="D163" s="101"/>
      <c r="E163" s="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9" outlineLevel="1" x14ac:dyDescent="0.25">
      <c r="A164" s="39" t="str">
        <f t="shared" si="49"/>
        <v>Estar ESDE240 (ГПБ К)</v>
      </c>
      <c r="B164" s="39"/>
      <c r="D164" s="67" t="s">
        <v>92</v>
      </c>
      <c r="E164" s="68" t="str">
        <f>E139</f>
        <v>тыс. руб.</v>
      </c>
      <c r="F164" s="69">
        <f>F139*'ФОТ, МТР, макро'!AJ$13</f>
        <v>0</v>
      </c>
      <c r="G164" s="69">
        <f>G139*'ФОТ, МТР, макро'!AK$13</f>
        <v>81003.395379909038</v>
      </c>
      <c r="H164" s="69">
        <f>H139*'ФОТ, МТР, макро'!AL$13</f>
        <v>78597.838663254384</v>
      </c>
      <c r="I164" s="69">
        <f>I139*'ФОТ, МТР, макро'!AM$13</f>
        <v>103266.72033295556</v>
      </c>
      <c r="J164" s="69">
        <f>J139*'ФОТ, МТР, макро'!AN$13</f>
        <v>171419.24167973304</v>
      </c>
      <c r="K164" s="69">
        <f>K139*'ФОТ, МТР, макро'!AO$13</f>
        <v>56537.074799825197</v>
      </c>
      <c r="L164" s="69">
        <f>L139*'ФОТ, МТР, макро'!AP$13</f>
        <v>78262.428492609324</v>
      </c>
      <c r="M164" s="69">
        <f>M139*'ФОТ, МТР, макро'!AQ$13</f>
        <v>43950.379371781346</v>
      </c>
      <c r="N164" s="69">
        <f>N139*'ФОТ, МТР, макро'!AR$13</f>
        <v>110138.74914037567</v>
      </c>
      <c r="O164" s="69">
        <f>O139*'ФОТ, МТР, макро'!AS$13</f>
        <v>35292.688534729037</v>
      </c>
      <c r="P164" s="69">
        <f>P139*'ФОТ, МТР, макро'!AT$13</f>
        <v>30341.965179736148</v>
      </c>
      <c r="Q164" s="69">
        <f>Q139*'ФОТ, МТР, макро'!AU$13</f>
        <v>0</v>
      </c>
      <c r="R164" s="69">
        <f>R139*'ФОТ, МТР, макро'!AV$13</f>
        <v>0</v>
      </c>
      <c r="S164" s="69">
        <f>S139*'ФОТ, МТР, макро'!AW$13</f>
        <v>0</v>
      </c>
      <c r="T164" s="69">
        <f>T139*'ФОТ, МТР, макро'!AX$13</f>
        <v>0</v>
      </c>
      <c r="U164" s="69">
        <f>U139*'ФОТ, МТР, макро'!AY$13</f>
        <v>0</v>
      </c>
      <c r="V164" s="69">
        <f>V139*'ФОТ, МТР, макро'!AZ$13</f>
        <v>0</v>
      </c>
      <c r="W164" s="69">
        <f>W139*'ФОТ, МТР, макро'!BA$13</f>
        <v>0</v>
      </c>
      <c r="X164" s="69">
        <f>X139*'ФОТ, МТР, макро'!BB$13</f>
        <v>0</v>
      </c>
      <c r="Y164" s="69">
        <f>Y139*'ФОТ, МТР, макро'!BC$13</f>
        <v>0</v>
      </c>
      <c r="Z164" s="69">
        <f>Z139*'ФОТ, МТР, макро'!BD$13</f>
        <v>0</v>
      </c>
    </row>
    <row r="165" spans="1:29" outlineLevel="1" x14ac:dyDescent="0.25">
      <c r="A165" s="39" t="str">
        <f t="shared" si="49"/>
        <v>Estar ESDE240 (ГПБ К)</v>
      </c>
      <c r="B165" s="39"/>
      <c r="D165" s="107" t="s">
        <v>93</v>
      </c>
      <c r="E165" s="68" t="str">
        <f>E164</f>
        <v>тыс. руб.</v>
      </c>
      <c r="F165" s="69">
        <f>F164</f>
        <v>0</v>
      </c>
      <c r="G165" s="69">
        <f>F165+G164</f>
        <v>81003.395379909038</v>
      </c>
      <c r="H165" s="69">
        <f t="shared" ref="H165:Z165" si="79">G165+H164</f>
        <v>159601.23404316342</v>
      </c>
      <c r="I165" s="69">
        <f t="shared" si="79"/>
        <v>262867.95437611896</v>
      </c>
      <c r="J165" s="69">
        <f t="shared" si="79"/>
        <v>434287.19605585199</v>
      </c>
      <c r="K165" s="69">
        <f t="shared" si="79"/>
        <v>490824.2708556772</v>
      </c>
      <c r="L165" s="69">
        <f t="shared" si="79"/>
        <v>569086.69934828649</v>
      </c>
      <c r="M165" s="69">
        <f t="shared" si="79"/>
        <v>613037.07872006786</v>
      </c>
      <c r="N165" s="69">
        <f t="shared" si="79"/>
        <v>723175.8278604435</v>
      </c>
      <c r="O165" s="69">
        <f t="shared" si="79"/>
        <v>758468.51639517257</v>
      </c>
      <c r="P165" s="69">
        <f t="shared" si="79"/>
        <v>788810.48157490871</v>
      </c>
      <c r="Q165" s="69">
        <f t="shared" si="79"/>
        <v>788810.48157490871</v>
      </c>
      <c r="R165" s="69">
        <f t="shared" si="79"/>
        <v>788810.48157490871</v>
      </c>
      <c r="S165" s="69">
        <f t="shared" si="79"/>
        <v>788810.48157490871</v>
      </c>
      <c r="T165" s="69">
        <f t="shared" si="79"/>
        <v>788810.48157490871</v>
      </c>
      <c r="U165" s="69">
        <f t="shared" si="79"/>
        <v>788810.48157490871</v>
      </c>
      <c r="V165" s="69">
        <f t="shared" si="79"/>
        <v>788810.48157490871</v>
      </c>
      <c r="W165" s="69">
        <f t="shared" si="79"/>
        <v>788810.48157490871</v>
      </c>
      <c r="X165" s="69">
        <f t="shared" si="79"/>
        <v>788810.48157490871</v>
      </c>
      <c r="Y165" s="69">
        <f t="shared" si="79"/>
        <v>788810.48157490871</v>
      </c>
      <c r="Z165" s="69">
        <f t="shared" si="79"/>
        <v>788810.48157490871</v>
      </c>
    </row>
    <row r="166" spans="1:29" outlineLevel="1" x14ac:dyDescent="0.25">
      <c r="A166" s="39" t="str">
        <f t="shared" ref="A166:A188" si="80">A165</f>
        <v>Estar ESDE240 (ГПБ К)</v>
      </c>
      <c r="B166" s="39"/>
      <c r="D166" s="101"/>
      <c r="E166" s="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9" outlineLevel="1" x14ac:dyDescent="0.25">
      <c r="A167" s="39" t="str">
        <f t="shared" si="80"/>
        <v>Estar ESDE240 (ГПБ К)</v>
      </c>
      <c r="B167" s="39" t="str">
        <f>D167</f>
        <v>Аннуитет операционный</v>
      </c>
      <c r="C167" s="61">
        <f>E98</f>
        <v>10</v>
      </c>
      <c r="D167" s="108" t="s">
        <v>94</v>
      </c>
      <c r="E167" s="109" t="s">
        <v>95</v>
      </c>
      <c r="F167" s="110"/>
      <c r="G167" s="111">
        <f>G149/'ФОТ, МТР, макро'!AK$14/(G105/G100)</f>
        <v>8.6045865423104448</v>
      </c>
      <c r="H167" s="111">
        <f>H149/'ФОТ, МТР, макро'!AL$14/(H105/H100)</f>
        <v>8.8814586847678285</v>
      </c>
      <c r="I167" s="111">
        <f>I149/'ФОТ, МТР, макро'!AM$14/(I105/I100)</f>
        <v>10.235790908596842</v>
      </c>
      <c r="J167" s="111">
        <f>J149/'ФОТ, МТР, макро'!AN$14/(J105/J100)</f>
        <v>13.540844994577462</v>
      </c>
      <c r="K167" s="111">
        <f>K149/'ФОТ, МТР, макро'!AO$14/(K105/K100)</f>
        <v>12.559408286790804</v>
      </c>
      <c r="L167" s="111">
        <f>L149/'ФОТ, МТР, макро'!AP$14/(L105/L100)</f>
        <v>12.689638272823984</v>
      </c>
      <c r="M167" s="111">
        <f>M149/'ФОТ, МТР, макро'!AQ$14/(M105/M100)</f>
        <v>12.203517455370701</v>
      </c>
      <c r="N167" s="111">
        <f>N149/'ФОТ, МТР, макро'!AR$14/(N105/N100)</f>
        <v>13.27958828686338</v>
      </c>
      <c r="O167" s="111">
        <f>O149/'ФОТ, МТР, макро'!AS$14/(O105/O100)</f>
        <v>12.886040974868163</v>
      </c>
      <c r="P167" s="111">
        <f>P149/'ФОТ, МТР, макро'!AT$14/(P105/P100)</f>
        <v>12.629210716610499</v>
      </c>
      <c r="Q167" s="111">
        <f>Q149/'ФОТ, МТР, макро'!AU$14/(Q105/Q100)</f>
        <v>13.219538611184806</v>
      </c>
      <c r="R167" s="111">
        <f>R149/'ФОТ, МТР, макро'!AV$14/(R105/R100)</f>
        <v>13.823741599932813</v>
      </c>
      <c r="S167" s="111">
        <f>S149/'ФОТ, МТР, макро'!AW$14/(S105/S100)</f>
        <v>14.441428379845549</v>
      </c>
      <c r="T167" s="111">
        <f>T149/'ФОТ, МТР, макро'!AX$14/(T105/T100)</f>
        <v>15.072188374045254</v>
      </c>
      <c r="U167" s="111">
        <f>U149/'ФОТ, МТР, макро'!AY$14/(U105/U100)</f>
        <v>15.715594694041059</v>
      </c>
      <c r="V167" s="111">
        <f>V149/'ФОТ, МТР, макро'!AZ$14/(V105/V100)</f>
        <v>16.371207094126405</v>
      </c>
      <c r="W167" s="111">
        <f>W149/'ФОТ, МТР, макро'!BA$14/(W105/W100)</f>
        <v>17.038574882366294</v>
      </c>
      <c r="X167" s="111">
        <f>X149/'ФОТ, МТР, макро'!BB$14/(X105/X100)</f>
        <v>17.717239755717454</v>
      </c>
      <c r="Y167" s="111">
        <f>Y149/'ФОТ, МТР, макро'!BC$14/(Y105/Y100)</f>
        <v>18.406738530359068</v>
      </c>
      <c r="Z167" s="111">
        <f>Z149/'ФОТ, МТР, макро'!BD$14/(Z105/Z100)</f>
        <v>19.106605742156493</v>
      </c>
      <c r="AC167" s="112" cm="1">
        <f t="array" ref="AC167">INDEX(G167:Z167,1,$C167)</f>
        <v>12.629210716610499</v>
      </c>
    </row>
    <row r="168" spans="1:29" outlineLevel="1" x14ac:dyDescent="0.25">
      <c r="A168" s="39" t="str">
        <f t="shared" si="80"/>
        <v>Estar ESDE240 (ГПБ К)</v>
      </c>
      <c r="B168" s="39" t="str">
        <f t="shared" ref="B168:B177" si="81">D168</f>
        <v>ТО, ТР, ППР</v>
      </c>
      <c r="C168" s="39">
        <f>C167</f>
        <v>10</v>
      </c>
      <c r="D168" s="113" t="str">
        <f>D150</f>
        <v>ТО, ТР, ППР</v>
      </c>
      <c r="E168" s="114" t="str">
        <f>E167</f>
        <v>руб/ткм</v>
      </c>
      <c r="F168" s="115"/>
      <c r="G168" s="116">
        <f>G150/'ФОТ, МТР, макро'!AK$14/(G105/G100)</f>
        <v>1.6103121863217549</v>
      </c>
      <c r="H168" s="116">
        <f>H150/'ФОТ, МТР, макро'!AL$14/(H105/H100)</f>
        <v>1.9981563935281177</v>
      </c>
      <c r="I168" s="116">
        <f>I150/'ФОТ, МТР, макро'!AM$14/(I105/I100)</f>
        <v>3.8175167294609831</v>
      </c>
      <c r="J168" s="116">
        <f>J150/'ФОТ, МТР, макро'!AN$14/(J105/J100)</f>
        <v>8.1841381762175764</v>
      </c>
      <c r="K168" s="116">
        <f>K150/'ФОТ, МТР, макро'!AO$14/(K105/K100)</f>
        <v>6.9681449910791367</v>
      </c>
      <c r="L168" s="116">
        <f>L150/'ФОТ, МТР, макро'!AP$14/(L105/L100)</f>
        <v>7.1605072752290635</v>
      </c>
      <c r="M168" s="116">
        <f>M150/'ФОТ, МТР, макро'!AQ$14/(M105/M100)</f>
        <v>6.545395821383714</v>
      </c>
      <c r="N168" s="116">
        <f>N150/'ФОТ, МТР, макро'!AR$14/(N105/N100)</f>
        <v>7.9568720863635356</v>
      </c>
      <c r="O168" s="116">
        <f>O150/'ФОТ, МТР, макро'!AS$14/(O105/O100)</f>
        <v>7.4658142696817809</v>
      </c>
      <c r="P168" s="116">
        <f>P150/'ФОТ, МТР, макро'!AT$14/(P105/P100)</f>
        <v>7.1230850672977457</v>
      </c>
      <c r="Q168" s="116">
        <f>Q150/'ФОТ, МТР, макро'!AU$14/(Q105/Q100)</f>
        <v>7.4560398263090137</v>
      </c>
      <c r="R168" s="116">
        <f>R150/'ФОТ, МТР, макро'!AV$14/(R105/R100)</f>
        <v>7.7968203693960847</v>
      </c>
      <c r="S168" s="116">
        <f>S150/'ФОТ, МТР, макро'!AW$14/(S105/S100)</f>
        <v>8.1452059951483573</v>
      </c>
      <c r="T168" s="116">
        <f>T150/'ФОТ, МТР, макро'!AX$14/(T105/T100)</f>
        <v>8.5009651313723946</v>
      </c>
      <c r="U168" s="116">
        <f>U150/'ФОТ, МТР, макро'!AY$14/(U105/U100)</f>
        <v>8.8638570058534594</v>
      </c>
      <c r="V168" s="116">
        <f>V150/'ФОТ, МТР, макро'!AZ$14/(V105/V100)</f>
        <v>9.2336333126848107</v>
      </c>
      <c r="W168" s="116">
        <f>W150/'ФОТ, МТР, макро'!BA$14/(W105/W100)</f>
        <v>9.6100398541129923</v>
      </c>
      <c r="X168" s="116">
        <f>X150/'ФОТ, МТР, макро'!BB$14/(X105/X100)</f>
        <v>9.9928181395927833</v>
      </c>
      <c r="Y168" s="116">
        <f>Y150/'ФОТ, МТР, макро'!BC$14/(Y105/Y100)</f>
        <v>10.381706925739184</v>
      </c>
      <c r="Z168" s="116">
        <f>Z150/'ФОТ, МТР, макро'!BD$14/(Z105/Z100)</f>
        <v>10.776443683032239</v>
      </c>
      <c r="AC168" s="117" cm="1">
        <f t="array" ref="AC168">INDEX(G168:Z168,1,$C168)</f>
        <v>7.1230850672977457</v>
      </c>
    </row>
    <row r="169" spans="1:29" outlineLevel="1" x14ac:dyDescent="0.25">
      <c r="A169" s="39" t="str">
        <f t="shared" si="80"/>
        <v>Estar ESDE240 (ГПБ К)</v>
      </c>
      <c r="B169" s="39" t="str">
        <f t="shared" si="81"/>
        <v>Шины</v>
      </c>
      <c r="C169" s="39">
        <f t="shared" ref="C169:C177" si="82">C168</f>
        <v>10</v>
      </c>
      <c r="D169" s="113" t="str">
        <f t="shared" ref="D169:D174" si="83">D151</f>
        <v>Шины</v>
      </c>
      <c r="E169" s="114" t="str">
        <f t="shared" ref="E169:E174" si="84">E168</f>
        <v>руб/ткм</v>
      </c>
      <c r="F169" s="115"/>
      <c r="G169" s="116">
        <f>G151/'ФОТ, МТР, макро'!AK$14/(G105/G100)</f>
        <v>2.1534450632326938</v>
      </c>
      <c r="H169" s="116">
        <f>H151/'ФОТ, МТР, макро'!AL$14/(H105/H100)</f>
        <v>2.1524218822833756</v>
      </c>
      <c r="I169" s="116">
        <f>I151/'ФОТ, МТР, макро'!AM$14/(I105/I100)</f>
        <v>2.1514005363246023</v>
      </c>
      <c r="J169" s="116">
        <f>J151/'ФОТ, МТР, макро'!AN$14/(J105/J100)</f>
        <v>2.1562318227915798</v>
      </c>
      <c r="K169" s="116">
        <f>K151/'ФОТ, МТР, макро'!AO$14/(K105/K100)</f>
        <v>2.143808033540096</v>
      </c>
      <c r="L169" s="116">
        <f>L151/'ФОТ, МТР, макро'!AP$14/(L105/L100)</f>
        <v>2.1416196734326358</v>
      </c>
      <c r="M169" s="116">
        <f>M151/'ФОТ, МТР, макро'!AQ$14/(M105/M100)</f>
        <v>2.1369326227544572</v>
      </c>
      <c r="N169" s="116">
        <f>N151/'ФОТ, МТР, макро'!AR$14/(N105/N100)</f>
        <v>2.141287603347052</v>
      </c>
      <c r="O169" s="116">
        <f>O151/'ФОТ, МТР, макро'!AS$14/(O105/O100)</f>
        <v>2.135778236447524</v>
      </c>
      <c r="P169" s="116">
        <f>P151/'ФОТ, МТР, макро'!AT$14/(P105/P100)</f>
        <v>2.1361622546798662</v>
      </c>
      <c r="Q169" s="116">
        <f>Q151/'ФОТ, МТР, макро'!AU$14/(Q105/Q100)</f>
        <v>2.2360130050213503</v>
      </c>
      <c r="R169" s="116">
        <f>R151/'ФОТ, МТР, макро'!AV$14/(R105/R100)</f>
        <v>2.3382106520232089</v>
      </c>
      <c r="S169" s="116">
        <f>S151/'ФОТ, МТР, макро'!AW$14/(S105/S100)</f>
        <v>2.4426890089112527</v>
      </c>
      <c r="T169" s="116">
        <f>T151/'ФОТ, МТР, макро'!AX$14/(T105/T100)</f>
        <v>2.5493786288412879</v>
      </c>
      <c r="U169" s="116">
        <f>U151/'ФОТ, МТР, макро'!AY$14/(U105/U100)</f>
        <v>2.6582073059485447</v>
      </c>
      <c r="V169" s="116">
        <f>V151/'ФОТ, МТР, макро'!AZ$14/(V105/V100)</f>
        <v>2.7691005750679203</v>
      </c>
      <c r="W169" s="116">
        <f>W151/'ФОТ, МТР, макро'!BA$14/(W105/W100)</f>
        <v>2.8819822041116274</v>
      </c>
      <c r="X169" s="116">
        <f>X151/'ФОТ, МТР, макро'!BB$14/(X105/X100)</f>
        <v>2.9967746736143401</v>
      </c>
      <c r="Y169" s="116">
        <f>Y151/'ФОТ, МТР, макро'!BC$14/(Y105/Y100)</f>
        <v>3.113399638553775</v>
      </c>
      <c r="Z169" s="116">
        <f>Z151/'ФОТ, МТР, макро'!BD$14/(Z105/Z100)</f>
        <v>3.2317783682049765</v>
      </c>
      <c r="AC169" s="117" cm="1">
        <f t="array" ref="AC169">INDEX(G169:Z169,1,$C169)</f>
        <v>2.1361622546798662</v>
      </c>
    </row>
    <row r="170" spans="1:29" outlineLevel="1" x14ac:dyDescent="0.25">
      <c r="A170" s="39" t="str">
        <f t="shared" si="80"/>
        <v>Estar ESDE240 (ГПБ К)</v>
      </c>
      <c r="B170" s="39" t="str">
        <f t="shared" si="81"/>
        <v>Топливо</v>
      </c>
      <c r="C170" s="39">
        <f t="shared" si="82"/>
        <v>10</v>
      </c>
      <c r="D170" s="113" t="str">
        <f t="shared" si="83"/>
        <v>Топливо</v>
      </c>
      <c r="E170" s="114" t="str">
        <f t="shared" si="84"/>
        <v>руб/ткм</v>
      </c>
      <c r="F170" s="115"/>
      <c r="G170" s="116">
        <f>G152/'ФОТ, МТР, макро'!AK$14/(G105/G100)</f>
        <v>5.9417027538616871</v>
      </c>
      <c r="H170" s="116">
        <f>H152/'ФОТ, МТР, макро'!AL$14/(H105/H100)</f>
        <v>5.9388796323583524</v>
      </c>
      <c r="I170" s="116">
        <f>I152/'ФОТ, МТР, макро'!AM$14/(I105/I100)</f>
        <v>5.936061573890318</v>
      </c>
      <c r="J170" s="116">
        <f>J152/'ФОТ, МТР, макро'!AN$14/(J105/J100)</f>
        <v>5.9493918736020017</v>
      </c>
      <c r="K170" s="116">
        <f>K152/'ФОТ, МТР, макро'!AO$14/(K105/K100)</f>
        <v>5.9151126323669718</v>
      </c>
      <c r="L170" s="116">
        <f>L152/'ФОТ, МТР, макро'!AP$14/(L105/L100)</f>
        <v>5.9090745933666087</v>
      </c>
      <c r="M170" s="116">
        <f>M152/'ФОТ, МТР, макро'!AQ$14/(M105/M100)</f>
        <v>5.8961422634931848</v>
      </c>
      <c r="N170" s="116">
        <f>N152/'ФОТ, МТР, макро'!AR$14/(N105/N100)</f>
        <v>5.9081583583645294</v>
      </c>
      <c r="O170" s="116">
        <f>O152/'ФОТ, МТР, макро'!AS$14/(O105/O100)</f>
        <v>5.8929571252159025</v>
      </c>
      <c r="P170" s="116">
        <f>P152/'ФОТ, МТР, макро'!AT$14/(P105/P100)</f>
        <v>5.8940166935455505</v>
      </c>
      <c r="Q170" s="116">
        <f>Q152/'ФОТ, МТР, макро'!AU$14/(Q105/Q100)</f>
        <v>6.1695210416288635</v>
      </c>
      <c r="R170" s="116">
        <f>R152/'ФОТ, МТР, макро'!AV$14/(R105/R100)</f>
        <v>6.4515008566688516</v>
      </c>
      <c r="S170" s="116">
        <f>S152/'ФОТ, МТР, макро'!AW$14/(S105/S100)</f>
        <v>6.7397735186650376</v>
      </c>
      <c r="T170" s="116">
        <f>T152/'ФОТ, МТР, макро'!AX$14/(T105/T100)</f>
        <v>7.0341474125572381</v>
      </c>
      <c r="U170" s="116">
        <f>U152/'ФОТ, МТР, макро'!AY$14/(U105/U100)</f>
        <v>7.334423310701867</v>
      </c>
      <c r="V170" s="116">
        <f>V152/'ФОТ, МТР, макро'!AZ$14/(V105/V100)</f>
        <v>7.6403957516807903</v>
      </c>
      <c r="W170" s="116">
        <f>W152/'ФОТ, МТР, макро'!BA$14/(W105/W100)</f>
        <v>7.9518543988507995</v>
      </c>
      <c r="X170" s="116">
        <f>X152/'ФОТ, МТР, макро'!BB$14/(X105/X100)</f>
        <v>8.2685853634861157</v>
      </c>
      <c r="Y170" s="116">
        <f>Y152/'ФОТ, МТР, макро'!BC$14/(Y105/Y100)</f>
        <v>8.5903724790159739</v>
      </c>
      <c r="Z170" s="116">
        <f>Z152/'ФОТ, МТР, макро'!BD$14/(Z105/Z100)</f>
        <v>8.9169985146536384</v>
      </c>
      <c r="AC170" s="117" cm="1">
        <f t="array" ref="AC170">INDEX(G170:Z170,1,$C170)</f>
        <v>5.8940166935455505</v>
      </c>
    </row>
    <row r="171" spans="1:29" outlineLevel="1" x14ac:dyDescent="0.25">
      <c r="A171" s="39" t="str">
        <f t="shared" si="80"/>
        <v>Estar ESDE240 (ГПБ К)</v>
      </c>
      <c r="B171" s="39" t="str">
        <f t="shared" si="81"/>
        <v>Смазочные</v>
      </c>
      <c r="C171" s="39">
        <f t="shared" si="82"/>
        <v>10</v>
      </c>
      <c r="D171" s="113" t="str">
        <f t="shared" si="83"/>
        <v>Смазочные</v>
      </c>
      <c r="E171" s="114" t="str">
        <f t="shared" si="84"/>
        <v>руб/ткм</v>
      </c>
      <c r="F171" s="115"/>
      <c r="G171" s="116">
        <f>G153/'ФОТ, МТР, макро'!AK$14/(G105/G100)</f>
        <v>0</v>
      </c>
      <c r="H171" s="116">
        <f>H153/'ФОТ, МТР, макро'!AL$14/(H105/H100)</f>
        <v>0</v>
      </c>
      <c r="I171" s="116">
        <f>I153/'ФОТ, МТР, макро'!AM$14/(I105/I100)</f>
        <v>0</v>
      </c>
      <c r="J171" s="116">
        <f>J153/'ФОТ, МТР, макро'!AN$14/(J105/J100)</f>
        <v>0</v>
      </c>
      <c r="K171" s="116">
        <f>K153/'ФОТ, МТР, макро'!AO$14/(K105/K100)</f>
        <v>0</v>
      </c>
      <c r="L171" s="116">
        <f>L153/'ФОТ, МТР, макро'!AP$14/(L105/L100)</f>
        <v>0</v>
      </c>
      <c r="M171" s="116">
        <f>M153/'ФОТ, МТР, макро'!AQ$14/(M105/M100)</f>
        <v>0</v>
      </c>
      <c r="N171" s="116">
        <f>N153/'ФОТ, МТР, макро'!AR$14/(N105/N100)</f>
        <v>0</v>
      </c>
      <c r="O171" s="116">
        <f>O153/'ФОТ, МТР, макро'!AS$14/(O105/O100)</f>
        <v>0</v>
      </c>
      <c r="P171" s="116">
        <f>P153/'ФОТ, МТР, макро'!AT$14/(P105/P100)</f>
        <v>0</v>
      </c>
      <c r="Q171" s="116">
        <f>Q153/'ФОТ, МТР, макро'!AU$14/(Q105/Q100)</f>
        <v>0</v>
      </c>
      <c r="R171" s="116">
        <f>R153/'ФОТ, МТР, макро'!AV$14/(R105/R100)</f>
        <v>0</v>
      </c>
      <c r="S171" s="116">
        <f>S153/'ФОТ, МТР, макро'!AW$14/(S105/S100)</f>
        <v>0</v>
      </c>
      <c r="T171" s="116">
        <f>T153/'ФОТ, МТР, макро'!AX$14/(T105/T100)</f>
        <v>0</v>
      </c>
      <c r="U171" s="116">
        <f>U153/'ФОТ, МТР, макро'!AY$14/(U105/U100)</f>
        <v>0</v>
      </c>
      <c r="V171" s="116">
        <f>V153/'ФОТ, МТР, макро'!AZ$14/(V105/V100)</f>
        <v>0</v>
      </c>
      <c r="W171" s="116">
        <f>W153/'ФОТ, МТР, макро'!BA$14/(W105/W100)</f>
        <v>0</v>
      </c>
      <c r="X171" s="116">
        <f>X153/'ФОТ, МТР, макро'!BB$14/(X105/X100)</f>
        <v>0</v>
      </c>
      <c r="Y171" s="116">
        <f>Y153/'ФОТ, МТР, макро'!BC$14/(Y105/Y100)</f>
        <v>0</v>
      </c>
      <c r="Z171" s="116">
        <f>Z153/'ФОТ, МТР, макро'!BD$14/(Z105/Z100)</f>
        <v>0</v>
      </c>
      <c r="AC171" s="117" cm="1">
        <f t="array" ref="AC171">INDEX(G171:Z171,1,$C171)</f>
        <v>0</v>
      </c>
    </row>
    <row r="172" spans="1:29" outlineLevel="1" x14ac:dyDescent="0.25">
      <c r="A172" s="39" t="str">
        <f t="shared" si="80"/>
        <v>Estar ESDE240 (ГПБ К)</v>
      </c>
      <c r="B172" s="39" t="str">
        <f t="shared" si="81"/>
        <v>Затраты на персонал</v>
      </c>
      <c r="C172" s="39">
        <f t="shared" si="82"/>
        <v>10</v>
      </c>
      <c r="D172" s="113" t="str">
        <f t="shared" si="83"/>
        <v>Затраты на персонал</v>
      </c>
      <c r="E172" s="114" t="str">
        <f t="shared" si="84"/>
        <v>руб/ткм</v>
      </c>
      <c r="F172" s="115"/>
      <c r="G172" s="116">
        <f>G154/'ФОТ, МТР, макро'!AK$14/(G105/G100)</f>
        <v>1.7522950077317776</v>
      </c>
      <c r="H172" s="116">
        <f>H154/'ФОТ, МТР, макро'!AL$14/(H105/H100)</f>
        <v>1.7375860978543387</v>
      </c>
      <c r="I172" s="116">
        <f>I154/'ФОТ, МТР, макро'!AM$14/(I105/I100)</f>
        <v>1.7279243206772992</v>
      </c>
      <c r="J172" s="116">
        <f>J154/'ФОТ, МТР, макро'!AN$14/(J105/J100)</f>
        <v>1.7496933854600452</v>
      </c>
      <c r="K172" s="116">
        <f>K154/'ФОТ, МТР, макро'!AO$14/(K105/K100)</f>
        <v>1.7041974803864728</v>
      </c>
      <c r="L172" s="116">
        <f>L154/'ФОТ, МТР, макро'!AP$14/(L105/L100)</f>
        <v>1.6937908204561072</v>
      </c>
      <c r="M172" s="116">
        <f>M154/'ФОТ, МТР, макро'!AQ$14/(M105/M100)</f>
        <v>1.6784917640638446</v>
      </c>
      <c r="N172" s="116">
        <f>N154/'ФОТ, МТР, макро'!AR$14/(N105/N100)</f>
        <v>1.6853467464389928</v>
      </c>
      <c r="O172" s="116">
        <f>O154/'ФОТ, МТР, макро'!AS$14/(O105/O100)</f>
        <v>1.672495620428976</v>
      </c>
      <c r="P172" s="116">
        <f>P154/'ФОТ, МТР, макро'!AT$14/(P105/P100)</f>
        <v>1.6713507102412217</v>
      </c>
      <c r="Q172" s="116">
        <f>Q154/'ФОТ, МТР, макро'!AU$14/(Q105/Q100)</f>
        <v>1.7494747488697238</v>
      </c>
      <c r="R172" s="116">
        <f>R154/'ФОТ, МТР, макро'!AV$14/(R105/R100)</f>
        <v>1.8294350185202783</v>
      </c>
      <c r="S172" s="116">
        <f>S154/'ФОТ, МТР, макро'!AW$14/(S105/S100)</f>
        <v>1.9111797341228098</v>
      </c>
      <c r="T172" s="116">
        <f>T154/'ФОТ, МТР, макро'!AX$14/(T105/T100)</f>
        <v>1.9946545599019745</v>
      </c>
      <c r="U172" s="116">
        <f>U154/'ФОТ, МТР, макро'!AY$14/(U105/U100)</f>
        <v>2.0798030014023068</v>
      </c>
      <c r="V172" s="116">
        <f>V154/'ФОТ, МТР, макро'!AZ$14/(V105/V100)</f>
        <v>2.1665667964733961</v>
      </c>
      <c r="W172" s="116">
        <f>W154/'ФОТ, МТР, макро'!BA$14/(W105/W100)</f>
        <v>2.2548863005101625</v>
      </c>
      <c r="X172" s="116">
        <f>X154/'ФОТ, МТР, макро'!BB$14/(X105/X100)</f>
        <v>2.3447008616528762</v>
      </c>
      <c r="Y172" s="116">
        <f>Y154/'ФОТ, МТР, макро'!BC$14/(Y105/Y100)</f>
        <v>2.4359491821193351</v>
      </c>
      <c r="Z172" s="116">
        <f>Z154/'ФОТ, МТР, макро'!BD$14/(Z105/Z100)</f>
        <v>2.528569662350431</v>
      </c>
      <c r="AC172" s="117" cm="1">
        <f t="array" ref="AC172">INDEX(G172:Z172,1,$C172)</f>
        <v>1.6713507102412217</v>
      </c>
    </row>
    <row r="173" spans="1:29" outlineLevel="1" x14ac:dyDescent="0.25">
      <c r="A173" s="39" t="str">
        <f t="shared" si="80"/>
        <v>Estar ESDE240 (ГПБ К)</v>
      </c>
      <c r="B173" s="39" t="str">
        <f t="shared" si="81"/>
        <v>Транспортный налог</v>
      </c>
      <c r="C173" s="39">
        <f t="shared" si="82"/>
        <v>10</v>
      </c>
      <c r="D173" s="113" t="str">
        <f t="shared" si="83"/>
        <v>Транспортный налог</v>
      </c>
      <c r="E173" s="114" t="str">
        <f t="shared" si="84"/>
        <v>руб/ткм</v>
      </c>
      <c r="F173" s="115"/>
      <c r="G173" s="116">
        <f>G155/'ФОТ, МТР, макро'!AK$14/(G105/G100)</f>
        <v>1.5027045266013754E-2</v>
      </c>
      <c r="H173" s="116">
        <f>H155/'ФОТ, МТР, макро'!AL$14/(H105/H100)</f>
        <v>1.4900906999587885E-2</v>
      </c>
      <c r="I173" s="116">
        <f>I155/'ФОТ, МТР, макро'!AM$14/(I105/I100)</f>
        <v>1.4818051109256124E-2</v>
      </c>
      <c r="J173" s="116">
        <f>J155/'ФОТ, МТР, макро'!AN$14/(J105/J100)</f>
        <v>1.5004734698746316E-2</v>
      </c>
      <c r="K173" s="116">
        <f>K155/'ФОТ, МТР, макро'!AO$14/(K105/K100)</f>
        <v>1.4614578348393074E-2</v>
      </c>
      <c r="L173" s="116">
        <f>L155/'ФОТ, МТР, макро'!AP$14/(L105/L100)</f>
        <v>1.4525334614232102E-2</v>
      </c>
      <c r="M173" s="116">
        <f>M155/'ФОТ, МТР, макро'!AQ$14/(M105/M100)</f>
        <v>1.4394135465732887E-2</v>
      </c>
      <c r="N173" s="116">
        <f>N155/'ФОТ, МТР, макро'!AR$14/(N105/N100)</f>
        <v>1.4452921303730803E-2</v>
      </c>
      <c r="O173" s="116">
        <f>O155/'ФОТ, МТР, макро'!AS$14/(O105/O100)</f>
        <v>1.4342714716700837E-2</v>
      </c>
      <c r="P173" s="116">
        <f>P155/'ФОТ, МТР, макро'!AT$14/(P105/P100)</f>
        <v>1.433289638294939E-2</v>
      </c>
      <c r="Q173" s="116">
        <f>Q155/'ФОТ, МТР, макро'!AU$14/(Q105/Q100)</f>
        <v>1.5002859750792305E-2</v>
      </c>
      <c r="R173" s="116">
        <f>R155/'ФОТ, МТР, макро'!AV$14/(R105/R100)</f>
        <v>1.5688569968660752E-2</v>
      </c>
      <c r="S173" s="116">
        <f>S155/'ФОТ, МТР, макро'!AW$14/(S105/S100)</f>
        <v>1.6389582946610574E-2</v>
      </c>
      <c r="T173" s="116">
        <f>T155/'ФОТ, МТР, макро'!AX$14/(T105/T100)</f>
        <v>1.7105432720776071E-2</v>
      </c>
      <c r="U173" s="116">
        <f>U155/'ФОТ, МТР, макро'!AY$14/(U105/U100)</f>
        <v>1.7835634815235198E-2</v>
      </c>
      <c r="V173" s="116">
        <f>V155/'ФОТ, МТР, макро'!AZ$14/(V105/V100)</f>
        <v>1.8579689594956383E-2</v>
      </c>
      <c r="W173" s="116">
        <f>W155/'ФОТ, МТР, макро'!BA$14/(W105/W100)</f>
        <v>1.9337085569479138E-2</v>
      </c>
      <c r="X173" s="116">
        <f>X155/'ФОТ, МТР, макро'!BB$14/(X105/X100)</f>
        <v>2.0107302610493108E-2</v>
      </c>
      <c r="Y173" s="116">
        <f>Y155/'ФОТ, МТР, макро'!BC$14/(Y105/Y100)</f>
        <v>2.0889815050491509E-2</v>
      </c>
      <c r="Z173" s="116">
        <f>Z155/'ФОТ, МТР, макро'!BD$14/(Z105/Z100)</f>
        <v>2.1684094634038465E-2</v>
      </c>
      <c r="AC173" s="117" cm="1">
        <f t="array" ref="AC173">INDEX(G173:Z173,1,$C173)</f>
        <v>1.433289638294939E-2</v>
      </c>
    </row>
    <row r="174" spans="1:29" outlineLevel="1" x14ac:dyDescent="0.25">
      <c r="A174" s="39" t="str">
        <f t="shared" si="80"/>
        <v>Estar ESDE240 (ГПБ К)</v>
      </c>
      <c r="B174" s="39" t="str">
        <f t="shared" si="81"/>
        <v>Налог на прибыль</v>
      </c>
      <c r="C174" s="39">
        <f t="shared" si="82"/>
        <v>10</v>
      </c>
      <c r="D174" s="113" t="str">
        <f t="shared" si="83"/>
        <v>Налог на прибыль</v>
      </c>
      <c r="E174" s="114" t="str">
        <f t="shared" si="84"/>
        <v>руб/ткм</v>
      </c>
      <c r="F174" s="30"/>
      <c r="G174" s="116">
        <f>G156/'ФОТ, МТР, макро'!AK$14/(G105/G100)</f>
        <v>-2.8681955141034821</v>
      </c>
      <c r="H174" s="116">
        <f>H156/'ФОТ, МТР, макро'!AL$14/(H105/H100)</f>
        <v>-2.960486228255943</v>
      </c>
      <c r="I174" s="116">
        <f>I156/'ФОТ, МТР, макро'!AM$14/(I105/I100)</f>
        <v>-3.4119303028656143</v>
      </c>
      <c r="J174" s="116">
        <f>J156/'ФОТ, МТР, макро'!AN$14/(J105/J100)</f>
        <v>-4.5136149981924873</v>
      </c>
      <c r="K174" s="116">
        <f>K156/'ФОТ, МТР, макро'!AO$14/(K105/K100)</f>
        <v>-4.186469428930268</v>
      </c>
      <c r="L174" s="116">
        <f>L156/'ФОТ, МТР, макро'!AP$14/(L105/L100)</f>
        <v>-4.229879424274662</v>
      </c>
      <c r="M174" s="116">
        <f>M156/'ФОТ, МТР, макро'!AQ$14/(M105/M100)</f>
        <v>-4.0678391517902339</v>
      </c>
      <c r="N174" s="116">
        <f>N156/'ФОТ, МТР, макро'!AR$14/(N105/N100)</f>
        <v>-4.4265294289544608</v>
      </c>
      <c r="O174" s="116">
        <f>O156/'ФОТ, МТР, макро'!AS$14/(O105/O100)</f>
        <v>-4.2953469916227212</v>
      </c>
      <c r="P174" s="116">
        <f>P156/'ФОТ, МТР, макро'!AT$14/(P105/P100)</f>
        <v>-4.2097369055368334</v>
      </c>
      <c r="Q174" s="116">
        <f>Q156/'ФОТ, МТР, макро'!AU$14/(Q105/Q100)</f>
        <v>-4.4065128703949359</v>
      </c>
      <c r="R174" s="116">
        <f>R156/'ФОТ, МТР, макро'!AV$14/(R105/R100)</f>
        <v>-4.6079138666442709</v>
      </c>
      <c r="S174" s="116">
        <f>S156/'ФОТ, МТР, макро'!AW$14/(S105/S100)</f>
        <v>-4.8138094599485175</v>
      </c>
      <c r="T174" s="116">
        <f>T156/'ФОТ, МТР, макро'!AX$14/(T105/T100)</f>
        <v>-5.0240627913484177</v>
      </c>
      <c r="U174" s="116">
        <f>U156/'ФОТ, МТР, макро'!AY$14/(U105/U100)</f>
        <v>-5.2385315646803532</v>
      </c>
      <c r="V174" s="116">
        <f>V156/'ФОТ, МТР, макро'!AZ$14/(V105/V100)</f>
        <v>-5.4570690313754682</v>
      </c>
      <c r="W174" s="116">
        <f>W156/'ФОТ, МТР, макро'!BA$14/(W105/W100)</f>
        <v>-5.6795249607887657</v>
      </c>
      <c r="X174" s="116">
        <f>X156/'ФОТ, МТР, макро'!BB$14/(X105/X100)</f>
        <v>-5.905746585239152</v>
      </c>
      <c r="Y174" s="116">
        <f>Y156/'ФОТ, МТР, макро'!BC$14/(Y105/Y100)</f>
        <v>-6.1355795101196895</v>
      </c>
      <c r="Z174" s="116">
        <f>Z156/'ФОТ, МТР, макро'!BD$14/(Z105/Z100)</f>
        <v>-6.3688685807188312</v>
      </c>
      <c r="AC174" s="117" cm="1">
        <f t="array" ref="AC174">INDEX(G174:Z174,1,$C174)</f>
        <v>-4.2097369055368334</v>
      </c>
    </row>
    <row r="175" spans="1:29" outlineLevel="1" x14ac:dyDescent="0.25">
      <c r="A175" s="39" t="str">
        <f t="shared" si="80"/>
        <v>Estar ESDE240 (ГПБ К)</v>
      </c>
      <c r="B175" s="39" t="str">
        <f t="shared" si="81"/>
        <v>Аннуитет инвестиционный</v>
      </c>
      <c r="C175" s="39">
        <f t="shared" si="82"/>
        <v>10</v>
      </c>
      <c r="D175" s="108" t="s">
        <v>96</v>
      </c>
      <c r="E175" s="118" t="str">
        <f>E167</f>
        <v>руб/ткм</v>
      </c>
      <c r="F175" s="119"/>
      <c r="G175" s="111">
        <f>G161/'ФОТ, МТР, макро'!AK$14/(G105/G100)</f>
        <v>0</v>
      </c>
      <c r="H175" s="111">
        <f>H161/'ФОТ, МТР, макро'!AL$14/(H105/H100)</f>
        <v>0</v>
      </c>
      <c r="I175" s="111">
        <f>I161/'ФОТ, МТР, макро'!AM$14/(I105/I100)</f>
        <v>0</v>
      </c>
      <c r="J175" s="111">
        <f>J161/'ФОТ, МТР, макро'!AN$14/(J105/J100)</f>
        <v>0</v>
      </c>
      <c r="K175" s="111">
        <f>K161/'ФОТ, МТР, макро'!AO$14/(K105/K100)</f>
        <v>0</v>
      </c>
      <c r="L175" s="111">
        <f>L161/'ФОТ, МТР, макро'!AP$14/(L105/L100)</f>
        <v>0</v>
      </c>
      <c r="M175" s="111">
        <f>M161/'ФОТ, МТР, макро'!AQ$14/(M105/M100)</f>
        <v>0</v>
      </c>
      <c r="N175" s="111">
        <f>N161/'ФОТ, МТР, макро'!AR$14/(N105/N100)</f>
        <v>0</v>
      </c>
      <c r="O175" s="111">
        <f>O161/'ФОТ, МТР, макро'!AS$14/(O105/O100)</f>
        <v>0</v>
      </c>
      <c r="P175" s="111">
        <f>P161/'ФОТ, МТР, макро'!AT$14/(P105/P100)</f>
        <v>0</v>
      </c>
      <c r="Q175" s="111">
        <f>Q161/'ФОТ, МТР, макро'!AU$14/(Q105/Q100)</f>
        <v>0</v>
      </c>
      <c r="R175" s="111">
        <f>R161/'ФОТ, МТР, макро'!AV$14/(R105/R100)</f>
        <v>0</v>
      </c>
      <c r="S175" s="111">
        <f>S161/'ФОТ, МТР, макро'!AW$14/(S105/S100)</f>
        <v>0</v>
      </c>
      <c r="T175" s="111">
        <f>T161/'ФОТ, МТР, макро'!AX$14/(T105/T100)</f>
        <v>0</v>
      </c>
      <c r="U175" s="111">
        <f>U161/'ФОТ, МТР, макро'!AY$14/(U105/U100)</f>
        <v>0</v>
      </c>
      <c r="V175" s="111">
        <f>V161/'ФОТ, МТР, макро'!AZ$14/(V105/V100)</f>
        <v>0</v>
      </c>
      <c r="W175" s="111">
        <f>W161/'ФОТ, МТР, макро'!BA$14/(W105/W100)</f>
        <v>0</v>
      </c>
      <c r="X175" s="111">
        <f>X161/'ФОТ, МТР, макро'!BB$14/(X105/X100)</f>
        <v>0</v>
      </c>
      <c r="Y175" s="111">
        <f>Y161/'ФОТ, МТР, макро'!BC$14/(Y105/Y100)</f>
        <v>0</v>
      </c>
      <c r="Z175" s="111">
        <f>Z161/'ФОТ, МТР, макро'!BD$14/(Z105/Z100)</f>
        <v>0</v>
      </c>
      <c r="AC175" s="112" cm="1">
        <f t="array" ref="AC175">INDEX(G175:Z175,1,$C175)</f>
        <v>0</v>
      </c>
    </row>
    <row r="176" spans="1:29" outlineLevel="1" x14ac:dyDescent="0.25">
      <c r="A176" s="39" t="str">
        <f t="shared" si="80"/>
        <v>Estar ESDE240 (ГПБ К)</v>
      </c>
      <c r="B176" s="39" t="str">
        <f t="shared" si="81"/>
        <v>Самосвал</v>
      </c>
      <c r="C176" s="39">
        <f t="shared" si="82"/>
        <v>10</v>
      </c>
      <c r="D176" s="101" t="str">
        <f>D162</f>
        <v>Самосвал</v>
      </c>
      <c r="E176" s="9" t="str">
        <f>E175</f>
        <v>руб/ткм</v>
      </c>
      <c r="F176" s="30"/>
      <c r="G176" s="120">
        <f>G162/'ФОТ, МТР, макро'!AK$14/(G105/G100)</f>
        <v>0</v>
      </c>
      <c r="H176" s="120">
        <f>H162/'ФОТ, МТР, макро'!AL$14/(H105/H100)</f>
        <v>0</v>
      </c>
      <c r="I176" s="120">
        <f>I162/'ФОТ, МТР, макро'!AM$14/(I105/I100)</f>
        <v>0</v>
      </c>
      <c r="J176" s="120">
        <f>J162/'ФОТ, МТР, макро'!AN$14/(J105/J100)</f>
        <v>0</v>
      </c>
      <c r="K176" s="120">
        <f>K162/'ФОТ, МТР, макро'!AO$14/(K105/K100)</f>
        <v>0</v>
      </c>
      <c r="L176" s="120">
        <f>L162/'ФОТ, МТР, макро'!AP$14/(L105/L100)</f>
        <v>0</v>
      </c>
      <c r="M176" s="120">
        <f>M162/'ФОТ, МТР, макро'!AQ$14/(M105/M100)</f>
        <v>0</v>
      </c>
      <c r="N176" s="120">
        <f>N162/'ФОТ, МТР, макро'!AR$14/(N105/N100)</f>
        <v>0</v>
      </c>
      <c r="O176" s="120">
        <f>O162/'ФОТ, МТР, макро'!AS$14/(O105/O100)</f>
        <v>0</v>
      </c>
      <c r="P176" s="120">
        <f>P162/'ФОТ, МТР, макро'!AT$14/(P105/P100)</f>
        <v>0</v>
      </c>
      <c r="Q176" s="120">
        <f>Q162/'ФОТ, МТР, макро'!AU$14/(Q105/Q100)</f>
        <v>0</v>
      </c>
      <c r="R176" s="120">
        <f>R162/'ФОТ, МТР, макро'!AV$14/(R105/R100)</f>
        <v>0</v>
      </c>
      <c r="S176" s="120">
        <f>S162/'ФОТ, МТР, макро'!AW$14/(S105/S100)</f>
        <v>0</v>
      </c>
      <c r="T176" s="120">
        <f>T162/'ФОТ, МТР, макро'!AX$14/(T105/T100)</f>
        <v>0</v>
      </c>
      <c r="U176" s="120">
        <f>U162/'ФОТ, МТР, макро'!AY$14/(U105/U100)</f>
        <v>0</v>
      </c>
      <c r="V176" s="120">
        <f>V162/'ФОТ, МТР, макро'!AZ$14/(V105/V100)</f>
        <v>0</v>
      </c>
      <c r="W176" s="120">
        <f>W162/'ФОТ, МТР, макро'!BA$14/(W105/W100)</f>
        <v>0</v>
      </c>
      <c r="X176" s="120">
        <f>X162/'ФОТ, МТР, макро'!BB$14/(X105/X100)</f>
        <v>0</v>
      </c>
      <c r="Y176" s="120">
        <f>Y162/'ФОТ, МТР, макро'!BC$14/(Y105/Y100)</f>
        <v>0</v>
      </c>
      <c r="Z176" s="120">
        <f>Z162/'ФОТ, МТР, макро'!BD$14/(Z105/Z100)</f>
        <v>0</v>
      </c>
      <c r="AC176" s="117" cm="1">
        <f t="array" ref="AC176">INDEX(G176:Z176,1,$C176)</f>
        <v>0</v>
      </c>
    </row>
    <row r="177" spans="1:29" outlineLevel="1" x14ac:dyDescent="0.25">
      <c r="A177" s="39" t="str">
        <f t="shared" si="80"/>
        <v>Estar ESDE240 (ГПБ К)</v>
      </c>
      <c r="B177" s="39" t="str">
        <f t="shared" si="81"/>
        <v>Аннуитет общий</v>
      </c>
      <c r="C177" s="39">
        <f t="shared" si="82"/>
        <v>10</v>
      </c>
      <c r="D177" s="108" t="s">
        <v>97</v>
      </c>
      <c r="E177" s="118" t="str">
        <f>E167</f>
        <v>руб/ткм</v>
      </c>
      <c r="F177" s="119"/>
      <c r="G177" s="111">
        <f>G165/'ФОТ, МТР, макро'!AK$14/(G105/G100)</f>
        <v>8.6045865423104448</v>
      </c>
      <c r="H177" s="111">
        <f>H165/'ФОТ, МТР, макро'!AL$14/(H105/H100)</f>
        <v>8.8814586847678285</v>
      </c>
      <c r="I177" s="111">
        <f>I165/'ФОТ, МТР, макро'!AM$14/(I105/I100)</f>
        <v>10.235790908596842</v>
      </c>
      <c r="J177" s="111">
        <f>J165/'ФОТ, МТР, макро'!AN$14/(J105/J100)</f>
        <v>13.540844994577462</v>
      </c>
      <c r="K177" s="111">
        <f>K165/'ФОТ, МТР, макро'!AO$14/(K105/K100)</f>
        <v>12.559408286790804</v>
      </c>
      <c r="L177" s="111">
        <f>L165/'ФОТ, МТР, макро'!AP$14/(L105/L100)</f>
        <v>12.689638272823984</v>
      </c>
      <c r="M177" s="111">
        <f>M165/'ФОТ, МТР, макро'!AQ$14/(M105/M100)</f>
        <v>12.203517455370701</v>
      </c>
      <c r="N177" s="111">
        <f>N165/'ФОТ, МТР, макро'!AR$14/(N105/N100)</f>
        <v>13.27958828686338</v>
      </c>
      <c r="O177" s="111">
        <f>O165/'ФОТ, МТР, макро'!AS$14/(O105/O100)</f>
        <v>12.886040974868163</v>
      </c>
      <c r="P177" s="111">
        <f>P165/'ФОТ, МТР, макро'!AT$14/(P105/P100)</f>
        <v>12.629210716610499</v>
      </c>
      <c r="Q177" s="111">
        <f>Q165/'ФОТ, МТР, макро'!AU$14/(Q105/Q100)</f>
        <v>13.219538611184806</v>
      </c>
      <c r="R177" s="111">
        <f>R165/'ФОТ, МТР, макро'!AV$14/(R105/R100)</f>
        <v>13.823741599932813</v>
      </c>
      <c r="S177" s="111">
        <f>S165/'ФОТ, МТР, макро'!AW$14/(S105/S100)</f>
        <v>14.441428379845549</v>
      </c>
      <c r="T177" s="111">
        <f>T165/'ФОТ, МТР, макро'!AX$14/(T105/T100)</f>
        <v>15.072188374045254</v>
      </c>
      <c r="U177" s="111">
        <f>U165/'ФОТ, МТР, макро'!AY$14/(U105/U100)</f>
        <v>15.715594694041059</v>
      </c>
      <c r="V177" s="111">
        <f>V165/'ФОТ, МТР, макро'!AZ$14/(V105/V100)</f>
        <v>16.371207094126405</v>
      </c>
      <c r="W177" s="111">
        <f>W165/'ФОТ, МТР, макро'!BA$14/(W105/W100)</f>
        <v>17.038574882366294</v>
      </c>
      <c r="X177" s="111">
        <f>X165/'ФОТ, МТР, макро'!BB$14/(X105/X100)</f>
        <v>17.717239755717454</v>
      </c>
      <c r="Y177" s="111">
        <f>Y165/'ФОТ, МТР, макро'!BC$14/(Y105/Y100)</f>
        <v>18.406738530359068</v>
      </c>
      <c r="Z177" s="111">
        <f>Z165/'ФОТ, МТР, макро'!BD$14/(Z105/Z100)</f>
        <v>19.106605742156493</v>
      </c>
      <c r="AC177" s="112" cm="1">
        <f t="array" ref="AC177">INDEX(G177:Z177,1,$C177)</f>
        <v>12.629210716610499</v>
      </c>
    </row>
    <row r="178" spans="1:29" outlineLevel="1" x14ac:dyDescent="0.25">
      <c r="A178" s="39" t="str">
        <f t="shared" si="80"/>
        <v>Estar ESDE240 (ГПБ К)</v>
      </c>
      <c r="B178" s="39"/>
      <c r="D178" s="121"/>
      <c r="E178" s="1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9" outlineLevel="1" x14ac:dyDescent="0.25">
      <c r="A179" s="39" t="str">
        <f t="shared" si="80"/>
        <v>Estar ESDE240 (ГПБ К)</v>
      </c>
      <c r="B179" s="39"/>
      <c r="D179" s="123" t="s">
        <v>88</v>
      </c>
      <c r="E179" s="124"/>
      <c r="F179" s="125"/>
      <c r="G179" s="126">
        <f>G177-G167-G175+G167-SUM(G168:G174)+G175-G176</f>
        <v>0</v>
      </c>
      <c r="H179" s="126">
        <f t="shared" ref="H179" si="85">H177-H167-H175+H167-SUM(H168:H174)+H175-H176</f>
        <v>1.7763568394002505E-15</v>
      </c>
      <c r="I179" s="126">
        <f t="shared" ref="I179:Z179" si="86">I177-I167-I175+I167-SUM(I168:I174)+I175-I176</f>
        <v>-1.7763568394002505E-15</v>
      </c>
      <c r="J179" s="126">
        <f t="shared" si="86"/>
        <v>0</v>
      </c>
      <c r="K179" s="126">
        <f t="shared" si="86"/>
        <v>0</v>
      </c>
      <c r="L179" s="126">
        <f t="shared" si="86"/>
        <v>-1.7763568394002505E-15</v>
      </c>
      <c r="M179" s="126">
        <f t="shared" si="86"/>
        <v>0</v>
      </c>
      <c r="N179" s="126">
        <f t="shared" si="86"/>
        <v>0</v>
      </c>
      <c r="O179" s="126">
        <f t="shared" si="86"/>
        <v>0</v>
      </c>
      <c r="P179" s="126">
        <f t="shared" si="86"/>
        <v>-1.7763568394002505E-15</v>
      </c>
      <c r="Q179" s="126">
        <f t="shared" si="86"/>
        <v>-5.3290705182007514E-15</v>
      </c>
      <c r="R179" s="126">
        <f t="shared" si="86"/>
        <v>0</v>
      </c>
      <c r="S179" s="126">
        <f t="shared" si="86"/>
        <v>-7.1054273576010019E-15</v>
      </c>
      <c r="T179" s="126">
        <f t="shared" si="86"/>
        <v>0</v>
      </c>
      <c r="U179" s="126">
        <f t="shared" si="86"/>
        <v>0</v>
      </c>
      <c r="V179" s="126">
        <f t="shared" si="86"/>
        <v>-3.5527136788005009E-15</v>
      </c>
      <c r="W179" s="126">
        <f t="shared" si="86"/>
        <v>0</v>
      </c>
      <c r="X179" s="126">
        <f t="shared" si="86"/>
        <v>-3.5527136788005009E-15</v>
      </c>
      <c r="Y179" s="126">
        <f t="shared" si="86"/>
        <v>0</v>
      </c>
      <c r="Z179" s="126">
        <f t="shared" si="86"/>
        <v>0</v>
      </c>
    </row>
    <row r="180" spans="1:29" outlineLevel="1" x14ac:dyDescent="0.25">
      <c r="A180" s="39" t="str">
        <f t="shared" si="80"/>
        <v>Estar ESDE240 (ГПБ К)</v>
      </c>
      <c r="B180" s="39"/>
      <c r="D180" s="125"/>
      <c r="E180" s="124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9" outlineLevel="1" x14ac:dyDescent="0.25">
      <c r="A181" s="39" t="str">
        <f t="shared" si="80"/>
        <v>Estar ESDE240 (ГПБ К)</v>
      </c>
      <c r="B181" s="39"/>
      <c r="D181" s="127" t="s">
        <v>98</v>
      </c>
      <c r="E181" s="128" t="str">
        <f>E177</f>
        <v>руб/ткм</v>
      </c>
      <c r="F181" s="129"/>
      <c r="G181" s="130">
        <f>SUM(G182:G187)</f>
        <v>11.472782056413926</v>
      </c>
      <c r="H181" s="130">
        <f t="shared" ref="H181:Z181" si="87">SUM(H182:H187)</f>
        <v>12.260352796492661</v>
      </c>
      <c r="I181" s="130">
        <f t="shared" si="87"/>
        <v>17.892719270395236</v>
      </c>
      <c r="J181" s="130">
        <f t="shared" si="87"/>
        <v>35.396991513549132</v>
      </c>
      <c r="K181" s="130">
        <f t="shared" si="87"/>
        <v>11.0996959008509</v>
      </c>
      <c r="L181" s="130">
        <f t="shared" si="87"/>
        <v>18.323137438987661</v>
      </c>
      <c r="M181" s="130">
        <f t="shared" si="87"/>
        <v>11.16419677715964</v>
      </c>
      <c r="N181" s="130">
        <f t="shared" si="87"/>
        <v>34.143688765848815</v>
      </c>
      <c r="O181" s="130">
        <f t="shared" si="87"/>
        <v>11.133613294513767</v>
      </c>
      <c r="P181" s="130">
        <f t="shared" si="87"/>
        <v>11.297031267415653</v>
      </c>
      <c r="Q181" s="130" t="e">
        <f t="shared" si="87"/>
        <v>#DIV/0!</v>
      </c>
      <c r="R181" s="130" t="e">
        <f t="shared" si="87"/>
        <v>#DIV/0!</v>
      </c>
      <c r="S181" s="130" t="e">
        <f t="shared" si="87"/>
        <v>#DIV/0!</v>
      </c>
      <c r="T181" s="130" t="e">
        <f t="shared" si="87"/>
        <v>#DIV/0!</v>
      </c>
      <c r="U181" s="130" t="e">
        <f t="shared" si="87"/>
        <v>#DIV/0!</v>
      </c>
      <c r="V181" s="130" t="e">
        <f t="shared" si="87"/>
        <v>#DIV/0!</v>
      </c>
      <c r="W181" s="130" t="e">
        <f t="shared" si="87"/>
        <v>#DIV/0!</v>
      </c>
      <c r="X181" s="130" t="e">
        <f t="shared" si="87"/>
        <v>#DIV/0!</v>
      </c>
      <c r="Y181" s="130" t="e">
        <f t="shared" si="87"/>
        <v>#DIV/0!</v>
      </c>
      <c r="Z181" s="130" t="e">
        <f t="shared" si="87"/>
        <v>#DIV/0!</v>
      </c>
    </row>
    <row r="182" spans="1:29" outlineLevel="1" x14ac:dyDescent="0.25">
      <c r="A182" s="39" t="str">
        <f t="shared" si="80"/>
        <v>Estar ESDE240 (ГПБ К)</v>
      </c>
      <c r="B182" s="39"/>
      <c r="D182" s="113" t="str">
        <f>D168</f>
        <v>ТО, ТР, ППР</v>
      </c>
      <c r="E182" s="114" t="str">
        <f>E181</f>
        <v>руб/ткм</v>
      </c>
      <c r="F182" s="115"/>
      <c r="G182" s="116">
        <f>G109/G104</f>
        <v>1.6103121863217549</v>
      </c>
      <c r="H182" s="116">
        <f t="shared" ref="H182:Z182" si="88">H109/H104</f>
        <v>2.4273060426062831</v>
      </c>
      <c r="I182" s="116">
        <f t="shared" si="88"/>
        <v>8.0739968155546027</v>
      </c>
      <c r="J182" s="116">
        <f t="shared" si="88"/>
        <v>25.467828665460548</v>
      </c>
      <c r="K182" s="116">
        <f t="shared" si="88"/>
        <v>1.4476656023382839</v>
      </c>
      <c r="L182" s="116">
        <f t="shared" si="88"/>
        <v>8.5702871603119526</v>
      </c>
      <c r="M182" s="116">
        <f t="shared" si="88"/>
        <v>1.4631918646723665</v>
      </c>
      <c r="N182" s="116">
        <f t="shared" si="88"/>
        <v>24.298717157854664</v>
      </c>
      <c r="O182" s="116">
        <f t="shared" si="88"/>
        <v>1.4486109623853474</v>
      </c>
      <c r="P182" s="116">
        <f t="shared" si="88"/>
        <v>1.5265216935605848</v>
      </c>
      <c r="Q182" s="116" t="e">
        <f t="shared" si="88"/>
        <v>#DIV/0!</v>
      </c>
      <c r="R182" s="116" t="e">
        <f t="shared" si="88"/>
        <v>#DIV/0!</v>
      </c>
      <c r="S182" s="116" t="e">
        <f t="shared" si="88"/>
        <v>#DIV/0!</v>
      </c>
      <c r="T182" s="116" t="e">
        <f t="shared" si="88"/>
        <v>#DIV/0!</v>
      </c>
      <c r="U182" s="116" t="e">
        <f t="shared" si="88"/>
        <v>#DIV/0!</v>
      </c>
      <c r="V182" s="116" t="e">
        <f t="shared" si="88"/>
        <v>#DIV/0!</v>
      </c>
      <c r="W182" s="116" t="e">
        <f t="shared" si="88"/>
        <v>#DIV/0!</v>
      </c>
      <c r="X182" s="116" t="e">
        <f t="shared" si="88"/>
        <v>#DIV/0!</v>
      </c>
      <c r="Y182" s="116" t="e">
        <f t="shared" si="88"/>
        <v>#DIV/0!</v>
      </c>
      <c r="Z182" s="116" t="e">
        <f t="shared" si="88"/>
        <v>#DIV/0!</v>
      </c>
    </row>
    <row r="183" spans="1:29" outlineLevel="1" x14ac:dyDescent="0.25">
      <c r="A183" s="39" t="str">
        <f t="shared" si="80"/>
        <v>Estar ESDE240 (ГПБ К)</v>
      </c>
      <c r="B183" s="39"/>
      <c r="D183" s="113" t="str">
        <f t="shared" ref="D183:D187" si="89">D169</f>
        <v>Шины</v>
      </c>
      <c r="E183" s="114" t="str">
        <f t="shared" ref="E183:E187" si="90">E182</f>
        <v>руб/ткм</v>
      </c>
      <c r="F183" s="115"/>
      <c r="G183" s="116">
        <f>G114/G104</f>
        <v>2.1534450632326938</v>
      </c>
      <c r="H183" s="116">
        <f t="shared" ref="H183:Z183" si="91">H114/H104</f>
        <v>2.1534450632326938</v>
      </c>
      <c r="I183" s="116">
        <f t="shared" si="91"/>
        <v>2.1534450632326942</v>
      </c>
      <c r="J183" s="116">
        <f t="shared" si="91"/>
        <v>2.1534450632326938</v>
      </c>
      <c r="K183" s="116">
        <f t="shared" si="91"/>
        <v>2.1534450632326938</v>
      </c>
      <c r="L183" s="116">
        <f t="shared" si="91"/>
        <v>2.1534450632326942</v>
      </c>
      <c r="M183" s="116">
        <f t="shared" si="91"/>
        <v>2.1534450632326938</v>
      </c>
      <c r="N183" s="116">
        <f t="shared" si="91"/>
        <v>2.1534450632326934</v>
      </c>
      <c r="O183" s="116">
        <f t="shared" si="91"/>
        <v>2.1534450632326934</v>
      </c>
      <c r="P183" s="116">
        <f t="shared" si="91"/>
        <v>2.1534450632326938</v>
      </c>
      <c r="Q183" s="116" t="e">
        <f t="shared" si="91"/>
        <v>#DIV/0!</v>
      </c>
      <c r="R183" s="116" t="e">
        <f t="shared" si="91"/>
        <v>#DIV/0!</v>
      </c>
      <c r="S183" s="116" t="e">
        <f t="shared" si="91"/>
        <v>#DIV/0!</v>
      </c>
      <c r="T183" s="116" t="e">
        <f t="shared" si="91"/>
        <v>#DIV/0!</v>
      </c>
      <c r="U183" s="116" t="e">
        <f t="shared" si="91"/>
        <v>#DIV/0!</v>
      </c>
      <c r="V183" s="116" t="e">
        <f t="shared" si="91"/>
        <v>#DIV/0!</v>
      </c>
      <c r="W183" s="116" t="e">
        <f t="shared" si="91"/>
        <v>#DIV/0!</v>
      </c>
      <c r="X183" s="116" t="e">
        <f t="shared" si="91"/>
        <v>#DIV/0!</v>
      </c>
      <c r="Y183" s="116" t="e">
        <f t="shared" si="91"/>
        <v>#DIV/0!</v>
      </c>
      <c r="Z183" s="116" t="e">
        <f t="shared" si="91"/>
        <v>#DIV/0!</v>
      </c>
    </row>
    <row r="184" spans="1:29" outlineLevel="1" x14ac:dyDescent="0.25">
      <c r="A184" s="39" t="str">
        <f t="shared" si="80"/>
        <v>Estar ESDE240 (ГПБ К)</v>
      </c>
      <c r="B184" s="39"/>
      <c r="D184" s="113" t="str">
        <f t="shared" si="89"/>
        <v>Топливо</v>
      </c>
      <c r="E184" s="114" t="str">
        <f t="shared" si="90"/>
        <v>руб/ткм</v>
      </c>
      <c r="F184" s="115"/>
      <c r="G184" s="116">
        <f>G118/G104</f>
        <v>5.9417027538616871</v>
      </c>
      <c r="H184" s="116">
        <f t="shared" ref="H184:Z184" si="92">H118/H104</f>
        <v>5.9417027538616862</v>
      </c>
      <c r="I184" s="116">
        <f t="shared" si="92"/>
        <v>5.9417027538616871</v>
      </c>
      <c r="J184" s="116">
        <f t="shared" si="92"/>
        <v>5.941702753861688</v>
      </c>
      <c r="K184" s="116">
        <f t="shared" si="92"/>
        <v>5.9417027538616871</v>
      </c>
      <c r="L184" s="116">
        <f t="shared" si="92"/>
        <v>5.9417027538616871</v>
      </c>
      <c r="M184" s="116">
        <f t="shared" si="92"/>
        <v>5.941702753861688</v>
      </c>
      <c r="N184" s="116">
        <f t="shared" si="92"/>
        <v>5.9417027538616871</v>
      </c>
      <c r="O184" s="116">
        <f t="shared" si="92"/>
        <v>5.9417027538616871</v>
      </c>
      <c r="P184" s="116">
        <f t="shared" si="92"/>
        <v>5.9417027538616871</v>
      </c>
      <c r="Q184" s="116" t="e">
        <f t="shared" si="92"/>
        <v>#DIV/0!</v>
      </c>
      <c r="R184" s="116" t="e">
        <f t="shared" si="92"/>
        <v>#DIV/0!</v>
      </c>
      <c r="S184" s="116" t="e">
        <f t="shared" si="92"/>
        <v>#DIV/0!</v>
      </c>
      <c r="T184" s="116" t="e">
        <f t="shared" si="92"/>
        <v>#DIV/0!</v>
      </c>
      <c r="U184" s="116" t="e">
        <f t="shared" si="92"/>
        <v>#DIV/0!</v>
      </c>
      <c r="V184" s="116" t="e">
        <f t="shared" si="92"/>
        <v>#DIV/0!</v>
      </c>
      <c r="W184" s="116" t="e">
        <f t="shared" si="92"/>
        <v>#DIV/0!</v>
      </c>
      <c r="X184" s="116" t="e">
        <f t="shared" si="92"/>
        <v>#DIV/0!</v>
      </c>
      <c r="Y184" s="116" t="e">
        <f t="shared" si="92"/>
        <v>#DIV/0!</v>
      </c>
      <c r="Z184" s="116" t="e">
        <f t="shared" si="92"/>
        <v>#DIV/0!</v>
      </c>
    </row>
    <row r="185" spans="1:29" outlineLevel="1" x14ac:dyDescent="0.25">
      <c r="A185" s="39" t="str">
        <f t="shared" si="80"/>
        <v>Estar ESDE240 (ГПБ К)</v>
      </c>
      <c r="B185" s="39"/>
      <c r="D185" s="113" t="str">
        <f t="shared" si="89"/>
        <v>Смазочные</v>
      </c>
      <c r="E185" s="114" t="str">
        <f t="shared" si="90"/>
        <v>руб/ткм</v>
      </c>
      <c r="F185" s="115"/>
      <c r="G185" s="116">
        <f>G123/G104</f>
        <v>0</v>
      </c>
      <c r="H185" s="116">
        <f t="shared" ref="H185:Z185" si="93">H123/H104</f>
        <v>0</v>
      </c>
      <c r="I185" s="116">
        <f t="shared" si="93"/>
        <v>0</v>
      </c>
      <c r="J185" s="116">
        <f t="shared" si="93"/>
        <v>0</v>
      </c>
      <c r="K185" s="116">
        <f t="shared" si="93"/>
        <v>0</v>
      </c>
      <c r="L185" s="116">
        <f t="shared" si="93"/>
        <v>0</v>
      </c>
      <c r="M185" s="116">
        <f t="shared" si="93"/>
        <v>0</v>
      </c>
      <c r="N185" s="116">
        <f t="shared" si="93"/>
        <v>0</v>
      </c>
      <c r="O185" s="116">
        <f t="shared" si="93"/>
        <v>0</v>
      </c>
      <c r="P185" s="116">
        <f t="shared" si="93"/>
        <v>0</v>
      </c>
      <c r="Q185" s="116" t="e">
        <f t="shared" si="93"/>
        <v>#DIV/0!</v>
      </c>
      <c r="R185" s="116" t="e">
        <f t="shared" si="93"/>
        <v>#DIV/0!</v>
      </c>
      <c r="S185" s="116" t="e">
        <f t="shared" si="93"/>
        <v>#DIV/0!</v>
      </c>
      <c r="T185" s="116" t="e">
        <f t="shared" si="93"/>
        <v>#DIV/0!</v>
      </c>
      <c r="U185" s="116" t="e">
        <f t="shared" si="93"/>
        <v>#DIV/0!</v>
      </c>
      <c r="V185" s="116" t="e">
        <f t="shared" si="93"/>
        <v>#DIV/0!</v>
      </c>
      <c r="W185" s="116" t="e">
        <f t="shared" si="93"/>
        <v>#DIV/0!</v>
      </c>
      <c r="X185" s="116" t="e">
        <f t="shared" si="93"/>
        <v>#DIV/0!</v>
      </c>
      <c r="Y185" s="116" t="e">
        <f t="shared" si="93"/>
        <v>#DIV/0!</v>
      </c>
      <c r="Z185" s="116" t="e">
        <f t="shared" si="93"/>
        <v>#DIV/0!</v>
      </c>
    </row>
    <row r="186" spans="1:29" outlineLevel="1" x14ac:dyDescent="0.25">
      <c r="A186" s="39" t="str">
        <f t="shared" si="80"/>
        <v>Estar ESDE240 (ГПБ К)</v>
      </c>
      <c r="B186" s="39"/>
      <c r="D186" s="113" t="str">
        <f t="shared" si="89"/>
        <v>Затраты на персонал</v>
      </c>
      <c r="E186" s="114" t="str">
        <f t="shared" si="90"/>
        <v>руб/ткм</v>
      </c>
      <c r="F186" s="115"/>
      <c r="G186" s="116">
        <f>G125/G104</f>
        <v>1.7522950077317776</v>
      </c>
      <c r="H186" s="116">
        <f t="shared" ref="H186:Z186" si="94">H125/H104</f>
        <v>1.7231220680562551</v>
      </c>
      <c r="I186" s="116">
        <f t="shared" si="94"/>
        <v>1.7089195645201607</v>
      </c>
      <c r="J186" s="116">
        <f t="shared" si="94"/>
        <v>1.8184209139839209</v>
      </c>
      <c r="K186" s="116">
        <f t="shared" si="94"/>
        <v>1.5436447449895805</v>
      </c>
      <c r="L186" s="116">
        <f t="shared" si="94"/>
        <v>1.6436074810510317</v>
      </c>
      <c r="M186" s="116">
        <f t="shared" si="94"/>
        <v>1.5922029415151178</v>
      </c>
      <c r="N186" s="116">
        <f t="shared" si="94"/>
        <v>1.734945528463796</v>
      </c>
      <c r="O186" s="116">
        <f t="shared" si="94"/>
        <v>1.5763364266226674</v>
      </c>
      <c r="P186" s="116">
        <f t="shared" si="94"/>
        <v>1.6611166241810944</v>
      </c>
      <c r="Q186" s="116" t="e">
        <f t="shared" si="94"/>
        <v>#DIV/0!</v>
      </c>
      <c r="R186" s="116" t="e">
        <f t="shared" si="94"/>
        <v>#DIV/0!</v>
      </c>
      <c r="S186" s="116" t="e">
        <f t="shared" si="94"/>
        <v>#DIV/0!</v>
      </c>
      <c r="T186" s="116" t="e">
        <f t="shared" si="94"/>
        <v>#DIV/0!</v>
      </c>
      <c r="U186" s="116" t="e">
        <f t="shared" si="94"/>
        <v>#DIV/0!</v>
      </c>
      <c r="V186" s="116" t="e">
        <f t="shared" si="94"/>
        <v>#DIV/0!</v>
      </c>
      <c r="W186" s="116" t="e">
        <f t="shared" si="94"/>
        <v>#DIV/0!</v>
      </c>
      <c r="X186" s="116" t="e">
        <f t="shared" si="94"/>
        <v>#DIV/0!</v>
      </c>
      <c r="Y186" s="116" t="e">
        <f t="shared" si="94"/>
        <v>#DIV/0!</v>
      </c>
      <c r="Z186" s="116" t="e">
        <f t="shared" si="94"/>
        <v>#DIV/0!</v>
      </c>
    </row>
    <row r="187" spans="1:29" outlineLevel="1" x14ac:dyDescent="0.25">
      <c r="A187" s="39" t="str">
        <f t="shared" si="80"/>
        <v>Estar ESDE240 (ГПБ К)</v>
      </c>
      <c r="B187" s="39"/>
      <c r="D187" s="113" t="str">
        <f t="shared" si="89"/>
        <v>Транспортный налог</v>
      </c>
      <c r="E187" s="114" t="str">
        <f t="shared" si="90"/>
        <v>руб/ткм</v>
      </c>
      <c r="F187" s="115"/>
      <c r="G187" s="116">
        <f>G129/G104</f>
        <v>1.5027045266013754E-2</v>
      </c>
      <c r="H187" s="116">
        <f t="shared" ref="H187:Z187" si="95">H129/H104</f>
        <v>1.4776868735742049E-2</v>
      </c>
      <c r="I187" s="116">
        <f t="shared" si="95"/>
        <v>1.4655073226089898E-2</v>
      </c>
      <c r="J187" s="116">
        <f t="shared" si="95"/>
        <v>1.559411701028208E-2</v>
      </c>
      <c r="K187" s="116">
        <f t="shared" si="95"/>
        <v>1.3237736428655819E-2</v>
      </c>
      <c r="L187" s="116">
        <f t="shared" si="95"/>
        <v>1.4094980530295094E-2</v>
      </c>
      <c r="M187" s="116">
        <f t="shared" si="95"/>
        <v>1.365415387777574E-2</v>
      </c>
      <c r="N187" s="116">
        <f t="shared" si="95"/>
        <v>1.4878262435981499E-2</v>
      </c>
      <c r="O187" s="116">
        <f t="shared" si="95"/>
        <v>1.3518088411372706E-2</v>
      </c>
      <c r="P187" s="116">
        <f t="shared" si="95"/>
        <v>1.4245132579592513E-2</v>
      </c>
      <c r="Q187" s="116" t="e">
        <f t="shared" si="95"/>
        <v>#DIV/0!</v>
      </c>
      <c r="R187" s="116" t="e">
        <f t="shared" si="95"/>
        <v>#DIV/0!</v>
      </c>
      <c r="S187" s="116" t="e">
        <f t="shared" si="95"/>
        <v>#DIV/0!</v>
      </c>
      <c r="T187" s="116" t="e">
        <f t="shared" si="95"/>
        <v>#DIV/0!</v>
      </c>
      <c r="U187" s="116" t="e">
        <f t="shared" si="95"/>
        <v>#DIV/0!</v>
      </c>
      <c r="V187" s="116" t="e">
        <f t="shared" si="95"/>
        <v>#DIV/0!</v>
      </c>
      <c r="W187" s="116" t="e">
        <f t="shared" si="95"/>
        <v>#DIV/0!</v>
      </c>
      <c r="X187" s="116" t="e">
        <f t="shared" si="95"/>
        <v>#DIV/0!</v>
      </c>
      <c r="Y187" s="116" t="e">
        <f t="shared" si="95"/>
        <v>#DIV/0!</v>
      </c>
      <c r="Z187" s="116" t="e">
        <f t="shared" si="95"/>
        <v>#DIV/0!</v>
      </c>
    </row>
    <row r="188" spans="1:29" outlineLevel="1" x14ac:dyDescent="0.25">
      <c r="A188" s="39" t="str">
        <f t="shared" si="80"/>
        <v>Estar ESDE240 (ГПБ К)</v>
      </c>
      <c r="B188" s="39"/>
      <c r="D188" s="121"/>
      <c r="E188" s="12"/>
      <c r="F188" s="122"/>
      <c r="G188" s="131">
        <f>G181-(G108-G134)/G104</f>
        <v>0</v>
      </c>
      <c r="H188" s="131">
        <f t="shared" ref="H188:Z188" si="96">H181-(H108-H134)/H104</f>
        <v>0</v>
      </c>
      <c r="I188" s="131">
        <f t="shared" si="96"/>
        <v>0</v>
      </c>
      <c r="J188" s="131">
        <f t="shared" si="96"/>
        <v>0</v>
      </c>
      <c r="K188" s="131">
        <f t="shared" si="96"/>
        <v>0</v>
      </c>
      <c r="L188" s="131">
        <f t="shared" si="96"/>
        <v>0</v>
      </c>
      <c r="M188" s="131">
        <f t="shared" si="96"/>
        <v>0</v>
      </c>
      <c r="N188" s="131">
        <f t="shared" si="96"/>
        <v>0</v>
      </c>
      <c r="O188" s="131">
        <f t="shared" si="96"/>
        <v>0</v>
      </c>
      <c r="P188" s="131">
        <f t="shared" si="96"/>
        <v>0</v>
      </c>
      <c r="Q188" s="131" t="e">
        <f t="shared" si="96"/>
        <v>#DIV/0!</v>
      </c>
      <c r="R188" s="131" t="e">
        <f t="shared" si="96"/>
        <v>#DIV/0!</v>
      </c>
      <c r="S188" s="131" t="e">
        <f t="shared" si="96"/>
        <v>#DIV/0!</v>
      </c>
      <c r="T188" s="131" t="e">
        <f t="shared" si="96"/>
        <v>#DIV/0!</v>
      </c>
      <c r="U188" s="131" t="e">
        <f t="shared" si="96"/>
        <v>#DIV/0!</v>
      </c>
      <c r="V188" s="131" t="e">
        <f t="shared" si="96"/>
        <v>#DIV/0!</v>
      </c>
      <c r="W188" s="131" t="e">
        <f t="shared" si="96"/>
        <v>#DIV/0!</v>
      </c>
      <c r="X188" s="131" t="e">
        <f t="shared" si="96"/>
        <v>#DIV/0!</v>
      </c>
      <c r="Y188" s="131" t="e">
        <f t="shared" si="96"/>
        <v>#DIV/0!</v>
      </c>
      <c r="Z188" s="131" t="e">
        <f t="shared" si="96"/>
        <v>#DIV/0!</v>
      </c>
    </row>
    <row r="189" spans="1:29" outlineLevel="1" x14ac:dyDescent="0.25">
      <c r="A189" s="2" t="s">
        <v>45</v>
      </c>
    </row>
    <row r="190" spans="1:29" x14ac:dyDescent="0.25">
      <c r="A190" s="2" t="s">
        <v>45</v>
      </c>
    </row>
    <row r="191" spans="1:29" ht="14.3" x14ac:dyDescent="0.25">
      <c r="A191" s="2" t="s">
        <v>45</v>
      </c>
      <c r="C191" s="57">
        <f>SUM(F241:Z241,F253:Z253,F272:Z272,AA225)</f>
        <v>-1.9539925233402755E-14</v>
      </c>
      <c r="D191" s="58" t="str">
        <f>Свод_1!H23</f>
        <v>SANY SET240S</v>
      </c>
      <c r="E191" s="59">
        <f>SUMIFS(Производительность_1!$Y$55:$Y$71,Производительность_1!$C$55:$C$71,$D191)</f>
        <v>12</v>
      </c>
      <c r="F191" s="60" t="str">
        <f>$F$2</f>
        <v>лет</v>
      </c>
    </row>
    <row r="192" spans="1:29" outlineLevel="1" x14ac:dyDescent="0.25">
      <c r="A192" s="2" t="s">
        <v>45</v>
      </c>
    </row>
    <row r="193" spans="1:28" outlineLevel="1" x14ac:dyDescent="0.25">
      <c r="A193" s="61" t="str">
        <f>D191</f>
        <v>SANY SET240S</v>
      </c>
      <c r="D193" s="62" t="str">
        <f>D$1</f>
        <v>Показатель</v>
      </c>
      <c r="E193" s="62" t="str">
        <f t="shared" ref="E193:Z193" si="97">E$1</f>
        <v>Ед. изм.</v>
      </c>
      <c r="F193" s="62">
        <f t="shared" si="97"/>
        <v>0</v>
      </c>
      <c r="G193" s="62">
        <f t="shared" si="97"/>
        <v>1</v>
      </c>
      <c r="H193" s="62">
        <f t="shared" si="97"/>
        <v>2</v>
      </c>
      <c r="I193" s="62">
        <f t="shared" si="97"/>
        <v>3</v>
      </c>
      <c r="J193" s="62">
        <f t="shared" si="97"/>
        <v>4</v>
      </c>
      <c r="K193" s="62">
        <f t="shared" si="97"/>
        <v>5</v>
      </c>
      <c r="L193" s="62">
        <f t="shared" si="97"/>
        <v>6</v>
      </c>
      <c r="M193" s="62">
        <f t="shared" si="97"/>
        <v>7</v>
      </c>
      <c r="N193" s="62">
        <f t="shared" si="97"/>
        <v>8</v>
      </c>
      <c r="O193" s="62">
        <f t="shared" si="97"/>
        <v>9</v>
      </c>
      <c r="P193" s="62">
        <f t="shared" si="97"/>
        <v>10</v>
      </c>
      <c r="Q193" s="62">
        <f t="shared" si="97"/>
        <v>11</v>
      </c>
      <c r="R193" s="62">
        <f t="shared" si="97"/>
        <v>12</v>
      </c>
      <c r="S193" s="62">
        <f t="shared" si="97"/>
        <v>13</v>
      </c>
      <c r="T193" s="62">
        <f t="shared" si="97"/>
        <v>14</v>
      </c>
      <c r="U193" s="62">
        <f t="shared" si="97"/>
        <v>15</v>
      </c>
      <c r="V193" s="62">
        <f t="shared" si="97"/>
        <v>16</v>
      </c>
      <c r="W193" s="62">
        <f t="shared" si="97"/>
        <v>17</v>
      </c>
      <c r="X193" s="62">
        <f t="shared" si="97"/>
        <v>18</v>
      </c>
      <c r="Y193" s="62">
        <f t="shared" si="97"/>
        <v>19</v>
      </c>
      <c r="Z193" s="62">
        <f t="shared" si="97"/>
        <v>20</v>
      </c>
    </row>
    <row r="194" spans="1:28" outlineLevel="1" x14ac:dyDescent="0.25">
      <c r="A194" s="39" t="str">
        <f>A193</f>
        <v>SANY SET240S</v>
      </c>
      <c r="B194" s="39"/>
      <c r="D194" s="63" t="s">
        <v>50</v>
      </c>
      <c r="E194" s="64" t="s">
        <v>51</v>
      </c>
      <c r="F194" s="65"/>
      <c r="G194" s="66">
        <f>SUMIFS(Производительность_1!E$55:E$71,Производительность_1!$C$55:$C$71,$A194)</f>
        <v>0.93570839675291717</v>
      </c>
      <c r="H194" s="66">
        <f>SUMIFS(Производительность_1!F$55:F$71,Производительность_1!$C$55:$C$71,$A194)</f>
        <v>0.90263508371385082</v>
      </c>
      <c r="I194" s="66">
        <f>SUMIFS(Производительность_1!G$55:G$71,Производительность_1!$C$55:$C$71,$A194)</f>
        <v>0.86578830542871643</v>
      </c>
      <c r="J194" s="66">
        <f>SUMIFS(Производительность_1!H$55:H$71,Производительность_1!$C$55:$C$71,$A194)</f>
        <v>0.90352295788939629</v>
      </c>
      <c r="K194" s="66">
        <f>SUMIFS(Производительность_1!I$55:I$71,Производительность_1!$C$55:$C$71,$A194)</f>
        <v>0.85025050735667174</v>
      </c>
      <c r="L194" s="66">
        <f>SUMIFS(Производительность_1!J$55:J$71,Производительность_1!$C$55:$C$71,$A194)</f>
        <v>0.90352295788939629</v>
      </c>
      <c r="M194" s="66">
        <f>SUMIFS(Производительность_1!K$55:K$71,Производительность_1!$C$55:$C$71,$A194)</f>
        <v>0.86578830542871643</v>
      </c>
      <c r="N194" s="66">
        <f>SUMIFS(Производительность_1!L$55:L$71,Производительность_1!$C$55:$C$71,$A194)</f>
        <v>0.90352295788939629</v>
      </c>
      <c r="O194" s="66">
        <f>SUMIFS(Производительность_1!M$55:M$71,Производительность_1!$C$55:$C$71,$A194)</f>
        <v>0.85025050735667174</v>
      </c>
      <c r="P194" s="66">
        <f>SUMIFS(Производительность_1!N$55:N$71,Производительность_1!$C$55:$C$71,$A194)</f>
        <v>0.88465563165905625</v>
      </c>
      <c r="Q194" s="66">
        <f>SUMIFS(Производительность_1!O$55:O$71,Производительность_1!$C$55:$C$71,$A194)</f>
        <v>0.8635686199898529</v>
      </c>
      <c r="R194" s="66">
        <f>SUMIFS(Производительность_1!P$55:P$71,Производительность_1!$C$55:$C$71,$A194)</f>
        <v>0.8713375190258752</v>
      </c>
      <c r="S194" s="66">
        <f>SUMIFS(Производительность_1!Q$55:Q$71,Производительность_1!$C$55:$C$71,$A194)</f>
        <v>0</v>
      </c>
      <c r="T194" s="66">
        <f>SUMIFS(Производительность_1!R$55:R$71,Производительность_1!$C$55:$C$71,$A194)</f>
        <v>0</v>
      </c>
      <c r="U194" s="66">
        <f>SUMIFS(Производительность_1!S$55:S$71,Производительность_1!$C$55:$C$71,$A194)</f>
        <v>0</v>
      </c>
      <c r="V194" s="66">
        <f>SUMIFS(Производительность_1!T$55:T$71,Производительность_1!$C$55:$C$71,$A194)</f>
        <v>0</v>
      </c>
      <c r="W194" s="66">
        <f>SUMIFS(Производительность_1!U$55:U$71,Производительность_1!$C$55:$C$71,$A194)</f>
        <v>0</v>
      </c>
      <c r="X194" s="66">
        <f>SUMIFS(Производительность_1!V$55:V$71,Производительность_1!$C$55:$C$71,$A194)</f>
        <v>0</v>
      </c>
      <c r="Y194" s="66">
        <f>SUMIFS(Производительность_1!W$55:W$71,Производительность_1!$C$55:$C$71,$A194)</f>
        <v>0</v>
      </c>
      <c r="Z194" s="66">
        <f>SUMIFS(Производительность_1!X$55:X$71,Производительность_1!$C$55:$C$71,$A194)</f>
        <v>0</v>
      </c>
    </row>
    <row r="195" spans="1:28" outlineLevel="1" x14ac:dyDescent="0.25">
      <c r="A195" s="39" t="str">
        <f t="shared" ref="A195:A258" si="98">A194</f>
        <v>SANY SET240S</v>
      </c>
      <c r="B195" s="39"/>
      <c r="D195" s="63" t="s">
        <v>52</v>
      </c>
      <c r="E195" s="64" t="str">
        <f>E194</f>
        <v>%</v>
      </c>
      <c r="F195" s="65"/>
      <c r="G195" s="66">
        <f>SUMIFS(Производительность_1!E$119:E$135,Производительность_1!$C$119:$C$135,$A195)</f>
        <v>0.80265564806627443</v>
      </c>
      <c r="H195" s="66">
        <f>SUMIFS(Производительность_1!F$119:F$135,Производительность_1!$C$119:$C$135,$A195)</f>
        <v>0.77428518393108892</v>
      </c>
      <c r="I195" s="66">
        <f>SUMIFS(Производительность_1!G$119:G$135,Производительность_1!$C$119:$C$135,$A195)</f>
        <v>0.74859167574857644</v>
      </c>
      <c r="J195" s="66">
        <f>SUMIFS(Производительность_1!H$119:H$135,Производительность_1!$C$119:$C$135,$A195)</f>
        <v>0.78121841203296505</v>
      </c>
      <c r="K195" s="66">
        <f>SUMIFS(Производительность_1!I$119:I$135,Производительность_1!$C$119:$C$135,$A195)</f>
        <v>0.73515713727853393</v>
      </c>
      <c r="L195" s="66">
        <f>SUMIFS(Производительность_1!J$119:J$135,Производительность_1!$C$119:$C$135,$A195)</f>
        <v>0.78121841203296505</v>
      </c>
      <c r="M195" s="66">
        <f>SUMIFS(Производительность_1!K$119:K$135,Производительность_1!$C$119:$C$135,$A195)</f>
        <v>0.74859167574857644</v>
      </c>
      <c r="N195" s="66">
        <f>SUMIFS(Производительность_1!L$119:L$135,Производительность_1!$C$119:$C$135,$A195)</f>
        <v>0.78121841203296505</v>
      </c>
      <c r="O195" s="66">
        <f>SUMIFS(Производительность_1!M$119:M$135,Производительность_1!$C$119:$C$135,$A195)</f>
        <v>0.73515713727853393</v>
      </c>
      <c r="P195" s="66">
        <f>SUMIFS(Производительность_1!N$119:N$135,Производительность_1!$C$119:$C$135,$A195)</f>
        <v>0.76490504389077063</v>
      </c>
      <c r="Q195" s="66">
        <f>SUMIFS(Производительность_1!O$119:O$135,Производительность_1!$C$119:$C$135,$A195)</f>
        <v>0.74667245596714182</v>
      </c>
      <c r="R195" s="66">
        <f>SUMIFS(Производительность_1!P$119:P$135,Производительность_1!$C$119:$C$135,$A195)</f>
        <v>0.75338972520216296</v>
      </c>
      <c r="S195" s="66">
        <f>SUMIFS(Производительность_1!Q$119:Q$135,Производительность_1!$C$119:$C$135,$A195)</f>
        <v>0</v>
      </c>
      <c r="T195" s="66">
        <f>SUMIFS(Производительность_1!R$119:R$135,Производительность_1!$C$119:$C$135,$A195)</f>
        <v>0</v>
      </c>
      <c r="U195" s="66">
        <f>SUMIFS(Производительность_1!S$119:S$135,Производительность_1!$C$119:$C$135,$A195)</f>
        <v>0</v>
      </c>
      <c r="V195" s="66">
        <f>SUMIFS(Производительность_1!T$119:T$135,Производительность_1!$C$119:$C$135,$A195)</f>
        <v>0</v>
      </c>
      <c r="W195" s="66">
        <f>SUMIFS(Производительность_1!U$119:U$135,Производительность_1!$C$119:$C$135,$A195)</f>
        <v>0</v>
      </c>
      <c r="X195" s="66">
        <f>SUMIFS(Производительность_1!V$119:V$135,Производительность_1!$C$119:$C$135,$A195)</f>
        <v>0</v>
      </c>
      <c r="Y195" s="66">
        <f>SUMIFS(Производительность_1!W$119:W$135,Производительность_1!$C$119:$C$135,$A195)</f>
        <v>0</v>
      </c>
      <c r="Z195" s="66">
        <f>SUMIFS(Производительность_1!X$119:X$135,Производительность_1!$C$119:$C$135,$A195)</f>
        <v>0</v>
      </c>
    </row>
    <row r="196" spans="1:28" outlineLevel="1" x14ac:dyDescent="0.25">
      <c r="A196" s="39" t="str">
        <f t="shared" si="98"/>
        <v>SANY SET240S</v>
      </c>
      <c r="B196" s="39"/>
      <c r="D196" s="67" t="s">
        <v>53</v>
      </c>
      <c r="E196" s="68" t="s">
        <v>23</v>
      </c>
      <c r="F196" s="69"/>
      <c r="G196" s="69">
        <f>SUMIFS(Производительность_1!E$247:E$263,Производительность_1!$C$247:$C$263,$A196)</f>
        <v>3644.1303572092447</v>
      </c>
      <c r="H196" s="69">
        <f>SUMIFS(Производительность_1!F$247:F$263,Производительность_1!$C$247:$C$263,$A196)</f>
        <v>3280.4225602034121</v>
      </c>
      <c r="I196" s="69">
        <f>SUMIFS(Производительность_1!G$247:G$263,Производительность_1!$C$247:$C$263,$A196)</f>
        <v>2789.5033075486581</v>
      </c>
      <c r="J196" s="69">
        <f>SUMIFS(Производительность_1!H$247:H$263,Производительность_1!$C$247:$C$263,$A196)</f>
        <v>2985.9024819106344</v>
      </c>
      <c r="K196" s="69">
        <f>SUMIFS(Производительность_1!I$247:I$263,Производительность_1!$C$247:$C$263,$A196)</f>
        <v>2417.4152462721759</v>
      </c>
      <c r="L196" s="69">
        <f>SUMIFS(Производительность_1!J$247:J$263,Производительность_1!$C$247:$C$263,$A196)</f>
        <v>2360.9073034317075</v>
      </c>
      <c r="M196" s="69">
        <f>SUMIFS(Производительность_1!K$247:K$263,Производительность_1!$C$247:$C$263,$A196)</f>
        <v>2616.0844012997773</v>
      </c>
      <c r="N196" s="69">
        <f>SUMIFS(Производительность_1!L$247:L$263,Производительность_1!$C$247:$C$263,$A196)</f>
        <v>2682.1771700085524</v>
      </c>
      <c r="O196" s="69">
        <f>SUMIFS(Производительность_1!M$247:M$263,Производительность_1!$C$247:$C$263,$A196)</f>
        <v>2212.7795687724229</v>
      </c>
      <c r="P196" s="69">
        <f>SUMIFS(Производительность_1!N$247:N$263,Производительность_1!$C$247:$C$263,$A196)</f>
        <v>2505.5748914002793</v>
      </c>
      <c r="Q196" s="69">
        <f>SUMIFS(Производительность_1!O$247:O$263,Производительность_1!$C$247:$C$263,$A196)</f>
        <v>2476.8455502693701</v>
      </c>
      <c r="R196" s="69">
        <f>SUMIFS(Производительность_1!P$247:P$263,Производительность_1!$C$247:$C$263,$A196)</f>
        <v>2158.2123005531425</v>
      </c>
      <c r="S196" s="69">
        <f>SUMIFS(Производительность_1!Q$247:Q$263,Производительность_1!$C$247:$C$263,$A196)</f>
        <v>0</v>
      </c>
      <c r="T196" s="69">
        <f>SUMIFS(Производительность_1!R$247:R$263,Производительность_1!$C$247:$C$263,$A196)</f>
        <v>0</v>
      </c>
      <c r="U196" s="69">
        <f>SUMIFS(Производительность_1!S$247:S$263,Производительность_1!$C$247:$C$263,$A196)</f>
        <v>0</v>
      </c>
      <c r="V196" s="69">
        <f>SUMIFS(Производительность_1!T$247:T$263,Производительность_1!$C$247:$C$263,$A196)</f>
        <v>0</v>
      </c>
      <c r="W196" s="69">
        <f>SUMIFS(Производительность_1!U$247:U$263,Производительность_1!$C$247:$C$263,$A196)</f>
        <v>0</v>
      </c>
      <c r="X196" s="69">
        <f>SUMIFS(Производительность_1!V$247:V$263,Производительность_1!$C$247:$C$263,$A196)</f>
        <v>0</v>
      </c>
      <c r="Y196" s="69">
        <f>SUMIFS(Производительность_1!W$247:W$263,Производительность_1!$C$247:$C$263,$A196)</f>
        <v>0</v>
      </c>
      <c r="Z196" s="69">
        <f>SUMIFS(Производительность_1!X$247:X$263,Производительность_1!$C$247:$C$263,$A196)</f>
        <v>0</v>
      </c>
    </row>
    <row r="197" spans="1:28" outlineLevel="1" x14ac:dyDescent="0.25">
      <c r="A197" s="39" t="str">
        <f t="shared" si="98"/>
        <v>SANY SET240S</v>
      </c>
      <c r="B197" s="39"/>
      <c r="D197" s="67" t="s">
        <v>54</v>
      </c>
      <c r="E197" s="68" t="s">
        <v>24</v>
      </c>
      <c r="F197" s="69"/>
      <c r="G197" s="69">
        <f>SUMIFS(Производительность_1!E$263:E$279,Производительность_1!$C$263:$C$279,$A197)</f>
        <v>11076.640726864678</v>
      </c>
      <c r="H197" s="69">
        <f>SUMIFS(Производительность_1!F$263:F$279,Производительность_1!$C$263:$C$279,$A197)</f>
        <v>11054.443520478939</v>
      </c>
      <c r="I197" s="69">
        <f>SUMIFS(Производительность_1!G$263:G$279,Производительность_1!$C$263:$C$279,$A197)</f>
        <v>11288.298063342279</v>
      </c>
      <c r="J197" s="69">
        <f>SUMIFS(Производительность_1!H$263:H$279,Производительность_1!$C$263:$C$279,$A197)</f>
        <v>11662.655386471255</v>
      </c>
      <c r="K197" s="69">
        <f>SUMIFS(Производительность_1!I$263:I$279,Производительность_1!$C$263:$C$279,$A197)</f>
        <v>11592.003575903154</v>
      </c>
      <c r="L197" s="69">
        <f>SUMIFS(Производительность_1!J$263:J$279,Производительность_1!$C$263:$C$279,$A197)</f>
        <v>12645.272806075822</v>
      </c>
      <c r="M197" s="69">
        <f>SUMIFS(Производительность_1!K$263:K$279,Производительность_1!$C$263:$C$279,$A197)</f>
        <v>11560.947267746767</v>
      </c>
      <c r="N197" s="69">
        <f>SUMIFS(Производительность_1!L$263:L$279,Производительность_1!$C$263:$C$279,$A197)</f>
        <v>12140.172321843706</v>
      </c>
      <c r="O197" s="69">
        <f>SUMIFS(Производительность_1!M$263:M$279,Производительность_1!$C$263:$C$279,$A197)</f>
        <v>11913.731788068266</v>
      </c>
      <c r="P197" s="69">
        <f>SUMIFS(Производительность_1!N$263:N$279,Производительность_1!$C$263:$C$279,$A197)</f>
        <v>12076.258371741191</v>
      </c>
      <c r="Q197" s="69">
        <f>SUMIFS(Производительность_1!O$263:O$279,Производительность_1!$C$263:$C$279,$A197)</f>
        <v>11739.674112568489</v>
      </c>
      <c r="R197" s="69">
        <f>SUMIFS(Производительность_1!P$263:P$279,Производительность_1!$C$263:$C$279,$A197)</f>
        <v>12381.274976461345</v>
      </c>
      <c r="S197" s="69">
        <f>SUMIFS(Производительность_1!Q$263:Q$279,Производительность_1!$C$263:$C$279,$A197)</f>
        <v>0</v>
      </c>
      <c r="T197" s="69">
        <f>SUMIFS(Производительность_1!R$263:R$279,Производительность_1!$C$263:$C$279,$A197)</f>
        <v>0</v>
      </c>
      <c r="U197" s="69">
        <f>SUMIFS(Производительность_1!S$263:S$279,Производительность_1!$C$263:$C$279,$A197)</f>
        <v>0</v>
      </c>
      <c r="V197" s="69">
        <f>SUMIFS(Производительность_1!T$263:T$279,Производительность_1!$C$263:$C$279,$A197)</f>
        <v>0</v>
      </c>
      <c r="W197" s="69">
        <f>SUMIFS(Производительность_1!U$263:U$279,Производительность_1!$C$263:$C$279,$A197)</f>
        <v>0</v>
      </c>
      <c r="X197" s="69">
        <f>SUMIFS(Производительность_1!V$263:V$279,Производительность_1!$C$263:$C$279,$A197)</f>
        <v>0</v>
      </c>
      <c r="Y197" s="69">
        <f>SUMIFS(Производительность_1!W$263:W$279,Производительность_1!$C$263:$C$279,$A197)</f>
        <v>0</v>
      </c>
      <c r="Z197" s="69">
        <f>SUMIFS(Производительность_1!X$263:X$279,Производительность_1!$C$263:$C$279,$A197)</f>
        <v>0</v>
      </c>
    </row>
    <row r="198" spans="1:28" outlineLevel="1" x14ac:dyDescent="0.25">
      <c r="A198" s="39" t="str">
        <f t="shared" si="98"/>
        <v>SANY SET240S</v>
      </c>
      <c r="B198" s="39"/>
      <c r="D198" s="70" t="s">
        <v>55</v>
      </c>
      <c r="E198" s="64" t="str">
        <f>E197</f>
        <v>тыс. ткм</v>
      </c>
      <c r="F198" s="65"/>
      <c r="G198" s="65">
        <f>G197</f>
        <v>11076.640726864678</v>
      </c>
      <c r="H198" s="65">
        <f>G198+H197</f>
        <v>22131.084247343617</v>
      </c>
      <c r="I198" s="65">
        <f t="shared" ref="I198:Z198" si="99">H198+I197</f>
        <v>33419.382310685898</v>
      </c>
      <c r="J198" s="65">
        <f t="shared" si="99"/>
        <v>45082.037697157153</v>
      </c>
      <c r="K198" s="65">
        <f t="shared" si="99"/>
        <v>56674.041273060306</v>
      </c>
      <c r="L198" s="65">
        <f t="shared" si="99"/>
        <v>69319.314079136122</v>
      </c>
      <c r="M198" s="65">
        <f t="shared" si="99"/>
        <v>80880.261346882893</v>
      </c>
      <c r="N198" s="65">
        <f t="shared" si="99"/>
        <v>93020.433668726604</v>
      </c>
      <c r="O198" s="65">
        <f t="shared" si="99"/>
        <v>104934.16545679487</v>
      </c>
      <c r="P198" s="65">
        <f t="shared" si="99"/>
        <v>117010.42382853606</v>
      </c>
      <c r="Q198" s="65">
        <f t="shared" si="99"/>
        <v>128750.09794110456</v>
      </c>
      <c r="R198" s="65">
        <f t="shared" si="99"/>
        <v>141131.3729175659</v>
      </c>
      <c r="S198" s="65">
        <f t="shared" si="99"/>
        <v>141131.3729175659</v>
      </c>
      <c r="T198" s="65">
        <f t="shared" si="99"/>
        <v>141131.3729175659</v>
      </c>
      <c r="U198" s="65">
        <f t="shared" si="99"/>
        <v>141131.3729175659</v>
      </c>
      <c r="V198" s="65">
        <f t="shared" si="99"/>
        <v>141131.3729175659</v>
      </c>
      <c r="W198" s="65">
        <f t="shared" si="99"/>
        <v>141131.3729175659</v>
      </c>
      <c r="X198" s="65">
        <f t="shared" si="99"/>
        <v>141131.3729175659</v>
      </c>
      <c r="Y198" s="65">
        <f t="shared" si="99"/>
        <v>141131.3729175659</v>
      </c>
      <c r="Z198" s="65">
        <f t="shared" si="99"/>
        <v>141131.3729175659</v>
      </c>
    </row>
    <row r="199" spans="1:28" outlineLevel="1" x14ac:dyDescent="0.25">
      <c r="A199" s="39" t="str">
        <f t="shared" si="98"/>
        <v>SANY SET240S</v>
      </c>
      <c r="B199" s="39"/>
      <c r="D199" s="63" t="s">
        <v>56</v>
      </c>
      <c r="E199" s="64" t="s">
        <v>57</v>
      </c>
      <c r="F199" s="65"/>
      <c r="G199" s="65">
        <f>SUMIFS(Производительность_1!E$279:E$295,Производительность_1!$C$279:$C$295,$A199)/1000</f>
        <v>104.08504181104711</v>
      </c>
      <c r="H199" s="65">
        <f>SUMIFS(Производительность_1!F$279:F$295,Производительность_1!$C$279:$C$295,$A199)/1000</f>
        <v>103.87645897336921</v>
      </c>
      <c r="I199" s="65">
        <f>SUMIFS(Производительность_1!G$279:G$295,Производительность_1!$C$279:$C$295,$A199)/1000</f>
        <v>106.07394469777293</v>
      </c>
      <c r="J199" s="65">
        <f>SUMIFS(Производительность_1!H$279:H$295,Производительность_1!$C$279:$C$295,$A199)/1000</f>
        <v>109.59170776249412</v>
      </c>
      <c r="K199" s="65">
        <f>SUMIFS(Производительность_1!I$279:I$295,Производительность_1!$C$279:$C$295,$A199)/1000</f>
        <v>108.92780641926726</v>
      </c>
      <c r="L199" s="65">
        <f>SUMIFS(Производительность_1!J$279:J$295,Производительность_1!$C$279:$C$295,$A199)/1000</f>
        <v>118.82517282882516</v>
      </c>
      <c r="M199" s="65">
        <f>SUMIFS(Производительность_1!K$279:K$295,Производительность_1!$C$279:$C$295,$A199)/1000</f>
        <v>108.63597632270069</v>
      </c>
      <c r="N199" s="65">
        <f>SUMIFS(Производительность_1!L$279:L$295,Производительность_1!$C$279:$C$295,$A199)/1000</f>
        <v>114.07884166972462</v>
      </c>
      <c r="O199" s="65">
        <f>SUMIFS(Производительность_1!M$279:M$295,Производительность_1!$C$279:$C$295,$A199)/1000</f>
        <v>111.95102394890884</v>
      </c>
      <c r="P199" s="65">
        <f>SUMIFS(Производительность_1!N$279:N$295,Производительность_1!$C$279:$C$295,$A199)/1000</f>
        <v>113.47825469279084</v>
      </c>
      <c r="Q199" s="65">
        <f>SUMIFS(Производительность_1!O$279:O$295,Производительность_1!$C$279:$C$295,$A199)/1000</f>
        <v>110.31543777448427</v>
      </c>
      <c r="R199" s="65">
        <f>SUMIFS(Производительность_1!P$279:P$295,Производительность_1!$C$279:$C$295,$A199)/1000</f>
        <v>116.34443649268992</v>
      </c>
      <c r="S199" s="65">
        <f>SUMIFS(Производительность_1!Q$279:Q$295,Производительность_1!$C$279:$C$295,$A199)/1000</f>
        <v>0</v>
      </c>
      <c r="T199" s="65">
        <f>SUMIFS(Производительность_1!R$279:R$295,Производительность_1!$C$279:$C$295,$A199)/1000</f>
        <v>0</v>
      </c>
      <c r="U199" s="65">
        <f>SUMIFS(Производительность_1!S$279:S$295,Производительность_1!$C$279:$C$295,$A199)/1000</f>
        <v>0</v>
      </c>
      <c r="V199" s="65">
        <f>SUMIFS(Производительность_1!T$279:T$295,Производительность_1!$C$279:$C$295,$A199)/1000</f>
        <v>0</v>
      </c>
      <c r="W199" s="65">
        <f>SUMIFS(Производительность_1!U$279:U$295,Производительность_1!$C$279:$C$295,$A199)/1000</f>
        <v>0</v>
      </c>
      <c r="X199" s="65">
        <f>SUMIFS(Производительность_1!V$279:V$295,Производительность_1!$C$279:$C$295,$A199)/1000</f>
        <v>0</v>
      </c>
      <c r="Y199" s="65">
        <f>SUMIFS(Производительность_1!W$279:W$295,Производительность_1!$C$279:$C$295,$A199)/1000</f>
        <v>0</v>
      </c>
      <c r="Z199" s="65">
        <f>SUMIFS(Производительность_1!X$279:X$295,Производительность_1!$C$279:$C$295,$A199)/1000</f>
        <v>0</v>
      </c>
    </row>
    <row r="200" spans="1:28" outlineLevel="1" x14ac:dyDescent="0.25">
      <c r="A200" s="39" t="str">
        <f t="shared" si="98"/>
        <v>SANY SET240S</v>
      </c>
      <c r="B200" s="39"/>
      <c r="D200" s="31"/>
      <c r="E200" s="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8" outlineLevel="1" x14ac:dyDescent="0.25">
      <c r="A201" s="39" t="str">
        <f t="shared" si="98"/>
        <v>SANY SET240S</v>
      </c>
      <c r="B201" s="39"/>
      <c r="D201" s="71" t="s">
        <v>58</v>
      </c>
      <c r="E201" s="72" t="s">
        <v>33</v>
      </c>
      <c r="F201" s="73">
        <f>F226+F227-F225</f>
        <v>0</v>
      </c>
      <c r="G201" s="73">
        <f t="shared" ref="G201:Z201" si="100">G226+G227-G225</f>
        <v>90424.217991647572</v>
      </c>
      <c r="H201" s="73">
        <f t="shared" si="100"/>
        <v>95645.344467083807</v>
      </c>
      <c r="I201" s="73">
        <f t="shared" si="100"/>
        <v>124332.45305836329</v>
      </c>
      <c r="J201" s="73">
        <f t="shared" si="100"/>
        <v>105937.05590861087</v>
      </c>
      <c r="K201" s="73">
        <f t="shared" si="100"/>
        <v>152685.10134933365</v>
      </c>
      <c r="L201" s="73">
        <f t="shared" si="100"/>
        <v>142628.55382006362</v>
      </c>
      <c r="M201" s="73">
        <f t="shared" si="100"/>
        <v>102659.42665804707</v>
      </c>
      <c r="N201" s="73">
        <f t="shared" si="100"/>
        <v>106264.46620133477</v>
      </c>
      <c r="O201" s="73">
        <f t="shared" si="100"/>
        <v>181106.12609839198</v>
      </c>
      <c r="P201" s="73">
        <f t="shared" si="100"/>
        <v>100734.4338333178</v>
      </c>
      <c r="Q201" s="73">
        <f t="shared" si="100"/>
        <v>103132.85009078209</v>
      </c>
      <c r="R201" s="73">
        <f t="shared" si="100"/>
        <v>108710.78270992349</v>
      </c>
      <c r="S201" s="73">
        <f t="shared" si="100"/>
        <v>0</v>
      </c>
      <c r="T201" s="73">
        <f t="shared" si="100"/>
        <v>0</v>
      </c>
      <c r="U201" s="73">
        <f t="shared" si="100"/>
        <v>0</v>
      </c>
      <c r="V201" s="73">
        <f t="shared" si="100"/>
        <v>0</v>
      </c>
      <c r="W201" s="73">
        <f t="shared" si="100"/>
        <v>0</v>
      </c>
      <c r="X201" s="73">
        <f t="shared" si="100"/>
        <v>0</v>
      </c>
      <c r="Y201" s="73">
        <f t="shared" si="100"/>
        <v>0</v>
      </c>
      <c r="Z201" s="73">
        <f t="shared" si="100"/>
        <v>0</v>
      </c>
    </row>
    <row r="202" spans="1:28" outlineLevel="1" x14ac:dyDescent="0.25">
      <c r="A202" s="39" t="str">
        <f t="shared" si="98"/>
        <v>SANY SET240S</v>
      </c>
      <c r="B202" s="39"/>
      <c r="C202" s="619" t="str">
        <f>D202</f>
        <v>ТО, ТР, ППР</v>
      </c>
      <c r="D202" s="430" t="s">
        <v>59</v>
      </c>
      <c r="E202" s="68" t="str">
        <f>E201</f>
        <v>тыс. руб.</v>
      </c>
      <c r="F202" s="74"/>
      <c r="G202" s="455">
        <f>(G203+G204+G205)*'ФОТ, МТР, макро'!AK$7</f>
        <v>12729.248892019543</v>
      </c>
      <c r="H202" s="455">
        <f>(H203+H204+H205)*'ФОТ, МТР, макро'!AL$7</f>
        <v>19869.342512994954</v>
      </c>
      <c r="I202" s="455">
        <f>(I203+I204+I205)*'ФОТ, МТР, макро'!AM$7</f>
        <v>56237.301455404791</v>
      </c>
      <c r="J202" s="455">
        <f>(J203+J204+J205)*'ФОТ, МТР, макро'!AN$7</f>
        <v>28698.145450494958</v>
      </c>
      <c r="K202" s="455">
        <f>(K203+K204+K205)*'ФОТ, МТР, макро'!AO$7</f>
        <v>91597.314673069559</v>
      </c>
      <c r="L202" s="455">
        <f>(L203+L204+L205)*'ФОТ, МТР, макро'!AP$7</f>
        <v>69714.315828880222</v>
      </c>
      <c r="M202" s="455">
        <f>(M203+M204+M205)*'ФОТ, МТР, макро'!AQ$7</f>
        <v>25146.284250019544</v>
      </c>
      <c r="N202" s="455">
        <f>(N203+N204+N205)*'ФОТ, МТР, макро'!AR$7</f>
        <v>25292.743313994957</v>
      </c>
      <c r="O202" s="455">
        <f>(O203+O204+O205)*'ФОТ, МТР, макро'!AS$7</f>
        <v>126903.4915999548</v>
      </c>
      <c r="P202" s="455">
        <f>(P203+P204+P205)*'ФОТ, МТР, макро'!AT$7</f>
        <v>18433.598111994957</v>
      </c>
      <c r="Q202" s="455">
        <f>(Q203+Q204+Q205)*'ФОТ, МТР, макро'!AU$7</f>
        <v>24339.536217019544</v>
      </c>
      <c r="R202" s="455">
        <f>(R203+R204+R205)*'ФОТ, МТР, макро'!AV$7</f>
        <v>26614.663480519543</v>
      </c>
      <c r="S202" s="455"/>
      <c r="T202" s="455"/>
      <c r="U202" s="455"/>
      <c r="V202" s="455"/>
      <c r="W202" s="455"/>
      <c r="X202" s="455"/>
      <c r="Y202" s="455"/>
      <c r="Z202" s="455"/>
      <c r="AB202" s="76">
        <f>SUM(F202:Z202,F216:Z216)/E191</f>
        <v>43797.998815530613</v>
      </c>
    </row>
    <row r="203" spans="1:28" outlineLevel="1" x14ac:dyDescent="0.25">
      <c r="A203" s="39" t="str">
        <f t="shared" si="98"/>
        <v>SANY SET240S</v>
      </c>
      <c r="B203" s="39"/>
      <c r="D203" s="427" t="s">
        <v>60</v>
      </c>
      <c r="E203" s="428" t="s">
        <v>35</v>
      </c>
      <c r="F203" s="30"/>
      <c r="G203" s="456">
        <f>SANY_1!E19</f>
        <v>93.68070774674284</v>
      </c>
      <c r="H203" s="456">
        <f>SANY_1!F19</f>
        <v>93.68070774674284</v>
      </c>
      <c r="I203" s="456">
        <f>SANY_1!G19</f>
        <v>93.68070774674284</v>
      </c>
      <c r="J203" s="456">
        <f>SANY_1!H19</f>
        <v>93.68070774674284</v>
      </c>
      <c r="K203" s="456">
        <f>SANY_1!I19</f>
        <v>93.68070774674284</v>
      </c>
      <c r="L203" s="456">
        <f>SANY_1!J19</f>
        <v>93.68070774674284</v>
      </c>
      <c r="M203" s="456">
        <f>SANY_1!K19</f>
        <v>93.68070774674284</v>
      </c>
      <c r="N203" s="456">
        <f>SANY_1!L19</f>
        <v>93.68070774674284</v>
      </c>
      <c r="O203" s="456">
        <f>SANY_1!M19</f>
        <v>93.68070774674284</v>
      </c>
      <c r="P203" s="456">
        <f>SANY_1!N19</f>
        <v>93.68070774674284</v>
      </c>
      <c r="Q203" s="456">
        <f>SANY_1!O19</f>
        <v>93.68070774674284</v>
      </c>
      <c r="R203" s="456">
        <f>SANY_1!P19</f>
        <v>93.68070774674284</v>
      </c>
      <c r="S203" s="456"/>
      <c r="T203" s="456"/>
      <c r="U203" s="456"/>
      <c r="V203" s="456"/>
      <c r="W203" s="456"/>
      <c r="X203" s="456"/>
      <c r="Y203" s="456"/>
      <c r="Z203" s="456"/>
    </row>
    <row r="204" spans="1:28" outlineLevel="1" x14ac:dyDescent="0.25">
      <c r="A204" s="39" t="str">
        <f t="shared" si="98"/>
        <v>SANY SET240S</v>
      </c>
      <c r="B204" s="39"/>
      <c r="D204" s="427" t="s">
        <v>61</v>
      </c>
      <c r="E204" s="428" t="s">
        <v>35</v>
      </c>
      <c r="F204" s="30"/>
      <c r="G204" s="456">
        <f>SANY_1!E20+SANY_1!E21</f>
        <v>17.931000000000001</v>
      </c>
      <c r="H204" s="456">
        <f>SANY_1!F20+SANY_1!F21</f>
        <v>80.142271662763463</v>
      </c>
      <c r="I204" s="456">
        <f>SANY_1!G20+SANY_1!G21</f>
        <v>451.56393442622948</v>
      </c>
      <c r="J204" s="456">
        <f>SANY_1!H20+SANY_1!H21</f>
        <v>174.38527166276347</v>
      </c>
      <c r="K204" s="456">
        <f>SANY_1!I20+SANY_1!I21</f>
        <v>821.10030000000006</v>
      </c>
      <c r="L204" s="456">
        <f>SANY_1!J20+SANY_1!J21</f>
        <v>610.50249180327876</v>
      </c>
      <c r="M204" s="456">
        <f>SANY_1!K20+SANY_1!K21</f>
        <v>120.979</v>
      </c>
      <c r="N204" s="456">
        <f>SANY_1!L20+SANY_1!L21</f>
        <v>138.17627166276347</v>
      </c>
      <c r="O204" s="456">
        <f>SANY_1!M20+SANY_1!M21</f>
        <v>1196.5042344262295</v>
      </c>
      <c r="P204" s="456">
        <f>SANY_1!N20+SANY_1!N21</f>
        <v>57.424271662763459</v>
      </c>
      <c r="Q204" s="456">
        <f>SANY_1!O20+SANY_1!O21</f>
        <v>111.48099999999999</v>
      </c>
      <c r="R204" s="456">
        <f>SANY_1!P20+SANY_1!P21</f>
        <v>138.892</v>
      </c>
      <c r="S204" s="456"/>
      <c r="T204" s="456"/>
      <c r="U204" s="456"/>
      <c r="V204" s="456"/>
      <c r="W204" s="456"/>
      <c r="X204" s="456"/>
      <c r="Y204" s="456"/>
      <c r="Z204" s="456"/>
    </row>
    <row r="205" spans="1:28" outlineLevel="1" x14ac:dyDescent="0.25">
      <c r="A205" s="39" t="str">
        <f t="shared" si="98"/>
        <v>SANY SET240S</v>
      </c>
      <c r="B205" s="39"/>
      <c r="D205" s="427" t="s">
        <v>62</v>
      </c>
      <c r="E205" s="428" t="s">
        <v>33</v>
      </c>
      <c r="F205" s="30"/>
      <c r="G205" s="456">
        <f>SANY_1!E22+SANY_1!E23</f>
        <v>23.736000000000001</v>
      </c>
      <c r="H205" s="456">
        <f>SANY_1!F22+SANY_1!F23</f>
        <v>37.444000000000003</v>
      </c>
      <c r="I205" s="456">
        <f>SANY_1!G22+SANY_1!G23</f>
        <v>52.716000000000001</v>
      </c>
      <c r="J205" s="456">
        <f>SANY_1!H22+SANY_1!H23</f>
        <v>37.076000000000001</v>
      </c>
      <c r="K205" s="456">
        <f>SANY_1!I22+SANY_1!I23</f>
        <v>59.155999999999999</v>
      </c>
      <c r="L205" s="456">
        <f>SANY_1!J22+SANY_1!J23</f>
        <v>37.076000000000001</v>
      </c>
      <c r="M205" s="456">
        <f>SANY_1!K22+SANY_1!K23</f>
        <v>52.716000000000001</v>
      </c>
      <c r="N205" s="456">
        <f>SANY_1!L22+SANY_1!L23</f>
        <v>37.076000000000001</v>
      </c>
      <c r="O205" s="456">
        <f>SANY_1!M22+SANY_1!M23</f>
        <v>59.155999999999999</v>
      </c>
      <c r="P205" s="456">
        <f>SANY_1!N22+SANY_1!N23</f>
        <v>44.896000000000001</v>
      </c>
      <c r="Q205" s="456">
        <f>SANY_1!O22+SANY_1!O23</f>
        <v>53.636000000000003</v>
      </c>
      <c r="R205" s="456">
        <f>SANY_1!P22+SANY_1!P23</f>
        <v>50.416000000000004</v>
      </c>
      <c r="S205" s="456"/>
      <c r="T205" s="456"/>
      <c r="U205" s="456"/>
      <c r="V205" s="456"/>
      <c r="W205" s="456"/>
      <c r="X205" s="456"/>
      <c r="Y205" s="456"/>
      <c r="Z205" s="456"/>
    </row>
    <row r="206" spans="1:28" outlineLevel="1" x14ac:dyDescent="0.25">
      <c r="A206" s="39" t="str">
        <f t="shared" si="98"/>
        <v>SANY SET240S</v>
      </c>
      <c r="B206" s="39"/>
      <c r="D206" s="80" t="s">
        <v>63</v>
      </c>
      <c r="E206" s="81"/>
      <c r="F206" s="82"/>
      <c r="G206" s="83" t="e">
        <f>G202/$F230</f>
        <v>#DIV/0!</v>
      </c>
      <c r="H206" s="83" t="e">
        <f t="shared" ref="H206:Z206" si="101">H202/$F230</f>
        <v>#DIV/0!</v>
      </c>
      <c r="I206" s="83" t="e">
        <f t="shared" si="101"/>
        <v>#DIV/0!</v>
      </c>
      <c r="J206" s="83" t="e">
        <f t="shared" si="101"/>
        <v>#DIV/0!</v>
      </c>
      <c r="K206" s="83" t="e">
        <f t="shared" si="101"/>
        <v>#DIV/0!</v>
      </c>
      <c r="L206" s="83" t="e">
        <f t="shared" si="101"/>
        <v>#DIV/0!</v>
      </c>
      <c r="M206" s="83" t="e">
        <f t="shared" si="101"/>
        <v>#DIV/0!</v>
      </c>
      <c r="N206" s="83" t="e">
        <f t="shared" si="101"/>
        <v>#DIV/0!</v>
      </c>
      <c r="O206" s="83" t="e">
        <f t="shared" si="101"/>
        <v>#DIV/0!</v>
      </c>
      <c r="P206" s="83" t="e">
        <f t="shared" si="101"/>
        <v>#DIV/0!</v>
      </c>
      <c r="Q206" s="83" t="e">
        <f t="shared" si="101"/>
        <v>#DIV/0!</v>
      </c>
      <c r="R206" s="83" t="e">
        <f t="shared" si="101"/>
        <v>#DIV/0!</v>
      </c>
      <c r="S206" s="83" t="e">
        <f t="shared" si="101"/>
        <v>#DIV/0!</v>
      </c>
      <c r="T206" s="83" t="e">
        <f t="shared" si="101"/>
        <v>#DIV/0!</v>
      </c>
      <c r="U206" s="83" t="e">
        <f t="shared" si="101"/>
        <v>#DIV/0!</v>
      </c>
      <c r="V206" s="83" t="e">
        <f t="shared" si="101"/>
        <v>#DIV/0!</v>
      </c>
      <c r="W206" s="83" t="e">
        <f t="shared" si="101"/>
        <v>#DIV/0!</v>
      </c>
      <c r="X206" s="83" t="e">
        <f t="shared" si="101"/>
        <v>#DIV/0!</v>
      </c>
      <c r="Y206" s="83" t="e">
        <f t="shared" si="101"/>
        <v>#DIV/0!</v>
      </c>
      <c r="Z206" s="83" t="e">
        <f t="shared" si="101"/>
        <v>#DIV/0!</v>
      </c>
      <c r="AA206" s="84" t="e">
        <f>SUM(F202:Z202)/$F230</f>
        <v>#DIV/0!</v>
      </c>
    </row>
    <row r="207" spans="1:28" outlineLevel="1" x14ac:dyDescent="0.25">
      <c r="A207" s="39" t="str">
        <f t="shared" si="98"/>
        <v>SANY SET240S</v>
      </c>
      <c r="B207" s="39"/>
      <c r="D207" s="67" t="s">
        <v>39</v>
      </c>
      <c r="E207" s="68" t="str">
        <f>E201</f>
        <v>тыс. руб.</v>
      </c>
      <c r="F207" s="74"/>
      <c r="G207" s="85">
        <f>G209*G210</f>
        <v>23305.017145833415</v>
      </c>
      <c r="H207" s="85">
        <f t="shared" ref="H207:Z207" si="102">H209*H210</f>
        <v>23258.31469441648</v>
      </c>
      <c r="I207" s="85">
        <f t="shared" si="102"/>
        <v>23750.339692378457</v>
      </c>
      <c r="J207" s="85">
        <f t="shared" si="102"/>
        <v>24537.979559854652</v>
      </c>
      <c r="K207" s="85">
        <f t="shared" si="102"/>
        <v>24389.329648994913</v>
      </c>
      <c r="L207" s="85">
        <f t="shared" si="102"/>
        <v>26605.38576868282</v>
      </c>
      <c r="M207" s="85">
        <f t="shared" si="102"/>
        <v>24323.98783536044</v>
      </c>
      <c r="N207" s="85">
        <f t="shared" si="102"/>
        <v>25542.665063401793</v>
      </c>
      <c r="O207" s="85">
        <f t="shared" si="102"/>
        <v>25066.238983304305</v>
      </c>
      <c r="P207" s="85">
        <f t="shared" si="102"/>
        <v>25408.191468046803</v>
      </c>
      <c r="Q207" s="85">
        <f t="shared" si="102"/>
        <v>24700.025325940842</v>
      </c>
      <c r="R207" s="85">
        <f t="shared" si="102"/>
        <v>26049.939934757167</v>
      </c>
      <c r="S207" s="85">
        <f t="shared" si="102"/>
        <v>0</v>
      </c>
      <c r="T207" s="85">
        <f t="shared" si="102"/>
        <v>0</v>
      </c>
      <c r="U207" s="85">
        <f t="shared" si="102"/>
        <v>0</v>
      </c>
      <c r="V207" s="85">
        <f t="shared" si="102"/>
        <v>0</v>
      </c>
      <c r="W207" s="85">
        <f t="shared" si="102"/>
        <v>0</v>
      </c>
      <c r="X207" s="85">
        <f t="shared" si="102"/>
        <v>0</v>
      </c>
      <c r="Y207" s="85">
        <f t="shared" si="102"/>
        <v>0</v>
      </c>
      <c r="Z207" s="85">
        <f t="shared" si="102"/>
        <v>0</v>
      </c>
    </row>
    <row r="208" spans="1:28" outlineLevel="1" x14ac:dyDescent="0.25">
      <c r="A208" s="39" t="str">
        <f t="shared" si="98"/>
        <v>SANY SET240S</v>
      </c>
      <c r="B208" s="39"/>
      <c r="D208" s="31" t="s">
        <v>64</v>
      </c>
      <c r="E208" s="9" t="s">
        <v>65</v>
      </c>
      <c r="F208" s="86">
        <f>SUMIFS('ФОТ, МТР, макро'!$Z$4:$Z$20,'ФОТ, МТР, макро'!$W$4:$W$20,$A208)</f>
        <v>7.4999999999999997E-2</v>
      </c>
      <c r="G208" s="87">
        <f>F208</f>
        <v>7.4999999999999997E-2</v>
      </c>
      <c r="H208" s="87">
        <f t="shared" ref="H208:Z208" si="103">G208</f>
        <v>7.4999999999999997E-2</v>
      </c>
      <c r="I208" s="87">
        <f t="shared" si="103"/>
        <v>7.4999999999999997E-2</v>
      </c>
      <c r="J208" s="87">
        <f t="shared" si="103"/>
        <v>7.4999999999999997E-2</v>
      </c>
      <c r="K208" s="87">
        <f t="shared" si="103"/>
        <v>7.4999999999999997E-2</v>
      </c>
      <c r="L208" s="87">
        <f t="shared" si="103"/>
        <v>7.4999999999999997E-2</v>
      </c>
      <c r="M208" s="87">
        <f t="shared" si="103"/>
        <v>7.4999999999999997E-2</v>
      </c>
      <c r="N208" s="87">
        <f t="shared" si="103"/>
        <v>7.4999999999999997E-2</v>
      </c>
      <c r="O208" s="87">
        <f t="shared" si="103"/>
        <v>7.4999999999999997E-2</v>
      </c>
      <c r="P208" s="87">
        <f t="shared" si="103"/>
        <v>7.4999999999999997E-2</v>
      </c>
      <c r="Q208" s="87">
        <f t="shared" si="103"/>
        <v>7.4999999999999997E-2</v>
      </c>
      <c r="R208" s="87">
        <f t="shared" si="103"/>
        <v>7.4999999999999997E-2</v>
      </c>
      <c r="S208" s="87">
        <f t="shared" si="103"/>
        <v>7.4999999999999997E-2</v>
      </c>
      <c r="T208" s="87">
        <f t="shared" si="103"/>
        <v>7.4999999999999997E-2</v>
      </c>
      <c r="U208" s="87">
        <f t="shared" si="103"/>
        <v>7.4999999999999997E-2</v>
      </c>
      <c r="V208" s="87">
        <f t="shared" si="103"/>
        <v>7.4999999999999997E-2</v>
      </c>
      <c r="W208" s="87">
        <f t="shared" si="103"/>
        <v>7.4999999999999997E-2</v>
      </c>
      <c r="X208" s="87">
        <f t="shared" si="103"/>
        <v>7.4999999999999997E-2</v>
      </c>
      <c r="Y208" s="87">
        <f t="shared" si="103"/>
        <v>7.4999999999999997E-2</v>
      </c>
      <c r="Z208" s="87">
        <f t="shared" si="103"/>
        <v>7.4999999999999997E-2</v>
      </c>
    </row>
    <row r="209" spans="1:28" outlineLevel="1" x14ac:dyDescent="0.25">
      <c r="A209" s="39" t="str">
        <f t="shared" si="98"/>
        <v>SANY SET240S</v>
      </c>
      <c r="B209" s="39"/>
      <c r="D209" s="31" t="s">
        <v>66</v>
      </c>
      <c r="E209" s="9" t="s">
        <v>67</v>
      </c>
      <c r="F209" s="74"/>
      <c r="G209" s="78">
        <f>G199*G208</f>
        <v>7.8063781358285329</v>
      </c>
      <c r="H209" s="78">
        <f t="shared" ref="H209:Z209" si="104">H199*H208</f>
        <v>7.7907344230026903</v>
      </c>
      <c r="I209" s="78">
        <f t="shared" si="104"/>
        <v>7.9555458523329694</v>
      </c>
      <c r="J209" s="78">
        <f t="shared" si="104"/>
        <v>8.2193780821870597</v>
      </c>
      <c r="K209" s="78">
        <f t="shared" si="104"/>
        <v>8.1695854814450435</v>
      </c>
      <c r="L209" s="78">
        <f t="shared" si="104"/>
        <v>8.9118879621618863</v>
      </c>
      <c r="M209" s="78">
        <f t="shared" si="104"/>
        <v>8.1476982242025517</v>
      </c>
      <c r="N209" s="78">
        <f t="shared" si="104"/>
        <v>8.5559131252293472</v>
      </c>
      <c r="O209" s="78">
        <f t="shared" si="104"/>
        <v>8.3963267961681627</v>
      </c>
      <c r="P209" s="78">
        <f t="shared" si="104"/>
        <v>8.5108691019593135</v>
      </c>
      <c r="Q209" s="78">
        <f t="shared" si="104"/>
        <v>8.27365783308632</v>
      </c>
      <c r="R209" s="78">
        <f t="shared" si="104"/>
        <v>8.7258327369517446</v>
      </c>
      <c r="S209" s="78">
        <f t="shared" si="104"/>
        <v>0</v>
      </c>
      <c r="T209" s="78">
        <f t="shared" si="104"/>
        <v>0</v>
      </c>
      <c r="U209" s="78">
        <f t="shared" si="104"/>
        <v>0</v>
      </c>
      <c r="V209" s="78">
        <f t="shared" si="104"/>
        <v>0</v>
      </c>
      <c r="W209" s="78">
        <f t="shared" si="104"/>
        <v>0</v>
      </c>
      <c r="X209" s="78">
        <f t="shared" si="104"/>
        <v>0</v>
      </c>
      <c r="Y209" s="78">
        <f t="shared" si="104"/>
        <v>0</v>
      </c>
      <c r="Z209" s="78">
        <f t="shared" si="104"/>
        <v>0</v>
      </c>
      <c r="AA209" s="88">
        <f>SUM(F199:Z199)*F208-SUM(F209:Z209)</f>
        <v>0</v>
      </c>
    </row>
    <row r="210" spans="1:28" outlineLevel="1" x14ac:dyDescent="0.25">
      <c r="A210" s="39" t="str">
        <f t="shared" si="98"/>
        <v>SANY SET240S</v>
      </c>
      <c r="B210" s="39"/>
      <c r="D210" s="31" t="s">
        <v>68</v>
      </c>
      <c r="E210" s="9" t="s">
        <v>69</v>
      </c>
      <c r="F210" s="78">
        <f>SUMIFS('ФОТ, МТР, макро'!$AA$4:$AA$20,'ФОТ, МТР, макро'!$W$4:$W$20,$A210)</f>
        <v>2985.3815355000002</v>
      </c>
      <c r="G210" s="89">
        <f>F210</f>
        <v>2985.3815355000002</v>
      </c>
      <c r="H210" s="89">
        <f t="shared" ref="H210:Z210" si="105">G210</f>
        <v>2985.3815355000002</v>
      </c>
      <c r="I210" s="89">
        <f t="shared" si="105"/>
        <v>2985.3815355000002</v>
      </c>
      <c r="J210" s="89">
        <f t="shared" si="105"/>
        <v>2985.3815355000002</v>
      </c>
      <c r="K210" s="89">
        <f t="shared" si="105"/>
        <v>2985.3815355000002</v>
      </c>
      <c r="L210" s="89">
        <f t="shared" si="105"/>
        <v>2985.3815355000002</v>
      </c>
      <c r="M210" s="89">
        <f t="shared" si="105"/>
        <v>2985.3815355000002</v>
      </c>
      <c r="N210" s="89">
        <f t="shared" si="105"/>
        <v>2985.3815355000002</v>
      </c>
      <c r="O210" s="89">
        <f t="shared" si="105"/>
        <v>2985.3815355000002</v>
      </c>
      <c r="P210" s="89">
        <f t="shared" si="105"/>
        <v>2985.3815355000002</v>
      </c>
      <c r="Q210" s="89">
        <f t="shared" si="105"/>
        <v>2985.3815355000002</v>
      </c>
      <c r="R210" s="89">
        <f t="shared" si="105"/>
        <v>2985.3815355000002</v>
      </c>
      <c r="S210" s="89">
        <f t="shared" si="105"/>
        <v>2985.3815355000002</v>
      </c>
      <c r="T210" s="89">
        <f t="shared" si="105"/>
        <v>2985.3815355000002</v>
      </c>
      <c r="U210" s="89">
        <f t="shared" si="105"/>
        <v>2985.3815355000002</v>
      </c>
      <c r="V210" s="89">
        <f t="shared" si="105"/>
        <v>2985.3815355000002</v>
      </c>
      <c r="W210" s="89">
        <f t="shared" si="105"/>
        <v>2985.3815355000002</v>
      </c>
      <c r="X210" s="89">
        <f t="shared" si="105"/>
        <v>2985.3815355000002</v>
      </c>
      <c r="Y210" s="89">
        <f t="shared" si="105"/>
        <v>2985.3815355000002</v>
      </c>
      <c r="Z210" s="89">
        <f t="shared" si="105"/>
        <v>2985.3815355000002</v>
      </c>
    </row>
    <row r="211" spans="1:28" outlineLevel="1" x14ac:dyDescent="0.25">
      <c r="A211" s="39" t="str">
        <f t="shared" si="98"/>
        <v>SANY SET240S</v>
      </c>
      <c r="B211" s="39"/>
      <c r="D211" s="67" t="s">
        <v>70</v>
      </c>
      <c r="E211" s="68" t="str">
        <f>E201</f>
        <v>тыс. руб.</v>
      </c>
      <c r="F211" s="89"/>
      <c r="G211" s="85">
        <f>G214*G215</f>
        <v>65814.10671034838</v>
      </c>
      <c r="H211" s="85">
        <f t="shared" ref="H211:Z211" si="106">H214*H215</f>
        <v>65682.2175080382</v>
      </c>
      <c r="I211" s="85">
        <f t="shared" si="106"/>
        <v>67071.711689372372</v>
      </c>
      <c r="J211" s="85">
        <f t="shared" si="106"/>
        <v>69296.031627136093</v>
      </c>
      <c r="K211" s="85">
        <f t="shared" si="106"/>
        <v>68876.239569718295</v>
      </c>
      <c r="L211" s="85">
        <f t="shared" si="106"/>
        <v>75134.452255193013</v>
      </c>
      <c r="M211" s="85">
        <f t="shared" si="106"/>
        <v>68691.712218020708</v>
      </c>
      <c r="N211" s="85">
        <f t="shared" si="106"/>
        <v>72133.295317054173</v>
      </c>
      <c r="O211" s="85">
        <f t="shared" si="106"/>
        <v>70787.852973934743</v>
      </c>
      <c r="P211" s="85">
        <f t="shared" si="106"/>
        <v>71753.53762371988</v>
      </c>
      <c r="Q211" s="85">
        <f t="shared" si="106"/>
        <v>69753.654004086959</v>
      </c>
      <c r="R211" s="85">
        <f t="shared" si="106"/>
        <v>73565.855623959171</v>
      </c>
      <c r="S211" s="85">
        <f t="shared" si="106"/>
        <v>0</v>
      </c>
      <c r="T211" s="85">
        <f t="shared" si="106"/>
        <v>0</v>
      </c>
      <c r="U211" s="85">
        <f t="shared" si="106"/>
        <v>0</v>
      </c>
      <c r="V211" s="85">
        <f t="shared" si="106"/>
        <v>0</v>
      </c>
      <c r="W211" s="85">
        <f t="shared" si="106"/>
        <v>0</v>
      </c>
      <c r="X211" s="85">
        <f t="shared" si="106"/>
        <v>0</v>
      </c>
      <c r="Y211" s="85">
        <f t="shared" si="106"/>
        <v>0</v>
      </c>
      <c r="Z211" s="85">
        <f t="shared" si="106"/>
        <v>0</v>
      </c>
    </row>
    <row r="212" spans="1:28" outlineLevel="1" x14ac:dyDescent="0.25">
      <c r="A212" s="39" t="str">
        <f t="shared" si="98"/>
        <v>SANY SET240S</v>
      </c>
      <c r="B212" s="39"/>
      <c r="D212" s="31" t="s">
        <v>64</v>
      </c>
      <c r="E212" s="77" t="str">
        <f>VLOOKUP($A212,'ФОТ, МТР, макро'!$N$4:$Q$20,4,FALSE)</f>
        <v>г/ткм</v>
      </c>
      <c r="F212" s="90">
        <f>IF($E212="г/ткм",SUMIFS('ФОТ, МТР, макро'!$O$4:$O$20,'ФОТ, МТР, макро'!$N$4:$N$20,$A212),SUMIFS('ФОТ, МТР, макро'!$P$4:$P$20,'ФОТ, МТР, макро'!$N$4:$N$20,$A212))</f>
        <v>90</v>
      </c>
      <c r="G212" s="91">
        <f>F212</f>
        <v>90</v>
      </c>
      <c r="H212" s="91">
        <f t="shared" ref="H212:Z212" si="107">G212</f>
        <v>90</v>
      </c>
      <c r="I212" s="91">
        <f t="shared" si="107"/>
        <v>90</v>
      </c>
      <c r="J212" s="91">
        <f t="shared" si="107"/>
        <v>90</v>
      </c>
      <c r="K212" s="91">
        <f t="shared" si="107"/>
        <v>90</v>
      </c>
      <c r="L212" s="91">
        <f t="shared" si="107"/>
        <v>90</v>
      </c>
      <c r="M212" s="91">
        <f t="shared" si="107"/>
        <v>90</v>
      </c>
      <c r="N212" s="91">
        <f t="shared" si="107"/>
        <v>90</v>
      </c>
      <c r="O212" s="91">
        <f t="shared" si="107"/>
        <v>90</v>
      </c>
      <c r="P212" s="91">
        <f t="shared" si="107"/>
        <v>90</v>
      </c>
      <c r="Q212" s="91">
        <f t="shared" si="107"/>
        <v>90</v>
      </c>
      <c r="R212" s="91">
        <f t="shared" si="107"/>
        <v>90</v>
      </c>
      <c r="S212" s="91">
        <f t="shared" si="107"/>
        <v>90</v>
      </c>
      <c r="T212" s="91">
        <f t="shared" si="107"/>
        <v>90</v>
      </c>
      <c r="U212" s="91">
        <f t="shared" si="107"/>
        <v>90</v>
      </c>
      <c r="V212" s="91">
        <f t="shared" si="107"/>
        <v>90</v>
      </c>
      <c r="W212" s="91">
        <f t="shared" si="107"/>
        <v>90</v>
      </c>
      <c r="X212" s="91">
        <f t="shared" si="107"/>
        <v>90</v>
      </c>
      <c r="Y212" s="91">
        <f t="shared" si="107"/>
        <v>90</v>
      </c>
      <c r="Z212" s="91">
        <f t="shared" si="107"/>
        <v>90</v>
      </c>
    </row>
    <row r="213" spans="1:28" outlineLevel="1" x14ac:dyDescent="0.25">
      <c r="A213" s="39" t="str">
        <f t="shared" si="98"/>
        <v>SANY SET240S</v>
      </c>
      <c r="B213" s="39"/>
      <c r="D213" s="93" t="s">
        <v>71</v>
      </c>
      <c r="E213" s="94" t="str">
        <f>IF(E212='ФОТ, МТР, макро'!$O$4,'ФОТ, МТР, макро'!$P$4,'ФОТ, МТР, макро'!$O$4)</f>
        <v>л/час</v>
      </c>
      <c r="F213" s="95"/>
      <c r="G213" s="96">
        <f>IF($E212="г/ткм",G214*1000/(365*24*G195),G214/G197*1000)</f>
        <v>141.78072954742643</v>
      </c>
      <c r="H213" s="96">
        <f t="shared" ref="H213:Z213" si="108">IF($E212="г/ткм",H214*1000/(365*24*H195),H214/H197*1000)</f>
        <v>146.6811611857502</v>
      </c>
      <c r="I213" s="96">
        <f t="shared" si="108"/>
        <v>154.92513314199653</v>
      </c>
      <c r="J213" s="96">
        <f t="shared" si="108"/>
        <v>153.3781079275746</v>
      </c>
      <c r="K213" s="96">
        <f t="shared" si="108"/>
        <v>162.00064055770332</v>
      </c>
      <c r="L213" s="96">
        <f t="shared" si="108"/>
        <v>166.30072251588274</v>
      </c>
      <c r="M213" s="96">
        <f t="shared" si="108"/>
        <v>158.66708025009032</v>
      </c>
      <c r="N213" s="96">
        <f t="shared" si="108"/>
        <v>159.658036607947</v>
      </c>
      <c r="O213" s="96">
        <f t="shared" si="108"/>
        <v>166.49685867176404</v>
      </c>
      <c r="P213" s="96">
        <f t="shared" si="108"/>
        <v>162.20464049207231</v>
      </c>
      <c r="Q213" s="96">
        <f t="shared" si="108"/>
        <v>161.53413619817414</v>
      </c>
      <c r="R213" s="96">
        <f t="shared" si="108"/>
        <v>168.84339623959821</v>
      </c>
      <c r="S213" s="96" t="e">
        <f t="shared" si="108"/>
        <v>#DIV/0!</v>
      </c>
      <c r="T213" s="96" t="e">
        <f t="shared" si="108"/>
        <v>#DIV/0!</v>
      </c>
      <c r="U213" s="96" t="e">
        <f t="shared" si="108"/>
        <v>#DIV/0!</v>
      </c>
      <c r="V213" s="96" t="e">
        <f t="shared" si="108"/>
        <v>#DIV/0!</v>
      </c>
      <c r="W213" s="96" t="e">
        <f t="shared" si="108"/>
        <v>#DIV/0!</v>
      </c>
      <c r="X213" s="96" t="e">
        <f t="shared" si="108"/>
        <v>#DIV/0!</v>
      </c>
      <c r="Y213" s="96" t="e">
        <f t="shared" si="108"/>
        <v>#DIV/0!</v>
      </c>
      <c r="Z213" s="96" t="e">
        <f t="shared" si="108"/>
        <v>#DIV/0!</v>
      </c>
    </row>
    <row r="214" spans="1:28" outlineLevel="1" x14ac:dyDescent="0.25">
      <c r="A214" s="39" t="str">
        <f t="shared" si="98"/>
        <v>SANY SET240S</v>
      </c>
      <c r="B214" s="39"/>
      <c r="D214" s="31" t="s">
        <v>66</v>
      </c>
      <c r="E214" s="9" t="s">
        <v>11</v>
      </c>
      <c r="F214" s="89"/>
      <c r="G214" s="78">
        <f>IF($E212="г/ткм",G197*G212/1000,365*24*G195*G212*0.85/1000)</f>
        <v>996.89766541782103</v>
      </c>
      <c r="H214" s="78">
        <f t="shared" ref="H214:Z214" si="109">IF($E212="г/ткм",H197*H212/1000,365*24*H195*H212*0.85/1000)</f>
        <v>994.89991684310451</v>
      </c>
      <c r="I214" s="78">
        <f t="shared" si="109"/>
        <v>1015.9468257008052</v>
      </c>
      <c r="J214" s="78">
        <f t="shared" si="109"/>
        <v>1049.638984782413</v>
      </c>
      <c r="K214" s="78">
        <f t="shared" si="109"/>
        <v>1043.2803218312838</v>
      </c>
      <c r="L214" s="78">
        <f t="shared" si="109"/>
        <v>1138.074552546824</v>
      </c>
      <c r="M214" s="78">
        <f t="shared" si="109"/>
        <v>1040.485254097209</v>
      </c>
      <c r="N214" s="78">
        <f t="shared" si="109"/>
        <v>1092.6155089659335</v>
      </c>
      <c r="O214" s="78">
        <f t="shared" si="109"/>
        <v>1072.2358609261439</v>
      </c>
      <c r="P214" s="78">
        <f t="shared" si="109"/>
        <v>1086.8632534567071</v>
      </c>
      <c r="Q214" s="78">
        <f t="shared" si="109"/>
        <v>1056.5706701311642</v>
      </c>
      <c r="R214" s="78">
        <f t="shared" si="109"/>
        <v>1114.314747881521</v>
      </c>
      <c r="S214" s="78">
        <f t="shared" si="109"/>
        <v>0</v>
      </c>
      <c r="T214" s="78">
        <f t="shared" si="109"/>
        <v>0</v>
      </c>
      <c r="U214" s="78">
        <f t="shared" si="109"/>
        <v>0</v>
      </c>
      <c r="V214" s="78">
        <f t="shared" si="109"/>
        <v>0</v>
      </c>
      <c r="W214" s="78">
        <f t="shared" si="109"/>
        <v>0</v>
      </c>
      <c r="X214" s="78">
        <f t="shared" si="109"/>
        <v>0</v>
      </c>
      <c r="Y214" s="78">
        <f t="shared" si="109"/>
        <v>0</v>
      </c>
      <c r="Z214" s="78">
        <f t="shared" si="109"/>
        <v>0</v>
      </c>
    </row>
    <row r="215" spans="1:28" outlineLevel="1" x14ac:dyDescent="0.25">
      <c r="A215" s="39" t="str">
        <f t="shared" si="98"/>
        <v>SANY SET240S</v>
      </c>
      <c r="B215" s="39"/>
      <c r="D215" s="31" t="s">
        <v>68</v>
      </c>
      <c r="E215" s="9" t="s">
        <v>72</v>
      </c>
      <c r="F215" s="78">
        <f>'ФОТ, МТР, макро'!$G$2</f>
        <v>66.018919487352079</v>
      </c>
      <c r="G215" s="89">
        <f>F215</f>
        <v>66.018919487352079</v>
      </c>
      <c r="H215" s="89">
        <f t="shared" ref="H215:Z215" si="110">G215</f>
        <v>66.018919487352079</v>
      </c>
      <c r="I215" s="89">
        <f t="shared" si="110"/>
        <v>66.018919487352079</v>
      </c>
      <c r="J215" s="89">
        <f t="shared" si="110"/>
        <v>66.018919487352079</v>
      </c>
      <c r="K215" s="89">
        <f t="shared" si="110"/>
        <v>66.018919487352079</v>
      </c>
      <c r="L215" s="89">
        <f t="shared" si="110"/>
        <v>66.018919487352079</v>
      </c>
      <c r="M215" s="89">
        <f t="shared" si="110"/>
        <v>66.018919487352079</v>
      </c>
      <c r="N215" s="89">
        <f t="shared" si="110"/>
        <v>66.018919487352079</v>
      </c>
      <c r="O215" s="89">
        <f t="shared" si="110"/>
        <v>66.018919487352079</v>
      </c>
      <c r="P215" s="89">
        <f t="shared" si="110"/>
        <v>66.018919487352079</v>
      </c>
      <c r="Q215" s="89">
        <f t="shared" si="110"/>
        <v>66.018919487352079</v>
      </c>
      <c r="R215" s="89">
        <f t="shared" si="110"/>
        <v>66.018919487352079</v>
      </c>
      <c r="S215" s="89">
        <f t="shared" si="110"/>
        <v>66.018919487352079</v>
      </c>
      <c r="T215" s="89">
        <f t="shared" si="110"/>
        <v>66.018919487352079</v>
      </c>
      <c r="U215" s="89">
        <f t="shared" si="110"/>
        <v>66.018919487352079</v>
      </c>
      <c r="V215" s="89">
        <f t="shared" si="110"/>
        <v>66.018919487352079</v>
      </c>
      <c r="W215" s="89">
        <f t="shared" si="110"/>
        <v>66.018919487352079</v>
      </c>
      <c r="X215" s="89">
        <f t="shared" si="110"/>
        <v>66.018919487352079</v>
      </c>
      <c r="Y215" s="89">
        <f t="shared" si="110"/>
        <v>66.018919487352079</v>
      </c>
      <c r="Z215" s="89">
        <f t="shared" si="110"/>
        <v>66.018919487352079</v>
      </c>
      <c r="AB215" s="92"/>
    </row>
    <row r="216" spans="1:28" outlineLevel="1" x14ac:dyDescent="0.25">
      <c r="A216" s="39" t="str">
        <f t="shared" si="98"/>
        <v>SANY SET240S</v>
      </c>
      <c r="B216" s="39"/>
      <c r="C216" s="619" t="str">
        <f>C202</f>
        <v>ТО, ТР, ППР</v>
      </c>
      <c r="D216" s="218" t="s">
        <v>73</v>
      </c>
      <c r="E216" s="68" t="str">
        <f>E201</f>
        <v>тыс. руб.</v>
      </c>
      <c r="F216" s="30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8" outlineLevel="1" x14ac:dyDescent="0.25">
      <c r="A217" s="39" t="str">
        <f t="shared" si="98"/>
        <v>SANY SET240S</v>
      </c>
      <c r="B217" s="39"/>
      <c r="D217" s="67"/>
      <c r="E217" s="68"/>
      <c r="F217" s="30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8" outlineLevel="1" x14ac:dyDescent="0.25">
      <c r="A218" s="39" t="str">
        <f t="shared" si="98"/>
        <v>SANY SET240S</v>
      </c>
      <c r="B218" s="39"/>
      <c r="D218" s="67" t="s">
        <v>74</v>
      </c>
      <c r="E218" s="68" t="str">
        <f>E201</f>
        <v>тыс. руб.</v>
      </c>
      <c r="F218" s="74"/>
      <c r="G218" s="85">
        <f>G219+G220+G221</f>
        <v>18475.596240662097</v>
      </c>
      <c r="H218" s="85">
        <f t="shared" ref="H218:Z218" si="111">H219+H220+H221</f>
        <v>18475.596240662097</v>
      </c>
      <c r="I218" s="85">
        <f t="shared" si="111"/>
        <v>18475.596240662097</v>
      </c>
      <c r="J218" s="85">
        <f t="shared" si="111"/>
        <v>18475.596240662097</v>
      </c>
      <c r="K218" s="85">
        <f t="shared" si="111"/>
        <v>18475.596240662097</v>
      </c>
      <c r="L218" s="85">
        <f t="shared" si="111"/>
        <v>18475.596240662097</v>
      </c>
      <c r="M218" s="85">
        <f t="shared" si="111"/>
        <v>18475.596240662097</v>
      </c>
      <c r="N218" s="85">
        <f t="shared" si="111"/>
        <v>18475.596240662097</v>
      </c>
      <c r="O218" s="85">
        <f t="shared" si="111"/>
        <v>18475.596240662097</v>
      </c>
      <c r="P218" s="85">
        <f t="shared" si="111"/>
        <v>18475.596240662097</v>
      </c>
      <c r="Q218" s="85">
        <f t="shared" si="111"/>
        <v>18475.596240662097</v>
      </c>
      <c r="R218" s="85">
        <f t="shared" si="111"/>
        <v>18475.596240662097</v>
      </c>
      <c r="S218" s="85">
        <f t="shared" si="111"/>
        <v>0</v>
      </c>
      <c r="T218" s="85">
        <f t="shared" si="111"/>
        <v>0</v>
      </c>
      <c r="U218" s="85">
        <f t="shared" si="111"/>
        <v>0</v>
      </c>
      <c r="V218" s="85">
        <f t="shared" si="111"/>
        <v>0</v>
      </c>
      <c r="W218" s="85">
        <f t="shared" si="111"/>
        <v>0</v>
      </c>
      <c r="X218" s="85">
        <f t="shared" si="111"/>
        <v>0</v>
      </c>
      <c r="Y218" s="85">
        <f t="shared" si="111"/>
        <v>0</v>
      </c>
      <c r="Z218" s="85">
        <f t="shared" si="111"/>
        <v>0</v>
      </c>
    </row>
    <row r="219" spans="1:28" outlineLevel="1" x14ac:dyDescent="0.25">
      <c r="A219" s="39" t="str">
        <f t="shared" si="98"/>
        <v>SANY SET240S</v>
      </c>
      <c r="B219" s="39"/>
      <c r="D219" s="31" t="s">
        <v>257</v>
      </c>
      <c r="E219" s="9" t="str">
        <f>E218</f>
        <v>тыс. руб.</v>
      </c>
      <c r="F219" s="78">
        <f>'ФОТ, МТР, макро'!$B$4*'ФОТ, МТР, макро'!$B$7</f>
        <v>11107.5</v>
      </c>
      <c r="G219" s="89">
        <f>IF(G196=0,0,$F219)</f>
        <v>11107.5</v>
      </c>
      <c r="H219" s="89">
        <f t="shared" ref="H219:Z219" si="112">IF(H196=0,0,$F219)</f>
        <v>11107.5</v>
      </c>
      <c r="I219" s="89">
        <f t="shared" si="112"/>
        <v>11107.5</v>
      </c>
      <c r="J219" s="89">
        <f t="shared" si="112"/>
        <v>11107.5</v>
      </c>
      <c r="K219" s="89">
        <f t="shared" si="112"/>
        <v>11107.5</v>
      </c>
      <c r="L219" s="89">
        <f t="shared" si="112"/>
        <v>11107.5</v>
      </c>
      <c r="M219" s="89">
        <f t="shared" si="112"/>
        <v>11107.5</v>
      </c>
      <c r="N219" s="89">
        <f t="shared" si="112"/>
        <v>11107.5</v>
      </c>
      <c r="O219" s="89">
        <f t="shared" si="112"/>
        <v>11107.5</v>
      </c>
      <c r="P219" s="89">
        <f t="shared" si="112"/>
        <v>11107.5</v>
      </c>
      <c r="Q219" s="89">
        <f t="shared" si="112"/>
        <v>11107.5</v>
      </c>
      <c r="R219" s="89">
        <f t="shared" si="112"/>
        <v>11107.5</v>
      </c>
      <c r="S219" s="89">
        <f t="shared" si="112"/>
        <v>0</v>
      </c>
      <c r="T219" s="89">
        <f t="shared" si="112"/>
        <v>0</v>
      </c>
      <c r="U219" s="89">
        <f t="shared" si="112"/>
        <v>0</v>
      </c>
      <c r="V219" s="89">
        <f t="shared" si="112"/>
        <v>0</v>
      </c>
      <c r="W219" s="89">
        <f t="shared" si="112"/>
        <v>0</v>
      </c>
      <c r="X219" s="89">
        <f t="shared" si="112"/>
        <v>0</v>
      </c>
      <c r="Y219" s="89">
        <f t="shared" si="112"/>
        <v>0</v>
      </c>
      <c r="Z219" s="89">
        <f t="shared" si="112"/>
        <v>0</v>
      </c>
    </row>
    <row r="220" spans="1:28" outlineLevel="1" x14ac:dyDescent="0.25">
      <c r="A220" s="39" t="str">
        <f t="shared" si="98"/>
        <v>SANY SET240S</v>
      </c>
      <c r="B220" s="39"/>
      <c r="D220" s="31" t="s">
        <v>75</v>
      </c>
      <c r="E220" s="9" t="str">
        <f>E218</f>
        <v>тыс. руб.</v>
      </c>
      <c r="F220" s="97">
        <f>'ФОТ, МТР, макро'!$B$5</f>
        <v>0.377</v>
      </c>
      <c r="G220" s="89">
        <f>G219*$F220</f>
        <v>4187.5275000000001</v>
      </c>
      <c r="H220" s="89">
        <f t="shared" ref="H220:Z220" si="113">H219*$F220</f>
        <v>4187.5275000000001</v>
      </c>
      <c r="I220" s="89">
        <f t="shared" si="113"/>
        <v>4187.5275000000001</v>
      </c>
      <c r="J220" s="89">
        <f t="shared" si="113"/>
        <v>4187.5275000000001</v>
      </c>
      <c r="K220" s="89">
        <f t="shared" si="113"/>
        <v>4187.5275000000001</v>
      </c>
      <c r="L220" s="89">
        <f t="shared" si="113"/>
        <v>4187.5275000000001</v>
      </c>
      <c r="M220" s="89">
        <f t="shared" si="113"/>
        <v>4187.5275000000001</v>
      </c>
      <c r="N220" s="89">
        <f t="shared" si="113"/>
        <v>4187.5275000000001</v>
      </c>
      <c r="O220" s="89">
        <f t="shared" si="113"/>
        <v>4187.5275000000001</v>
      </c>
      <c r="P220" s="89">
        <f t="shared" si="113"/>
        <v>4187.5275000000001</v>
      </c>
      <c r="Q220" s="89">
        <f t="shared" si="113"/>
        <v>4187.5275000000001</v>
      </c>
      <c r="R220" s="89">
        <f t="shared" si="113"/>
        <v>4187.5275000000001</v>
      </c>
      <c r="S220" s="89">
        <f t="shared" si="113"/>
        <v>0</v>
      </c>
      <c r="T220" s="89">
        <f t="shared" si="113"/>
        <v>0</v>
      </c>
      <c r="U220" s="89">
        <f t="shared" si="113"/>
        <v>0</v>
      </c>
      <c r="V220" s="89">
        <f t="shared" si="113"/>
        <v>0</v>
      </c>
      <c r="W220" s="89">
        <f t="shared" si="113"/>
        <v>0</v>
      </c>
      <c r="X220" s="89">
        <f t="shared" si="113"/>
        <v>0</v>
      </c>
      <c r="Y220" s="89">
        <f t="shared" si="113"/>
        <v>0</v>
      </c>
      <c r="Z220" s="89">
        <f t="shared" si="113"/>
        <v>0</v>
      </c>
    </row>
    <row r="221" spans="1:28" outlineLevel="1" x14ac:dyDescent="0.25">
      <c r="A221" s="39" t="str">
        <f t="shared" si="98"/>
        <v>SANY SET240S</v>
      </c>
      <c r="B221" s="39"/>
      <c r="D221" s="31" t="s">
        <v>76</v>
      </c>
      <c r="E221" s="9"/>
      <c r="F221" s="78">
        <f>'ФОТ, МТР, макро'!$C$13*'ФОТ, МТР, макро'!$B$7</f>
        <v>3180.5687406620973</v>
      </c>
      <c r="G221" s="89">
        <f>IF(G196=0,0,$F221)</f>
        <v>3180.5687406620973</v>
      </c>
      <c r="H221" s="89">
        <f t="shared" ref="H221:Z221" si="114">IF(H196=0,0,$F221)</f>
        <v>3180.5687406620973</v>
      </c>
      <c r="I221" s="89">
        <f t="shared" si="114"/>
        <v>3180.5687406620973</v>
      </c>
      <c r="J221" s="89">
        <f t="shared" si="114"/>
        <v>3180.5687406620973</v>
      </c>
      <c r="K221" s="89">
        <f t="shared" si="114"/>
        <v>3180.5687406620973</v>
      </c>
      <c r="L221" s="89">
        <f t="shared" si="114"/>
        <v>3180.5687406620973</v>
      </c>
      <c r="M221" s="89">
        <f t="shared" si="114"/>
        <v>3180.5687406620973</v>
      </c>
      <c r="N221" s="89">
        <f t="shared" si="114"/>
        <v>3180.5687406620973</v>
      </c>
      <c r="O221" s="89">
        <f t="shared" si="114"/>
        <v>3180.5687406620973</v>
      </c>
      <c r="P221" s="89">
        <f t="shared" si="114"/>
        <v>3180.5687406620973</v>
      </c>
      <c r="Q221" s="89">
        <f t="shared" si="114"/>
        <v>3180.5687406620973</v>
      </c>
      <c r="R221" s="89">
        <f t="shared" si="114"/>
        <v>3180.5687406620973</v>
      </c>
      <c r="S221" s="89">
        <f t="shared" si="114"/>
        <v>0</v>
      </c>
      <c r="T221" s="89">
        <f t="shared" si="114"/>
        <v>0</v>
      </c>
      <c r="U221" s="89">
        <f t="shared" si="114"/>
        <v>0</v>
      </c>
      <c r="V221" s="89">
        <f t="shared" si="114"/>
        <v>0</v>
      </c>
      <c r="W221" s="89">
        <f t="shared" si="114"/>
        <v>0</v>
      </c>
      <c r="X221" s="89">
        <f t="shared" si="114"/>
        <v>0</v>
      </c>
      <c r="Y221" s="89">
        <f t="shared" si="114"/>
        <v>0</v>
      </c>
      <c r="Z221" s="89">
        <f t="shared" si="114"/>
        <v>0</v>
      </c>
    </row>
    <row r="222" spans="1:28" outlineLevel="1" x14ac:dyDescent="0.25">
      <c r="A222" s="39" t="str">
        <f t="shared" si="98"/>
        <v>SANY SET240S</v>
      </c>
      <c r="B222" s="39"/>
      <c r="D222" s="98" t="s">
        <v>77</v>
      </c>
      <c r="E222" s="68" t="str">
        <f>E201</f>
        <v>тыс. руб.</v>
      </c>
      <c r="F222" s="74"/>
      <c r="G222" s="85">
        <f>IF(G196=0,0,G223*G224/1000)</f>
        <v>241.655</v>
      </c>
      <c r="H222" s="85">
        <f t="shared" ref="H222:Z222" si="115">IF(H196=0,0,H223*H224/1000)</f>
        <v>241.655</v>
      </c>
      <c r="I222" s="85">
        <f t="shared" si="115"/>
        <v>241.655</v>
      </c>
      <c r="J222" s="85">
        <f t="shared" si="115"/>
        <v>241.655</v>
      </c>
      <c r="K222" s="85">
        <f t="shared" si="115"/>
        <v>241.655</v>
      </c>
      <c r="L222" s="85">
        <f t="shared" si="115"/>
        <v>241.655</v>
      </c>
      <c r="M222" s="85">
        <f t="shared" si="115"/>
        <v>241.655</v>
      </c>
      <c r="N222" s="85">
        <f t="shared" si="115"/>
        <v>241.655</v>
      </c>
      <c r="O222" s="85">
        <f t="shared" si="115"/>
        <v>241.655</v>
      </c>
      <c r="P222" s="85">
        <f t="shared" si="115"/>
        <v>241.655</v>
      </c>
      <c r="Q222" s="85">
        <f t="shared" si="115"/>
        <v>241.655</v>
      </c>
      <c r="R222" s="85">
        <f t="shared" si="115"/>
        <v>241.655</v>
      </c>
      <c r="S222" s="85">
        <f t="shared" si="115"/>
        <v>0</v>
      </c>
      <c r="T222" s="85">
        <f t="shared" si="115"/>
        <v>0</v>
      </c>
      <c r="U222" s="85">
        <f t="shared" si="115"/>
        <v>0</v>
      </c>
      <c r="V222" s="85">
        <f t="shared" si="115"/>
        <v>0</v>
      </c>
      <c r="W222" s="85">
        <f t="shared" si="115"/>
        <v>0</v>
      </c>
      <c r="X222" s="85">
        <f t="shared" si="115"/>
        <v>0</v>
      </c>
      <c r="Y222" s="85">
        <f t="shared" si="115"/>
        <v>0</v>
      </c>
      <c r="Z222" s="85">
        <f t="shared" si="115"/>
        <v>0</v>
      </c>
    </row>
    <row r="223" spans="1:28" outlineLevel="1" x14ac:dyDescent="0.25">
      <c r="A223" s="39" t="str">
        <f t="shared" si="98"/>
        <v>SANY SET240S</v>
      </c>
      <c r="B223" s="39"/>
      <c r="D223" s="31" t="s">
        <v>78</v>
      </c>
      <c r="E223" s="9" t="s">
        <v>13</v>
      </c>
      <c r="F223" s="78">
        <f>SUMIFS('ФОТ, МТР, макро'!$AC$4:$AC$20,'ФОТ, МТР, макро'!$W$4:$W$20,$A223)</f>
        <v>2843</v>
      </c>
      <c r="G223" s="89">
        <f>F223</f>
        <v>2843</v>
      </c>
      <c r="H223" s="89">
        <f t="shared" ref="H223:W224" si="116">G223</f>
        <v>2843</v>
      </c>
      <c r="I223" s="89">
        <f t="shared" si="116"/>
        <v>2843</v>
      </c>
      <c r="J223" s="89">
        <f t="shared" si="116"/>
        <v>2843</v>
      </c>
      <c r="K223" s="89">
        <f t="shared" si="116"/>
        <v>2843</v>
      </c>
      <c r="L223" s="89">
        <f t="shared" si="116"/>
        <v>2843</v>
      </c>
      <c r="M223" s="89">
        <f t="shared" si="116"/>
        <v>2843</v>
      </c>
      <c r="N223" s="89">
        <f t="shared" si="116"/>
        <v>2843</v>
      </c>
      <c r="O223" s="89">
        <f t="shared" si="116"/>
        <v>2843</v>
      </c>
      <c r="P223" s="89">
        <f t="shared" si="116"/>
        <v>2843</v>
      </c>
      <c r="Q223" s="89">
        <f t="shared" si="116"/>
        <v>2843</v>
      </c>
      <c r="R223" s="89">
        <f t="shared" si="116"/>
        <v>2843</v>
      </c>
      <c r="S223" s="89">
        <f t="shared" si="116"/>
        <v>2843</v>
      </c>
      <c r="T223" s="89">
        <f t="shared" si="116"/>
        <v>2843</v>
      </c>
      <c r="U223" s="89">
        <f t="shared" si="116"/>
        <v>2843</v>
      </c>
      <c r="V223" s="89">
        <f t="shared" si="116"/>
        <v>2843</v>
      </c>
      <c r="W223" s="89">
        <f t="shared" si="116"/>
        <v>2843</v>
      </c>
      <c r="X223" s="89">
        <f t="shared" ref="X223:Z224" si="117">W223</f>
        <v>2843</v>
      </c>
      <c r="Y223" s="89">
        <f t="shared" si="117"/>
        <v>2843</v>
      </c>
      <c r="Z223" s="89">
        <f t="shared" si="117"/>
        <v>2843</v>
      </c>
    </row>
    <row r="224" spans="1:28" outlineLevel="1" x14ac:dyDescent="0.25">
      <c r="A224" s="39" t="str">
        <f t="shared" si="98"/>
        <v>SANY SET240S</v>
      </c>
      <c r="B224" s="39"/>
      <c r="D224" s="31" t="s">
        <v>79</v>
      </c>
      <c r="E224" s="9" t="s">
        <v>80</v>
      </c>
      <c r="F224" s="78">
        <f>SUMIFS('ФОТ, МТР, макро'!$AD$4:$AD$20,'ФОТ, МТР, макро'!$W$4:$W$20,$A224)</f>
        <v>85</v>
      </c>
      <c r="G224" s="89">
        <f>F224</f>
        <v>85</v>
      </c>
      <c r="H224" s="89">
        <f t="shared" si="116"/>
        <v>85</v>
      </c>
      <c r="I224" s="89">
        <f t="shared" si="116"/>
        <v>85</v>
      </c>
      <c r="J224" s="89">
        <f t="shared" si="116"/>
        <v>85</v>
      </c>
      <c r="K224" s="89">
        <f t="shared" si="116"/>
        <v>85</v>
      </c>
      <c r="L224" s="89">
        <f t="shared" si="116"/>
        <v>85</v>
      </c>
      <c r="M224" s="89">
        <f t="shared" si="116"/>
        <v>85</v>
      </c>
      <c r="N224" s="89">
        <f t="shared" si="116"/>
        <v>85</v>
      </c>
      <c r="O224" s="89">
        <f t="shared" si="116"/>
        <v>85</v>
      </c>
      <c r="P224" s="89">
        <f t="shared" si="116"/>
        <v>85</v>
      </c>
      <c r="Q224" s="89">
        <f t="shared" si="116"/>
        <v>85</v>
      </c>
      <c r="R224" s="89">
        <f t="shared" si="116"/>
        <v>85</v>
      </c>
      <c r="S224" s="89">
        <f t="shared" si="116"/>
        <v>85</v>
      </c>
      <c r="T224" s="89">
        <f t="shared" si="116"/>
        <v>85</v>
      </c>
      <c r="U224" s="89">
        <f t="shared" si="116"/>
        <v>85</v>
      </c>
      <c r="V224" s="89">
        <f t="shared" si="116"/>
        <v>85</v>
      </c>
      <c r="W224" s="89">
        <f t="shared" si="116"/>
        <v>85</v>
      </c>
      <c r="X224" s="89">
        <f t="shared" si="117"/>
        <v>85</v>
      </c>
      <c r="Y224" s="89">
        <f t="shared" si="117"/>
        <v>85</v>
      </c>
      <c r="Z224" s="89">
        <f t="shared" si="117"/>
        <v>85</v>
      </c>
    </row>
    <row r="225" spans="1:28" outlineLevel="1" x14ac:dyDescent="0.25">
      <c r="A225" s="39" t="str">
        <f t="shared" si="98"/>
        <v>SANY SET240S</v>
      </c>
      <c r="B225" s="39"/>
      <c r="C225" s="99">
        <f>SUMIFS('ФОТ, МТР, макро'!$AG$4:$AG$20,'ФОТ, МТР, макро'!$W$4:$W$20,$A225)</f>
        <v>14.117647058823531</v>
      </c>
      <c r="D225" s="98" t="s">
        <v>81</v>
      </c>
      <c r="E225" s="68" t="str">
        <f>E201</f>
        <v>тыс. руб.</v>
      </c>
      <c r="F225" s="85"/>
      <c r="G225" s="100">
        <f>IF(G193&lt;=$C226,$F230*$C225%,"ОШИБКА")</f>
        <v>0</v>
      </c>
      <c r="H225" s="75">
        <f>IF(H193&lt;=$C226,$F230*$C225%,$F230-SUM($G225:G225))</f>
        <v>0</v>
      </c>
      <c r="I225" s="75">
        <f>IF(I193&lt;=$C226,$F230*$C225%,$F230-SUM($G225:H225))</f>
        <v>0</v>
      </c>
      <c r="J225" s="75">
        <f>IF(J193&lt;=$C226,$F230*$C225%,$F230-SUM($G225:I225))</f>
        <v>0</v>
      </c>
      <c r="K225" s="75">
        <f>IF(K193&lt;=$C226,$F230*$C225%,$F230-SUM($G225:J225))</f>
        <v>0</v>
      </c>
      <c r="L225" s="75">
        <f>IF(L193&lt;=$C226,$F230*$C225%,$F230-SUM($G225:K225))</f>
        <v>0</v>
      </c>
      <c r="M225" s="75">
        <f>IF(M193&lt;=$C226,$F230*$C225%,$F230-SUM($G225:L225))</f>
        <v>0</v>
      </c>
      <c r="N225" s="75">
        <f>IF(N193&lt;=$C226,$F230*$C225%,$F230-SUM($G225:M225))</f>
        <v>0</v>
      </c>
      <c r="O225" s="75">
        <f>IF(O193&lt;=$C226,$F230*$C225%,$F230-SUM($G225:N225))</f>
        <v>0</v>
      </c>
      <c r="P225" s="75">
        <f>IF(P193&lt;=$C226,$F230*$C225%,$F230-SUM($G225:O225))</f>
        <v>0</v>
      </c>
      <c r="Q225" s="75">
        <f>IF(Q193&lt;=$C226,$F230*$C225%,$F230-SUM($G225:P225))</f>
        <v>0</v>
      </c>
      <c r="R225" s="75">
        <f>IF(R193&lt;=$C226,$F230*$C225%,$F230-SUM($G225:Q225))</f>
        <v>0</v>
      </c>
      <c r="S225" s="75">
        <f>IF(S193&lt;=$C226,$F230*$C225%,$F230-SUM($G225:R225))</f>
        <v>0</v>
      </c>
      <c r="T225" s="75">
        <f>IF(T193&lt;=$C226,$F230*$C225%,$F230-SUM($G225:S225))</f>
        <v>0</v>
      </c>
      <c r="U225" s="75">
        <f>IF(U193&lt;=$C226,$F230*$C225%,$F230-SUM($G225:T225))</f>
        <v>0</v>
      </c>
      <c r="V225" s="75">
        <f>IF(V193&lt;=$C226,$F230*$C225%,$F230-SUM($G225:U225))</f>
        <v>0</v>
      </c>
      <c r="W225" s="75">
        <f>IF(W193&lt;=$C226,$F230*$C225%,$F230-SUM($G225:V225))</f>
        <v>0</v>
      </c>
      <c r="X225" s="75">
        <f>IF(X193&lt;=$C226,$F230*$C225%,$F230-SUM($G225:W225))</f>
        <v>0</v>
      </c>
      <c r="Y225" s="75">
        <f>IF(Y193&lt;=$C226,$F230*$C225%,$F230-SUM($G225:X225))</f>
        <v>0</v>
      </c>
      <c r="Z225" s="75">
        <f>IF(Z193&lt;=$C226,$F230*$C225%,$F230-SUM($G225:Y225))</f>
        <v>0</v>
      </c>
      <c r="AA225" s="88">
        <f>F230-SUM(G225:Z225)</f>
        <v>0</v>
      </c>
    </row>
    <row r="226" spans="1:28" outlineLevel="1" x14ac:dyDescent="0.25">
      <c r="A226" s="39" t="str">
        <f t="shared" si="98"/>
        <v>SANY SET240S</v>
      </c>
      <c r="B226" s="39"/>
      <c r="C226" s="99">
        <f>SUMIFS('ФОТ, МТР, макро'!$AF$4:$AF$20,'ФОТ, МТР, макро'!$W$4:$W$20,$A226)/12</f>
        <v>7.083333333333333</v>
      </c>
      <c r="D226" s="98" t="s">
        <v>82</v>
      </c>
      <c r="E226" s="68" t="str">
        <f>E201</f>
        <v>тыс. руб.</v>
      </c>
      <c r="F226" s="69"/>
      <c r="G226" s="69">
        <f>SUM(G202,G207,G211,G216,G218,G222,G225)</f>
        <v>120565.62398886343</v>
      </c>
      <c r="H226" s="69">
        <f>SUM(H202,H207,H211,H216,H218,H222,H225)</f>
        <v>127527.12595611173</v>
      </c>
      <c r="I226" s="69">
        <f>SUM(I202,I207,I211,I216,I218,I222,I225)</f>
        <v>165776.60407781773</v>
      </c>
      <c r="J226" s="69">
        <f t="shared" ref="J226:Z226" si="118">SUM(J202,J207,J211,J216,J218,J222,J225)</f>
        <v>141249.40787814782</v>
      </c>
      <c r="K226" s="69">
        <f t="shared" si="118"/>
        <v>203580.13513244488</v>
      </c>
      <c r="L226" s="69">
        <f t="shared" si="118"/>
        <v>190171.40509341817</v>
      </c>
      <c r="M226" s="69">
        <f t="shared" si="118"/>
        <v>136879.23554406277</v>
      </c>
      <c r="N226" s="69">
        <f t="shared" si="118"/>
        <v>141685.95493511303</v>
      </c>
      <c r="O226" s="69">
        <f t="shared" si="118"/>
        <v>241474.83479785596</v>
      </c>
      <c r="P226" s="69">
        <f t="shared" si="118"/>
        <v>134312.57844442374</v>
      </c>
      <c r="Q226" s="69">
        <f t="shared" si="118"/>
        <v>137510.46678770945</v>
      </c>
      <c r="R226" s="69">
        <f t="shared" si="118"/>
        <v>144947.71027989799</v>
      </c>
      <c r="S226" s="69">
        <f t="shared" si="118"/>
        <v>0</v>
      </c>
      <c r="T226" s="69">
        <f t="shared" si="118"/>
        <v>0</v>
      </c>
      <c r="U226" s="69">
        <f t="shared" si="118"/>
        <v>0</v>
      </c>
      <c r="V226" s="69">
        <f t="shared" si="118"/>
        <v>0</v>
      </c>
      <c r="W226" s="69">
        <f t="shared" si="118"/>
        <v>0</v>
      </c>
      <c r="X226" s="69">
        <f t="shared" si="118"/>
        <v>0</v>
      </c>
      <c r="Y226" s="69">
        <f t="shared" si="118"/>
        <v>0</v>
      </c>
      <c r="Z226" s="69">
        <f t="shared" si="118"/>
        <v>0</v>
      </c>
      <c r="AB226" s="42"/>
    </row>
    <row r="227" spans="1:28" outlineLevel="1" x14ac:dyDescent="0.25">
      <c r="A227" s="39" t="str">
        <f t="shared" si="98"/>
        <v>SANY SET240S</v>
      </c>
      <c r="B227" s="39"/>
      <c r="D227" s="98" t="s">
        <v>83</v>
      </c>
      <c r="E227" s="68" t="str">
        <f>E201</f>
        <v>тыс. руб.</v>
      </c>
      <c r="F227" s="69"/>
      <c r="G227" s="69">
        <f>-G226*'ФОТ, МТР, макро'!AK$11</f>
        <v>-30141.405997215857</v>
      </c>
      <c r="H227" s="69">
        <f>-H226*'ФОТ, МТР, макро'!AL$11</f>
        <v>-31881.781489027933</v>
      </c>
      <c r="I227" s="69">
        <f>-I226*'ФОТ, МТР, макро'!AM$11</f>
        <v>-41444.151019454432</v>
      </c>
      <c r="J227" s="69">
        <f>-J226*'ФОТ, МТР, макро'!AN$11</f>
        <v>-35312.351969536954</v>
      </c>
      <c r="K227" s="69">
        <f>-K226*'ФОТ, МТР, макро'!AO$11</f>
        <v>-50895.033783111219</v>
      </c>
      <c r="L227" s="69">
        <f>-L226*'ФОТ, МТР, макро'!AP$11</f>
        <v>-47542.851273354543</v>
      </c>
      <c r="M227" s="69">
        <f>-M226*'ФОТ, МТР, макро'!AQ$11</f>
        <v>-34219.808886015693</v>
      </c>
      <c r="N227" s="69">
        <f>-N226*'ФОТ, МТР, макро'!AR$11</f>
        <v>-35421.488733778257</v>
      </c>
      <c r="O227" s="69">
        <f>-O226*'ФОТ, МТР, макро'!AS$11</f>
        <v>-60368.70869946399</v>
      </c>
      <c r="P227" s="69">
        <f>-P226*'ФОТ, МТР, макро'!AT$11</f>
        <v>-33578.144611105934</v>
      </c>
      <c r="Q227" s="69">
        <f>-Q226*'ФОТ, МТР, макро'!AU$11</f>
        <v>-34377.616696927362</v>
      </c>
      <c r="R227" s="69">
        <f>-R226*'ФОТ, МТР, макро'!AV$11</f>
        <v>-36236.927569974498</v>
      </c>
      <c r="S227" s="69">
        <f>-S226*'ФОТ, МТР, макро'!AW$11</f>
        <v>0</v>
      </c>
      <c r="T227" s="69">
        <f>-T226*'ФОТ, МТР, макро'!AX$11</f>
        <v>0</v>
      </c>
      <c r="U227" s="69">
        <f>-U226*'ФОТ, МТР, макро'!AY$11</f>
        <v>0</v>
      </c>
      <c r="V227" s="69">
        <f>-V226*'ФОТ, МТР, макро'!AZ$11</f>
        <v>0</v>
      </c>
      <c r="W227" s="69">
        <f>-W226*'ФОТ, МТР, макро'!BA$11</f>
        <v>0</v>
      </c>
      <c r="X227" s="69">
        <f>-X226*'ФОТ, МТР, макро'!BB$11</f>
        <v>0</v>
      </c>
      <c r="Y227" s="69">
        <f>-Y226*'ФОТ, МТР, макро'!BC$11</f>
        <v>0</v>
      </c>
      <c r="Z227" s="69">
        <f>-Z226*'ФОТ, МТР, макро'!BD$11</f>
        <v>0</v>
      </c>
    </row>
    <row r="228" spans="1:28" outlineLevel="1" x14ac:dyDescent="0.25">
      <c r="A228" s="39" t="str">
        <f t="shared" si="98"/>
        <v>SANY SET240S</v>
      </c>
      <c r="B228" s="39"/>
      <c r="D228" s="101"/>
      <c r="E228" s="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8" outlineLevel="1" x14ac:dyDescent="0.25">
      <c r="A229" s="39" t="str">
        <f t="shared" si="98"/>
        <v>SANY SET240S</v>
      </c>
      <c r="B229" s="39"/>
      <c r="D229" s="71" t="s">
        <v>84</v>
      </c>
      <c r="E229" s="72" t="str">
        <f>E201</f>
        <v>тыс. руб.</v>
      </c>
      <c r="F229" s="73">
        <f>F230</f>
        <v>0</v>
      </c>
      <c r="G229" s="73">
        <f t="shared" ref="G229:Z229" si="119">G230</f>
        <v>0</v>
      </c>
      <c r="H229" s="73">
        <f t="shared" si="119"/>
        <v>0</v>
      </c>
      <c r="I229" s="73">
        <f t="shared" si="119"/>
        <v>0</v>
      </c>
      <c r="J229" s="73">
        <f t="shared" si="119"/>
        <v>0</v>
      </c>
      <c r="K229" s="73">
        <f t="shared" si="119"/>
        <v>0</v>
      </c>
      <c r="L229" s="73">
        <f t="shared" si="119"/>
        <v>0</v>
      </c>
      <c r="M229" s="73">
        <f t="shared" si="119"/>
        <v>0</v>
      </c>
      <c r="N229" s="73">
        <f t="shared" si="119"/>
        <v>0</v>
      </c>
      <c r="O229" s="73">
        <f t="shared" si="119"/>
        <v>0</v>
      </c>
      <c r="P229" s="73">
        <f t="shared" si="119"/>
        <v>0</v>
      </c>
      <c r="Q229" s="73">
        <f t="shared" si="119"/>
        <v>0</v>
      </c>
      <c r="R229" s="73">
        <f t="shared" si="119"/>
        <v>0</v>
      </c>
      <c r="S229" s="73">
        <f t="shared" si="119"/>
        <v>0</v>
      </c>
      <c r="T229" s="73">
        <f t="shared" si="119"/>
        <v>0</v>
      </c>
      <c r="U229" s="73">
        <f t="shared" si="119"/>
        <v>0</v>
      </c>
      <c r="V229" s="73">
        <f t="shared" si="119"/>
        <v>0</v>
      </c>
      <c r="W229" s="73">
        <f t="shared" si="119"/>
        <v>0</v>
      </c>
      <c r="X229" s="73">
        <f t="shared" si="119"/>
        <v>0</v>
      </c>
      <c r="Y229" s="73">
        <f t="shared" si="119"/>
        <v>0</v>
      </c>
      <c r="Z229" s="73">
        <f t="shared" si="119"/>
        <v>0</v>
      </c>
    </row>
    <row r="230" spans="1:28" outlineLevel="1" x14ac:dyDescent="0.25">
      <c r="A230" s="39" t="str">
        <f t="shared" si="98"/>
        <v>SANY SET240S</v>
      </c>
      <c r="B230" s="39"/>
      <c r="D230" s="101" t="s">
        <v>85</v>
      </c>
      <c r="E230" s="9" t="str">
        <f>E229</f>
        <v>тыс. руб.</v>
      </c>
      <c r="F230" s="78">
        <f>SUMIFS(Свод_1!$D$41:$U$41,Свод_1!$D$23:$U$23,$A230)</f>
        <v>0</v>
      </c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8" outlineLevel="1" x14ac:dyDescent="0.25">
      <c r="A231" s="39" t="str">
        <f t="shared" si="98"/>
        <v>SANY SET240S</v>
      </c>
      <c r="B231" s="39"/>
      <c r="D231" s="101"/>
      <c r="E231" s="9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8" outlineLevel="1" x14ac:dyDescent="0.25">
      <c r="A232" s="39" t="str">
        <f t="shared" si="98"/>
        <v>SANY SET240S</v>
      </c>
      <c r="B232" s="39"/>
      <c r="D232" s="71" t="s">
        <v>86</v>
      </c>
      <c r="E232" s="72" t="str">
        <f>E201</f>
        <v>тыс. руб.</v>
      </c>
      <c r="F232" s="73">
        <f>F201+F229</f>
        <v>0</v>
      </c>
      <c r="G232" s="73">
        <f t="shared" ref="G232:Z232" si="120">G201+G229</f>
        <v>90424.217991647572</v>
      </c>
      <c r="H232" s="73">
        <f t="shared" si="120"/>
        <v>95645.344467083807</v>
      </c>
      <c r="I232" s="73">
        <f t="shared" si="120"/>
        <v>124332.45305836329</v>
      </c>
      <c r="J232" s="73">
        <f t="shared" si="120"/>
        <v>105937.05590861087</v>
      </c>
      <c r="K232" s="73">
        <f t="shared" si="120"/>
        <v>152685.10134933365</v>
      </c>
      <c r="L232" s="73">
        <f t="shared" si="120"/>
        <v>142628.55382006362</v>
      </c>
      <c r="M232" s="73">
        <f t="shared" si="120"/>
        <v>102659.42665804707</v>
      </c>
      <c r="N232" s="73">
        <f t="shared" si="120"/>
        <v>106264.46620133477</v>
      </c>
      <c r="O232" s="73">
        <f t="shared" si="120"/>
        <v>181106.12609839198</v>
      </c>
      <c r="P232" s="73">
        <f t="shared" si="120"/>
        <v>100734.4338333178</v>
      </c>
      <c r="Q232" s="73">
        <f t="shared" si="120"/>
        <v>103132.85009078209</v>
      </c>
      <c r="R232" s="73">
        <f t="shared" si="120"/>
        <v>108710.78270992349</v>
      </c>
      <c r="S232" s="73">
        <f t="shared" si="120"/>
        <v>0</v>
      </c>
      <c r="T232" s="73">
        <f t="shared" si="120"/>
        <v>0</v>
      </c>
      <c r="U232" s="73">
        <f t="shared" si="120"/>
        <v>0</v>
      </c>
      <c r="V232" s="73">
        <f t="shared" si="120"/>
        <v>0</v>
      </c>
      <c r="W232" s="73">
        <f t="shared" si="120"/>
        <v>0</v>
      </c>
      <c r="X232" s="73">
        <f t="shared" si="120"/>
        <v>0</v>
      </c>
      <c r="Y232" s="73">
        <f t="shared" si="120"/>
        <v>0</v>
      </c>
      <c r="Z232" s="73">
        <f t="shared" si="120"/>
        <v>0</v>
      </c>
    </row>
    <row r="233" spans="1:28" outlineLevel="1" x14ac:dyDescent="0.25">
      <c r="A233" s="39" t="str">
        <f t="shared" si="98"/>
        <v>SANY SET240S</v>
      </c>
      <c r="B233" s="39"/>
      <c r="D233" s="67" t="s">
        <v>87</v>
      </c>
      <c r="E233" s="68" t="str">
        <f>E232</f>
        <v>тыс. руб.</v>
      </c>
      <c r="F233" s="102"/>
      <c r="G233" s="69">
        <f>G201*'ФОТ, МТР, макро'!AK$13</f>
        <v>80735.908921113893</v>
      </c>
      <c r="H233" s="69">
        <f>H201*'ФОТ, МТР, макро'!AL$13</f>
        <v>76247.883025417555</v>
      </c>
      <c r="I233" s="69">
        <f>I201*'ФОТ, МТР, макро'!AM$13</f>
        <v>88497.384249131093</v>
      </c>
      <c r="J233" s="69">
        <f>J201*'ФОТ, МТР, макро'!AN$13</f>
        <v>67324.914202905537</v>
      </c>
      <c r="K233" s="69">
        <f>K201*'ФОТ, МТР, макро'!AO$13</f>
        <v>86637.626973728038</v>
      </c>
      <c r="L233" s="69">
        <f>L201*'ФОТ, МТР, макро'!AP$13</f>
        <v>72260.064133758657</v>
      </c>
      <c r="M233" s="69">
        <f>M201*'ФОТ, МТР, макро'!AQ$13</f>
        <v>46437.911095702955</v>
      </c>
      <c r="N233" s="69">
        <f>N201*'ФОТ, МТР, макро'!AR$13</f>
        <v>42918.43562889965</v>
      </c>
      <c r="O233" s="69">
        <f>O201*'ФОТ, МТР, макро'!AS$13</f>
        <v>65308.684656658224</v>
      </c>
      <c r="P233" s="69">
        <f>P201*'ФОТ, МТР, макро'!AT$13</f>
        <v>32433.791697444642</v>
      </c>
      <c r="Q233" s="69">
        <f>Q201*'ФОТ, МТР, макро'!AU$13</f>
        <v>29648.229948707285</v>
      </c>
      <c r="R233" s="69">
        <f>R201*'ФОТ, МТР, макро'!AV$13</f>
        <v>27903.350256235597</v>
      </c>
      <c r="S233" s="69">
        <f>S201*'ФОТ, МТР, макро'!AW$13</f>
        <v>0</v>
      </c>
      <c r="T233" s="69">
        <f>T201*'ФОТ, МТР, макро'!AX$13</f>
        <v>0</v>
      </c>
      <c r="U233" s="69">
        <f>U201*'ФОТ, МТР, макро'!AY$13</f>
        <v>0</v>
      </c>
      <c r="V233" s="69">
        <f>V201*'ФОТ, МТР, макро'!AZ$13</f>
        <v>0</v>
      </c>
      <c r="W233" s="69">
        <f>W201*'ФОТ, МТР, макро'!BA$13</f>
        <v>0</v>
      </c>
      <c r="X233" s="69">
        <f>X201*'ФОТ, МТР, макро'!BB$13</f>
        <v>0</v>
      </c>
      <c r="Y233" s="69">
        <f>Y201*'ФОТ, МТР, макро'!BC$13</f>
        <v>0</v>
      </c>
      <c r="Z233" s="69">
        <f>Z201*'ФОТ, МТР, макро'!BD$13</f>
        <v>0</v>
      </c>
    </row>
    <row r="234" spans="1:28" outlineLevel="1" x14ac:dyDescent="0.25">
      <c r="A234" s="39" t="str">
        <f t="shared" si="98"/>
        <v>SANY SET240S</v>
      </c>
      <c r="B234" s="39"/>
      <c r="D234" s="18" t="str">
        <f>D202</f>
        <v>ТО, ТР, ППР</v>
      </c>
      <c r="E234" s="9" t="str">
        <f>E233</f>
        <v>тыс. руб.</v>
      </c>
      <c r="F234" s="103"/>
      <c r="G234" s="74">
        <f>G202*'ФОТ, МТР, макро'!AK$13</f>
        <v>11365.40079644602</v>
      </c>
      <c r="H234" s="74">
        <f>H202*'ФОТ, МТР, макро'!AL$13</f>
        <v>15839.71820232378</v>
      </c>
      <c r="I234" s="74">
        <f>I202*'ФОТ, МТР, макро'!AM$13</f>
        <v>40028.600366285515</v>
      </c>
      <c r="J234" s="74">
        <f>J202*'ФОТ, МТР, макро'!AN$13</f>
        <v>18238.1902504809</v>
      </c>
      <c r="K234" s="74">
        <f>K202*'ФОТ, МТР, макро'!AO$13</f>
        <v>51974.77625720697</v>
      </c>
      <c r="L234" s="74">
        <f>L202*'ФОТ, МТР, макро'!AP$13</f>
        <v>35319.441990495419</v>
      </c>
      <c r="M234" s="74">
        <f>M202*'ФОТ, МТР, макро'!AQ$13</f>
        <v>11374.901949134823</v>
      </c>
      <c r="N234" s="74">
        <f>N202*'ФОТ, МТР, макро'!AR$13</f>
        <v>10215.314814109888</v>
      </c>
      <c r="O234" s="74">
        <f>O202*'ФОТ, МТР, макро'!AS$13</f>
        <v>45762.671276109366</v>
      </c>
      <c r="P234" s="74">
        <f>P202*'ФОТ, МТР, макро'!AT$13</f>
        <v>5935.1252461311597</v>
      </c>
      <c r="Q234" s="74">
        <f>Q202*'ФОТ, МТР, макро'!AU$13</f>
        <v>6997.0350472412911</v>
      </c>
      <c r="R234" s="74">
        <f>R202*'ФОТ, МТР, макро'!AV$13</f>
        <v>6831.3212225726038</v>
      </c>
      <c r="S234" s="74">
        <f>S202*'ФОТ, МТР, макро'!AW$13</f>
        <v>0</v>
      </c>
      <c r="T234" s="74">
        <f>T202*'ФОТ, МТР, макро'!AX$13</f>
        <v>0</v>
      </c>
      <c r="U234" s="74">
        <f>U202*'ФОТ, МТР, макро'!AY$13</f>
        <v>0</v>
      </c>
      <c r="V234" s="74">
        <f>V202*'ФОТ, МТР, макро'!AZ$13</f>
        <v>0</v>
      </c>
      <c r="W234" s="74">
        <f>W202*'ФОТ, МТР, макро'!BA$13</f>
        <v>0</v>
      </c>
      <c r="X234" s="74">
        <f>X202*'ФОТ, МТР, макро'!BB$13</f>
        <v>0</v>
      </c>
      <c r="Y234" s="74">
        <f>Y202*'ФОТ, МТР, макро'!BC$13</f>
        <v>0</v>
      </c>
      <c r="Z234" s="74">
        <f>Z202*'ФОТ, МТР, макро'!BD$13</f>
        <v>0</v>
      </c>
    </row>
    <row r="235" spans="1:28" outlineLevel="1" x14ac:dyDescent="0.25">
      <c r="A235" s="39" t="str">
        <f t="shared" si="98"/>
        <v>SANY SET240S</v>
      </c>
      <c r="B235" s="39"/>
      <c r="D235" s="18" t="str">
        <f>D207</f>
        <v>Шины</v>
      </c>
      <c r="E235" s="9" t="str">
        <f t="shared" ref="E235:E240" si="121">E234</f>
        <v>тыс. руб.</v>
      </c>
      <c r="F235" s="103"/>
      <c r="G235" s="74">
        <f>G207*'ФОТ, МТР, макро'!AK$13</f>
        <v>20808.051023065549</v>
      </c>
      <c r="H235" s="74">
        <f>H207*'ФОТ, МТР, макро'!AL$13</f>
        <v>18541.386076543746</v>
      </c>
      <c r="I235" s="74">
        <f>I207*'ФОТ, МТР, макро'!AM$13</f>
        <v>16905.022671893825</v>
      </c>
      <c r="J235" s="74">
        <f>J207*'ФОТ, МТР, макро'!AN$13</f>
        <v>15594.329617815851</v>
      </c>
      <c r="K235" s="74">
        <f>K207*'ФОТ, МТР, макро'!AO$13</f>
        <v>13839.16063581359</v>
      </c>
      <c r="L235" s="74">
        <f>L207*'ФОТ, МТР, макро'!AP$13</f>
        <v>13479.116421342909</v>
      </c>
      <c r="M235" s="74">
        <f>M207*'ФОТ, МТР, макро'!AQ$13</f>
        <v>11002.936811189436</v>
      </c>
      <c r="N235" s="74">
        <f>N207*'ФОТ, МТР, макро'!AR$13</f>
        <v>10316.254017002573</v>
      </c>
      <c r="O235" s="74">
        <f>O207*'ФОТ, МТР, макро'!AS$13</f>
        <v>9039.1370659636086</v>
      </c>
      <c r="P235" s="74">
        <f>P207*'ФОТ, МТР, макро'!AT$13</f>
        <v>8180.7576428831371</v>
      </c>
      <c r="Q235" s="74">
        <f>Q207*'ФОТ, МТР, макро'!AU$13</f>
        <v>7100.6670518440469</v>
      </c>
      <c r="R235" s="74">
        <f>R207*'ФОТ, МТР, макро'!AV$13</f>
        <v>6686.370753975596</v>
      </c>
      <c r="S235" s="74">
        <f>S207*'ФОТ, МТР, макро'!AW$13</f>
        <v>0</v>
      </c>
      <c r="T235" s="74">
        <f>T207*'ФОТ, МТР, макро'!AX$13</f>
        <v>0</v>
      </c>
      <c r="U235" s="74">
        <f>U207*'ФОТ, МТР, макро'!AY$13</f>
        <v>0</v>
      </c>
      <c r="V235" s="74">
        <f>V207*'ФОТ, МТР, макро'!AZ$13</f>
        <v>0</v>
      </c>
      <c r="W235" s="74">
        <f>W207*'ФОТ, МТР, макро'!BA$13</f>
        <v>0</v>
      </c>
      <c r="X235" s="74">
        <f>X207*'ФОТ, МТР, макро'!BB$13</f>
        <v>0</v>
      </c>
      <c r="Y235" s="74">
        <f>Y207*'ФОТ, МТР, макро'!BC$13</f>
        <v>0</v>
      </c>
      <c r="Z235" s="74">
        <f>Z207*'ФОТ, МТР, макро'!BD$13</f>
        <v>0</v>
      </c>
    </row>
    <row r="236" spans="1:28" outlineLevel="1" x14ac:dyDescent="0.25">
      <c r="A236" s="39" t="str">
        <f t="shared" si="98"/>
        <v>SANY SET240S</v>
      </c>
      <c r="B236" s="39"/>
      <c r="D236" s="18" t="str">
        <f>D211</f>
        <v>Топливо</v>
      </c>
      <c r="E236" s="9" t="str">
        <f t="shared" si="121"/>
        <v>тыс. руб.</v>
      </c>
      <c r="F236" s="103"/>
      <c r="G236" s="74">
        <f>G211*'ФОТ, МТР, макро'!AK$13</f>
        <v>58762.595277096763</v>
      </c>
      <c r="H236" s="74">
        <f>H211*'ФОТ, МТР, макро'!AL$13</f>
        <v>52361.461661382484</v>
      </c>
      <c r="I236" s="74">
        <f>I211*'ФОТ, МТР, макро'!AM$13</f>
        <v>47740.319567531114</v>
      </c>
      <c r="J236" s="74">
        <f>J211*'ФОТ, МТР, макро'!AN$13</f>
        <v>44038.880860757934</v>
      </c>
      <c r="K236" s="74">
        <f>K211*'ФОТ, МТР, макро'!AO$13</f>
        <v>39082.228052766215</v>
      </c>
      <c r="L236" s="74">
        <f>L211*'ФОТ, МТР, макро'!AP$13</f>
        <v>38065.451785092308</v>
      </c>
      <c r="M236" s="74">
        <f>M211*'ФОТ, МТР, макро'!AQ$13</f>
        <v>31072.642121969362</v>
      </c>
      <c r="N236" s="74">
        <f>N211*'ФОТ, МТР, макро'!AR$13</f>
        <v>29133.428157440947</v>
      </c>
      <c r="O236" s="74">
        <f>O211*'ФОТ, МТР, макро'!AS$13</f>
        <v>25526.809429322984</v>
      </c>
      <c r="P236" s="74">
        <f>P211*'ФОТ, МТР, макро'!AT$13</f>
        <v>23102.718745541366</v>
      </c>
      <c r="Q236" s="74">
        <f>Q211*'ФОТ, МТР, макро'!AU$13</f>
        <v>20052.508699753067</v>
      </c>
      <c r="R236" s="74">
        <f>R211*'ФОТ, МТР, макро'!AV$13</f>
        <v>18882.522829886788</v>
      </c>
      <c r="S236" s="74">
        <f>S211*'ФОТ, МТР, макро'!AW$13</f>
        <v>0</v>
      </c>
      <c r="T236" s="74">
        <f>T211*'ФОТ, МТР, макро'!AX$13</f>
        <v>0</v>
      </c>
      <c r="U236" s="74">
        <f>U211*'ФОТ, МТР, макро'!AY$13</f>
        <v>0</v>
      </c>
      <c r="V236" s="74">
        <f>V211*'ФОТ, МТР, макро'!AZ$13</f>
        <v>0</v>
      </c>
      <c r="W236" s="74">
        <f>W211*'ФОТ, МТР, макро'!BA$13</f>
        <v>0</v>
      </c>
      <c r="X236" s="74">
        <f>X211*'ФОТ, МТР, макро'!BB$13</f>
        <v>0</v>
      </c>
      <c r="Y236" s="74">
        <f>Y211*'ФОТ, МТР, макро'!BC$13</f>
        <v>0</v>
      </c>
      <c r="Z236" s="74">
        <f>Z211*'ФОТ, МТР, макро'!BD$13</f>
        <v>0</v>
      </c>
    </row>
    <row r="237" spans="1:28" outlineLevel="1" x14ac:dyDescent="0.25">
      <c r="A237" s="39" t="str">
        <f t="shared" si="98"/>
        <v>SANY SET240S</v>
      </c>
      <c r="B237" s="39"/>
      <c r="D237" s="18" t="str">
        <f>D216</f>
        <v>Смазочные</v>
      </c>
      <c r="E237" s="9" t="str">
        <f t="shared" si="121"/>
        <v>тыс. руб.</v>
      </c>
      <c r="F237" s="103"/>
      <c r="G237" s="74">
        <f>G216*'ФОТ, МТР, макро'!AK$13</f>
        <v>0</v>
      </c>
      <c r="H237" s="74">
        <f>H216*'ФОТ, МТР, макро'!AL$13</f>
        <v>0</v>
      </c>
      <c r="I237" s="74">
        <f>I216*'ФОТ, МТР, макро'!AM$13</f>
        <v>0</v>
      </c>
      <c r="J237" s="74">
        <f>J216*'ФОТ, МТР, макро'!AN$13</f>
        <v>0</v>
      </c>
      <c r="K237" s="74">
        <f>K216*'ФОТ, МТР, макро'!AO$13</f>
        <v>0</v>
      </c>
      <c r="L237" s="74">
        <f>L216*'ФОТ, МТР, макро'!AP$13</f>
        <v>0</v>
      </c>
      <c r="M237" s="74">
        <f>M216*'ФОТ, МТР, макро'!AQ$13</f>
        <v>0</v>
      </c>
      <c r="N237" s="74">
        <f>N216*'ФОТ, МТР, макро'!AR$13</f>
        <v>0</v>
      </c>
      <c r="O237" s="74">
        <f>O216*'ФОТ, МТР, макро'!AS$13</f>
        <v>0</v>
      </c>
      <c r="P237" s="74">
        <f>P216*'ФОТ, МТР, макро'!AT$13</f>
        <v>0</v>
      </c>
      <c r="Q237" s="74">
        <f>Q216*'ФОТ, МТР, макро'!AU$13</f>
        <v>0</v>
      </c>
      <c r="R237" s="74">
        <f>R216*'ФОТ, МТР, макро'!AV$13</f>
        <v>0</v>
      </c>
      <c r="S237" s="74">
        <f>S216*'ФОТ, МТР, макро'!AW$13</f>
        <v>0</v>
      </c>
      <c r="T237" s="74">
        <f>T216*'ФОТ, МТР, макро'!AX$13</f>
        <v>0</v>
      </c>
      <c r="U237" s="74">
        <f>U216*'ФОТ, МТР, макро'!AY$13</f>
        <v>0</v>
      </c>
      <c r="V237" s="74">
        <f>V216*'ФОТ, МТР, макро'!AZ$13</f>
        <v>0</v>
      </c>
      <c r="W237" s="74">
        <f>W216*'ФОТ, МТР, макро'!BA$13</f>
        <v>0</v>
      </c>
      <c r="X237" s="74">
        <f>X216*'ФОТ, МТР, макро'!BB$13</f>
        <v>0</v>
      </c>
      <c r="Y237" s="74">
        <f>Y216*'ФОТ, МТР, макро'!BC$13</f>
        <v>0</v>
      </c>
      <c r="Z237" s="74">
        <f>Z216*'ФОТ, МТР, макро'!BD$13</f>
        <v>0</v>
      </c>
    </row>
    <row r="238" spans="1:28" outlineLevel="1" x14ac:dyDescent="0.25">
      <c r="A238" s="39" t="str">
        <f t="shared" si="98"/>
        <v>SANY SET240S</v>
      </c>
      <c r="B238" s="39"/>
      <c r="D238" s="18" t="str">
        <f>D218</f>
        <v>Затраты на персонал</v>
      </c>
      <c r="E238" s="9" t="str">
        <f t="shared" si="121"/>
        <v>тыс. руб.</v>
      </c>
      <c r="F238" s="103"/>
      <c r="G238" s="74">
        <f>G218*'ФОТ, МТР, макро'!AK$13</f>
        <v>16496.068072019727</v>
      </c>
      <c r="H238" s="74">
        <f>H218*'ФОТ, МТР, макро'!AL$13</f>
        <v>14728.632207160468</v>
      </c>
      <c r="I238" s="74">
        <f>I218*'ФОТ, МТР, макро'!AM$13</f>
        <v>13150.56447067899</v>
      </c>
      <c r="J238" s="74">
        <f>J218*'ФОТ, МТР, макро'!AN$13</f>
        <v>11741.575420249097</v>
      </c>
      <c r="K238" s="74">
        <f>K218*'ФОТ, МТР, макро'!AO$13</f>
        <v>10483.549482365264</v>
      </c>
      <c r="L238" s="74">
        <f>L218*'ФОТ, МТР, макро'!AP$13</f>
        <v>9360.3120378261283</v>
      </c>
      <c r="M238" s="74">
        <f>M218*'ФОТ, МТР, макро'!AQ$13</f>
        <v>8357.4214623447569</v>
      </c>
      <c r="N238" s="74">
        <f>N218*'ФОТ, МТР, макро'!AR$13</f>
        <v>7461.9834485221045</v>
      </c>
      <c r="O238" s="74">
        <f>O218*'ФОТ, МТР, макро'!AS$13</f>
        <v>6662.4852218947353</v>
      </c>
      <c r="P238" s="74">
        <f>P218*'ФОТ, МТР, макро'!AT$13</f>
        <v>5948.6475195488702</v>
      </c>
      <c r="Q238" s="74">
        <f>Q218*'ФОТ, МТР, макро'!AU$13</f>
        <v>5311.2924281686337</v>
      </c>
      <c r="R238" s="74">
        <f>R218*'ФОТ, МТР, макро'!AV$13</f>
        <v>4742.2253822934226</v>
      </c>
      <c r="S238" s="74">
        <f>S218*'ФОТ, МТР, макро'!AW$13</f>
        <v>0</v>
      </c>
      <c r="T238" s="74">
        <f>T218*'ФОТ, МТР, макро'!AX$13</f>
        <v>0</v>
      </c>
      <c r="U238" s="74">
        <f>U218*'ФОТ, МТР, макро'!AY$13</f>
        <v>0</v>
      </c>
      <c r="V238" s="74">
        <f>V218*'ФОТ, МТР, макро'!AZ$13</f>
        <v>0</v>
      </c>
      <c r="W238" s="74">
        <f>W218*'ФОТ, МТР, макро'!BA$13</f>
        <v>0</v>
      </c>
      <c r="X238" s="74">
        <f>X218*'ФОТ, МТР, макро'!BB$13</f>
        <v>0</v>
      </c>
      <c r="Y238" s="74">
        <f>Y218*'ФОТ, МТР, макро'!BC$13</f>
        <v>0</v>
      </c>
      <c r="Z238" s="74">
        <f>Z218*'ФОТ, МТР, макро'!BD$13</f>
        <v>0</v>
      </c>
    </row>
    <row r="239" spans="1:28" outlineLevel="1" x14ac:dyDescent="0.25">
      <c r="A239" s="39" t="str">
        <f t="shared" si="98"/>
        <v>SANY SET240S</v>
      </c>
      <c r="B239" s="39"/>
      <c r="D239" s="18" t="str">
        <f>D222</f>
        <v>Транспортный налог</v>
      </c>
      <c r="E239" s="9" t="str">
        <f t="shared" si="121"/>
        <v>тыс. руб.</v>
      </c>
      <c r="F239" s="103"/>
      <c r="G239" s="74">
        <f>G222*'ФОТ, МТР, макро'!AK$13</f>
        <v>215.76339285714283</v>
      </c>
      <c r="H239" s="74">
        <f>H222*'ФОТ, МТР, макро'!AL$13</f>
        <v>192.64588647959178</v>
      </c>
      <c r="I239" s="74">
        <f>I222*'ФОТ, МТР, макро'!AM$13</f>
        <v>172.00525578534982</v>
      </c>
      <c r="J239" s="74">
        <f>J222*'ФОТ, МТР, макро'!AN$13</f>
        <v>153.57612123691945</v>
      </c>
      <c r="K239" s="74">
        <f>K222*'ФОТ, МТР, макро'!AO$13</f>
        <v>137.12153681867809</v>
      </c>
      <c r="L239" s="74">
        <f>L222*'ФОТ, МТР, макро'!AP$13</f>
        <v>122.42994358810543</v>
      </c>
      <c r="M239" s="74">
        <f>M222*'ФОТ, МТР, макро'!AQ$13</f>
        <v>109.31244963223698</v>
      </c>
      <c r="N239" s="74">
        <f>N222*'ФОТ, МТР, макро'!AR$13</f>
        <v>97.600401457354437</v>
      </c>
      <c r="O239" s="74">
        <f>O222*'ФОТ, МТР, макро'!AS$13</f>
        <v>87.143215586923603</v>
      </c>
      <c r="P239" s="74">
        <f>P222*'ФОТ, МТР, макро'!AT$13</f>
        <v>77.806442488324635</v>
      </c>
      <c r="Q239" s="74">
        <f>Q222*'ФОТ, МТР, макро'!AU$13</f>
        <v>69.470037936004132</v>
      </c>
      <c r="R239" s="74">
        <f>R222*'ФОТ, МТР, макро'!AV$13</f>
        <v>62.026819585717973</v>
      </c>
      <c r="S239" s="74">
        <f>S222*'ФОТ, МТР, макро'!AW$13</f>
        <v>0</v>
      </c>
      <c r="T239" s="74">
        <f>T222*'ФОТ, МТР, макро'!AX$13</f>
        <v>0</v>
      </c>
      <c r="U239" s="74">
        <f>U222*'ФОТ, МТР, макро'!AY$13</f>
        <v>0</v>
      </c>
      <c r="V239" s="74">
        <f>V222*'ФОТ, МТР, макро'!AZ$13</f>
        <v>0</v>
      </c>
      <c r="W239" s="74">
        <f>W222*'ФОТ, МТР, макро'!BA$13</f>
        <v>0</v>
      </c>
      <c r="X239" s="74">
        <f>X222*'ФОТ, МТР, макро'!BB$13</f>
        <v>0</v>
      </c>
      <c r="Y239" s="74">
        <f>Y222*'ФОТ, МТР, макро'!BC$13</f>
        <v>0</v>
      </c>
      <c r="Z239" s="74">
        <f>Z222*'ФОТ, МТР, макро'!BD$13</f>
        <v>0</v>
      </c>
    </row>
    <row r="240" spans="1:28" outlineLevel="1" x14ac:dyDescent="0.25">
      <c r="A240" s="39" t="str">
        <f t="shared" si="98"/>
        <v>SANY SET240S</v>
      </c>
      <c r="B240" s="39"/>
      <c r="D240" s="18" t="str">
        <f>D227</f>
        <v>Налог на прибыль</v>
      </c>
      <c r="E240" s="9" t="str">
        <f t="shared" si="121"/>
        <v>тыс. руб.</v>
      </c>
      <c r="F240" s="103"/>
      <c r="G240" s="74">
        <f>G227*'ФОТ, МТР, макро'!AK$13</f>
        <v>-26911.969640371299</v>
      </c>
      <c r="H240" s="74">
        <f>H227*'ФОТ, МТР, макро'!AL$13</f>
        <v>-25415.961008472517</v>
      </c>
      <c r="I240" s="74">
        <f>I227*'ФОТ, МТР, макро'!AM$13</f>
        <v>-29499.128083043699</v>
      </c>
      <c r="J240" s="74">
        <f>J227*'ФОТ, МТР, макро'!AN$13</f>
        <v>-22441.638067635176</v>
      </c>
      <c r="K240" s="74">
        <f>K227*'ФОТ, МТР, макро'!AO$13</f>
        <v>-28879.208991242682</v>
      </c>
      <c r="L240" s="74">
        <f>L227*'ФОТ, МТР, макро'!AP$13</f>
        <v>-24086.688044586219</v>
      </c>
      <c r="M240" s="74">
        <f>M227*'ФОТ, МТР, макро'!AQ$13</f>
        <v>-15479.303698567652</v>
      </c>
      <c r="N240" s="74">
        <f>N227*'ФОТ, МТР, макро'!AR$13</f>
        <v>-14306.145209633218</v>
      </c>
      <c r="O240" s="74">
        <f>O227*'ФОТ, МТР, макро'!AS$13</f>
        <v>-21769.561552219406</v>
      </c>
      <c r="P240" s="74">
        <f>P227*'ФОТ, МТР, макро'!AT$13</f>
        <v>-10811.263899148214</v>
      </c>
      <c r="Q240" s="74">
        <f>Q227*'ФОТ, МТР, макро'!AU$13</f>
        <v>-9882.7433162357611</v>
      </c>
      <c r="R240" s="74">
        <f>R227*'ФОТ, МТР, макро'!AV$13</f>
        <v>-9301.116752078533</v>
      </c>
      <c r="S240" s="74">
        <f>S227*'ФОТ, МТР, макро'!AW$13</f>
        <v>0</v>
      </c>
      <c r="T240" s="74">
        <f>T227*'ФОТ, МТР, макро'!AX$13</f>
        <v>0</v>
      </c>
      <c r="U240" s="74">
        <f>U227*'ФОТ, МТР, макро'!AY$13</f>
        <v>0</v>
      </c>
      <c r="V240" s="74">
        <f>V227*'ФОТ, МТР, макро'!AZ$13</f>
        <v>0</v>
      </c>
      <c r="W240" s="74">
        <f>W227*'ФОТ, МТР, макро'!BA$13</f>
        <v>0</v>
      </c>
      <c r="X240" s="74">
        <f>X227*'ФОТ, МТР, макро'!BB$13</f>
        <v>0</v>
      </c>
      <c r="Y240" s="74">
        <f>Y227*'ФОТ, МТР, макро'!BC$13</f>
        <v>0</v>
      </c>
      <c r="Z240" s="74">
        <f>Z227*'ФОТ, МТР, макро'!BD$13</f>
        <v>0</v>
      </c>
    </row>
    <row r="241" spans="1:26" outlineLevel="1" x14ac:dyDescent="0.25">
      <c r="A241" s="39" t="str">
        <f t="shared" si="98"/>
        <v>SANY SET240S</v>
      </c>
      <c r="B241" s="39"/>
      <c r="D241" s="104" t="s">
        <v>88</v>
      </c>
      <c r="E241" s="9"/>
      <c r="F241" s="105"/>
      <c r="G241" s="106">
        <f>G233-SUM(G234:G240)</f>
        <v>0</v>
      </c>
      <c r="H241" s="106">
        <f t="shared" ref="H241:I241" si="122">H233-SUM(H234:H240)</f>
        <v>0</v>
      </c>
      <c r="I241" s="106">
        <f t="shared" si="122"/>
        <v>0</v>
      </c>
      <c r="J241" s="106">
        <f t="shared" ref="J241:Z241" si="123">J233-SUM(J234:J240)</f>
        <v>0</v>
      </c>
      <c r="K241" s="106">
        <f t="shared" si="123"/>
        <v>0</v>
      </c>
      <c r="L241" s="106">
        <f t="shared" si="123"/>
        <v>0</v>
      </c>
      <c r="M241" s="106">
        <f t="shared" si="123"/>
        <v>0</v>
      </c>
      <c r="N241" s="106">
        <f t="shared" si="123"/>
        <v>0</v>
      </c>
      <c r="O241" s="106">
        <f t="shared" si="123"/>
        <v>0</v>
      </c>
      <c r="P241" s="106">
        <f t="shared" si="123"/>
        <v>0</v>
      </c>
      <c r="Q241" s="106">
        <f t="shared" si="123"/>
        <v>0</v>
      </c>
      <c r="R241" s="106">
        <f t="shared" si="123"/>
        <v>0</v>
      </c>
      <c r="S241" s="106">
        <f t="shared" si="123"/>
        <v>0</v>
      </c>
      <c r="T241" s="106">
        <f t="shared" si="123"/>
        <v>0</v>
      </c>
      <c r="U241" s="106">
        <f t="shared" si="123"/>
        <v>0</v>
      </c>
      <c r="V241" s="106">
        <f t="shared" si="123"/>
        <v>0</v>
      </c>
      <c r="W241" s="106">
        <f t="shared" si="123"/>
        <v>0</v>
      </c>
      <c r="X241" s="106">
        <f t="shared" si="123"/>
        <v>0</v>
      </c>
      <c r="Y241" s="106">
        <f t="shared" si="123"/>
        <v>0</v>
      </c>
      <c r="Z241" s="106">
        <f t="shared" si="123"/>
        <v>0</v>
      </c>
    </row>
    <row r="242" spans="1:26" ht="27.2" outlineLevel="1" x14ac:dyDescent="0.25">
      <c r="A242" s="39" t="str">
        <f t="shared" si="98"/>
        <v>SANY SET240S</v>
      </c>
      <c r="B242" s="39"/>
      <c r="D242" s="107" t="s">
        <v>89</v>
      </c>
      <c r="E242" s="68" t="str">
        <f>E233</f>
        <v>тыс. руб.</v>
      </c>
      <c r="F242" s="69">
        <f>F233</f>
        <v>0</v>
      </c>
      <c r="G242" s="69">
        <f>F242+G233</f>
        <v>80735.908921113893</v>
      </c>
      <c r="H242" s="69">
        <f t="shared" ref="H242:Z249" si="124">G242+H233</f>
        <v>156983.79194653145</v>
      </c>
      <c r="I242" s="69">
        <f t="shared" si="124"/>
        <v>245481.17619566253</v>
      </c>
      <c r="J242" s="69">
        <f t="shared" si="124"/>
        <v>312806.09039856808</v>
      </c>
      <c r="K242" s="69">
        <f t="shared" si="124"/>
        <v>399443.71737229615</v>
      </c>
      <c r="L242" s="69">
        <f t="shared" si="124"/>
        <v>471703.7815060548</v>
      </c>
      <c r="M242" s="69">
        <f t="shared" si="124"/>
        <v>518141.69260175776</v>
      </c>
      <c r="N242" s="69">
        <f t="shared" si="124"/>
        <v>561060.12823065743</v>
      </c>
      <c r="O242" s="69">
        <f t="shared" si="124"/>
        <v>626368.81288731564</v>
      </c>
      <c r="P242" s="69">
        <f t="shared" si="124"/>
        <v>658802.60458476027</v>
      </c>
      <c r="Q242" s="69">
        <f t="shared" si="124"/>
        <v>688450.83453346754</v>
      </c>
      <c r="R242" s="69">
        <f t="shared" si="124"/>
        <v>716354.18478970311</v>
      </c>
      <c r="S242" s="69">
        <f t="shared" si="124"/>
        <v>716354.18478970311</v>
      </c>
      <c r="T242" s="69">
        <f t="shared" si="124"/>
        <v>716354.18478970311</v>
      </c>
      <c r="U242" s="69">
        <f t="shared" si="124"/>
        <v>716354.18478970311</v>
      </c>
      <c r="V242" s="69">
        <f t="shared" si="124"/>
        <v>716354.18478970311</v>
      </c>
      <c r="W242" s="69">
        <f t="shared" si="124"/>
        <v>716354.18478970311</v>
      </c>
      <c r="X242" s="69">
        <f t="shared" si="124"/>
        <v>716354.18478970311</v>
      </c>
      <c r="Y242" s="69">
        <f t="shared" si="124"/>
        <v>716354.18478970311</v>
      </c>
      <c r="Z242" s="69">
        <f t="shared" si="124"/>
        <v>716354.18478970311</v>
      </c>
    </row>
    <row r="243" spans="1:26" outlineLevel="1" x14ac:dyDescent="0.25">
      <c r="A243" s="39" t="str">
        <f t="shared" si="98"/>
        <v>SANY SET240S</v>
      </c>
      <c r="B243" s="39"/>
      <c r="D243" s="101" t="str">
        <f>D234</f>
        <v>ТО, ТР, ППР</v>
      </c>
      <c r="E243" s="9" t="str">
        <f>E234</f>
        <v>тыс. руб.</v>
      </c>
      <c r="F243" s="74">
        <f>F234</f>
        <v>0</v>
      </c>
      <c r="G243" s="74">
        <f>F243+G234</f>
        <v>11365.40079644602</v>
      </c>
      <c r="H243" s="74">
        <f t="shared" si="124"/>
        <v>27205.118998769802</v>
      </c>
      <c r="I243" s="74">
        <f t="shared" si="124"/>
        <v>67233.719365055324</v>
      </c>
      <c r="J243" s="74">
        <f t="shared" si="124"/>
        <v>85471.90961553622</v>
      </c>
      <c r="K243" s="74">
        <f t="shared" si="124"/>
        <v>137446.6858727432</v>
      </c>
      <c r="L243" s="74">
        <f t="shared" si="124"/>
        <v>172766.12786323862</v>
      </c>
      <c r="M243" s="74">
        <f t="shared" si="124"/>
        <v>184141.02981237345</v>
      </c>
      <c r="N243" s="74">
        <f t="shared" si="124"/>
        <v>194356.34462648333</v>
      </c>
      <c r="O243" s="74">
        <f t="shared" si="124"/>
        <v>240119.01590259268</v>
      </c>
      <c r="P243" s="74">
        <f t="shared" si="124"/>
        <v>246054.14114872384</v>
      </c>
      <c r="Q243" s="74">
        <f t="shared" si="124"/>
        <v>253051.17619596512</v>
      </c>
      <c r="R243" s="74">
        <f t="shared" si="124"/>
        <v>259882.49741853774</v>
      </c>
      <c r="S243" s="74">
        <f t="shared" si="124"/>
        <v>259882.49741853774</v>
      </c>
      <c r="T243" s="74">
        <f t="shared" si="124"/>
        <v>259882.49741853774</v>
      </c>
      <c r="U243" s="74">
        <f t="shared" si="124"/>
        <v>259882.49741853774</v>
      </c>
      <c r="V243" s="74">
        <f t="shared" si="124"/>
        <v>259882.49741853774</v>
      </c>
      <c r="W243" s="74">
        <f t="shared" si="124"/>
        <v>259882.49741853774</v>
      </c>
      <c r="X243" s="74">
        <f t="shared" si="124"/>
        <v>259882.49741853774</v>
      </c>
      <c r="Y243" s="74">
        <f t="shared" si="124"/>
        <v>259882.49741853774</v>
      </c>
      <c r="Z243" s="74">
        <f t="shared" si="124"/>
        <v>259882.49741853774</v>
      </c>
    </row>
    <row r="244" spans="1:26" outlineLevel="1" x14ac:dyDescent="0.25">
      <c r="A244" s="39" t="str">
        <f t="shared" si="98"/>
        <v>SANY SET240S</v>
      </c>
      <c r="B244" s="39"/>
      <c r="D244" s="101" t="str">
        <f t="shared" ref="D244:F249" si="125">D235</f>
        <v>Шины</v>
      </c>
      <c r="E244" s="9" t="str">
        <f t="shared" si="125"/>
        <v>тыс. руб.</v>
      </c>
      <c r="F244" s="74">
        <f t="shared" si="125"/>
        <v>0</v>
      </c>
      <c r="G244" s="74">
        <f t="shared" ref="G244:G249" si="126">F244+G235</f>
        <v>20808.051023065549</v>
      </c>
      <c r="H244" s="74">
        <f t="shared" si="124"/>
        <v>39349.437099609291</v>
      </c>
      <c r="I244" s="74">
        <f t="shared" si="124"/>
        <v>56254.459771503112</v>
      </c>
      <c r="J244" s="74">
        <f t="shared" si="124"/>
        <v>71848.789389318961</v>
      </c>
      <c r="K244" s="74">
        <f t="shared" si="124"/>
        <v>85687.950025132552</v>
      </c>
      <c r="L244" s="74">
        <f t="shared" si="124"/>
        <v>99167.066446475466</v>
      </c>
      <c r="M244" s="74">
        <f t="shared" si="124"/>
        <v>110170.00325766491</v>
      </c>
      <c r="N244" s="74">
        <f t="shared" si="124"/>
        <v>120486.25727466749</v>
      </c>
      <c r="O244" s="74">
        <f t="shared" si="124"/>
        <v>129525.39434063109</v>
      </c>
      <c r="P244" s="74">
        <f t="shared" si="124"/>
        <v>137706.15198351422</v>
      </c>
      <c r="Q244" s="74">
        <f t="shared" si="124"/>
        <v>144806.81903535826</v>
      </c>
      <c r="R244" s="74">
        <f t="shared" si="124"/>
        <v>151493.18978933385</v>
      </c>
      <c r="S244" s="74">
        <f t="shared" si="124"/>
        <v>151493.18978933385</v>
      </c>
      <c r="T244" s="74">
        <f t="shared" si="124"/>
        <v>151493.18978933385</v>
      </c>
      <c r="U244" s="74">
        <f t="shared" si="124"/>
        <v>151493.18978933385</v>
      </c>
      <c r="V244" s="74">
        <f t="shared" si="124"/>
        <v>151493.18978933385</v>
      </c>
      <c r="W244" s="74">
        <f t="shared" si="124"/>
        <v>151493.18978933385</v>
      </c>
      <c r="X244" s="74">
        <f t="shared" si="124"/>
        <v>151493.18978933385</v>
      </c>
      <c r="Y244" s="74">
        <f t="shared" si="124"/>
        <v>151493.18978933385</v>
      </c>
      <c r="Z244" s="74">
        <f t="shared" si="124"/>
        <v>151493.18978933385</v>
      </c>
    </row>
    <row r="245" spans="1:26" outlineLevel="1" x14ac:dyDescent="0.25">
      <c r="A245" s="39" t="str">
        <f t="shared" si="98"/>
        <v>SANY SET240S</v>
      </c>
      <c r="B245" s="39"/>
      <c r="D245" s="101" t="str">
        <f t="shared" si="125"/>
        <v>Топливо</v>
      </c>
      <c r="E245" s="9" t="str">
        <f t="shared" si="125"/>
        <v>тыс. руб.</v>
      </c>
      <c r="F245" s="74">
        <f t="shared" si="125"/>
        <v>0</v>
      </c>
      <c r="G245" s="74">
        <f t="shared" si="126"/>
        <v>58762.595277096763</v>
      </c>
      <c r="H245" s="74">
        <f t="shared" si="124"/>
        <v>111124.05693847925</v>
      </c>
      <c r="I245" s="74">
        <f t="shared" si="124"/>
        <v>158864.37650601036</v>
      </c>
      <c r="J245" s="74">
        <f t="shared" si="124"/>
        <v>202903.25736676829</v>
      </c>
      <c r="K245" s="74">
        <f t="shared" si="124"/>
        <v>241985.4854195345</v>
      </c>
      <c r="L245" s="74">
        <f t="shared" si="124"/>
        <v>280050.9372046268</v>
      </c>
      <c r="M245" s="74">
        <f t="shared" si="124"/>
        <v>311123.57932659617</v>
      </c>
      <c r="N245" s="74">
        <f t="shared" si="124"/>
        <v>340257.00748403714</v>
      </c>
      <c r="O245" s="74">
        <f t="shared" si="124"/>
        <v>365783.81691336015</v>
      </c>
      <c r="P245" s="74">
        <f t="shared" si="124"/>
        <v>388886.5356589015</v>
      </c>
      <c r="Q245" s="74">
        <f t="shared" si="124"/>
        <v>408939.04435865459</v>
      </c>
      <c r="R245" s="74">
        <f t="shared" si="124"/>
        <v>427821.5671885414</v>
      </c>
      <c r="S245" s="74">
        <f t="shared" si="124"/>
        <v>427821.5671885414</v>
      </c>
      <c r="T245" s="74">
        <f t="shared" si="124"/>
        <v>427821.5671885414</v>
      </c>
      <c r="U245" s="74">
        <f t="shared" si="124"/>
        <v>427821.5671885414</v>
      </c>
      <c r="V245" s="74">
        <f t="shared" si="124"/>
        <v>427821.5671885414</v>
      </c>
      <c r="W245" s="74">
        <f t="shared" si="124"/>
        <v>427821.5671885414</v>
      </c>
      <c r="X245" s="74">
        <f t="shared" si="124"/>
        <v>427821.5671885414</v>
      </c>
      <c r="Y245" s="74">
        <f t="shared" si="124"/>
        <v>427821.5671885414</v>
      </c>
      <c r="Z245" s="74">
        <f t="shared" si="124"/>
        <v>427821.5671885414</v>
      </c>
    </row>
    <row r="246" spans="1:26" outlineLevel="1" x14ac:dyDescent="0.25">
      <c r="A246" s="39" t="str">
        <f t="shared" si="98"/>
        <v>SANY SET240S</v>
      </c>
      <c r="B246" s="39"/>
      <c r="D246" s="101" t="str">
        <f t="shared" si="125"/>
        <v>Смазочные</v>
      </c>
      <c r="E246" s="9" t="str">
        <f t="shared" si="125"/>
        <v>тыс. руб.</v>
      </c>
      <c r="F246" s="74">
        <f t="shared" si="125"/>
        <v>0</v>
      </c>
      <c r="G246" s="74">
        <f t="shared" si="126"/>
        <v>0</v>
      </c>
      <c r="H246" s="74">
        <f t="shared" si="124"/>
        <v>0</v>
      </c>
      <c r="I246" s="74">
        <f t="shared" si="124"/>
        <v>0</v>
      </c>
      <c r="J246" s="74">
        <f t="shared" si="124"/>
        <v>0</v>
      </c>
      <c r="K246" s="74">
        <f t="shared" si="124"/>
        <v>0</v>
      </c>
      <c r="L246" s="74">
        <f t="shared" si="124"/>
        <v>0</v>
      </c>
      <c r="M246" s="74">
        <f t="shared" si="124"/>
        <v>0</v>
      </c>
      <c r="N246" s="74">
        <f t="shared" si="124"/>
        <v>0</v>
      </c>
      <c r="O246" s="74">
        <f t="shared" si="124"/>
        <v>0</v>
      </c>
      <c r="P246" s="74">
        <f t="shared" si="124"/>
        <v>0</v>
      </c>
      <c r="Q246" s="74">
        <f t="shared" si="124"/>
        <v>0</v>
      </c>
      <c r="R246" s="74">
        <f t="shared" si="124"/>
        <v>0</v>
      </c>
      <c r="S246" s="74">
        <f t="shared" si="124"/>
        <v>0</v>
      </c>
      <c r="T246" s="74">
        <f t="shared" si="124"/>
        <v>0</v>
      </c>
      <c r="U246" s="74">
        <f t="shared" si="124"/>
        <v>0</v>
      </c>
      <c r="V246" s="74">
        <f t="shared" si="124"/>
        <v>0</v>
      </c>
      <c r="W246" s="74">
        <f t="shared" si="124"/>
        <v>0</v>
      </c>
      <c r="X246" s="74">
        <f t="shared" si="124"/>
        <v>0</v>
      </c>
      <c r="Y246" s="74">
        <f t="shared" si="124"/>
        <v>0</v>
      </c>
      <c r="Z246" s="74">
        <f t="shared" si="124"/>
        <v>0</v>
      </c>
    </row>
    <row r="247" spans="1:26" outlineLevel="1" x14ac:dyDescent="0.25">
      <c r="A247" s="39" t="str">
        <f t="shared" si="98"/>
        <v>SANY SET240S</v>
      </c>
      <c r="B247" s="39"/>
      <c r="D247" s="101" t="str">
        <f t="shared" si="125"/>
        <v>Затраты на персонал</v>
      </c>
      <c r="E247" s="9" t="str">
        <f t="shared" si="125"/>
        <v>тыс. руб.</v>
      </c>
      <c r="F247" s="74">
        <f t="shared" si="125"/>
        <v>0</v>
      </c>
      <c r="G247" s="74">
        <f t="shared" si="126"/>
        <v>16496.068072019727</v>
      </c>
      <c r="H247" s="74">
        <f t="shared" si="124"/>
        <v>31224.700279180193</v>
      </c>
      <c r="I247" s="74">
        <f t="shared" si="124"/>
        <v>44375.264749859183</v>
      </c>
      <c r="J247" s="74">
        <f t="shared" si="124"/>
        <v>56116.840170108277</v>
      </c>
      <c r="K247" s="74">
        <f t="shared" si="124"/>
        <v>66600.389652473546</v>
      </c>
      <c r="L247" s="74">
        <f t="shared" si="124"/>
        <v>75960.701690299669</v>
      </c>
      <c r="M247" s="74">
        <f t="shared" si="124"/>
        <v>84318.123152644432</v>
      </c>
      <c r="N247" s="74">
        <f t="shared" si="124"/>
        <v>91780.106601166539</v>
      </c>
      <c r="O247" s="74">
        <f t="shared" si="124"/>
        <v>98442.591823061273</v>
      </c>
      <c r="P247" s="74">
        <f t="shared" si="124"/>
        <v>104391.23934261015</v>
      </c>
      <c r="Q247" s="74">
        <f t="shared" si="124"/>
        <v>109702.53177077878</v>
      </c>
      <c r="R247" s="74">
        <f t="shared" si="124"/>
        <v>114444.75715307221</v>
      </c>
      <c r="S247" s="74">
        <f t="shared" si="124"/>
        <v>114444.75715307221</v>
      </c>
      <c r="T247" s="74">
        <f t="shared" si="124"/>
        <v>114444.75715307221</v>
      </c>
      <c r="U247" s="74">
        <f t="shared" si="124"/>
        <v>114444.75715307221</v>
      </c>
      <c r="V247" s="74">
        <f t="shared" si="124"/>
        <v>114444.75715307221</v>
      </c>
      <c r="W247" s="74">
        <f t="shared" si="124"/>
        <v>114444.75715307221</v>
      </c>
      <c r="X247" s="74">
        <f t="shared" si="124"/>
        <v>114444.75715307221</v>
      </c>
      <c r="Y247" s="74">
        <f t="shared" si="124"/>
        <v>114444.75715307221</v>
      </c>
      <c r="Z247" s="74">
        <f t="shared" si="124"/>
        <v>114444.75715307221</v>
      </c>
    </row>
    <row r="248" spans="1:26" outlineLevel="1" x14ac:dyDescent="0.25">
      <c r="A248" s="39" t="str">
        <f t="shared" si="98"/>
        <v>SANY SET240S</v>
      </c>
      <c r="B248" s="39"/>
      <c r="D248" s="101" t="str">
        <f t="shared" si="125"/>
        <v>Транспортный налог</v>
      </c>
      <c r="E248" s="9" t="str">
        <f t="shared" si="125"/>
        <v>тыс. руб.</v>
      </c>
      <c r="F248" s="74">
        <f t="shared" si="125"/>
        <v>0</v>
      </c>
      <c r="G248" s="74">
        <f t="shared" si="126"/>
        <v>215.76339285714283</v>
      </c>
      <c r="H248" s="74">
        <f t="shared" si="124"/>
        <v>408.40927933673458</v>
      </c>
      <c r="I248" s="74">
        <f t="shared" si="124"/>
        <v>580.41453512208443</v>
      </c>
      <c r="J248" s="74">
        <f t="shared" si="124"/>
        <v>733.99065635900388</v>
      </c>
      <c r="K248" s="74">
        <f t="shared" si="124"/>
        <v>871.112193177682</v>
      </c>
      <c r="L248" s="74">
        <f t="shared" si="124"/>
        <v>993.5421367657874</v>
      </c>
      <c r="M248" s="74">
        <f t="shared" si="124"/>
        <v>1102.8545863980244</v>
      </c>
      <c r="N248" s="74">
        <f t="shared" si="124"/>
        <v>1200.4549878553787</v>
      </c>
      <c r="O248" s="74">
        <f t="shared" si="124"/>
        <v>1287.5982034423023</v>
      </c>
      <c r="P248" s="74">
        <f t="shared" si="124"/>
        <v>1365.4046459306269</v>
      </c>
      <c r="Q248" s="74">
        <f t="shared" si="124"/>
        <v>1434.8746838666311</v>
      </c>
      <c r="R248" s="74">
        <f t="shared" si="124"/>
        <v>1496.9015034523491</v>
      </c>
      <c r="S248" s="74">
        <f t="shared" si="124"/>
        <v>1496.9015034523491</v>
      </c>
      <c r="T248" s="74">
        <f t="shared" si="124"/>
        <v>1496.9015034523491</v>
      </c>
      <c r="U248" s="74">
        <f t="shared" si="124"/>
        <v>1496.9015034523491</v>
      </c>
      <c r="V248" s="74">
        <f t="shared" si="124"/>
        <v>1496.9015034523491</v>
      </c>
      <c r="W248" s="74">
        <f t="shared" si="124"/>
        <v>1496.9015034523491</v>
      </c>
      <c r="X248" s="74">
        <f t="shared" si="124"/>
        <v>1496.9015034523491</v>
      </c>
      <c r="Y248" s="74">
        <f t="shared" si="124"/>
        <v>1496.9015034523491</v>
      </c>
      <c r="Z248" s="74">
        <f t="shared" si="124"/>
        <v>1496.9015034523491</v>
      </c>
    </row>
    <row r="249" spans="1:26" outlineLevel="1" x14ac:dyDescent="0.25">
      <c r="A249" s="39" t="str">
        <f t="shared" si="98"/>
        <v>SANY SET240S</v>
      </c>
      <c r="B249" s="39"/>
      <c r="D249" s="101" t="str">
        <f t="shared" si="125"/>
        <v>Налог на прибыль</v>
      </c>
      <c r="E249" s="9" t="str">
        <f t="shared" si="125"/>
        <v>тыс. руб.</v>
      </c>
      <c r="F249" s="74">
        <f t="shared" si="125"/>
        <v>0</v>
      </c>
      <c r="G249" s="74">
        <f t="shared" si="126"/>
        <v>-26911.969640371299</v>
      </c>
      <c r="H249" s="74">
        <f t="shared" si="124"/>
        <v>-52327.930648843816</v>
      </c>
      <c r="I249" s="74">
        <f t="shared" si="124"/>
        <v>-81827.058731887519</v>
      </c>
      <c r="J249" s="74">
        <f t="shared" si="124"/>
        <v>-104268.6967995227</v>
      </c>
      <c r="K249" s="74">
        <f t="shared" si="124"/>
        <v>-133147.90579076539</v>
      </c>
      <c r="L249" s="74">
        <f t="shared" si="124"/>
        <v>-157234.59383535161</v>
      </c>
      <c r="M249" s="74">
        <f t="shared" si="124"/>
        <v>-172713.89753391925</v>
      </c>
      <c r="N249" s="74">
        <f t="shared" si="124"/>
        <v>-187020.04274355248</v>
      </c>
      <c r="O249" s="74">
        <f t="shared" si="124"/>
        <v>-208789.60429577189</v>
      </c>
      <c r="P249" s="74">
        <f t="shared" si="124"/>
        <v>-219600.8681949201</v>
      </c>
      <c r="Q249" s="74">
        <f t="shared" si="124"/>
        <v>-229483.61151115585</v>
      </c>
      <c r="R249" s="74">
        <f t="shared" si="124"/>
        <v>-238784.72826323437</v>
      </c>
      <c r="S249" s="74">
        <f t="shared" si="124"/>
        <v>-238784.72826323437</v>
      </c>
      <c r="T249" s="74">
        <f t="shared" si="124"/>
        <v>-238784.72826323437</v>
      </c>
      <c r="U249" s="74">
        <f t="shared" si="124"/>
        <v>-238784.72826323437</v>
      </c>
      <c r="V249" s="74">
        <f t="shared" si="124"/>
        <v>-238784.72826323437</v>
      </c>
      <c r="W249" s="74">
        <f t="shared" si="124"/>
        <v>-238784.72826323437</v>
      </c>
      <c r="X249" s="74">
        <f t="shared" si="124"/>
        <v>-238784.72826323437</v>
      </c>
      <c r="Y249" s="74">
        <f t="shared" si="124"/>
        <v>-238784.72826323437</v>
      </c>
      <c r="Z249" s="74">
        <f t="shared" si="124"/>
        <v>-238784.72826323437</v>
      </c>
    </row>
    <row r="250" spans="1:26" outlineLevel="1" x14ac:dyDescent="0.25">
      <c r="A250" s="39" t="str">
        <f t="shared" si="98"/>
        <v>SANY SET240S</v>
      </c>
      <c r="B250" s="39"/>
      <c r="D250" s="101"/>
      <c r="E250" s="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outlineLevel="1" x14ac:dyDescent="0.25">
      <c r="A251" s="39" t="str">
        <f t="shared" si="98"/>
        <v>SANY SET240S</v>
      </c>
      <c r="B251" s="39"/>
      <c r="D251" s="67" t="s">
        <v>90</v>
      </c>
      <c r="E251" s="68" t="str">
        <f>E232</f>
        <v>тыс. руб.</v>
      </c>
      <c r="F251" s="69">
        <f>F229*'ФОТ, МТР, макро'!AJ$13</f>
        <v>0</v>
      </c>
      <c r="G251" s="69">
        <f>G229*'ФОТ, МТР, макро'!AK$13</f>
        <v>0</v>
      </c>
      <c r="H251" s="69">
        <f>H229*'ФОТ, МТР, макро'!AL$13</f>
        <v>0</v>
      </c>
      <c r="I251" s="69">
        <f>I229*'ФОТ, МТР, макро'!AM$13</f>
        <v>0</v>
      </c>
      <c r="J251" s="69">
        <f>J229*'ФОТ, МТР, макро'!AN$13</f>
        <v>0</v>
      </c>
      <c r="K251" s="69">
        <f>K229*'ФОТ, МТР, макро'!AO$13</f>
        <v>0</v>
      </c>
      <c r="L251" s="69">
        <f>L229*'ФОТ, МТР, макро'!AP$13</f>
        <v>0</v>
      </c>
      <c r="M251" s="69">
        <f>M229*'ФОТ, МТР, макро'!AQ$13</f>
        <v>0</v>
      </c>
      <c r="N251" s="69">
        <f>N229*'ФОТ, МТР, макро'!AR$13</f>
        <v>0</v>
      </c>
      <c r="O251" s="69">
        <f>O229*'ФОТ, МТР, макро'!AS$13</f>
        <v>0</v>
      </c>
      <c r="P251" s="69">
        <f>P229*'ФОТ, МТР, макро'!AT$13</f>
        <v>0</v>
      </c>
      <c r="Q251" s="69">
        <f>Q229*'ФОТ, МТР, макро'!AU$13</f>
        <v>0</v>
      </c>
      <c r="R251" s="69">
        <f>R229*'ФОТ, МТР, макро'!AV$13</f>
        <v>0</v>
      </c>
      <c r="S251" s="69">
        <f>S229*'ФОТ, МТР, макро'!AW$13</f>
        <v>0</v>
      </c>
      <c r="T251" s="69">
        <f>T229*'ФОТ, МТР, макро'!AX$13</f>
        <v>0</v>
      </c>
      <c r="U251" s="69">
        <f>U229*'ФОТ, МТР, макро'!AY$13</f>
        <v>0</v>
      </c>
      <c r="V251" s="69">
        <f>V229*'ФОТ, МТР, макро'!AZ$13</f>
        <v>0</v>
      </c>
      <c r="W251" s="69">
        <f>W229*'ФОТ, МТР, макро'!BA$13</f>
        <v>0</v>
      </c>
      <c r="X251" s="69">
        <f>X229*'ФОТ, МТР, макро'!BB$13</f>
        <v>0</v>
      </c>
      <c r="Y251" s="69">
        <f>Y229*'ФОТ, МТР, макро'!BC$13</f>
        <v>0</v>
      </c>
      <c r="Z251" s="69">
        <f>Z229*'ФОТ, МТР, макро'!BD$13</f>
        <v>0</v>
      </c>
    </row>
    <row r="252" spans="1:26" outlineLevel="1" x14ac:dyDescent="0.25">
      <c r="A252" s="39" t="str">
        <f t="shared" si="98"/>
        <v>SANY SET240S</v>
      </c>
      <c r="B252" s="39"/>
      <c r="D252" s="101" t="str">
        <f>D230</f>
        <v>Самосвал</v>
      </c>
      <c r="E252" s="9" t="str">
        <f>E251</f>
        <v>тыс. руб.</v>
      </c>
      <c r="F252" s="74">
        <f>F230*'ФОТ, МТР, макро'!AJ$13</f>
        <v>0</v>
      </c>
      <c r="G252" s="74">
        <f>G230*'ФОТ, МТР, макро'!AK$13</f>
        <v>0</v>
      </c>
      <c r="H252" s="74">
        <f>H230*'ФОТ, МТР, макро'!AL$13</f>
        <v>0</v>
      </c>
      <c r="I252" s="74">
        <f>I230*'ФОТ, МТР, макро'!AM$13</f>
        <v>0</v>
      </c>
      <c r="J252" s="74">
        <f>J230*'ФОТ, МТР, макро'!AN$13</f>
        <v>0</v>
      </c>
      <c r="K252" s="74">
        <f>K230*'ФОТ, МТР, макро'!AO$13</f>
        <v>0</v>
      </c>
      <c r="L252" s="74">
        <f>L230*'ФОТ, МТР, макро'!AP$13</f>
        <v>0</v>
      </c>
      <c r="M252" s="74">
        <f>M230*'ФОТ, МТР, макро'!AQ$13</f>
        <v>0</v>
      </c>
      <c r="N252" s="74">
        <f>N230*'ФОТ, МТР, макро'!AR$13</f>
        <v>0</v>
      </c>
      <c r="O252" s="74">
        <f>O230*'ФОТ, МТР, макро'!AS$13</f>
        <v>0</v>
      </c>
      <c r="P252" s="74">
        <f>P230*'ФОТ, МТР, макро'!AT$13</f>
        <v>0</v>
      </c>
      <c r="Q252" s="74">
        <f>Q230*'ФОТ, МТР, макро'!AU$13</f>
        <v>0</v>
      </c>
      <c r="R252" s="74">
        <f>R230*'ФОТ, МТР, макро'!AV$13</f>
        <v>0</v>
      </c>
      <c r="S252" s="74">
        <f>S230*'ФОТ, МТР, макро'!AW$13</f>
        <v>0</v>
      </c>
      <c r="T252" s="74">
        <f>T230*'ФОТ, МТР, макро'!AX$13</f>
        <v>0</v>
      </c>
      <c r="U252" s="74">
        <f>U230*'ФОТ, МТР, макро'!AY$13</f>
        <v>0</v>
      </c>
      <c r="V252" s="74">
        <f>V230*'ФОТ, МТР, макро'!AZ$13</f>
        <v>0</v>
      </c>
      <c r="W252" s="74">
        <f>W230*'ФОТ, МТР, макро'!BA$13</f>
        <v>0</v>
      </c>
      <c r="X252" s="74">
        <f>X230*'ФОТ, МТР, макро'!BB$13</f>
        <v>0</v>
      </c>
      <c r="Y252" s="74">
        <f>Y230*'ФОТ, МТР, макро'!BC$13</f>
        <v>0</v>
      </c>
      <c r="Z252" s="74">
        <f>Z230*'ФОТ, МТР, макро'!BD$13</f>
        <v>0</v>
      </c>
    </row>
    <row r="253" spans="1:26" outlineLevel="1" x14ac:dyDescent="0.25">
      <c r="A253" s="39" t="str">
        <f t="shared" si="98"/>
        <v>SANY SET240S</v>
      </c>
      <c r="B253" s="39"/>
      <c r="D253" s="104" t="s">
        <v>88</v>
      </c>
      <c r="E253" s="9"/>
      <c r="F253" s="106">
        <f>F251-F252</f>
        <v>0</v>
      </c>
      <c r="G253" s="106">
        <f t="shared" ref="G253:Z253" si="127">G251-G252</f>
        <v>0</v>
      </c>
      <c r="H253" s="106">
        <f t="shared" si="127"/>
        <v>0</v>
      </c>
      <c r="I253" s="106">
        <f t="shared" si="127"/>
        <v>0</v>
      </c>
      <c r="J253" s="106">
        <f t="shared" si="127"/>
        <v>0</v>
      </c>
      <c r="K253" s="106">
        <f t="shared" si="127"/>
        <v>0</v>
      </c>
      <c r="L253" s="106">
        <f t="shared" si="127"/>
        <v>0</v>
      </c>
      <c r="M253" s="106">
        <f t="shared" si="127"/>
        <v>0</v>
      </c>
      <c r="N253" s="106">
        <f t="shared" si="127"/>
        <v>0</v>
      </c>
      <c r="O253" s="106">
        <f t="shared" si="127"/>
        <v>0</v>
      </c>
      <c r="P253" s="106">
        <f t="shared" si="127"/>
        <v>0</v>
      </c>
      <c r="Q253" s="106">
        <f t="shared" si="127"/>
        <v>0</v>
      </c>
      <c r="R253" s="106">
        <f t="shared" si="127"/>
        <v>0</v>
      </c>
      <c r="S253" s="106">
        <f t="shared" si="127"/>
        <v>0</v>
      </c>
      <c r="T253" s="106">
        <f t="shared" si="127"/>
        <v>0</v>
      </c>
      <c r="U253" s="106">
        <f t="shared" si="127"/>
        <v>0</v>
      </c>
      <c r="V253" s="106">
        <f t="shared" si="127"/>
        <v>0</v>
      </c>
      <c r="W253" s="106">
        <f t="shared" si="127"/>
        <v>0</v>
      </c>
      <c r="X253" s="106">
        <f t="shared" si="127"/>
        <v>0</v>
      </c>
      <c r="Y253" s="106">
        <f t="shared" si="127"/>
        <v>0</v>
      </c>
      <c r="Z253" s="106">
        <f t="shared" si="127"/>
        <v>0</v>
      </c>
    </row>
    <row r="254" spans="1:26" outlineLevel="1" x14ac:dyDescent="0.25">
      <c r="A254" s="39" t="str">
        <f t="shared" si="98"/>
        <v>SANY SET240S</v>
      </c>
      <c r="B254" s="39"/>
      <c r="D254" s="107" t="s">
        <v>91</v>
      </c>
      <c r="E254" s="68" t="str">
        <f>E251</f>
        <v>тыс. руб.</v>
      </c>
      <c r="F254" s="69">
        <f>F251</f>
        <v>0</v>
      </c>
      <c r="G254" s="69">
        <f>F254+G251</f>
        <v>0</v>
      </c>
      <c r="H254" s="69">
        <f t="shared" ref="H254:Z255" si="128">G254+H251</f>
        <v>0</v>
      </c>
      <c r="I254" s="69">
        <f t="shared" si="128"/>
        <v>0</v>
      </c>
      <c r="J254" s="69">
        <f t="shared" si="128"/>
        <v>0</v>
      </c>
      <c r="K254" s="69">
        <f t="shared" si="128"/>
        <v>0</v>
      </c>
      <c r="L254" s="69">
        <f t="shared" si="128"/>
        <v>0</v>
      </c>
      <c r="M254" s="69">
        <f t="shared" si="128"/>
        <v>0</v>
      </c>
      <c r="N254" s="69">
        <f t="shared" si="128"/>
        <v>0</v>
      </c>
      <c r="O254" s="69">
        <f t="shared" si="128"/>
        <v>0</v>
      </c>
      <c r="P254" s="69">
        <f t="shared" si="128"/>
        <v>0</v>
      </c>
      <c r="Q254" s="69">
        <f t="shared" si="128"/>
        <v>0</v>
      </c>
      <c r="R254" s="69">
        <f t="shared" si="128"/>
        <v>0</v>
      </c>
      <c r="S254" s="69">
        <f t="shared" si="128"/>
        <v>0</v>
      </c>
      <c r="T254" s="69">
        <f t="shared" si="128"/>
        <v>0</v>
      </c>
      <c r="U254" s="69">
        <f t="shared" si="128"/>
        <v>0</v>
      </c>
      <c r="V254" s="69">
        <f t="shared" si="128"/>
        <v>0</v>
      </c>
      <c r="W254" s="69">
        <f t="shared" si="128"/>
        <v>0</v>
      </c>
      <c r="X254" s="69">
        <f t="shared" si="128"/>
        <v>0</v>
      </c>
      <c r="Y254" s="69">
        <f t="shared" si="128"/>
        <v>0</v>
      </c>
      <c r="Z254" s="69">
        <f t="shared" si="128"/>
        <v>0</v>
      </c>
    </row>
    <row r="255" spans="1:26" outlineLevel="1" x14ac:dyDescent="0.25">
      <c r="A255" s="39" t="str">
        <f t="shared" si="98"/>
        <v>SANY SET240S</v>
      </c>
      <c r="B255" s="39"/>
      <c r="D255" s="101" t="str">
        <f>D252</f>
        <v>Самосвал</v>
      </c>
      <c r="E255" s="9" t="str">
        <f>E252</f>
        <v>тыс. руб.</v>
      </c>
      <c r="F255" s="74">
        <f>F252</f>
        <v>0</v>
      </c>
      <c r="G255" s="74">
        <f>F255+G252</f>
        <v>0</v>
      </c>
      <c r="H255" s="74">
        <f t="shared" si="128"/>
        <v>0</v>
      </c>
      <c r="I255" s="74">
        <f t="shared" si="128"/>
        <v>0</v>
      </c>
      <c r="J255" s="74">
        <f t="shared" si="128"/>
        <v>0</v>
      </c>
      <c r="K255" s="74">
        <f t="shared" si="128"/>
        <v>0</v>
      </c>
      <c r="L255" s="74">
        <f t="shared" si="128"/>
        <v>0</v>
      </c>
      <c r="M255" s="74">
        <f t="shared" si="128"/>
        <v>0</v>
      </c>
      <c r="N255" s="74">
        <f t="shared" si="128"/>
        <v>0</v>
      </c>
      <c r="O255" s="74">
        <f t="shared" si="128"/>
        <v>0</v>
      </c>
      <c r="P255" s="74">
        <f t="shared" si="128"/>
        <v>0</v>
      </c>
      <c r="Q255" s="74">
        <f t="shared" si="128"/>
        <v>0</v>
      </c>
      <c r="R255" s="74">
        <f t="shared" si="128"/>
        <v>0</v>
      </c>
      <c r="S255" s="74">
        <f t="shared" si="128"/>
        <v>0</v>
      </c>
      <c r="T255" s="74">
        <f t="shared" si="128"/>
        <v>0</v>
      </c>
      <c r="U255" s="74">
        <f t="shared" si="128"/>
        <v>0</v>
      </c>
      <c r="V255" s="74">
        <f t="shared" si="128"/>
        <v>0</v>
      </c>
      <c r="W255" s="74">
        <f t="shared" si="128"/>
        <v>0</v>
      </c>
      <c r="X255" s="74">
        <f t="shared" si="128"/>
        <v>0</v>
      </c>
      <c r="Y255" s="74">
        <f t="shared" si="128"/>
        <v>0</v>
      </c>
      <c r="Z255" s="74">
        <f t="shared" si="128"/>
        <v>0</v>
      </c>
    </row>
    <row r="256" spans="1:26" outlineLevel="1" x14ac:dyDescent="0.25">
      <c r="A256" s="39" t="str">
        <f t="shared" si="98"/>
        <v>SANY SET240S</v>
      </c>
      <c r="B256" s="39"/>
      <c r="D256" s="101"/>
      <c r="E256" s="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9" outlineLevel="1" x14ac:dyDescent="0.25">
      <c r="A257" s="39" t="str">
        <f t="shared" si="98"/>
        <v>SANY SET240S</v>
      </c>
      <c r="B257" s="39"/>
      <c r="D257" s="67" t="s">
        <v>92</v>
      </c>
      <c r="E257" s="68" t="str">
        <f>E232</f>
        <v>тыс. руб.</v>
      </c>
      <c r="F257" s="69">
        <f>F232*'ФОТ, МТР, макро'!AJ$13</f>
        <v>0</v>
      </c>
      <c r="G257" s="69">
        <f>G232*'ФОТ, МТР, макро'!AK$13</f>
        <v>80735.908921113893</v>
      </c>
      <c r="H257" s="69">
        <f>H232*'ФОТ, МТР, макро'!AL$13</f>
        <v>76247.883025417555</v>
      </c>
      <c r="I257" s="69">
        <f>I232*'ФОТ, МТР, макро'!AM$13</f>
        <v>88497.384249131093</v>
      </c>
      <c r="J257" s="69">
        <f>J232*'ФОТ, МТР, макро'!AN$13</f>
        <v>67324.914202905537</v>
      </c>
      <c r="K257" s="69">
        <f>K232*'ФОТ, МТР, макро'!AO$13</f>
        <v>86637.626973728038</v>
      </c>
      <c r="L257" s="69">
        <f>L232*'ФОТ, МТР, макро'!AP$13</f>
        <v>72260.064133758657</v>
      </c>
      <c r="M257" s="69">
        <f>M232*'ФОТ, МТР, макро'!AQ$13</f>
        <v>46437.911095702955</v>
      </c>
      <c r="N257" s="69">
        <f>N232*'ФОТ, МТР, макро'!AR$13</f>
        <v>42918.43562889965</v>
      </c>
      <c r="O257" s="69">
        <f>O232*'ФОТ, МТР, макро'!AS$13</f>
        <v>65308.684656658224</v>
      </c>
      <c r="P257" s="69">
        <f>P232*'ФОТ, МТР, макро'!AT$13</f>
        <v>32433.791697444642</v>
      </c>
      <c r="Q257" s="69">
        <f>Q232*'ФОТ, МТР, макро'!AU$13</f>
        <v>29648.229948707285</v>
      </c>
      <c r="R257" s="69">
        <f>R232*'ФОТ, МТР, макро'!AV$13</f>
        <v>27903.350256235597</v>
      </c>
      <c r="S257" s="69">
        <f>S232*'ФОТ, МТР, макро'!AW$13</f>
        <v>0</v>
      </c>
      <c r="T257" s="69">
        <f>T232*'ФОТ, МТР, макро'!AX$13</f>
        <v>0</v>
      </c>
      <c r="U257" s="69">
        <f>U232*'ФОТ, МТР, макро'!AY$13</f>
        <v>0</v>
      </c>
      <c r="V257" s="69">
        <f>V232*'ФОТ, МТР, макро'!AZ$13</f>
        <v>0</v>
      </c>
      <c r="W257" s="69">
        <f>W232*'ФОТ, МТР, макро'!BA$13</f>
        <v>0</v>
      </c>
      <c r="X257" s="69">
        <f>X232*'ФОТ, МТР, макро'!BB$13</f>
        <v>0</v>
      </c>
      <c r="Y257" s="69">
        <f>Y232*'ФОТ, МТР, макро'!BC$13</f>
        <v>0</v>
      </c>
      <c r="Z257" s="69">
        <f>Z232*'ФОТ, МТР, макро'!BD$13</f>
        <v>0</v>
      </c>
    </row>
    <row r="258" spans="1:29" outlineLevel="1" x14ac:dyDescent="0.25">
      <c r="A258" s="39" t="str">
        <f t="shared" si="98"/>
        <v>SANY SET240S</v>
      </c>
      <c r="B258" s="39"/>
      <c r="D258" s="107" t="s">
        <v>93</v>
      </c>
      <c r="E258" s="68" t="str">
        <f>E257</f>
        <v>тыс. руб.</v>
      </c>
      <c r="F258" s="69">
        <f>F257</f>
        <v>0</v>
      </c>
      <c r="G258" s="69">
        <f>F258+G257</f>
        <v>80735.908921113893</v>
      </c>
      <c r="H258" s="69">
        <f t="shared" ref="H258:Z258" si="129">G258+H257</f>
        <v>156983.79194653145</v>
      </c>
      <c r="I258" s="69">
        <f t="shared" si="129"/>
        <v>245481.17619566253</v>
      </c>
      <c r="J258" s="69">
        <f t="shared" si="129"/>
        <v>312806.09039856808</v>
      </c>
      <c r="K258" s="69">
        <f t="shared" si="129"/>
        <v>399443.71737229615</v>
      </c>
      <c r="L258" s="69">
        <f t="shared" si="129"/>
        <v>471703.7815060548</v>
      </c>
      <c r="M258" s="69">
        <f t="shared" si="129"/>
        <v>518141.69260175776</v>
      </c>
      <c r="N258" s="69">
        <f t="shared" si="129"/>
        <v>561060.12823065743</v>
      </c>
      <c r="O258" s="69">
        <f t="shared" si="129"/>
        <v>626368.81288731564</v>
      </c>
      <c r="P258" s="69">
        <f t="shared" si="129"/>
        <v>658802.60458476027</v>
      </c>
      <c r="Q258" s="69">
        <f t="shared" si="129"/>
        <v>688450.83453346754</v>
      </c>
      <c r="R258" s="69">
        <f t="shared" si="129"/>
        <v>716354.18478970311</v>
      </c>
      <c r="S258" s="69">
        <f t="shared" si="129"/>
        <v>716354.18478970311</v>
      </c>
      <c r="T258" s="69">
        <f t="shared" si="129"/>
        <v>716354.18478970311</v>
      </c>
      <c r="U258" s="69">
        <f t="shared" si="129"/>
        <v>716354.18478970311</v>
      </c>
      <c r="V258" s="69">
        <f t="shared" si="129"/>
        <v>716354.18478970311</v>
      </c>
      <c r="W258" s="69">
        <f t="shared" si="129"/>
        <v>716354.18478970311</v>
      </c>
      <c r="X258" s="69">
        <f t="shared" si="129"/>
        <v>716354.18478970311</v>
      </c>
      <c r="Y258" s="69">
        <f t="shared" si="129"/>
        <v>716354.18478970311</v>
      </c>
      <c r="Z258" s="69">
        <f t="shared" si="129"/>
        <v>716354.18478970311</v>
      </c>
    </row>
    <row r="259" spans="1:29" outlineLevel="1" x14ac:dyDescent="0.25">
      <c r="A259" s="39" t="str">
        <f t="shared" ref="A259:A281" si="130">A258</f>
        <v>SANY SET240S</v>
      </c>
      <c r="B259" s="39"/>
      <c r="D259" s="101"/>
      <c r="E259" s="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9" outlineLevel="1" x14ac:dyDescent="0.25">
      <c r="A260" s="39" t="str">
        <f t="shared" si="130"/>
        <v>SANY SET240S</v>
      </c>
      <c r="B260" s="39" t="str">
        <f>D260</f>
        <v>Аннуитет операционный</v>
      </c>
      <c r="C260" s="61">
        <f>E191</f>
        <v>12</v>
      </c>
      <c r="D260" s="108" t="s">
        <v>94</v>
      </c>
      <c r="E260" s="109" t="s">
        <v>95</v>
      </c>
      <c r="F260" s="110"/>
      <c r="G260" s="111">
        <f>G242/'ФОТ, МТР, макро'!AK$14/(G198/G193)</f>
        <v>8.1635055448117608</v>
      </c>
      <c r="H260" s="111">
        <f>H242/'ФОТ, МТР, макро'!AL$14/(H198/H193)</f>
        <v>8.3942578195262154</v>
      </c>
      <c r="I260" s="111">
        <f>I242/'ФОТ, МТР, макро'!AM$14/(I198/I193)</f>
        <v>9.1748408009563054</v>
      </c>
      <c r="J260" s="111">
        <f>J242/'ФОТ, МТР, макро'!AN$14/(J198/J193)</f>
        <v>9.1377002554481717</v>
      </c>
      <c r="K260" s="111">
        <f>K242/'ФОТ, МТР, макро'!AO$14/(K198/K193)</f>
        <v>9.7760431471522313</v>
      </c>
      <c r="L260" s="111">
        <f>L242/'ФОТ, МТР, макро'!AP$14/(L198/L193)</f>
        <v>9.9306081715793901</v>
      </c>
      <c r="M260" s="111">
        <f>M242/'ФОТ, МТР, макро'!AQ$14/(M198/M193)</f>
        <v>9.8261087276235699</v>
      </c>
      <c r="N260" s="111">
        <f>N242/'ФОТ, МТР, макро'!AR$14/(N198/N193)</f>
        <v>9.7133925131482091</v>
      </c>
      <c r="O260" s="111">
        <f>O242/'ФОТ, МТР, макро'!AS$14/(O198/O193)</f>
        <v>10.082567676994323</v>
      </c>
      <c r="P260" s="111">
        <f>P242/'ФОТ, МТР, макро'!AT$14/(P198/P193)</f>
        <v>9.9647214755517126</v>
      </c>
      <c r="Q260" s="111">
        <f>Q242/'ФОТ, МТР, макро'!AU$14/(Q198/Q193)</f>
        <v>9.9060350431053248</v>
      </c>
      <c r="R260" s="111">
        <f>R242/'ФОТ, МТР, макро'!AV$14/(R198/R193)</f>
        <v>9.8330453654636152</v>
      </c>
      <c r="S260" s="111">
        <f>S242/'ФОТ, МТР, макро'!AW$14/(S198/S193)</f>
        <v>10.272415711373336</v>
      </c>
      <c r="T260" s="111">
        <f>T242/'ФОТ, МТР, макро'!AX$14/(T198/T193)</f>
        <v>10.72108524073689</v>
      </c>
      <c r="U260" s="111">
        <f>U242/'ФОТ, МТР, макро'!AY$14/(U198/U193)</f>
        <v>11.178750301039775</v>
      </c>
      <c r="V260" s="111">
        <f>V242/'ФОТ, МТР, макро'!AZ$14/(V198/V193)</f>
        <v>11.645097738569355</v>
      </c>
      <c r="W260" s="111">
        <f>W242/'ФОТ, МТР, макро'!BA$14/(W198/W193)</f>
        <v>12.119806969045989</v>
      </c>
      <c r="X260" s="111">
        <f>X242/'ФОТ, МТР, макро'!BB$14/(X198/X193)</f>
        <v>12.602551994288721</v>
      </c>
      <c r="Y260" s="111">
        <f>Y242/'ФОТ, МТР, макро'!BC$14/(Y198/Y193)</f>
        <v>13.093003344342568</v>
      </c>
      <c r="Z260" s="111">
        <f>Z242/'ФОТ, МТР, макро'!BD$14/(Z198/Z193)</f>
        <v>13.590829927229363</v>
      </c>
      <c r="AC260" s="112" cm="1">
        <f t="array" ref="AC260">INDEX(G260:Z260,1,$C260)</f>
        <v>9.8330453654636152</v>
      </c>
    </row>
    <row r="261" spans="1:29" outlineLevel="1" x14ac:dyDescent="0.25">
      <c r="A261" s="39" t="str">
        <f t="shared" si="130"/>
        <v>SANY SET240S</v>
      </c>
      <c r="B261" s="39" t="str">
        <f t="shared" ref="B261:B270" si="131">D261</f>
        <v>ТО, ТР, ППР</v>
      </c>
      <c r="C261" s="39">
        <f>C260</f>
        <v>12</v>
      </c>
      <c r="D261" s="113" t="str">
        <f>D243</f>
        <v>ТО, ТР, ППР</v>
      </c>
      <c r="E261" s="114" t="str">
        <f>E260</f>
        <v>руб/ткм</v>
      </c>
      <c r="F261" s="115"/>
      <c r="G261" s="116">
        <f>G243/'ФОТ, МТР, макро'!AK$14/(G198/G193)</f>
        <v>1.1491975957247327</v>
      </c>
      <c r="H261" s="116">
        <f>H243/'ФОТ, МТР, макро'!AL$14/(H198/H193)</f>
        <v>1.4547156751338135</v>
      </c>
      <c r="I261" s="116">
        <f>I243/'ФОТ, МТР, макро'!AM$14/(I198/I193)</f>
        <v>2.5128552876856189</v>
      </c>
      <c r="J261" s="116">
        <f>J243/'ФОТ, МТР, макро'!AN$14/(J198/J193)</f>
        <v>2.4968078125728961</v>
      </c>
      <c r="K261" s="116">
        <f>K243/'ФОТ, МТР, макро'!AO$14/(K198/K193)</f>
        <v>3.3638900127515425</v>
      </c>
      <c r="L261" s="116">
        <f>L243/'ФОТ, МТР, макро'!AP$14/(L198/L193)</f>
        <v>3.6371824615291639</v>
      </c>
      <c r="M261" s="116">
        <f>M243/'ФОТ, МТР, макро'!AQ$14/(M198/M193)</f>
        <v>3.4920752488907447</v>
      </c>
      <c r="N261" s="116">
        <f>N243/'ФОТ, МТР, макро'!AR$14/(N198/N193)</f>
        <v>3.3648077412508957</v>
      </c>
      <c r="O261" s="116">
        <f>O243/'ФОТ, МТР, макро'!AS$14/(O198/O193)</f>
        <v>3.8651608741680916</v>
      </c>
      <c r="P261" s="116">
        <f>P243/'ФОТ, МТР, макро'!AT$14/(P198/P193)</f>
        <v>3.7216929128543983</v>
      </c>
      <c r="Q261" s="116">
        <f>Q243/'ФОТ, МТР, макро'!AU$14/(Q198/Q193)</f>
        <v>3.6411224932205251</v>
      </c>
      <c r="R261" s="116">
        <f>R243/'ФОТ, МТР, макро'!AV$14/(R198/R193)</f>
        <v>3.5672806009455367</v>
      </c>
      <c r="S261" s="116">
        <f>S243/'ФОТ, МТР, макро'!AW$14/(S198/S193)</f>
        <v>3.7266775378395205</v>
      </c>
      <c r="T261" s="116">
        <f>T243/'ФОТ, МТР, макро'!AX$14/(T198/T193)</f>
        <v>3.8894480782822076</v>
      </c>
      <c r="U261" s="116">
        <f>U243/'ФОТ, МТР, макро'!AY$14/(U198/U193)</f>
        <v>4.0554820617196548</v>
      </c>
      <c r="V261" s="116">
        <f>V243/'ФОТ, МТР, макро'!AZ$14/(V198/V193)</f>
        <v>4.2246658807064881</v>
      </c>
      <c r="W261" s="116">
        <f>W243/'ФОТ, МТР, макро'!BA$14/(W198/W193)</f>
        <v>4.3968832320996647</v>
      </c>
      <c r="X261" s="116">
        <f>X243/'ФОТ, МТР, макро'!BB$14/(X198/X193)</f>
        <v>4.5720158486743632</v>
      </c>
      <c r="Y261" s="116">
        <f>Y243/'ФОТ, МТР, макро'!BC$14/(Y198/Y193)</f>
        <v>4.7499442036984982</v>
      </c>
      <c r="Z261" s="116">
        <f>Z243/'ФОТ, МТР, макро'!BD$14/(Z198/Z193)</f>
        <v>4.9305481819944266</v>
      </c>
      <c r="AC261" s="117" cm="1">
        <f t="array" ref="AC261">INDEX(G261:Z261,1,$C261)</f>
        <v>3.5672806009455367</v>
      </c>
    </row>
    <row r="262" spans="1:29" outlineLevel="1" x14ac:dyDescent="0.25">
      <c r="A262" s="39" t="str">
        <f t="shared" si="130"/>
        <v>SANY SET240S</v>
      </c>
      <c r="B262" s="39" t="str">
        <f t="shared" si="131"/>
        <v>Шины</v>
      </c>
      <c r="C262" s="39">
        <f t="shared" ref="C262:C270" si="132">C261</f>
        <v>12</v>
      </c>
      <c r="D262" s="113" t="str">
        <f t="shared" ref="D262:D267" si="133">D244</f>
        <v>Шины</v>
      </c>
      <c r="E262" s="114" t="str">
        <f t="shared" ref="E262:E267" si="134">E261</f>
        <v>руб/ткм</v>
      </c>
      <c r="F262" s="115"/>
      <c r="G262" s="116">
        <f>G244/'ФОТ, МТР, макро'!AK$14/(G198/G193)</f>
        <v>2.1039787892831714</v>
      </c>
      <c r="H262" s="116">
        <f>H244/'ФОТ, МТР, макро'!AL$14/(H198/H193)</f>
        <v>2.1040982382426674</v>
      </c>
      <c r="I262" s="116">
        <f>I244/'ФОТ, МТР, макро'!AM$14/(I198/I193)</f>
        <v>2.1025062725622603</v>
      </c>
      <c r="J262" s="116">
        <f>J244/'ФОТ, МТР, макро'!AN$14/(J198/J193)</f>
        <v>2.0988488437673563</v>
      </c>
      <c r="K262" s="116">
        <f>K244/'ФОТ, МТР, макро'!AO$14/(K198/K193)</f>
        <v>2.0971392469191428</v>
      </c>
      <c r="L262" s="116">
        <f>L244/'ФОТ, МТР, макро'!AP$14/(L198/L193)</f>
        <v>2.0877281866613249</v>
      </c>
      <c r="M262" s="116">
        <f>M244/'ФОТ, МТР, макро'!AQ$14/(M198/M193)</f>
        <v>2.0892787551927374</v>
      </c>
      <c r="N262" s="116">
        <f>N244/'ФОТ, МТР, макро'!AR$14/(N198/N193)</f>
        <v>2.0859267134874173</v>
      </c>
      <c r="O262" s="116">
        <f>O244/'ФОТ, МТР, макро'!AS$14/(O198/O193)</f>
        <v>2.0849514334995023</v>
      </c>
      <c r="P262" s="116">
        <f>P244/'ФОТ, МТР, макро'!AT$14/(P198/P193)</f>
        <v>2.0828749619935163</v>
      </c>
      <c r="Q262" s="116">
        <f>Q244/'ФОТ, МТР, макро'!AU$14/(Q198/Q193)</f>
        <v>2.0836076476208221</v>
      </c>
      <c r="R262" s="116">
        <f>R244/'ФОТ, МТР, макро'!AV$14/(R198/R193)</f>
        <v>2.0794733099725184</v>
      </c>
      <c r="S262" s="116">
        <f>S244/'ФОТ, МТР, макро'!AW$14/(S198/S193)</f>
        <v>2.1723904962108409</v>
      </c>
      <c r="T262" s="116">
        <f>T244/'ФОТ, МТР, макро'!AX$14/(T198/T193)</f>
        <v>2.2672742556803525</v>
      </c>
      <c r="U262" s="116">
        <f>U244/'ФОТ, МТР, макро'!AY$14/(U198/U193)</f>
        <v>2.364060372537848</v>
      </c>
      <c r="V262" s="116">
        <f>V244/'ФОТ, МТР, макро'!AZ$14/(V198/V193)</f>
        <v>2.4626826216452189</v>
      </c>
      <c r="W262" s="116">
        <f>W244/'ФОТ, МТР, макро'!BA$14/(W198/W193)</f>
        <v>2.5630732064625006</v>
      </c>
      <c r="X262" s="116">
        <f>X244/'ФОТ, МТР, макро'!BB$14/(X198/X193)</f>
        <v>2.6651631855284057</v>
      </c>
      <c r="Y262" s="116">
        <f>Y244/'ФОТ, МТР, макро'!BC$14/(Y198/Y193)</f>
        <v>2.7688828831776267</v>
      </c>
      <c r="Z262" s="116">
        <f>Z244/'ФОТ, МТР, макро'!BD$14/(Z198/Z193)</f>
        <v>2.8741622807225506</v>
      </c>
      <c r="AC262" s="117" cm="1">
        <f t="array" ref="AC262">INDEX(G262:Z262,1,$C262)</f>
        <v>2.0794733099725184</v>
      </c>
    </row>
    <row r="263" spans="1:29" outlineLevel="1" x14ac:dyDescent="0.25">
      <c r="A263" s="39" t="str">
        <f t="shared" si="130"/>
        <v>SANY SET240S</v>
      </c>
      <c r="B263" s="39" t="str">
        <f t="shared" si="131"/>
        <v>Топливо</v>
      </c>
      <c r="C263" s="39">
        <f t="shared" si="132"/>
        <v>12</v>
      </c>
      <c r="D263" s="113" t="str">
        <f t="shared" si="133"/>
        <v>Топливо</v>
      </c>
      <c r="E263" s="114" t="str">
        <f t="shared" si="134"/>
        <v>руб/ткм</v>
      </c>
      <c r="F263" s="115"/>
      <c r="G263" s="116">
        <f>G245/'ФОТ, МТР, макро'!AK$14/(G198/G193)</f>
        <v>5.9417027538616871</v>
      </c>
      <c r="H263" s="116">
        <f>H245/'ФОТ, МТР, макро'!AL$14/(H198/H193)</f>
        <v>5.9420400815073835</v>
      </c>
      <c r="I263" s="116">
        <f>I245/'ФОТ, МТР, макро'!AM$14/(I198/I193)</f>
        <v>5.9375443199932905</v>
      </c>
      <c r="J263" s="116">
        <f>J245/'ФОТ, МТР, макро'!AN$14/(J198/J193)</f>
        <v>5.9272156252110868</v>
      </c>
      <c r="K263" s="116">
        <f>K245/'ФОТ, МТР, макро'!AO$14/(K198/K193)</f>
        <v>5.9223876695526165</v>
      </c>
      <c r="L263" s="116">
        <f>L245/'ФОТ, МТР, макро'!AP$14/(L198/L193)</f>
        <v>5.8958105372471676</v>
      </c>
      <c r="M263" s="116">
        <f>M245/'ФОТ, МТР, макро'!AQ$14/(M198/M193)</f>
        <v>5.9001893919010593</v>
      </c>
      <c r="N263" s="116">
        <f>N245/'ФОТ, МТР, макро'!AR$14/(N198/N193)</f>
        <v>5.8907231199343428</v>
      </c>
      <c r="O263" s="116">
        <f>O245/'ФОТ, МТР, макро'!AS$14/(O198/O193)</f>
        <v>5.8879688983521223</v>
      </c>
      <c r="P263" s="116">
        <f>P245/'ФОТ, МТР, макро'!AT$14/(P198/P193)</f>
        <v>5.8821048770377073</v>
      </c>
      <c r="Q263" s="116">
        <f>Q245/'ФОТ, МТР, макро'!AU$14/(Q198/Q193)</f>
        <v>5.8841740044603084</v>
      </c>
      <c r="R263" s="116">
        <f>R245/'ФОТ, МТР, макро'!AV$14/(R198/R193)</f>
        <v>5.8724985039678881</v>
      </c>
      <c r="S263" s="116">
        <f>S245/'ФОТ, МТР, макро'!AW$14/(S198/S193)</f>
        <v>6.1348995814718199</v>
      </c>
      <c r="T263" s="116">
        <f>T245/'ФОТ, МТР, макро'!AX$14/(T198/T193)</f>
        <v>6.4028543240806197</v>
      </c>
      <c r="U263" s="116">
        <f>U245/'ФОТ, МТР, макро'!AY$14/(U198/U193)</f>
        <v>6.6761813842187525</v>
      </c>
      <c r="V263" s="116">
        <f>V245/'ФОТ, МТР, макро'!AZ$14/(V198/V193)</f>
        <v>6.954693739998226</v>
      </c>
      <c r="W263" s="116">
        <f>W245/'ФОТ, МТР, макро'!BA$14/(W198/W193)</f>
        <v>7.2381999318424191</v>
      </c>
      <c r="X263" s="116">
        <f>X245/'ФОТ, МТР, макро'!BB$14/(X198/X193)</f>
        <v>7.526505266880628</v>
      </c>
      <c r="Y263" s="116">
        <f>Y245/'ФОТ, МТР, макро'!BC$14/(Y198/Y193)</f>
        <v>7.8194129788267377</v>
      </c>
      <c r="Z263" s="116">
        <f>Z245/'ФОТ, МТР, макро'!BD$14/(Z198/Z193)</f>
        <v>8.1167253326887714</v>
      </c>
      <c r="AC263" s="117" cm="1">
        <f t="array" ref="AC263">INDEX(G263:Z263,1,$C263)</f>
        <v>5.8724985039678881</v>
      </c>
    </row>
    <row r="264" spans="1:29" outlineLevel="1" x14ac:dyDescent="0.25">
      <c r="A264" s="39" t="str">
        <f t="shared" si="130"/>
        <v>SANY SET240S</v>
      </c>
      <c r="B264" s="39" t="str">
        <f t="shared" si="131"/>
        <v>Смазочные</v>
      </c>
      <c r="C264" s="39">
        <f t="shared" si="132"/>
        <v>12</v>
      </c>
      <c r="D264" s="113" t="str">
        <f t="shared" si="133"/>
        <v>Смазочные</v>
      </c>
      <c r="E264" s="114" t="str">
        <f t="shared" si="134"/>
        <v>руб/ткм</v>
      </c>
      <c r="F264" s="115"/>
      <c r="G264" s="116">
        <f>G246/'ФОТ, МТР, макро'!AK$14/(G198/G193)</f>
        <v>0</v>
      </c>
      <c r="H264" s="116">
        <f>H246/'ФОТ, МТР, макро'!AL$14/(H198/H193)</f>
        <v>0</v>
      </c>
      <c r="I264" s="116">
        <f>I246/'ФОТ, МТР, макро'!AM$14/(I198/I193)</f>
        <v>0</v>
      </c>
      <c r="J264" s="116">
        <f>J246/'ФОТ, МТР, макро'!AN$14/(J198/J193)</f>
        <v>0</v>
      </c>
      <c r="K264" s="116">
        <f>K246/'ФОТ, МТР, макро'!AO$14/(K198/K193)</f>
        <v>0</v>
      </c>
      <c r="L264" s="116">
        <f>L246/'ФОТ, МТР, макро'!AP$14/(L198/L193)</f>
        <v>0</v>
      </c>
      <c r="M264" s="116">
        <f>M246/'ФОТ, МТР, макро'!AQ$14/(M198/M193)</f>
        <v>0</v>
      </c>
      <c r="N264" s="116">
        <f>N246/'ФОТ, МТР, макро'!AR$14/(N198/N193)</f>
        <v>0</v>
      </c>
      <c r="O264" s="116">
        <f>O246/'ФОТ, МТР, макро'!AS$14/(O198/O193)</f>
        <v>0</v>
      </c>
      <c r="P264" s="116">
        <f>P246/'ФОТ, МТР, макро'!AT$14/(P198/P193)</f>
        <v>0</v>
      </c>
      <c r="Q264" s="116">
        <f>Q246/'ФОТ, МТР, макро'!AU$14/(Q198/Q193)</f>
        <v>0</v>
      </c>
      <c r="R264" s="116">
        <f>R246/'ФОТ, МТР, макро'!AV$14/(R198/R193)</f>
        <v>0</v>
      </c>
      <c r="S264" s="116">
        <f>S246/'ФОТ, МТР, макро'!AW$14/(S198/S193)</f>
        <v>0</v>
      </c>
      <c r="T264" s="116">
        <f>T246/'ФОТ, МТР, макро'!AX$14/(T198/T193)</f>
        <v>0</v>
      </c>
      <c r="U264" s="116">
        <f>U246/'ФОТ, МТР, макро'!AY$14/(U198/U193)</f>
        <v>0</v>
      </c>
      <c r="V264" s="116">
        <f>V246/'ФОТ, МТР, макро'!AZ$14/(V198/V193)</f>
        <v>0</v>
      </c>
      <c r="W264" s="116">
        <f>W246/'ФОТ, МТР, макро'!BA$14/(W198/W193)</f>
        <v>0</v>
      </c>
      <c r="X264" s="116">
        <f>X246/'ФОТ, МТР, макро'!BB$14/(X198/X193)</f>
        <v>0</v>
      </c>
      <c r="Y264" s="116">
        <f>Y246/'ФОТ, МТР, макро'!BC$14/(Y198/Y193)</f>
        <v>0</v>
      </c>
      <c r="Z264" s="116">
        <f>Z246/'ФОТ, МТР, макро'!BD$14/(Z198/Z193)</f>
        <v>0</v>
      </c>
      <c r="AC264" s="117" cm="1">
        <f t="array" ref="AC264">INDEX(G264:Z264,1,$C264)</f>
        <v>0</v>
      </c>
    </row>
    <row r="265" spans="1:29" outlineLevel="1" x14ac:dyDescent="0.25">
      <c r="A265" s="39" t="str">
        <f t="shared" si="130"/>
        <v>SANY SET240S</v>
      </c>
      <c r="B265" s="39" t="str">
        <f t="shared" si="131"/>
        <v>Затраты на персонал</v>
      </c>
      <c r="C265" s="39">
        <f t="shared" si="132"/>
        <v>12</v>
      </c>
      <c r="D265" s="113" t="str">
        <f t="shared" si="133"/>
        <v>Затраты на персонал</v>
      </c>
      <c r="E265" s="114" t="str">
        <f t="shared" si="134"/>
        <v>руб/ткм</v>
      </c>
      <c r="F265" s="115"/>
      <c r="G265" s="116">
        <f>G247/'ФОТ, МТР, макро'!AK$14/(G198/G193)</f>
        <v>1.6679782883859722</v>
      </c>
      <c r="H265" s="116">
        <f>H247/'ФОТ, МТР, макро'!AL$14/(H198/H193)</f>
        <v>1.6696512501758434</v>
      </c>
      <c r="I265" s="116">
        <f>I247/'ФОТ, МТР, макро'!AM$14/(I198/I193)</f>
        <v>1.6585222373862814</v>
      </c>
      <c r="J265" s="116">
        <f>J247/'ФОТ, МТР, макро'!AN$14/(J198/J193)</f>
        <v>1.6392867034781045</v>
      </c>
      <c r="K265" s="116">
        <f>K247/'ФОТ, МТР, макро'!AO$14/(K198/K193)</f>
        <v>1.62998754153115</v>
      </c>
      <c r="L265" s="116">
        <f>L247/'ФОТ, МТР, макро'!AP$14/(L198/L193)</f>
        <v>1.5991730287091446</v>
      </c>
      <c r="M265" s="116">
        <f>M247/'ФОТ, МТР, макро'!AQ$14/(M198/M193)</f>
        <v>1.5990202248477154</v>
      </c>
      <c r="N265" s="116">
        <f>N247/'ФОТ, МТР, макро'!AR$14/(N198/N193)</f>
        <v>1.5889494823435619</v>
      </c>
      <c r="O265" s="116">
        <f>O247/'ФОТ, МТР, макро'!AS$14/(O198/O193)</f>
        <v>1.5846160823037414</v>
      </c>
      <c r="P265" s="116">
        <f>P247/'ФОТ, МТР, макро'!AT$14/(P198/P193)</f>
        <v>1.5789701153237203</v>
      </c>
      <c r="Q265" s="116">
        <f>Q247/'ФОТ, МТР, макро'!AU$14/(Q198/Q193)</f>
        <v>1.5784963421173417</v>
      </c>
      <c r="R265" s="116">
        <f>R247/'ФОТ, МТР, макро'!AV$14/(R198/R193)</f>
        <v>1.5709275004179486</v>
      </c>
      <c r="S265" s="116">
        <f>S247/'ФОТ, МТР, макро'!AW$14/(S198/S193)</f>
        <v>1.6411213146031212</v>
      </c>
      <c r="T265" s="116">
        <f>T247/'ФОТ, МТР, макро'!AX$14/(T198/T193)</f>
        <v>1.7128007665003269</v>
      </c>
      <c r="U265" s="116">
        <f>U247/'ФОТ, МТР, макро'!AY$14/(U198/U193)</f>
        <v>1.7859173445785104</v>
      </c>
      <c r="V265" s="116">
        <f>V247/'ФОТ, МТР, макро'!AZ$14/(V198/V193)</f>
        <v>1.8604210193950368</v>
      </c>
      <c r="W265" s="116">
        <f>W247/'ФОТ, МТР, макро'!BA$14/(W198/W193)</f>
        <v>1.9362605743997572</v>
      </c>
      <c r="X265" s="116">
        <f>X247/'ФОТ, МТР, макро'!BB$14/(X198/X193)</f>
        <v>2.0133839281175514</v>
      </c>
      <c r="Y265" s="116">
        <f>Y247/'ФОТ, МТР, макро'!BC$14/(Y198/Y193)</f>
        <v>2.0917384444226199</v>
      </c>
      <c r="Z265" s="116">
        <f>Z247/'ФОТ, МТР, макро'!BD$14/(Z198/Z193)</f>
        <v>2.171271228054712</v>
      </c>
      <c r="AC265" s="117" cm="1">
        <f t="array" ref="AC265">INDEX(G265:Z265,1,$C265)</f>
        <v>1.5709275004179486</v>
      </c>
    </row>
    <row r="266" spans="1:29" outlineLevel="1" x14ac:dyDescent="0.25">
      <c r="A266" s="39" t="str">
        <f t="shared" si="130"/>
        <v>SANY SET240S</v>
      </c>
      <c r="B266" s="39" t="str">
        <f t="shared" si="131"/>
        <v>Транспортный налог</v>
      </c>
      <c r="C266" s="39">
        <f t="shared" si="132"/>
        <v>12</v>
      </c>
      <c r="D266" s="113" t="str">
        <f t="shared" si="133"/>
        <v>Транспортный налог</v>
      </c>
      <c r="E266" s="114" t="str">
        <f t="shared" si="134"/>
        <v>руб/ткм</v>
      </c>
      <c r="F266" s="115"/>
      <c r="G266" s="116">
        <f>G248/'ФОТ, МТР, макро'!AK$14/(G198/G193)</f>
        <v>2.1816632493451123E-2</v>
      </c>
      <c r="H266" s="116">
        <f>H248/'ФОТ, МТР, макро'!AL$14/(H198/H193)</f>
        <v>2.1838514308579859E-2</v>
      </c>
      <c r="I266" s="116">
        <f>I248/'ФОТ, МТР, макро'!AM$14/(I198/I193)</f>
        <v>2.169295031429086E-2</v>
      </c>
      <c r="J266" s="116">
        <f>J248/'ФОТ, МТР, макро'!AN$14/(J198/J193)</f>
        <v>2.1441355568116976E-2</v>
      </c>
      <c r="K266" s="116">
        <f>K248/'ФОТ, МТР, макро'!AO$14/(K198/K193)</f>
        <v>2.1319725448524649E-2</v>
      </c>
      <c r="L266" s="116">
        <f>L248/'ФОТ, МТР, макро'!AP$14/(L198/L193)</f>
        <v>2.0916681292384613E-2</v>
      </c>
      <c r="M266" s="116">
        <f>M248/'ФОТ, МТР, макро'!AQ$14/(M198/M193)</f>
        <v>2.0914682665836778E-2</v>
      </c>
      <c r="N266" s="116">
        <f>N248/'ФОТ, МТР, макро'!AR$14/(N198/N193)</f>
        <v>2.0782960514727781E-2</v>
      </c>
      <c r="O266" s="116">
        <f>O248/'ФОТ, МТР, макро'!AS$14/(O198/O193)</f>
        <v>2.0726281002305978E-2</v>
      </c>
      <c r="P266" s="116">
        <f>P248/'ФОТ, МТР, макро'!AT$14/(P198/P193)</f>
        <v>2.0652433526274095E-2</v>
      </c>
      <c r="Q266" s="116">
        <f>Q248/'ФОТ, МТР, макро'!AU$14/(Q198/Q193)</f>
        <v>2.0646236721435108E-2</v>
      </c>
      <c r="R266" s="116">
        <f>R248/'ФОТ, МТР, макро'!AV$14/(R198/R193)</f>
        <v>2.0547238647595334E-2</v>
      </c>
      <c r="S266" s="116">
        <f>S248/'ФОТ, МТР, макро'!AW$14/(S198/S193)</f>
        <v>2.1465351705813481E-2</v>
      </c>
      <c r="T266" s="116">
        <f>T248/'ФОТ, МТР, макро'!AX$14/(T198/T193)</f>
        <v>2.2402896439016547E-2</v>
      </c>
      <c r="U266" s="116">
        <f>U248/'ФОТ, МТР, макро'!AY$14/(U198/U193)</f>
        <v>2.335923833160438E-2</v>
      </c>
      <c r="V266" s="116">
        <f>V248/'ФОТ, МТР, макро'!AZ$14/(V198/V193)</f>
        <v>2.4333723014169761E-2</v>
      </c>
      <c r="W266" s="116">
        <f>W248/'ФОТ, МТР, макро'!BA$14/(W198/W193)</f>
        <v>2.5325680590311775E-2</v>
      </c>
      <c r="X266" s="116">
        <f>X248/'ФОТ, МТР, макро'!BB$14/(X198/X193)</f>
        <v>2.6334429850682364E-2</v>
      </c>
      <c r="Y266" s="116">
        <f>Y248/'ФОТ, МТР, макро'!BC$14/(Y198/Y193)</f>
        <v>2.7359282331276668E-2</v>
      </c>
      <c r="Z266" s="116">
        <f>Z248/'ФОТ, МТР, макро'!BD$14/(Z198/Z193)</f>
        <v>2.8399546178692531E-2</v>
      </c>
      <c r="AC266" s="117" cm="1">
        <f t="array" ref="AC266">INDEX(G266:Z266,1,$C266)</f>
        <v>2.0547238647595334E-2</v>
      </c>
    </row>
    <row r="267" spans="1:29" outlineLevel="1" x14ac:dyDescent="0.25">
      <c r="A267" s="39" t="str">
        <f t="shared" si="130"/>
        <v>SANY SET240S</v>
      </c>
      <c r="B267" s="39" t="str">
        <f t="shared" si="131"/>
        <v>Налог на прибыль</v>
      </c>
      <c r="C267" s="39">
        <f t="shared" si="132"/>
        <v>12</v>
      </c>
      <c r="D267" s="113" t="str">
        <f t="shared" si="133"/>
        <v>Налог на прибыль</v>
      </c>
      <c r="E267" s="114" t="str">
        <f t="shared" si="134"/>
        <v>руб/ткм</v>
      </c>
      <c r="F267" s="30"/>
      <c r="G267" s="116">
        <f>G249/'ФОТ, МТР, макро'!AK$14/(G198/G193)</f>
        <v>-2.7211685149372538</v>
      </c>
      <c r="H267" s="116">
        <f>H249/'ФОТ, МТР, макро'!AL$14/(H198/H193)</f>
        <v>-2.7980859398420717</v>
      </c>
      <c r="I267" s="116">
        <f>I249/'ФОТ, МТР, макро'!AM$14/(I198/I193)</f>
        <v>-3.0582802669854354</v>
      </c>
      <c r="J267" s="116">
        <f>J249/'ФОТ, МТР, макро'!AN$14/(J198/J193)</f>
        <v>-3.0459000851493907</v>
      </c>
      <c r="K267" s="116">
        <f>K249/'ФОТ, МТР, макро'!AO$14/(K198/K193)</f>
        <v>-3.2586810490507445</v>
      </c>
      <c r="L267" s="116">
        <f>L249/'ФОТ, МТР, макро'!AP$14/(L198/L193)</f>
        <v>-3.3102027238597969</v>
      </c>
      <c r="M267" s="116">
        <f>M249/'ФОТ, МТР, макро'!AQ$14/(M198/M193)</f>
        <v>-3.2753695758745236</v>
      </c>
      <c r="N267" s="116">
        <f>N249/'ФОТ, МТР, макро'!AR$14/(N198/N193)</f>
        <v>-3.2377975043827365</v>
      </c>
      <c r="O267" s="116">
        <f>O249/'ФОТ, МТР, макро'!AS$14/(O198/O193)</f>
        <v>-3.3608558923314411</v>
      </c>
      <c r="P267" s="116">
        <f>P249/'ФОТ, МТР, макро'!AT$14/(P198/P193)</f>
        <v>-3.3215738251839042</v>
      </c>
      <c r="Q267" s="116">
        <f>Q249/'ФОТ, МТР, макро'!AU$14/(Q198/Q193)</f>
        <v>-3.3020116810351081</v>
      </c>
      <c r="R267" s="116">
        <f>R249/'ФОТ, МТР, макро'!AV$14/(R198/R193)</f>
        <v>-3.2776817884878713</v>
      </c>
      <c r="S267" s="116">
        <f>S249/'ФОТ, МТР, макро'!AW$14/(S198/S193)</f>
        <v>-3.4241385704577785</v>
      </c>
      <c r="T267" s="116">
        <f>T249/'ФОТ, МТР, макро'!AX$14/(T198/T193)</f>
        <v>-3.57369508024563</v>
      </c>
      <c r="U267" s="116">
        <f>U249/'ФОТ, МТР, макро'!AY$14/(U198/U193)</f>
        <v>-3.7262501003465922</v>
      </c>
      <c r="V267" s="116">
        <f>V249/'ФОТ, МТР, макро'!AZ$14/(V198/V193)</f>
        <v>-3.8816992461897848</v>
      </c>
      <c r="W267" s="116">
        <f>W249/'ФОТ, МТР, макро'!BA$14/(W198/W193)</f>
        <v>-4.0399356563486633</v>
      </c>
      <c r="X267" s="116">
        <f>X249/'ФОТ, МТР, макро'!BB$14/(X198/X193)</f>
        <v>-4.2008506647629078</v>
      </c>
      <c r="Y267" s="116">
        <f>Y249/'ФОТ, МТР, макро'!BC$14/(Y198/Y193)</f>
        <v>-4.3643344481141897</v>
      </c>
      <c r="Z267" s="116">
        <f>Z249/'ФОТ, МТР, макро'!BD$14/(Z198/Z193)</f>
        <v>-4.5302766424097882</v>
      </c>
      <c r="AC267" s="117" cm="1">
        <f t="array" ref="AC267">INDEX(G267:Z267,1,$C267)</f>
        <v>-3.2776817884878713</v>
      </c>
    </row>
    <row r="268" spans="1:29" outlineLevel="1" x14ac:dyDescent="0.25">
      <c r="A268" s="39" t="str">
        <f t="shared" si="130"/>
        <v>SANY SET240S</v>
      </c>
      <c r="B268" s="39" t="str">
        <f t="shared" si="131"/>
        <v>Аннуитет инвестиционный</v>
      </c>
      <c r="C268" s="39">
        <f t="shared" si="132"/>
        <v>12</v>
      </c>
      <c r="D268" s="108" t="s">
        <v>96</v>
      </c>
      <c r="E268" s="118" t="str">
        <f>E260</f>
        <v>руб/ткм</v>
      </c>
      <c r="F268" s="119"/>
      <c r="G268" s="111">
        <f>G254/'ФОТ, МТР, макро'!AK$14/(G198/G193)</f>
        <v>0</v>
      </c>
      <c r="H268" s="111">
        <f>H254/'ФОТ, МТР, макро'!AL$14/(H198/H193)</f>
        <v>0</v>
      </c>
      <c r="I268" s="111">
        <f>I254/'ФОТ, МТР, макро'!AM$14/(I198/I193)</f>
        <v>0</v>
      </c>
      <c r="J268" s="111">
        <f>J254/'ФОТ, МТР, макро'!AN$14/(J198/J193)</f>
        <v>0</v>
      </c>
      <c r="K268" s="111">
        <f>K254/'ФОТ, МТР, макро'!AO$14/(K198/K193)</f>
        <v>0</v>
      </c>
      <c r="L268" s="111">
        <f>L254/'ФОТ, МТР, макро'!AP$14/(L198/L193)</f>
        <v>0</v>
      </c>
      <c r="M268" s="111">
        <f>M254/'ФОТ, МТР, макро'!AQ$14/(M198/M193)</f>
        <v>0</v>
      </c>
      <c r="N268" s="111">
        <f>N254/'ФОТ, МТР, макро'!AR$14/(N198/N193)</f>
        <v>0</v>
      </c>
      <c r="O268" s="111">
        <f>O254/'ФОТ, МТР, макро'!AS$14/(O198/O193)</f>
        <v>0</v>
      </c>
      <c r="P268" s="111">
        <f>P254/'ФОТ, МТР, макро'!AT$14/(P198/P193)</f>
        <v>0</v>
      </c>
      <c r="Q268" s="111">
        <f>Q254/'ФОТ, МТР, макро'!AU$14/(Q198/Q193)</f>
        <v>0</v>
      </c>
      <c r="R268" s="111">
        <f>R254/'ФОТ, МТР, макро'!AV$14/(R198/R193)</f>
        <v>0</v>
      </c>
      <c r="S268" s="111">
        <f>S254/'ФОТ, МТР, макро'!AW$14/(S198/S193)</f>
        <v>0</v>
      </c>
      <c r="T268" s="111">
        <f>T254/'ФОТ, МТР, макро'!AX$14/(T198/T193)</f>
        <v>0</v>
      </c>
      <c r="U268" s="111">
        <f>U254/'ФОТ, МТР, макро'!AY$14/(U198/U193)</f>
        <v>0</v>
      </c>
      <c r="V268" s="111">
        <f>V254/'ФОТ, МТР, макро'!AZ$14/(V198/V193)</f>
        <v>0</v>
      </c>
      <c r="W268" s="111">
        <f>W254/'ФОТ, МТР, макро'!BA$14/(W198/W193)</f>
        <v>0</v>
      </c>
      <c r="X268" s="111">
        <f>X254/'ФОТ, МТР, макро'!BB$14/(X198/X193)</f>
        <v>0</v>
      </c>
      <c r="Y268" s="111">
        <f>Y254/'ФОТ, МТР, макро'!BC$14/(Y198/Y193)</f>
        <v>0</v>
      </c>
      <c r="Z268" s="111">
        <f>Z254/'ФОТ, МТР, макро'!BD$14/(Z198/Z193)</f>
        <v>0</v>
      </c>
      <c r="AC268" s="112" cm="1">
        <f t="array" ref="AC268">INDEX(G268:Z268,1,$C268)</f>
        <v>0</v>
      </c>
    </row>
    <row r="269" spans="1:29" outlineLevel="1" x14ac:dyDescent="0.25">
      <c r="A269" s="39" t="str">
        <f t="shared" si="130"/>
        <v>SANY SET240S</v>
      </c>
      <c r="B269" s="39" t="str">
        <f t="shared" si="131"/>
        <v>Самосвал</v>
      </c>
      <c r="C269" s="39">
        <f t="shared" si="132"/>
        <v>12</v>
      </c>
      <c r="D269" s="101" t="str">
        <f>D255</f>
        <v>Самосвал</v>
      </c>
      <c r="E269" s="9" t="str">
        <f>E268</f>
        <v>руб/ткм</v>
      </c>
      <c r="F269" s="30"/>
      <c r="G269" s="120">
        <f>G255/'ФОТ, МТР, макро'!AK$14/(G198/G193)</f>
        <v>0</v>
      </c>
      <c r="H269" s="120">
        <f>H255/'ФОТ, МТР, макро'!AL$14/(H198/H193)</f>
        <v>0</v>
      </c>
      <c r="I269" s="120">
        <f>I255/'ФОТ, МТР, макро'!AM$14/(I198/I193)</f>
        <v>0</v>
      </c>
      <c r="J269" s="120">
        <f>J255/'ФОТ, МТР, макро'!AN$14/(J198/J193)</f>
        <v>0</v>
      </c>
      <c r="K269" s="120">
        <f>K255/'ФОТ, МТР, макро'!AO$14/(K198/K193)</f>
        <v>0</v>
      </c>
      <c r="L269" s="120">
        <f>L255/'ФОТ, МТР, макро'!AP$14/(L198/L193)</f>
        <v>0</v>
      </c>
      <c r="M269" s="120">
        <f>M255/'ФОТ, МТР, макро'!AQ$14/(M198/M193)</f>
        <v>0</v>
      </c>
      <c r="N269" s="120">
        <f>N255/'ФОТ, МТР, макро'!AR$14/(N198/N193)</f>
        <v>0</v>
      </c>
      <c r="O269" s="120">
        <f>O255/'ФОТ, МТР, макро'!AS$14/(O198/O193)</f>
        <v>0</v>
      </c>
      <c r="P269" s="120">
        <f>P255/'ФОТ, МТР, макро'!AT$14/(P198/P193)</f>
        <v>0</v>
      </c>
      <c r="Q269" s="120">
        <f>Q255/'ФОТ, МТР, макро'!AU$14/(Q198/Q193)</f>
        <v>0</v>
      </c>
      <c r="R269" s="120">
        <f>R255/'ФОТ, МТР, макро'!AV$14/(R198/R193)</f>
        <v>0</v>
      </c>
      <c r="S269" s="120">
        <f>S255/'ФОТ, МТР, макро'!AW$14/(S198/S193)</f>
        <v>0</v>
      </c>
      <c r="T269" s="120">
        <f>T255/'ФОТ, МТР, макро'!AX$14/(T198/T193)</f>
        <v>0</v>
      </c>
      <c r="U269" s="120">
        <f>U255/'ФОТ, МТР, макро'!AY$14/(U198/U193)</f>
        <v>0</v>
      </c>
      <c r="V269" s="120">
        <f>V255/'ФОТ, МТР, макро'!AZ$14/(V198/V193)</f>
        <v>0</v>
      </c>
      <c r="W269" s="120">
        <f>W255/'ФОТ, МТР, макро'!BA$14/(W198/W193)</f>
        <v>0</v>
      </c>
      <c r="X269" s="120">
        <f>X255/'ФОТ, МТР, макро'!BB$14/(X198/X193)</f>
        <v>0</v>
      </c>
      <c r="Y269" s="120">
        <f>Y255/'ФОТ, МТР, макро'!BC$14/(Y198/Y193)</f>
        <v>0</v>
      </c>
      <c r="Z269" s="120">
        <f>Z255/'ФОТ, МТР, макро'!BD$14/(Z198/Z193)</f>
        <v>0</v>
      </c>
      <c r="AC269" s="117" cm="1">
        <f t="array" ref="AC269">INDEX(G269:Z269,1,$C269)</f>
        <v>0</v>
      </c>
    </row>
    <row r="270" spans="1:29" outlineLevel="1" x14ac:dyDescent="0.25">
      <c r="A270" s="39" t="str">
        <f t="shared" si="130"/>
        <v>SANY SET240S</v>
      </c>
      <c r="B270" s="39" t="str">
        <f t="shared" si="131"/>
        <v>Аннуитет общий</v>
      </c>
      <c r="C270" s="39">
        <f t="shared" si="132"/>
        <v>12</v>
      </c>
      <c r="D270" s="108" t="s">
        <v>97</v>
      </c>
      <c r="E270" s="118" t="str">
        <f>E260</f>
        <v>руб/ткм</v>
      </c>
      <c r="F270" s="119"/>
      <c r="G270" s="111">
        <f>G258/'ФОТ, МТР, макро'!AK$14/(G198/G193)</f>
        <v>8.1635055448117608</v>
      </c>
      <c r="H270" s="111">
        <f>H258/'ФОТ, МТР, макро'!AL$14/(H198/H193)</f>
        <v>8.3942578195262154</v>
      </c>
      <c r="I270" s="111">
        <f>I258/'ФОТ, МТР, макро'!AM$14/(I198/I193)</f>
        <v>9.1748408009563054</v>
      </c>
      <c r="J270" s="111">
        <f>J258/'ФОТ, МТР, макро'!AN$14/(J198/J193)</f>
        <v>9.1377002554481717</v>
      </c>
      <c r="K270" s="111">
        <f>K258/'ФОТ, МТР, макро'!AO$14/(K198/K193)</f>
        <v>9.7760431471522313</v>
      </c>
      <c r="L270" s="111">
        <f>L258/'ФОТ, МТР, макро'!AP$14/(L198/L193)</f>
        <v>9.9306081715793901</v>
      </c>
      <c r="M270" s="111">
        <f>M258/'ФОТ, МТР, макро'!AQ$14/(M198/M193)</f>
        <v>9.8261087276235699</v>
      </c>
      <c r="N270" s="111">
        <f>N258/'ФОТ, МТР, макро'!AR$14/(N198/N193)</f>
        <v>9.7133925131482091</v>
      </c>
      <c r="O270" s="111">
        <f>O258/'ФОТ, МТР, макро'!AS$14/(O198/O193)</f>
        <v>10.082567676994323</v>
      </c>
      <c r="P270" s="111">
        <f>P258/'ФОТ, МТР, макро'!AT$14/(P198/P193)</f>
        <v>9.9647214755517126</v>
      </c>
      <c r="Q270" s="111">
        <f>Q258/'ФОТ, МТР, макро'!AU$14/(Q198/Q193)</f>
        <v>9.9060350431053248</v>
      </c>
      <c r="R270" s="111">
        <f>R258/'ФОТ, МТР, макро'!AV$14/(R198/R193)</f>
        <v>9.8330453654636152</v>
      </c>
      <c r="S270" s="111">
        <f>S258/'ФОТ, МТР, макро'!AW$14/(S198/S193)</f>
        <v>10.272415711373336</v>
      </c>
      <c r="T270" s="111">
        <f>T258/'ФОТ, МТР, макро'!AX$14/(T198/T193)</f>
        <v>10.72108524073689</v>
      </c>
      <c r="U270" s="111">
        <f>U258/'ФОТ, МТР, макро'!AY$14/(U198/U193)</f>
        <v>11.178750301039775</v>
      </c>
      <c r="V270" s="111">
        <f>V258/'ФОТ, МТР, макро'!AZ$14/(V198/V193)</f>
        <v>11.645097738569355</v>
      </c>
      <c r="W270" s="111">
        <f>W258/'ФОТ, МТР, макро'!BA$14/(W198/W193)</f>
        <v>12.119806969045989</v>
      </c>
      <c r="X270" s="111">
        <f>X258/'ФОТ, МТР, макро'!BB$14/(X198/X193)</f>
        <v>12.602551994288721</v>
      </c>
      <c r="Y270" s="111">
        <f>Y258/'ФОТ, МТР, макро'!BC$14/(Y198/Y193)</f>
        <v>13.093003344342568</v>
      </c>
      <c r="Z270" s="111">
        <f>Z258/'ФОТ, МТР, макро'!BD$14/(Z198/Z193)</f>
        <v>13.590829927229363</v>
      </c>
      <c r="AC270" s="112" cm="1">
        <f t="array" ref="AC270">INDEX(G270:Z270,1,$C270)</f>
        <v>9.8330453654636152</v>
      </c>
    </row>
    <row r="271" spans="1:29" outlineLevel="1" x14ac:dyDescent="0.25">
      <c r="A271" s="39" t="str">
        <f t="shared" si="130"/>
        <v>SANY SET240S</v>
      </c>
      <c r="B271" s="39"/>
      <c r="D271" s="121"/>
      <c r="E271" s="1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9" outlineLevel="1" x14ac:dyDescent="0.25">
      <c r="A272" s="39" t="str">
        <f t="shared" si="130"/>
        <v>SANY SET240S</v>
      </c>
      <c r="B272" s="39"/>
      <c r="D272" s="123" t="s">
        <v>88</v>
      </c>
      <c r="E272" s="124"/>
      <c r="F272" s="125"/>
      <c r="G272" s="126">
        <f>G270-G260-G268+G260-SUM(G261:G267)+G268-G269</f>
        <v>0</v>
      </c>
      <c r="H272" s="126">
        <f t="shared" ref="H272:I272" si="135">H270-H260-H268+H260-SUM(H261:H267)+H268-H269</f>
        <v>-1.7763568394002505E-15</v>
      </c>
      <c r="I272" s="126">
        <f t="shared" si="135"/>
        <v>-1.7763568394002505E-15</v>
      </c>
      <c r="J272" s="126">
        <f t="shared" ref="J272:Z272" si="136">J270-J260-J268+J260-SUM(J261:J267)+J268-J269</f>
        <v>1.7763568394002505E-15</v>
      </c>
      <c r="K272" s="126">
        <f t="shared" si="136"/>
        <v>0</v>
      </c>
      <c r="L272" s="126">
        <f t="shared" si="136"/>
        <v>3.5527136788005009E-15</v>
      </c>
      <c r="M272" s="126">
        <f t="shared" si="136"/>
        <v>0</v>
      </c>
      <c r="N272" s="126">
        <f t="shared" si="136"/>
        <v>0</v>
      </c>
      <c r="O272" s="126">
        <f t="shared" si="136"/>
        <v>1.7763568394002505E-15</v>
      </c>
      <c r="P272" s="126">
        <f t="shared" si="136"/>
        <v>0</v>
      </c>
      <c r="Q272" s="126">
        <f t="shared" si="136"/>
        <v>1.7763568394002505E-15</v>
      </c>
      <c r="R272" s="126">
        <f t="shared" si="136"/>
        <v>0</v>
      </c>
      <c r="S272" s="126">
        <f t="shared" si="136"/>
        <v>-1.7763568394002505E-15</v>
      </c>
      <c r="T272" s="126">
        <f t="shared" si="136"/>
        <v>-3.5527136788005009E-15</v>
      </c>
      <c r="U272" s="126">
        <f t="shared" si="136"/>
        <v>-3.5527136788005009E-15</v>
      </c>
      <c r="V272" s="126">
        <f t="shared" si="136"/>
        <v>-1.7763568394002505E-15</v>
      </c>
      <c r="W272" s="126">
        <f t="shared" si="136"/>
        <v>-3.5527136788005009E-15</v>
      </c>
      <c r="X272" s="126">
        <f t="shared" si="136"/>
        <v>-3.5527136788005009E-15</v>
      </c>
      <c r="Y272" s="126">
        <f t="shared" si="136"/>
        <v>-1.7763568394002505E-15</v>
      </c>
      <c r="Z272" s="126">
        <f t="shared" si="136"/>
        <v>-5.3290705182007514E-15</v>
      </c>
    </row>
    <row r="273" spans="1:26" outlineLevel="1" x14ac:dyDescent="0.25">
      <c r="A273" s="39" t="str">
        <f t="shared" si="130"/>
        <v>SANY SET240S</v>
      </c>
      <c r="B273" s="39"/>
      <c r="D273" s="125"/>
      <c r="E273" s="124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outlineLevel="1" x14ac:dyDescent="0.25">
      <c r="A274" s="39" t="str">
        <f t="shared" si="130"/>
        <v>SANY SET240S</v>
      </c>
      <c r="B274" s="39"/>
      <c r="D274" s="127" t="s">
        <v>98</v>
      </c>
      <c r="E274" s="128" t="str">
        <f>E270</f>
        <v>руб/ткм</v>
      </c>
      <c r="F274" s="129"/>
      <c r="G274" s="130">
        <f>SUM(G275:G280)</f>
        <v>10.884674059749015</v>
      </c>
      <c r="H274" s="130">
        <f t="shared" ref="H274:Z274" si="137">SUM(H275:H280)</f>
        <v>11.536277309650279</v>
      </c>
      <c r="I274" s="130">
        <f t="shared" si="137"/>
        <v>14.685704004943151</v>
      </c>
      <c r="J274" s="130">
        <f t="shared" si="137"/>
        <v>12.111256244611146</v>
      </c>
      <c r="K274" s="130">
        <f t="shared" si="137"/>
        <v>17.562118041063798</v>
      </c>
      <c r="L274" s="130">
        <f t="shared" si="137"/>
        <v>15.038932572656263</v>
      </c>
      <c r="M274" s="130">
        <f t="shared" si="137"/>
        <v>11.839794125342516</v>
      </c>
      <c r="N274" s="130">
        <f t="shared" si="137"/>
        <v>11.670835567974494</v>
      </c>
      <c r="O274" s="130">
        <f t="shared" si="137"/>
        <v>20.268614326175758</v>
      </c>
      <c r="P274" s="130">
        <f t="shared" si="137"/>
        <v>11.122035841723891</v>
      </c>
      <c r="Q274" s="130">
        <f t="shared" si="137"/>
        <v>11.713312096158683</v>
      </c>
      <c r="R274" s="130">
        <f t="shared" si="137"/>
        <v>11.707010025660949</v>
      </c>
      <c r="S274" s="130" t="e">
        <f t="shared" si="137"/>
        <v>#DIV/0!</v>
      </c>
      <c r="T274" s="130" t="e">
        <f t="shared" si="137"/>
        <v>#DIV/0!</v>
      </c>
      <c r="U274" s="130" t="e">
        <f t="shared" si="137"/>
        <v>#DIV/0!</v>
      </c>
      <c r="V274" s="130" t="e">
        <f t="shared" si="137"/>
        <v>#DIV/0!</v>
      </c>
      <c r="W274" s="130" t="e">
        <f t="shared" si="137"/>
        <v>#DIV/0!</v>
      </c>
      <c r="X274" s="130" t="e">
        <f t="shared" si="137"/>
        <v>#DIV/0!</v>
      </c>
      <c r="Y274" s="130" t="e">
        <f t="shared" si="137"/>
        <v>#DIV/0!</v>
      </c>
      <c r="Z274" s="130" t="e">
        <f t="shared" si="137"/>
        <v>#DIV/0!</v>
      </c>
    </row>
    <row r="275" spans="1:26" outlineLevel="1" x14ac:dyDescent="0.25">
      <c r="A275" s="39" t="str">
        <f t="shared" si="130"/>
        <v>SANY SET240S</v>
      </c>
      <c r="B275" s="39"/>
      <c r="D275" s="113" t="str">
        <f>D261</f>
        <v>ТО, ТР, ППР</v>
      </c>
      <c r="E275" s="114" t="str">
        <f>E274</f>
        <v>руб/ткм</v>
      </c>
      <c r="F275" s="115"/>
      <c r="G275" s="116">
        <f>G202/G197</f>
        <v>1.1491975957247327</v>
      </c>
      <c r="H275" s="116">
        <f t="shared" ref="H275:Z275" si="138">H202/H197</f>
        <v>1.7974077551878527</v>
      </c>
      <c r="I275" s="116">
        <f t="shared" si="138"/>
        <v>4.9819114573197094</v>
      </c>
      <c r="J275" s="116">
        <f t="shared" si="138"/>
        <v>2.4606870819303266</v>
      </c>
      <c r="K275" s="116">
        <f t="shared" si="138"/>
        <v>7.9017672892611266</v>
      </c>
      <c r="L275" s="116">
        <f t="shared" si="138"/>
        <v>5.5130732960845075</v>
      </c>
      <c r="M275" s="116">
        <f t="shared" si="138"/>
        <v>2.1751058687183651</v>
      </c>
      <c r="N275" s="116">
        <f t="shared" si="138"/>
        <v>2.0833924464553064</v>
      </c>
      <c r="O275" s="116">
        <f t="shared" si="138"/>
        <v>10.651867429737679</v>
      </c>
      <c r="P275" s="116">
        <f t="shared" si="138"/>
        <v>1.5264329020261882</v>
      </c>
      <c r="Q275" s="116">
        <f t="shared" si="138"/>
        <v>2.0732718799205547</v>
      </c>
      <c r="R275" s="116">
        <f t="shared" si="138"/>
        <v>2.1495898872384305</v>
      </c>
      <c r="S275" s="116" t="e">
        <f t="shared" si="138"/>
        <v>#DIV/0!</v>
      </c>
      <c r="T275" s="116" t="e">
        <f t="shared" si="138"/>
        <v>#DIV/0!</v>
      </c>
      <c r="U275" s="116" t="e">
        <f t="shared" si="138"/>
        <v>#DIV/0!</v>
      </c>
      <c r="V275" s="116" t="e">
        <f t="shared" si="138"/>
        <v>#DIV/0!</v>
      </c>
      <c r="W275" s="116" t="e">
        <f t="shared" si="138"/>
        <v>#DIV/0!</v>
      </c>
      <c r="X275" s="116" t="e">
        <f t="shared" si="138"/>
        <v>#DIV/0!</v>
      </c>
      <c r="Y275" s="116" t="e">
        <f t="shared" si="138"/>
        <v>#DIV/0!</v>
      </c>
      <c r="Z275" s="116" t="e">
        <f t="shared" si="138"/>
        <v>#DIV/0!</v>
      </c>
    </row>
    <row r="276" spans="1:26" outlineLevel="1" x14ac:dyDescent="0.25">
      <c r="A276" s="39" t="str">
        <f t="shared" si="130"/>
        <v>SANY SET240S</v>
      </c>
      <c r="B276" s="39"/>
      <c r="D276" s="113" t="str">
        <f t="shared" ref="D276:D280" si="139">D262</f>
        <v>Шины</v>
      </c>
      <c r="E276" s="114" t="str">
        <f t="shared" ref="E276:E280" si="140">E275</f>
        <v>руб/ткм</v>
      </c>
      <c r="F276" s="115"/>
      <c r="G276" s="116">
        <f>G207/G197</f>
        <v>2.1039787892831714</v>
      </c>
      <c r="H276" s="116">
        <f t="shared" ref="H276:Z276" si="141">H207/H197</f>
        <v>2.1039787892831718</v>
      </c>
      <c r="I276" s="116">
        <f t="shared" si="141"/>
        <v>2.1039787892831714</v>
      </c>
      <c r="J276" s="116">
        <f t="shared" si="141"/>
        <v>2.1039787892831718</v>
      </c>
      <c r="K276" s="116">
        <f t="shared" si="141"/>
        <v>2.1039787892831714</v>
      </c>
      <c r="L276" s="116">
        <f t="shared" si="141"/>
        <v>2.1039787892831714</v>
      </c>
      <c r="M276" s="116">
        <f t="shared" si="141"/>
        <v>2.1039787892831723</v>
      </c>
      <c r="N276" s="116">
        <f t="shared" si="141"/>
        <v>2.1039787892831718</v>
      </c>
      <c r="O276" s="116">
        <f t="shared" si="141"/>
        <v>2.1039787892831718</v>
      </c>
      <c r="P276" s="116">
        <f t="shared" si="141"/>
        <v>2.1039787892831723</v>
      </c>
      <c r="Q276" s="116">
        <f t="shared" si="141"/>
        <v>2.1039787892831714</v>
      </c>
      <c r="R276" s="116">
        <f t="shared" si="141"/>
        <v>2.1039787892831714</v>
      </c>
      <c r="S276" s="116" t="e">
        <f t="shared" si="141"/>
        <v>#DIV/0!</v>
      </c>
      <c r="T276" s="116" t="e">
        <f t="shared" si="141"/>
        <v>#DIV/0!</v>
      </c>
      <c r="U276" s="116" t="e">
        <f t="shared" si="141"/>
        <v>#DIV/0!</v>
      </c>
      <c r="V276" s="116" t="e">
        <f t="shared" si="141"/>
        <v>#DIV/0!</v>
      </c>
      <c r="W276" s="116" t="e">
        <f t="shared" si="141"/>
        <v>#DIV/0!</v>
      </c>
      <c r="X276" s="116" t="e">
        <f t="shared" si="141"/>
        <v>#DIV/0!</v>
      </c>
      <c r="Y276" s="116" t="e">
        <f t="shared" si="141"/>
        <v>#DIV/0!</v>
      </c>
      <c r="Z276" s="116" t="e">
        <f t="shared" si="141"/>
        <v>#DIV/0!</v>
      </c>
    </row>
    <row r="277" spans="1:26" outlineLevel="1" x14ac:dyDescent="0.25">
      <c r="A277" s="39" t="str">
        <f t="shared" si="130"/>
        <v>SANY SET240S</v>
      </c>
      <c r="B277" s="39"/>
      <c r="D277" s="113" t="str">
        <f t="shared" si="139"/>
        <v>Топливо</v>
      </c>
      <c r="E277" s="114" t="str">
        <f t="shared" si="140"/>
        <v>руб/ткм</v>
      </c>
      <c r="F277" s="115"/>
      <c r="G277" s="116">
        <f>G211/G197</f>
        <v>5.9417027538616871</v>
      </c>
      <c r="H277" s="116">
        <f t="shared" ref="H277:Z277" si="142">H211/H197</f>
        <v>5.941702753861688</v>
      </c>
      <c r="I277" s="116">
        <f t="shared" si="142"/>
        <v>5.9417027538616871</v>
      </c>
      <c r="J277" s="116">
        <f t="shared" si="142"/>
        <v>5.9417027538616871</v>
      </c>
      <c r="K277" s="116">
        <f t="shared" si="142"/>
        <v>5.9417027538616871</v>
      </c>
      <c r="L277" s="116">
        <f t="shared" si="142"/>
        <v>5.9417027538616871</v>
      </c>
      <c r="M277" s="116">
        <f t="shared" si="142"/>
        <v>5.9417027538616862</v>
      </c>
      <c r="N277" s="116">
        <f t="shared" si="142"/>
        <v>5.9417027538616871</v>
      </c>
      <c r="O277" s="116">
        <f t="shared" si="142"/>
        <v>5.941702753861688</v>
      </c>
      <c r="P277" s="116">
        <f t="shared" si="142"/>
        <v>5.9417027538616862</v>
      </c>
      <c r="Q277" s="116">
        <f t="shared" si="142"/>
        <v>5.941702753861688</v>
      </c>
      <c r="R277" s="116">
        <f t="shared" si="142"/>
        <v>5.9417027538616871</v>
      </c>
      <c r="S277" s="116" t="e">
        <f t="shared" si="142"/>
        <v>#DIV/0!</v>
      </c>
      <c r="T277" s="116" t="e">
        <f t="shared" si="142"/>
        <v>#DIV/0!</v>
      </c>
      <c r="U277" s="116" t="e">
        <f t="shared" si="142"/>
        <v>#DIV/0!</v>
      </c>
      <c r="V277" s="116" t="e">
        <f t="shared" si="142"/>
        <v>#DIV/0!</v>
      </c>
      <c r="W277" s="116" t="e">
        <f t="shared" si="142"/>
        <v>#DIV/0!</v>
      </c>
      <c r="X277" s="116" t="e">
        <f t="shared" si="142"/>
        <v>#DIV/0!</v>
      </c>
      <c r="Y277" s="116" t="e">
        <f t="shared" si="142"/>
        <v>#DIV/0!</v>
      </c>
      <c r="Z277" s="116" t="e">
        <f t="shared" si="142"/>
        <v>#DIV/0!</v>
      </c>
    </row>
    <row r="278" spans="1:26" outlineLevel="1" x14ac:dyDescent="0.25">
      <c r="A278" s="39" t="str">
        <f t="shared" si="130"/>
        <v>SANY SET240S</v>
      </c>
      <c r="B278" s="39"/>
      <c r="D278" s="113" t="str">
        <f t="shared" si="139"/>
        <v>Смазочные</v>
      </c>
      <c r="E278" s="114" t="str">
        <f t="shared" si="140"/>
        <v>руб/ткм</v>
      </c>
      <c r="F278" s="115"/>
      <c r="G278" s="116">
        <f>G216/G197</f>
        <v>0</v>
      </c>
      <c r="H278" s="116">
        <f t="shared" ref="H278:Z278" si="143">H216/H197</f>
        <v>0</v>
      </c>
      <c r="I278" s="116">
        <f t="shared" si="143"/>
        <v>0</v>
      </c>
      <c r="J278" s="116">
        <f t="shared" si="143"/>
        <v>0</v>
      </c>
      <c r="K278" s="116">
        <f t="shared" si="143"/>
        <v>0</v>
      </c>
      <c r="L278" s="116">
        <f t="shared" si="143"/>
        <v>0</v>
      </c>
      <c r="M278" s="116">
        <f t="shared" si="143"/>
        <v>0</v>
      </c>
      <c r="N278" s="116">
        <f t="shared" si="143"/>
        <v>0</v>
      </c>
      <c r="O278" s="116">
        <f t="shared" si="143"/>
        <v>0</v>
      </c>
      <c r="P278" s="116">
        <f t="shared" si="143"/>
        <v>0</v>
      </c>
      <c r="Q278" s="116">
        <f t="shared" si="143"/>
        <v>0</v>
      </c>
      <c r="R278" s="116">
        <f t="shared" si="143"/>
        <v>0</v>
      </c>
      <c r="S278" s="116" t="e">
        <f t="shared" si="143"/>
        <v>#DIV/0!</v>
      </c>
      <c r="T278" s="116" t="e">
        <f t="shared" si="143"/>
        <v>#DIV/0!</v>
      </c>
      <c r="U278" s="116" t="e">
        <f t="shared" si="143"/>
        <v>#DIV/0!</v>
      </c>
      <c r="V278" s="116" t="e">
        <f t="shared" si="143"/>
        <v>#DIV/0!</v>
      </c>
      <c r="W278" s="116" t="e">
        <f t="shared" si="143"/>
        <v>#DIV/0!</v>
      </c>
      <c r="X278" s="116" t="e">
        <f t="shared" si="143"/>
        <v>#DIV/0!</v>
      </c>
      <c r="Y278" s="116" t="e">
        <f t="shared" si="143"/>
        <v>#DIV/0!</v>
      </c>
      <c r="Z278" s="116" t="e">
        <f t="shared" si="143"/>
        <v>#DIV/0!</v>
      </c>
    </row>
    <row r="279" spans="1:26" outlineLevel="1" x14ac:dyDescent="0.25">
      <c r="A279" s="39" t="str">
        <f t="shared" si="130"/>
        <v>SANY SET240S</v>
      </c>
      <c r="B279" s="39"/>
      <c r="D279" s="113" t="str">
        <f t="shared" si="139"/>
        <v>Затраты на персонал</v>
      </c>
      <c r="E279" s="114" t="str">
        <f t="shared" si="140"/>
        <v>руб/ткм</v>
      </c>
      <c r="F279" s="115"/>
      <c r="G279" s="116">
        <f>G218/G197</f>
        <v>1.6679782883859722</v>
      </c>
      <c r="H279" s="116">
        <f t="shared" ref="H279:Z279" si="144">H218/H197</f>
        <v>1.6713275712554034</v>
      </c>
      <c r="I279" s="116">
        <f t="shared" si="144"/>
        <v>1.6367034372222959</v>
      </c>
      <c r="J279" s="116">
        <f t="shared" si="144"/>
        <v>1.5841672096471178</v>
      </c>
      <c r="K279" s="116">
        <f t="shared" si="144"/>
        <v>1.5938225104647303</v>
      </c>
      <c r="L279" s="116">
        <f t="shared" si="144"/>
        <v>1.4610674300189801</v>
      </c>
      <c r="M279" s="116">
        <f t="shared" si="144"/>
        <v>1.5981040145564989</v>
      </c>
      <c r="N279" s="116">
        <f t="shared" si="144"/>
        <v>1.5218561772322718</v>
      </c>
      <c r="O279" s="116">
        <f t="shared" si="144"/>
        <v>1.5507816164844008</v>
      </c>
      <c r="P279" s="116">
        <f t="shared" si="144"/>
        <v>1.5299106454939346</v>
      </c>
      <c r="Q279" s="116">
        <f t="shared" si="144"/>
        <v>1.5737742005020507</v>
      </c>
      <c r="R279" s="116">
        <f t="shared" si="144"/>
        <v>1.4922208153673162</v>
      </c>
      <c r="S279" s="116" t="e">
        <f t="shared" si="144"/>
        <v>#DIV/0!</v>
      </c>
      <c r="T279" s="116" t="e">
        <f t="shared" si="144"/>
        <v>#DIV/0!</v>
      </c>
      <c r="U279" s="116" t="e">
        <f t="shared" si="144"/>
        <v>#DIV/0!</v>
      </c>
      <c r="V279" s="116" t="e">
        <f t="shared" si="144"/>
        <v>#DIV/0!</v>
      </c>
      <c r="W279" s="116" t="e">
        <f t="shared" si="144"/>
        <v>#DIV/0!</v>
      </c>
      <c r="X279" s="116" t="e">
        <f t="shared" si="144"/>
        <v>#DIV/0!</v>
      </c>
      <c r="Y279" s="116" t="e">
        <f t="shared" si="144"/>
        <v>#DIV/0!</v>
      </c>
      <c r="Z279" s="116" t="e">
        <f t="shared" si="144"/>
        <v>#DIV/0!</v>
      </c>
    </row>
    <row r="280" spans="1:26" outlineLevel="1" x14ac:dyDescent="0.25">
      <c r="A280" s="39" t="str">
        <f t="shared" si="130"/>
        <v>SANY SET240S</v>
      </c>
      <c r="B280" s="39"/>
      <c r="D280" s="113" t="str">
        <f t="shared" si="139"/>
        <v>Транспортный налог</v>
      </c>
      <c r="E280" s="114" t="str">
        <f t="shared" si="140"/>
        <v>руб/ткм</v>
      </c>
      <c r="F280" s="115"/>
      <c r="G280" s="116">
        <f>G222/G197</f>
        <v>2.1816632493451123E-2</v>
      </c>
      <c r="H280" s="116">
        <f t="shared" ref="H280:Z280" si="145">H222/H197</f>
        <v>2.1860440062163363E-2</v>
      </c>
      <c r="I280" s="116">
        <f t="shared" si="145"/>
        <v>2.1407567256285748E-2</v>
      </c>
      <c r="J280" s="116">
        <f t="shared" si="145"/>
        <v>2.0720409888842394E-2</v>
      </c>
      <c r="K280" s="116">
        <f t="shared" si="145"/>
        <v>2.0846698193083695E-2</v>
      </c>
      <c r="L280" s="116">
        <f t="shared" si="145"/>
        <v>1.9110303407917716E-2</v>
      </c>
      <c r="M280" s="116">
        <f t="shared" si="145"/>
        <v>2.0902698922793256E-2</v>
      </c>
      <c r="N280" s="116">
        <f t="shared" si="145"/>
        <v>1.9905401142057289E-2</v>
      </c>
      <c r="O280" s="116">
        <f t="shared" si="145"/>
        <v>2.0283736808815872E-2</v>
      </c>
      <c r="P280" s="116">
        <f t="shared" si="145"/>
        <v>2.0010751058910762E-2</v>
      </c>
      <c r="Q280" s="116">
        <f t="shared" si="145"/>
        <v>2.0584472591218206E-2</v>
      </c>
      <c r="R280" s="116">
        <f t="shared" si="145"/>
        <v>1.9517779910342214E-2</v>
      </c>
      <c r="S280" s="116" t="e">
        <f t="shared" si="145"/>
        <v>#DIV/0!</v>
      </c>
      <c r="T280" s="116" t="e">
        <f t="shared" si="145"/>
        <v>#DIV/0!</v>
      </c>
      <c r="U280" s="116" t="e">
        <f t="shared" si="145"/>
        <v>#DIV/0!</v>
      </c>
      <c r="V280" s="116" t="e">
        <f t="shared" si="145"/>
        <v>#DIV/0!</v>
      </c>
      <c r="W280" s="116" t="e">
        <f t="shared" si="145"/>
        <v>#DIV/0!</v>
      </c>
      <c r="X280" s="116" t="e">
        <f t="shared" si="145"/>
        <v>#DIV/0!</v>
      </c>
      <c r="Y280" s="116" t="e">
        <f t="shared" si="145"/>
        <v>#DIV/0!</v>
      </c>
      <c r="Z280" s="116" t="e">
        <f t="shared" si="145"/>
        <v>#DIV/0!</v>
      </c>
    </row>
    <row r="281" spans="1:26" outlineLevel="1" x14ac:dyDescent="0.25">
      <c r="A281" s="39" t="str">
        <f t="shared" si="130"/>
        <v>SANY SET240S</v>
      </c>
      <c r="B281" s="39"/>
      <c r="D281" s="121"/>
      <c r="E281" s="12"/>
      <c r="F281" s="122"/>
      <c r="G281" s="131">
        <f>G274-(G201-G227)/G197</f>
        <v>0</v>
      </c>
      <c r="H281" s="131">
        <f t="shared" ref="H281:Z281" si="146">H274-(H201-H227)/H197</f>
        <v>0</v>
      </c>
      <c r="I281" s="131">
        <f t="shared" si="146"/>
        <v>0</v>
      </c>
      <c r="J281" s="131">
        <f t="shared" si="146"/>
        <v>0</v>
      </c>
      <c r="K281" s="131">
        <f t="shared" si="146"/>
        <v>0</v>
      </c>
      <c r="L281" s="131">
        <f t="shared" si="146"/>
        <v>0</v>
      </c>
      <c r="M281" s="131">
        <f t="shared" si="146"/>
        <v>0</v>
      </c>
      <c r="N281" s="131">
        <f t="shared" si="146"/>
        <v>0</v>
      </c>
      <c r="O281" s="131">
        <f t="shared" si="146"/>
        <v>0</v>
      </c>
      <c r="P281" s="131">
        <f t="shared" si="146"/>
        <v>0</v>
      </c>
      <c r="Q281" s="131">
        <f t="shared" si="146"/>
        <v>0</v>
      </c>
      <c r="R281" s="131">
        <f t="shared" si="146"/>
        <v>0</v>
      </c>
      <c r="S281" s="131" t="e">
        <f t="shared" si="146"/>
        <v>#DIV/0!</v>
      </c>
      <c r="T281" s="131" t="e">
        <f t="shared" si="146"/>
        <v>#DIV/0!</v>
      </c>
      <c r="U281" s="131" t="e">
        <f t="shared" si="146"/>
        <v>#DIV/0!</v>
      </c>
      <c r="V281" s="131" t="e">
        <f t="shared" si="146"/>
        <v>#DIV/0!</v>
      </c>
      <c r="W281" s="131" t="e">
        <f t="shared" si="146"/>
        <v>#DIV/0!</v>
      </c>
      <c r="X281" s="131" t="e">
        <f t="shared" si="146"/>
        <v>#DIV/0!</v>
      </c>
      <c r="Y281" s="131" t="e">
        <f t="shared" si="146"/>
        <v>#DIV/0!</v>
      </c>
      <c r="Z281" s="131" t="e">
        <f t="shared" si="146"/>
        <v>#DIV/0!</v>
      </c>
    </row>
    <row r="282" spans="1:26" outlineLevel="1" x14ac:dyDescent="0.25">
      <c r="A282" s="2" t="s">
        <v>45</v>
      </c>
    </row>
    <row r="283" spans="1:26" x14ac:dyDescent="0.25">
      <c r="A283" s="2" t="s">
        <v>45</v>
      </c>
    </row>
    <row r="284" spans="1:26" ht="14.3" x14ac:dyDescent="0.25">
      <c r="A284" s="2" t="s">
        <v>45</v>
      </c>
      <c r="C284" s="57">
        <f>SUM(F334:Z334,F346:Z346,F365:Z365,AA318)</f>
        <v>1.5987211554602254E-14</v>
      </c>
      <c r="D284" s="58" t="str">
        <f>Свод_1!I23</f>
        <v>TZCO TZE240</v>
      </c>
      <c r="E284" s="59">
        <f>SUMIFS(Производительность_1!$Y$55:$Y$71,Производительность_1!$C$55:$C$71,$D284)</f>
        <v>8</v>
      </c>
      <c r="F284" s="60" t="str">
        <f>$F$2</f>
        <v>лет</v>
      </c>
    </row>
    <row r="285" spans="1:26" outlineLevel="1" x14ac:dyDescent="0.25">
      <c r="A285" s="2" t="s">
        <v>45</v>
      </c>
    </row>
    <row r="286" spans="1:26" outlineLevel="1" x14ac:dyDescent="0.25">
      <c r="A286" s="61" t="str">
        <f>D284</f>
        <v>TZCO TZE240</v>
      </c>
      <c r="D286" s="62" t="str">
        <f>D$1</f>
        <v>Показатель</v>
      </c>
      <c r="E286" s="62" t="str">
        <f t="shared" ref="E286:Z286" si="147">E$1</f>
        <v>Ед. изм.</v>
      </c>
      <c r="F286" s="62">
        <f t="shared" si="147"/>
        <v>0</v>
      </c>
      <c r="G286" s="62">
        <f t="shared" si="147"/>
        <v>1</v>
      </c>
      <c r="H286" s="62">
        <f t="shared" si="147"/>
        <v>2</v>
      </c>
      <c r="I286" s="62">
        <f t="shared" si="147"/>
        <v>3</v>
      </c>
      <c r="J286" s="62">
        <f t="shared" si="147"/>
        <v>4</v>
      </c>
      <c r="K286" s="62">
        <f t="shared" si="147"/>
        <v>5</v>
      </c>
      <c r="L286" s="62">
        <f t="shared" si="147"/>
        <v>6</v>
      </c>
      <c r="M286" s="62">
        <f t="shared" si="147"/>
        <v>7</v>
      </c>
      <c r="N286" s="62">
        <f t="shared" si="147"/>
        <v>8</v>
      </c>
      <c r="O286" s="62">
        <f t="shared" si="147"/>
        <v>9</v>
      </c>
      <c r="P286" s="62">
        <f t="shared" si="147"/>
        <v>10</v>
      </c>
      <c r="Q286" s="62">
        <f t="shared" si="147"/>
        <v>11</v>
      </c>
      <c r="R286" s="62">
        <f t="shared" si="147"/>
        <v>12</v>
      </c>
      <c r="S286" s="62">
        <f t="shared" si="147"/>
        <v>13</v>
      </c>
      <c r="T286" s="62">
        <f t="shared" si="147"/>
        <v>14</v>
      </c>
      <c r="U286" s="62">
        <f t="shared" si="147"/>
        <v>15</v>
      </c>
      <c r="V286" s="62">
        <f t="shared" si="147"/>
        <v>16</v>
      </c>
      <c r="W286" s="62">
        <f t="shared" si="147"/>
        <v>17</v>
      </c>
      <c r="X286" s="62">
        <f t="shared" si="147"/>
        <v>18</v>
      </c>
      <c r="Y286" s="62">
        <f t="shared" si="147"/>
        <v>19</v>
      </c>
      <c r="Z286" s="62">
        <f t="shared" si="147"/>
        <v>20</v>
      </c>
    </row>
    <row r="287" spans="1:26" outlineLevel="1" x14ac:dyDescent="0.25">
      <c r="A287" s="39" t="str">
        <f>A286</f>
        <v>TZCO TZE240</v>
      </c>
      <c r="B287" s="39"/>
      <c r="D287" s="63" t="s">
        <v>50</v>
      </c>
      <c r="E287" s="64" t="s">
        <v>51</v>
      </c>
      <c r="F287" s="65"/>
      <c r="G287" s="66">
        <f>SUMIFS(Производительность_1!E$55:E$71,Производительность_1!$C$55:$C$71,$A287)</f>
        <v>0.90962709284627086</v>
      </c>
      <c r="H287" s="66">
        <f>SUMIFS(Производительность_1!F$55:F$71,Производительность_1!$C$55:$C$71,$A287)</f>
        <v>0.88376775748351089</v>
      </c>
      <c r="I287" s="66">
        <f>SUMIFS(Производительность_1!G$55:G$71,Производительность_1!$C$55:$C$71,$A287)</f>
        <v>0.77400431253170976</v>
      </c>
      <c r="J287" s="66">
        <f>SUMIFS(Производительность_1!H$55:H$71,Производительность_1!$C$55:$C$71,$A287)</f>
        <v>0.88376775748351089</v>
      </c>
      <c r="K287" s="66">
        <f>SUMIFS(Производительность_1!I$55:I$71,Производительность_1!$C$55:$C$71,$A287)</f>
        <v>0.90962709284627086</v>
      </c>
      <c r="L287" s="66">
        <f>SUMIFS(Производительность_1!J$55:J$71,Производительность_1!$C$55:$C$71,$A287)</f>
        <v>0.74814497716894979</v>
      </c>
      <c r="M287" s="66">
        <f>SUMIFS(Производительность_1!K$55:K$71,Производительность_1!$C$55:$C$71,$A287)</f>
        <v>0.90962709284627086</v>
      </c>
      <c r="N287" s="66">
        <f>SUMIFS(Производительность_1!L$55:L$71,Производительность_1!$C$55:$C$71,$A287)</f>
        <v>0.88376775748351089</v>
      </c>
      <c r="O287" s="66">
        <f>SUMIFS(Производительность_1!M$55:M$71,Производительность_1!$C$55:$C$71,$A287)</f>
        <v>0</v>
      </c>
      <c r="P287" s="66">
        <f>SUMIFS(Производительность_1!N$55:N$71,Производительность_1!$C$55:$C$71,$A287)</f>
        <v>0</v>
      </c>
      <c r="Q287" s="66">
        <f>SUMIFS(Производительность_1!O$55:O$71,Производительность_1!$C$55:$C$71,$A287)</f>
        <v>0</v>
      </c>
      <c r="R287" s="66">
        <f>SUMIFS(Производительность_1!P$55:P$71,Производительность_1!$C$55:$C$71,$A287)</f>
        <v>0</v>
      </c>
      <c r="S287" s="66">
        <f>SUMIFS(Производительность_1!Q$55:Q$71,Производительность_1!$C$55:$C$71,$A287)</f>
        <v>0</v>
      </c>
      <c r="T287" s="66">
        <f>SUMIFS(Производительность_1!R$55:R$71,Производительность_1!$C$55:$C$71,$A287)</f>
        <v>0</v>
      </c>
      <c r="U287" s="66">
        <f>SUMIFS(Производительность_1!S$55:S$71,Производительность_1!$C$55:$C$71,$A287)</f>
        <v>0</v>
      </c>
      <c r="V287" s="66">
        <f>SUMIFS(Производительность_1!T$55:T$71,Производительность_1!$C$55:$C$71,$A287)</f>
        <v>0</v>
      </c>
      <c r="W287" s="66">
        <f>SUMIFS(Производительность_1!U$55:U$71,Производительность_1!$C$55:$C$71,$A287)</f>
        <v>0</v>
      </c>
      <c r="X287" s="66">
        <f>SUMIFS(Производительность_1!V$55:V$71,Производительность_1!$C$55:$C$71,$A287)</f>
        <v>0</v>
      </c>
      <c r="Y287" s="66">
        <f>SUMIFS(Производительность_1!W$55:W$71,Производительность_1!$C$55:$C$71,$A287)</f>
        <v>0</v>
      </c>
      <c r="Z287" s="66">
        <f>SUMIFS(Производительность_1!X$55:X$71,Производительность_1!$C$55:$C$71,$A287)</f>
        <v>0</v>
      </c>
    </row>
    <row r="288" spans="1:26" outlineLevel="1" x14ac:dyDescent="0.25">
      <c r="A288" s="39" t="str">
        <f t="shared" ref="A288:A351" si="148">A287</f>
        <v>TZCO TZE240</v>
      </c>
      <c r="B288" s="39"/>
      <c r="D288" s="63" t="s">
        <v>52</v>
      </c>
      <c r="E288" s="64" t="str">
        <f>E287</f>
        <v>%</v>
      </c>
      <c r="F288" s="65"/>
      <c r="G288" s="66">
        <f>SUMIFS(Производительность_1!E$119:E$135,Производительность_1!$C$119:$C$135,$A288)</f>
        <v>0.7802829666173865</v>
      </c>
      <c r="H288" s="66">
        <f>SUMIFS(Производительность_1!F$119:F$135,Производительность_1!$C$119:$C$135,$A288)</f>
        <v>0.75810069096806354</v>
      </c>
      <c r="I288" s="66">
        <f>SUMIFS(Производительность_1!G$119:G$135,Производительность_1!$C$119:$C$135,$A288)</f>
        <v>0.66923193778625445</v>
      </c>
      <c r="J288" s="66">
        <f>SUMIFS(Производительность_1!H$119:H$135,Производительность_1!$C$119:$C$135,$A288)</f>
        <v>0.76413735597819687</v>
      </c>
      <c r="K288" s="66">
        <f>SUMIFS(Производительность_1!I$119:I$135,Производительность_1!$C$119:$C$135,$A288)</f>
        <v>0.78649626643191017</v>
      </c>
      <c r="L288" s="66">
        <f>SUMIFS(Производительность_1!J$119:J$135,Производительность_1!$C$119:$C$135,$A288)</f>
        <v>0.64687302733254115</v>
      </c>
      <c r="M288" s="66">
        <f>SUMIFS(Производительность_1!K$119:K$135,Производительность_1!$C$119:$C$135,$A288)</f>
        <v>0.78649626643191017</v>
      </c>
      <c r="N288" s="66">
        <f>SUMIFS(Производительность_1!L$119:L$135,Производительность_1!$C$119:$C$135,$A288)</f>
        <v>0.76413735597819687</v>
      </c>
      <c r="O288" s="66">
        <f>SUMIFS(Производительность_1!M$119:M$135,Производительность_1!$C$119:$C$135,$A288)</f>
        <v>0</v>
      </c>
      <c r="P288" s="66">
        <f>SUMIFS(Производительность_1!N$119:N$135,Производительность_1!$C$119:$C$135,$A288)</f>
        <v>0</v>
      </c>
      <c r="Q288" s="66">
        <f>SUMIFS(Производительность_1!O$119:O$135,Производительность_1!$C$119:$C$135,$A288)</f>
        <v>0</v>
      </c>
      <c r="R288" s="66">
        <f>SUMIFS(Производительность_1!P$119:P$135,Производительность_1!$C$119:$C$135,$A288)</f>
        <v>0</v>
      </c>
      <c r="S288" s="66">
        <f>SUMIFS(Производительность_1!Q$119:Q$135,Производительность_1!$C$119:$C$135,$A288)</f>
        <v>0</v>
      </c>
      <c r="T288" s="66">
        <f>SUMIFS(Производительность_1!R$119:R$135,Производительность_1!$C$119:$C$135,$A288)</f>
        <v>0</v>
      </c>
      <c r="U288" s="66">
        <f>SUMIFS(Производительность_1!S$119:S$135,Производительность_1!$C$119:$C$135,$A288)</f>
        <v>0</v>
      </c>
      <c r="V288" s="66">
        <f>SUMIFS(Производительность_1!T$119:T$135,Производительность_1!$C$119:$C$135,$A288)</f>
        <v>0</v>
      </c>
      <c r="W288" s="66">
        <f>SUMIFS(Производительность_1!U$119:U$135,Производительность_1!$C$119:$C$135,$A288)</f>
        <v>0</v>
      </c>
      <c r="X288" s="66">
        <f>SUMIFS(Производительность_1!V$119:V$135,Производительность_1!$C$119:$C$135,$A288)</f>
        <v>0</v>
      </c>
      <c r="Y288" s="66">
        <f>SUMIFS(Производительность_1!W$119:W$135,Производительность_1!$C$119:$C$135,$A288)</f>
        <v>0</v>
      </c>
      <c r="Z288" s="66">
        <f>SUMIFS(Производительность_1!X$119:X$135,Производительность_1!$C$119:$C$135,$A288)</f>
        <v>0</v>
      </c>
    </row>
    <row r="289" spans="1:28" outlineLevel="1" x14ac:dyDescent="0.25">
      <c r="A289" s="39" t="str">
        <f t="shared" si="148"/>
        <v>TZCO TZE240</v>
      </c>
      <c r="B289" s="39"/>
      <c r="D289" s="67" t="s">
        <v>53</v>
      </c>
      <c r="E289" s="68" t="s">
        <v>23</v>
      </c>
      <c r="F289" s="69"/>
      <c r="G289" s="69">
        <f>SUMIFS(Производительность_1!E$247:E$263,Производительность_1!$C$247:$C$263,$A289)</f>
        <v>3634.86890018759</v>
      </c>
      <c r="H289" s="69">
        <f>SUMIFS(Производительность_1!F$247:F$263,Производительность_1!$C$247:$C$263,$A289)</f>
        <v>3295.5485993194488</v>
      </c>
      <c r="I289" s="69">
        <f>SUMIFS(Производительность_1!G$247:G$263,Производительность_1!$C$247:$C$263,$A289)</f>
        <v>2558.7657740499935</v>
      </c>
      <c r="J289" s="69">
        <f>SUMIFS(Производительность_1!H$247:H$263,Производительность_1!$C$247:$C$263,$A289)</f>
        <v>2996.7227710095394</v>
      </c>
      <c r="K289" s="69">
        <f>SUMIFS(Производительность_1!I$247:I$263,Производительность_1!$C$247:$C$263,$A289)</f>
        <v>2653.626107736553</v>
      </c>
      <c r="L289" s="69">
        <f>SUMIFS(Производительность_1!J$247:J$263,Производительность_1!$C$247:$C$263,$A289)</f>
        <v>2005.845577164705</v>
      </c>
      <c r="M289" s="69">
        <f>SUMIFS(Производительность_1!K$247:K$263,Производительность_1!$C$247:$C$263,$A289)</f>
        <v>2820.1707912742022</v>
      </c>
      <c r="N289" s="69">
        <f>SUMIFS(Производительность_1!L$247:L$263,Производительность_1!$C$247:$C$263,$A289)</f>
        <v>2691.8968217955075</v>
      </c>
      <c r="O289" s="69">
        <f>SUMIFS(Производительность_1!M$247:M$263,Производительность_1!$C$247:$C$263,$A289)</f>
        <v>0</v>
      </c>
      <c r="P289" s="69">
        <f>SUMIFS(Производительность_1!N$247:N$263,Производительность_1!$C$247:$C$263,$A289)</f>
        <v>0</v>
      </c>
      <c r="Q289" s="69">
        <f>SUMIFS(Производительность_1!O$247:O$263,Производительность_1!$C$247:$C$263,$A289)</f>
        <v>0</v>
      </c>
      <c r="R289" s="69">
        <f>SUMIFS(Производительность_1!P$247:P$263,Производительность_1!$C$247:$C$263,$A289)</f>
        <v>0</v>
      </c>
      <c r="S289" s="69">
        <f>SUMIFS(Производительность_1!Q$247:Q$263,Производительность_1!$C$247:$C$263,$A289)</f>
        <v>0</v>
      </c>
      <c r="T289" s="69">
        <f>SUMIFS(Производительность_1!R$247:R$263,Производительность_1!$C$247:$C$263,$A289)</f>
        <v>0</v>
      </c>
      <c r="U289" s="69">
        <f>SUMIFS(Производительность_1!S$247:S$263,Производительность_1!$C$247:$C$263,$A289)</f>
        <v>0</v>
      </c>
      <c r="V289" s="69">
        <f>SUMIFS(Производительность_1!T$247:T$263,Производительность_1!$C$247:$C$263,$A289)</f>
        <v>0</v>
      </c>
      <c r="W289" s="69">
        <f>SUMIFS(Производительность_1!U$247:U$263,Производительность_1!$C$247:$C$263,$A289)</f>
        <v>0</v>
      </c>
      <c r="X289" s="69">
        <f>SUMIFS(Производительность_1!V$247:V$263,Производительность_1!$C$247:$C$263,$A289)</f>
        <v>0</v>
      </c>
      <c r="Y289" s="69">
        <f>SUMIFS(Производительность_1!W$247:W$263,Производительность_1!$C$247:$C$263,$A289)</f>
        <v>0</v>
      </c>
      <c r="Z289" s="69">
        <f>SUMIFS(Производительность_1!X$247:X$263,Производительность_1!$C$247:$C$263,$A289)</f>
        <v>0</v>
      </c>
    </row>
    <row r="290" spans="1:28" outlineLevel="1" x14ac:dyDescent="0.25">
      <c r="A290" s="39" t="str">
        <f t="shared" si="148"/>
        <v>TZCO TZE240</v>
      </c>
      <c r="B290" s="39"/>
      <c r="D290" s="67" t="s">
        <v>54</v>
      </c>
      <c r="E290" s="68" t="s">
        <v>24</v>
      </c>
      <c r="F290" s="69"/>
      <c r="G290" s="69">
        <f>SUMIFS(Производительность_1!E$263:E$279,Производительность_1!$C$263:$C$279,$A290)</f>
        <v>11048.489749270471</v>
      </c>
      <c r="H290" s="69">
        <f>SUMIFS(Производительность_1!F$263:F$279,Производительность_1!$C$263:$C$279,$A290)</f>
        <v>11105.415595578439</v>
      </c>
      <c r="I290" s="69">
        <f>SUMIFS(Производительность_1!G$263:G$279,Производительность_1!$C$263:$C$279,$A290)</f>
        <v>10354.571243415245</v>
      </c>
      <c r="J290" s="69">
        <f>SUMIFS(Производительность_1!H$263:H$279,Производительность_1!$C$263:$C$279,$A290)</f>
        <v>11704.918422088471</v>
      </c>
      <c r="K290" s="69">
        <f>SUMIFS(Производительность_1!I$263:I$279,Производительность_1!$C$263:$C$279,$A290)</f>
        <v>12724.683265495025</v>
      </c>
      <c r="L290" s="69">
        <f>SUMIFS(Производительность_1!J$263:J$279,Производительность_1!$C$263:$C$279,$A290)</f>
        <v>10743.524107549531</v>
      </c>
      <c r="M290" s="69">
        <f>SUMIFS(Производительность_1!K$263:K$279,Производительность_1!$C$263:$C$279,$A290)</f>
        <v>12462.841714037135</v>
      </c>
      <c r="N290" s="69">
        <f>SUMIFS(Производительность_1!L$263:L$279,Производительность_1!$C$263:$C$279,$A290)</f>
        <v>12184.165779442772</v>
      </c>
      <c r="O290" s="69">
        <f>SUMIFS(Производительность_1!M$263:M$279,Производительность_1!$C$263:$C$279,$A290)</f>
        <v>0</v>
      </c>
      <c r="P290" s="69">
        <f>SUMIFS(Производительность_1!N$263:N$279,Производительность_1!$C$263:$C$279,$A290)</f>
        <v>0</v>
      </c>
      <c r="Q290" s="69">
        <f>SUMIFS(Производительность_1!O$263:O$279,Производительность_1!$C$263:$C$279,$A290)</f>
        <v>0</v>
      </c>
      <c r="R290" s="69">
        <f>SUMIFS(Производительность_1!P$263:P$279,Производительность_1!$C$263:$C$279,$A290)</f>
        <v>0</v>
      </c>
      <c r="S290" s="69">
        <f>SUMIFS(Производительность_1!Q$263:Q$279,Производительность_1!$C$263:$C$279,$A290)</f>
        <v>0</v>
      </c>
      <c r="T290" s="69">
        <f>SUMIFS(Производительность_1!R$263:R$279,Производительность_1!$C$263:$C$279,$A290)</f>
        <v>0</v>
      </c>
      <c r="U290" s="69">
        <f>SUMIFS(Производительность_1!S$263:S$279,Производительность_1!$C$263:$C$279,$A290)</f>
        <v>0</v>
      </c>
      <c r="V290" s="69">
        <f>SUMIFS(Производительность_1!T$263:T$279,Производительность_1!$C$263:$C$279,$A290)</f>
        <v>0</v>
      </c>
      <c r="W290" s="69">
        <f>SUMIFS(Производительность_1!U$263:U$279,Производительность_1!$C$263:$C$279,$A290)</f>
        <v>0</v>
      </c>
      <c r="X290" s="69">
        <f>SUMIFS(Производительность_1!V$263:V$279,Производительность_1!$C$263:$C$279,$A290)</f>
        <v>0</v>
      </c>
      <c r="Y290" s="69">
        <f>SUMIFS(Производительность_1!W$263:W$279,Производительность_1!$C$263:$C$279,$A290)</f>
        <v>0</v>
      </c>
      <c r="Z290" s="69">
        <f>SUMIFS(Производительность_1!X$263:X$279,Производительность_1!$C$263:$C$279,$A290)</f>
        <v>0</v>
      </c>
    </row>
    <row r="291" spans="1:28" outlineLevel="1" x14ac:dyDescent="0.25">
      <c r="A291" s="39" t="str">
        <f t="shared" si="148"/>
        <v>TZCO TZE240</v>
      </c>
      <c r="B291" s="39"/>
      <c r="D291" s="70" t="s">
        <v>55</v>
      </c>
      <c r="E291" s="64" t="str">
        <f>E290</f>
        <v>тыс. ткм</v>
      </c>
      <c r="F291" s="65"/>
      <c r="G291" s="65">
        <f>G290</f>
        <v>11048.489749270471</v>
      </c>
      <c r="H291" s="65">
        <f>G291+H290</f>
        <v>22153.90534484891</v>
      </c>
      <c r="I291" s="65">
        <f t="shared" ref="I291:Z291" si="149">H291+I290</f>
        <v>32508.476588264155</v>
      </c>
      <c r="J291" s="65">
        <f t="shared" si="149"/>
        <v>44213.395010352629</v>
      </c>
      <c r="K291" s="65">
        <f t="shared" si="149"/>
        <v>56938.078275847656</v>
      </c>
      <c r="L291" s="65">
        <f t="shared" si="149"/>
        <v>67681.602383397185</v>
      </c>
      <c r="M291" s="65">
        <f t="shared" si="149"/>
        <v>80144.444097434316</v>
      </c>
      <c r="N291" s="65">
        <f t="shared" si="149"/>
        <v>92328.60987687709</v>
      </c>
      <c r="O291" s="65">
        <f t="shared" si="149"/>
        <v>92328.60987687709</v>
      </c>
      <c r="P291" s="65">
        <f t="shared" si="149"/>
        <v>92328.60987687709</v>
      </c>
      <c r="Q291" s="65">
        <f t="shared" si="149"/>
        <v>92328.60987687709</v>
      </c>
      <c r="R291" s="65">
        <f t="shared" si="149"/>
        <v>92328.60987687709</v>
      </c>
      <c r="S291" s="65">
        <f t="shared" si="149"/>
        <v>92328.60987687709</v>
      </c>
      <c r="T291" s="65">
        <f t="shared" si="149"/>
        <v>92328.60987687709</v>
      </c>
      <c r="U291" s="65">
        <f t="shared" si="149"/>
        <v>92328.60987687709</v>
      </c>
      <c r="V291" s="65">
        <f t="shared" si="149"/>
        <v>92328.60987687709</v>
      </c>
      <c r="W291" s="65">
        <f t="shared" si="149"/>
        <v>92328.60987687709</v>
      </c>
      <c r="X291" s="65">
        <f t="shared" si="149"/>
        <v>92328.60987687709</v>
      </c>
      <c r="Y291" s="65">
        <f t="shared" si="149"/>
        <v>92328.60987687709</v>
      </c>
      <c r="Z291" s="65">
        <f t="shared" si="149"/>
        <v>92328.60987687709</v>
      </c>
    </row>
    <row r="292" spans="1:28" outlineLevel="1" x14ac:dyDescent="0.25">
      <c r="A292" s="39" t="str">
        <f t="shared" si="148"/>
        <v>TZCO TZE240</v>
      </c>
      <c r="B292" s="39"/>
      <c r="D292" s="63" t="s">
        <v>56</v>
      </c>
      <c r="E292" s="64" t="s">
        <v>57</v>
      </c>
      <c r="F292" s="65"/>
      <c r="G292" s="65">
        <f>SUMIFS(Производительность_1!E$279:E$295,Производительность_1!$C$279:$C$295,$A292)/1000</f>
        <v>101.18384565097169</v>
      </c>
      <c r="H292" s="65">
        <f>SUMIFS(Производительность_1!F$279:F$295,Производительность_1!$C$279:$C$295,$A292)/1000</f>
        <v>101.70518170477548</v>
      </c>
      <c r="I292" s="65">
        <f>SUMIFS(Производительность_1!G$279:G$295,Производительность_1!$C$279:$C$295,$A292)/1000</f>
        <v>94.828828396650209</v>
      </c>
      <c r="J292" s="65">
        <f>SUMIFS(Производительность_1!H$279:H$295,Производительность_1!$C$279:$C$295,$A292)/1000</f>
        <v>107.19552498621063</v>
      </c>
      <c r="K292" s="65">
        <f>SUMIFS(Производительность_1!I$279:I$295,Производительность_1!$C$279:$C$295,$A292)/1000</f>
        <v>116.53469539385385</v>
      </c>
      <c r="L292" s="65">
        <f>SUMIFS(Производительность_1!J$279:J$295,Производительность_1!$C$279:$C$295,$A292)/1000</f>
        <v>98.390921267548279</v>
      </c>
      <c r="M292" s="65">
        <f>SUMIFS(Производительность_1!K$279:K$295,Производительность_1!$C$279:$C$295,$A292)/1000</f>
        <v>114.13670836313995</v>
      </c>
      <c r="N292" s="65">
        <f>SUMIFS(Производительность_1!L$279:L$295,Производительность_1!$C$279:$C$295,$A292)/1000</f>
        <v>111.58454934480005</v>
      </c>
      <c r="O292" s="65">
        <f>SUMIFS(Производительность_1!M$279:M$295,Производительность_1!$C$279:$C$295,$A292)/1000</f>
        <v>0</v>
      </c>
      <c r="P292" s="65">
        <f>SUMIFS(Производительность_1!N$279:N$295,Производительность_1!$C$279:$C$295,$A292)/1000</f>
        <v>0</v>
      </c>
      <c r="Q292" s="65">
        <f>SUMIFS(Производительность_1!O$279:O$295,Производительность_1!$C$279:$C$295,$A292)/1000</f>
        <v>0</v>
      </c>
      <c r="R292" s="65">
        <f>SUMIFS(Производительность_1!P$279:P$295,Производительность_1!$C$279:$C$295,$A292)/1000</f>
        <v>0</v>
      </c>
      <c r="S292" s="65">
        <f>SUMIFS(Производительность_1!Q$279:Q$295,Производительность_1!$C$279:$C$295,$A292)/1000</f>
        <v>0</v>
      </c>
      <c r="T292" s="65">
        <f>SUMIFS(Производительность_1!R$279:R$295,Производительность_1!$C$279:$C$295,$A292)/1000</f>
        <v>0</v>
      </c>
      <c r="U292" s="65">
        <f>SUMIFS(Производительность_1!S$279:S$295,Производительность_1!$C$279:$C$295,$A292)/1000</f>
        <v>0</v>
      </c>
      <c r="V292" s="65">
        <f>SUMIFS(Производительность_1!T$279:T$295,Производительность_1!$C$279:$C$295,$A292)/1000</f>
        <v>0</v>
      </c>
      <c r="W292" s="65">
        <f>SUMIFS(Производительность_1!U$279:U$295,Производительность_1!$C$279:$C$295,$A292)/1000</f>
        <v>0</v>
      </c>
      <c r="X292" s="65">
        <f>SUMIFS(Производительность_1!V$279:V$295,Производительность_1!$C$279:$C$295,$A292)/1000</f>
        <v>0</v>
      </c>
      <c r="Y292" s="65">
        <f>SUMIFS(Производительность_1!W$279:W$295,Производительность_1!$C$279:$C$295,$A292)/1000</f>
        <v>0</v>
      </c>
      <c r="Z292" s="65">
        <f>SUMIFS(Производительность_1!X$279:X$295,Производительность_1!$C$279:$C$295,$A292)/1000</f>
        <v>0</v>
      </c>
    </row>
    <row r="293" spans="1:28" outlineLevel="1" x14ac:dyDescent="0.25">
      <c r="A293" s="39" t="str">
        <f t="shared" si="148"/>
        <v>TZCO TZE240</v>
      </c>
      <c r="B293" s="39"/>
      <c r="D293" s="31"/>
      <c r="E293" s="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8" outlineLevel="1" x14ac:dyDescent="0.25">
      <c r="A294" s="39" t="str">
        <f t="shared" si="148"/>
        <v>TZCO TZE240</v>
      </c>
      <c r="B294" s="39"/>
      <c r="D294" s="71" t="s">
        <v>58</v>
      </c>
      <c r="E294" s="72" t="s">
        <v>33</v>
      </c>
      <c r="F294" s="73">
        <f>F319+F320-F318</f>
        <v>0</v>
      </c>
      <c r="G294" s="73">
        <f t="shared" ref="G294:Z294" si="150">G319+G320-G318</f>
        <v>98659.647607992229</v>
      </c>
      <c r="H294" s="73">
        <f t="shared" si="150"/>
        <v>122280.67095405566</v>
      </c>
      <c r="I294" s="73">
        <f t="shared" si="150"/>
        <v>206248.77567327739</v>
      </c>
      <c r="J294" s="73">
        <f t="shared" si="150"/>
        <v>125727.84955729041</v>
      </c>
      <c r="K294" s="73">
        <f t="shared" si="150"/>
        <v>108297.86475810499</v>
      </c>
      <c r="L294" s="73">
        <f t="shared" si="150"/>
        <v>231778.97505810898</v>
      </c>
      <c r="M294" s="73">
        <f t="shared" si="150"/>
        <v>106792.2595237178</v>
      </c>
      <c r="N294" s="73">
        <f t="shared" si="150"/>
        <v>128483.55172060768</v>
      </c>
      <c r="O294" s="73">
        <f t="shared" si="150"/>
        <v>0</v>
      </c>
      <c r="P294" s="73">
        <f t="shared" si="150"/>
        <v>0</v>
      </c>
      <c r="Q294" s="73">
        <f t="shared" si="150"/>
        <v>0</v>
      </c>
      <c r="R294" s="73">
        <f t="shared" si="150"/>
        <v>0</v>
      </c>
      <c r="S294" s="73">
        <f t="shared" si="150"/>
        <v>0</v>
      </c>
      <c r="T294" s="73">
        <f t="shared" si="150"/>
        <v>0</v>
      </c>
      <c r="U294" s="73">
        <f t="shared" si="150"/>
        <v>0</v>
      </c>
      <c r="V294" s="73">
        <f t="shared" si="150"/>
        <v>0</v>
      </c>
      <c r="W294" s="73">
        <f t="shared" si="150"/>
        <v>0</v>
      </c>
      <c r="X294" s="73">
        <f t="shared" si="150"/>
        <v>0</v>
      </c>
      <c r="Y294" s="73">
        <f t="shared" si="150"/>
        <v>0</v>
      </c>
      <c r="Z294" s="73">
        <f t="shared" si="150"/>
        <v>0</v>
      </c>
    </row>
    <row r="295" spans="1:28" outlineLevel="1" x14ac:dyDescent="0.25">
      <c r="A295" s="39" t="str">
        <f t="shared" si="148"/>
        <v>TZCO TZE240</v>
      </c>
      <c r="B295" s="39"/>
      <c r="C295" s="619" t="str">
        <f>D295</f>
        <v>ТО, ТР, ППР</v>
      </c>
      <c r="D295" s="430" t="s">
        <v>59</v>
      </c>
      <c r="E295" s="68" t="str">
        <f>E294</f>
        <v>тыс. руб.</v>
      </c>
      <c r="F295" s="74"/>
      <c r="G295" s="455">
        <f>(G296+G297+G298)*'ФОТ, МТР, макро'!AK$7</f>
        <v>28152.094687399087</v>
      </c>
      <c r="H295" s="455">
        <f>(H296+H297+H298)*'ФОТ, МТР, макро'!AL$7</f>
        <v>59210.356264924085</v>
      </c>
      <c r="I295" s="455">
        <f>(I296+I297+I298)*'ФОТ, МТР, макро'!AM$7</f>
        <v>176924.36496357413</v>
      </c>
      <c r="J295" s="455">
        <f>(J296+J297+J298)*'ФОТ, МТР, макро'!AN$7</f>
        <v>59210.356264924085</v>
      </c>
      <c r="K295" s="455">
        <f>(K296+K297+K298)*'ФОТ, МТР, макро'!AO$7</f>
        <v>28152.094687399087</v>
      </c>
      <c r="L295" s="455">
        <f>(L296+L297+L298)*'ФОТ, МТР, макро'!AP$7</f>
        <v>207982.62654109913</v>
      </c>
      <c r="M295" s="455">
        <f>(M296+M297+M298)*'ФОТ, МТР, макро'!AQ$7</f>
        <v>28152.094687399087</v>
      </c>
      <c r="N295" s="455">
        <f>(N296+N297+N298)*'ФОТ, МТР, макро'!AR$7</f>
        <v>59210.356264924085</v>
      </c>
      <c r="O295" s="455"/>
      <c r="P295" s="455"/>
      <c r="Q295" s="455"/>
      <c r="R295" s="455"/>
      <c r="S295" s="455"/>
      <c r="T295" s="455"/>
      <c r="U295" s="455"/>
      <c r="V295" s="455"/>
      <c r="W295" s="455"/>
      <c r="X295" s="455"/>
      <c r="Y295" s="455"/>
      <c r="Z295" s="455"/>
      <c r="AB295" s="76">
        <f>SUM(F295:Z295,F309:Z309)/E284</f>
        <v>80874.293045205355</v>
      </c>
    </row>
    <row r="296" spans="1:28" outlineLevel="1" x14ac:dyDescent="0.25">
      <c r="A296" s="39" t="str">
        <f t="shared" si="148"/>
        <v>TZCO TZE240</v>
      </c>
      <c r="B296" s="39"/>
      <c r="D296" s="427" t="s">
        <v>60</v>
      </c>
      <c r="E296" s="428" t="s">
        <v>37</v>
      </c>
      <c r="F296" s="30"/>
      <c r="G296" s="456">
        <f>TZCO_1!E19</f>
        <v>217.03172441558436</v>
      </c>
      <c r="H296" s="456">
        <f>TZCO_1!F19</f>
        <v>217.03172441558436</v>
      </c>
      <c r="I296" s="456">
        <f>TZCO_1!G19</f>
        <v>217.03172441558436</v>
      </c>
      <c r="J296" s="456">
        <f>TZCO_1!H19</f>
        <v>217.03172441558436</v>
      </c>
      <c r="K296" s="456">
        <f>TZCO_1!I19</f>
        <v>217.03172441558436</v>
      </c>
      <c r="L296" s="456">
        <f>TZCO_1!J19</f>
        <v>217.03172441558436</v>
      </c>
      <c r="M296" s="456">
        <f>TZCO_1!K19</f>
        <v>217.03172441558436</v>
      </c>
      <c r="N296" s="456">
        <f>TZCO_1!L19</f>
        <v>217.03172441558436</v>
      </c>
      <c r="O296" s="456"/>
      <c r="P296" s="456"/>
      <c r="Q296" s="456"/>
      <c r="R296" s="456"/>
      <c r="S296" s="456"/>
      <c r="T296" s="456"/>
      <c r="U296" s="456"/>
      <c r="V296" s="456"/>
      <c r="W296" s="456"/>
      <c r="X296" s="456"/>
      <c r="Y296" s="456"/>
      <c r="Z296" s="456"/>
    </row>
    <row r="297" spans="1:28" outlineLevel="1" x14ac:dyDescent="0.25">
      <c r="A297" s="39" t="str">
        <f t="shared" si="148"/>
        <v>TZCO TZE240</v>
      </c>
      <c r="B297" s="39"/>
      <c r="D297" s="427" t="s">
        <v>61</v>
      </c>
      <c r="E297" s="428" t="s">
        <v>37</v>
      </c>
      <c r="F297" s="30"/>
      <c r="G297" s="456">
        <f>TZCO_1!E20+TZCO_1!E21</f>
        <v>29.680199999999999</v>
      </c>
      <c r="H297" s="456">
        <f>TZCO_1!F20+TZCO_1!F21</f>
        <v>124.80164999999998</v>
      </c>
      <c r="I297" s="456">
        <f>TZCO_1!G20+TZCO_1!G21</f>
        <v>1479.0217500000003</v>
      </c>
      <c r="J297" s="456">
        <f>TZCO_1!H20+TZCO_1!H21</f>
        <v>124.80164999999998</v>
      </c>
      <c r="K297" s="456">
        <f>TZCO_1!I20+TZCO_1!I21</f>
        <v>29.680199999999999</v>
      </c>
      <c r="L297" s="456">
        <f>TZCO_1!J20+TZCO_1!J21</f>
        <v>1574.1432000000002</v>
      </c>
      <c r="M297" s="456">
        <f>TZCO_1!K20+TZCO_1!K21</f>
        <v>29.680199999999999</v>
      </c>
      <c r="N297" s="456">
        <f>TZCO_1!L20+TZCO_1!L21</f>
        <v>124.80164999999998</v>
      </c>
      <c r="O297" s="456"/>
      <c r="P297" s="456"/>
      <c r="Q297" s="456"/>
      <c r="R297" s="456"/>
      <c r="S297" s="456"/>
      <c r="T297" s="456"/>
      <c r="U297" s="456"/>
      <c r="V297" s="456"/>
      <c r="W297" s="456"/>
      <c r="X297" s="456"/>
      <c r="Y297" s="456"/>
      <c r="Z297" s="456"/>
    </row>
    <row r="298" spans="1:28" outlineLevel="1" x14ac:dyDescent="0.25">
      <c r="A298" s="39" t="str">
        <f t="shared" si="148"/>
        <v>TZCO TZE240</v>
      </c>
      <c r="B298" s="39"/>
      <c r="D298" s="427" t="s">
        <v>62</v>
      </c>
      <c r="E298" s="428" t="s">
        <v>33</v>
      </c>
      <c r="F298" s="30"/>
      <c r="G298" s="456">
        <f>TZCO_1!E22+TZCO_1!E23</f>
        <v>52.623999999999995</v>
      </c>
      <c r="H298" s="456">
        <f>TZCO_1!F22+TZCO_1!F23</f>
        <v>287.73919999999998</v>
      </c>
      <c r="I298" s="456">
        <f>TZCO_1!G22+TZCO_1!G23</f>
        <v>185.15</v>
      </c>
      <c r="J298" s="456">
        <f>TZCO_1!H22+TZCO_1!H23</f>
        <v>287.73919999999998</v>
      </c>
      <c r="K298" s="456">
        <f>TZCO_1!I22+TZCO_1!I23</f>
        <v>52.623999999999995</v>
      </c>
      <c r="L298" s="456">
        <f>TZCO_1!J22+TZCO_1!J23</f>
        <v>420.26519999999994</v>
      </c>
      <c r="M298" s="456">
        <f>TZCO_1!K22+TZCO_1!K23</f>
        <v>52.623999999999995</v>
      </c>
      <c r="N298" s="456">
        <f>TZCO_1!L22+TZCO_1!L23</f>
        <v>287.73919999999998</v>
      </c>
      <c r="O298" s="456"/>
      <c r="P298" s="456"/>
      <c r="Q298" s="456"/>
      <c r="R298" s="456"/>
      <c r="S298" s="456"/>
      <c r="T298" s="456"/>
      <c r="U298" s="456"/>
      <c r="V298" s="456"/>
      <c r="W298" s="456"/>
      <c r="X298" s="456"/>
      <c r="Y298" s="456"/>
      <c r="Z298" s="456"/>
    </row>
    <row r="299" spans="1:28" outlineLevel="1" x14ac:dyDescent="0.25">
      <c r="A299" s="39" t="str">
        <f t="shared" si="148"/>
        <v>TZCO TZE240</v>
      </c>
      <c r="B299" s="39"/>
      <c r="D299" s="80" t="s">
        <v>63</v>
      </c>
      <c r="E299" s="81"/>
      <c r="F299" s="82"/>
      <c r="G299" s="83" t="e">
        <f>G295/$F323</f>
        <v>#DIV/0!</v>
      </c>
      <c r="H299" s="83" t="e">
        <f t="shared" ref="H299:Z299" si="151">H295/$F323</f>
        <v>#DIV/0!</v>
      </c>
      <c r="I299" s="83" t="e">
        <f t="shared" si="151"/>
        <v>#DIV/0!</v>
      </c>
      <c r="J299" s="83" t="e">
        <f t="shared" si="151"/>
        <v>#DIV/0!</v>
      </c>
      <c r="K299" s="83" t="e">
        <f t="shared" si="151"/>
        <v>#DIV/0!</v>
      </c>
      <c r="L299" s="83" t="e">
        <f t="shared" si="151"/>
        <v>#DIV/0!</v>
      </c>
      <c r="M299" s="83" t="e">
        <f t="shared" si="151"/>
        <v>#DIV/0!</v>
      </c>
      <c r="N299" s="83" t="e">
        <f t="shared" si="151"/>
        <v>#DIV/0!</v>
      </c>
      <c r="O299" s="83" t="e">
        <f t="shared" si="151"/>
        <v>#DIV/0!</v>
      </c>
      <c r="P299" s="83" t="e">
        <f t="shared" si="151"/>
        <v>#DIV/0!</v>
      </c>
      <c r="Q299" s="83" t="e">
        <f t="shared" si="151"/>
        <v>#DIV/0!</v>
      </c>
      <c r="R299" s="83" t="e">
        <f t="shared" si="151"/>
        <v>#DIV/0!</v>
      </c>
      <c r="S299" s="83" t="e">
        <f t="shared" si="151"/>
        <v>#DIV/0!</v>
      </c>
      <c r="T299" s="83" t="e">
        <f t="shared" si="151"/>
        <v>#DIV/0!</v>
      </c>
      <c r="U299" s="83" t="e">
        <f t="shared" si="151"/>
        <v>#DIV/0!</v>
      </c>
      <c r="V299" s="83" t="e">
        <f t="shared" si="151"/>
        <v>#DIV/0!</v>
      </c>
      <c r="W299" s="83" t="e">
        <f t="shared" si="151"/>
        <v>#DIV/0!</v>
      </c>
      <c r="X299" s="83" t="e">
        <f t="shared" si="151"/>
        <v>#DIV/0!</v>
      </c>
      <c r="Y299" s="83" t="e">
        <f t="shared" si="151"/>
        <v>#DIV/0!</v>
      </c>
      <c r="Z299" s="83" t="e">
        <f t="shared" si="151"/>
        <v>#DIV/0!</v>
      </c>
      <c r="AA299" s="84" t="e">
        <f>SUM(F295:Z295)/$F323</f>
        <v>#DIV/0!</v>
      </c>
    </row>
    <row r="300" spans="1:28" outlineLevel="1" x14ac:dyDescent="0.25">
      <c r="A300" s="39" t="str">
        <f t="shared" si="148"/>
        <v>TZCO TZE240</v>
      </c>
      <c r="B300" s="39"/>
      <c r="D300" s="67" t="s">
        <v>39</v>
      </c>
      <c r="E300" s="68" t="str">
        <f>E294</f>
        <v>тыс. руб.</v>
      </c>
      <c r="F300" s="74"/>
      <c r="G300" s="85">
        <f>G302*G303</f>
        <v>19059.163913342145</v>
      </c>
      <c r="H300" s="85">
        <f t="shared" ref="H300:Z300" si="152">H302*H303</f>
        <v>19157.363672794421</v>
      </c>
      <c r="I300" s="85">
        <f t="shared" si="152"/>
        <v>17862.121888076254</v>
      </c>
      <c r="J300" s="85">
        <f t="shared" si="152"/>
        <v>20191.534215218198</v>
      </c>
      <c r="K300" s="85">
        <f t="shared" si="152"/>
        <v>21950.67648213595</v>
      </c>
      <c r="L300" s="85">
        <f t="shared" si="152"/>
        <v>18533.083853044245</v>
      </c>
      <c r="M300" s="85">
        <f t="shared" si="152"/>
        <v>21498.987503659122</v>
      </c>
      <c r="N300" s="85">
        <f t="shared" si="152"/>
        <v>21018.258423334952</v>
      </c>
      <c r="O300" s="85">
        <f t="shared" si="152"/>
        <v>0</v>
      </c>
      <c r="P300" s="85">
        <f t="shared" si="152"/>
        <v>0</v>
      </c>
      <c r="Q300" s="85">
        <f t="shared" si="152"/>
        <v>0</v>
      </c>
      <c r="R300" s="85">
        <f t="shared" si="152"/>
        <v>0</v>
      </c>
      <c r="S300" s="85">
        <f t="shared" si="152"/>
        <v>0</v>
      </c>
      <c r="T300" s="85">
        <f t="shared" si="152"/>
        <v>0</v>
      </c>
      <c r="U300" s="85">
        <f t="shared" si="152"/>
        <v>0</v>
      </c>
      <c r="V300" s="85">
        <f t="shared" si="152"/>
        <v>0</v>
      </c>
      <c r="W300" s="85">
        <f t="shared" si="152"/>
        <v>0</v>
      </c>
      <c r="X300" s="85">
        <f t="shared" si="152"/>
        <v>0</v>
      </c>
      <c r="Y300" s="85">
        <f t="shared" si="152"/>
        <v>0</v>
      </c>
      <c r="Z300" s="85">
        <f t="shared" si="152"/>
        <v>0</v>
      </c>
    </row>
    <row r="301" spans="1:28" outlineLevel="1" x14ac:dyDescent="0.25">
      <c r="A301" s="39" t="str">
        <f t="shared" si="148"/>
        <v>TZCO TZE240</v>
      </c>
      <c r="B301" s="39"/>
      <c r="D301" s="31" t="s">
        <v>64</v>
      </c>
      <c r="E301" s="9" t="s">
        <v>65</v>
      </c>
      <c r="F301" s="86">
        <f>SUMIFS('ФОТ, МТР, макро'!$Z$4:$Z$20,'ФОТ, МТР, макро'!$W$4:$W$20,$A301)</f>
        <v>7.4999999999999997E-2</v>
      </c>
      <c r="G301" s="87">
        <f>F301</f>
        <v>7.4999999999999997E-2</v>
      </c>
      <c r="H301" s="87">
        <f t="shared" ref="H301:Z301" si="153">G301</f>
        <v>7.4999999999999997E-2</v>
      </c>
      <c r="I301" s="87">
        <f t="shared" si="153"/>
        <v>7.4999999999999997E-2</v>
      </c>
      <c r="J301" s="87">
        <f t="shared" si="153"/>
        <v>7.4999999999999997E-2</v>
      </c>
      <c r="K301" s="87">
        <f t="shared" si="153"/>
        <v>7.4999999999999997E-2</v>
      </c>
      <c r="L301" s="87">
        <f t="shared" si="153"/>
        <v>7.4999999999999997E-2</v>
      </c>
      <c r="M301" s="87">
        <f t="shared" si="153"/>
        <v>7.4999999999999997E-2</v>
      </c>
      <c r="N301" s="87">
        <f t="shared" si="153"/>
        <v>7.4999999999999997E-2</v>
      </c>
      <c r="O301" s="87">
        <f t="shared" si="153"/>
        <v>7.4999999999999997E-2</v>
      </c>
      <c r="P301" s="87">
        <f t="shared" si="153"/>
        <v>7.4999999999999997E-2</v>
      </c>
      <c r="Q301" s="87">
        <f t="shared" si="153"/>
        <v>7.4999999999999997E-2</v>
      </c>
      <c r="R301" s="87">
        <f t="shared" si="153"/>
        <v>7.4999999999999997E-2</v>
      </c>
      <c r="S301" s="87">
        <f t="shared" si="153"/>
        <v>7.4999999999999997E-2</v>
      </c>
      <c r="T301" s="87">
        <f t="shared" si="153"/>
        <v>7.4999999999999997E-2</v>
      </c>
      <c r="U301" s="87">
        <f t="shared" si="153"/>
        <v>7.4999999999999997E-2</v>
      </c>
      <c r="V301" s="87">
        <f t="shared" si="153"/>
        <v>7.4999999999999997E-2</v>
      </c>
      <c r="W301" s="87">
        <f t="shared" si="153"/>
        <v>7.4999999999999997E-2</v>
      </c>
      <c r="X301" s="87">
        <f t="shared" si="153"/>
        <v>7.4999999999999997E-2</v>
      </c>
      <c r="Y301" s="87">
        <f t="shared" si="153"/>
        <v>7.4999999999999997E-2</v>
      </c>
      <c r="Z301" s="87">
        <f t="shared" si="153"/>
        <v>7.4999999999999997E-2</v>
      </c>
    </row>
    <row r="302" spans="1:28" outlineLevel="1" x14ac:dyDescent="0.25">
      <c r="A302" s="39" t="str">
        <f t="shared" si="148"/>
        <v>TZCO TZE240</v>
      </c>
      <c r="B302" s="39"/>
      <c r="D302" s="31" t="s">
        <v>66</v>
      </c>
      <c r="E302" s="9" t="s">
        <v>67</v>
      </c>
      <c r="F302" s="74"/>
      <c r="G302" s="78">
        <f>G292*G301</f>
        <v>7.5887884238228764</v>
      </c>
      <c r="H302" s="78">
        <f t="shared" ref="H302:Z302" si="154">H292*H301</f>
        <v>7.6278886278581606</v>
      </c>
      <c r="I302" s="78">
        <f t="shared" si="154"/>
        <v>7.1121621297487652</v>
      </c>
      <c r="J302" s="78">
        <f t="shared" si="154"/>
        <v>8.0396643739657971</v>
      </c>
      <c r="K302" s="78">
        <f t="shared" si="154"/>
        <v>8.7401021545390378</v>
      </c>
      <c r="L302" s="78">
        <f t="shared" si="154"/>
        <v>7.3793190950661209</v>
      </c>
      <c r="M302" s="78">
        <f t="shared" si="154"/>
        <v>8.5602531272354963</v>
      </c>
      <c r="N302" s="78">
        <f t="shared" si="154"/>
        <v>8.3688412008600039</v>
      </c>
      <c r="O302" s="78">
        <f t="shared" si="154"/>
        <v>0</v>
      </c>
      <c r="P302" s="78">
        <f t="shared" si="154"/>
        <v>0</v>
      </c>
      <c r="Q302" s="78">
        <f t="shared" si="154"/>
        <v>0</v>
      </c>
      <c r="R302" s="78">
        <f t="shared" si="154"/>
        <v>0</v>
      </c>
      <c r="S302" s="78">
        <f t="shared" si="154"/>
        <v>0</v>
      </c>
      <c r="T302" s="78">
        <f t="shared" si="154"/>
        <v>0</v>
      </c>
      <c r="U302" s="78">
        <f t="shared" si="154"/>
        <v>0</v>
      </c>
      <c r="V302" s="78">
        <f t="shared" si="154"/>
        <v>0</v>
      </c>
      <c r="W302" s="78">
        <f t="shared" si="154"/>
        <v>0</v>
      </c>
      <c r="X302" s="78">
        <f t="shared" si="154"/>
        <v>0</v>
      </c>
      <c r="Y302" s="78">
        <f t="shared" si="154"/>
        <v>0</v>
      </c>
      <c r="Z302" s="78">
        <f t="shared" si="154"/>
        <v>0</v>
      </c>
      <c r="AA302" s="88">
        <f>SUM(F292:Z292)*F301-SUM(F302:Z302)</f>
        <v>0</v>
      </c>
    </row>
    <row r="303" spans="1:28" outlineLevel="1" x14ac:dyDescent="0.25">
      <c r="A303" s="39" t="str">
        <f t="shared" si="148"/>
        <v>TZCO TZE240</v>
      </c>
      <c r="B303" s="39"/>
      <c r="D303" s="31" t="s">
        <v>68</v>
      </c>
      <c r="E303" s="9" t="s">
        <v>69</v>
      </c>
      <c r="F303" s="78">
        <f>SUMIFS('ФОТ, МТР, макро'!$AA$4:$AA$20,'ФОТ, МТР, макро'!$W$4:$W$20,$A303)</f>
        <v>2511.4896936000005</v>
      </c>
      <c r="G303" s="89">
        <f>F303</f>
        <v>2511.4896936000005</v>
      </c>
      <c r="H303" s="89">
        <f t="shared" ref="H303:Z303" si="155">G303</f>
        <v>2511.4896936000005</v>
      </c>
      <c r="I303" s="89">
        <f t="shared" si="155"/>
        <v>2511.4896936000005</v>
      </c>
      <c r="J303" s="89">
        <f t="shared" si="155"/>
        <v>2511.4896936000005</v>
      </c>
      <c r="K303" s="89">
        <f t="shared" si="155"/>
        <v>2511.4896936000005</v>
      </c>
      <c r="L303" s="89">
        <f t="shared" si="155"/>
        <v>2511.4896936000005</v>
      </c>
      <c r="M303" s="89">
        <f t="shared" si="155"/>
        <v>2511.4896936000005</v>
      </c>
      <c r="N303" s="89">
        <f t="shared" si="155"/>
        <v>2511.4896936000005</v>
      </c>
      <c r="O303" s="89">
        <f t="shared" si="155"/>
        <v>2511.4896936000005</v>
      </c>
      <c r="P303" s="89">
        <f t="shared" si="155"/>
        <v>2511.4896936000005</v>
      </c>
      <c r="Q303" s="89">
        <f t="shared" si="155"/>
        <v>2511.4896936000005</v>
      </c>
      <c r="R303" s="89">
        <f t="shared" si="155"/>
        <v>2511.4896936000005</v>
      </c>
      <c r="S303" s="89">
        <f t="shared" si="155"/>
        <v>2511.4896936000005</v>
      </c>
      <c r="T303" s="89">
        <f t="shared" si="155"/>
        <v>2511.4896936000005</v>
      </c>
      <c r="U303" s="89">
        <f t="shared" si="155"/>
        <v>2511.4896936000005</v>
      </c>
      <c r="V303" s="89">
        <f t="shared" si="155"/>
        <v>2511.4896936000005</v>
      </c>
      <c r="W303" s="89">
        <f t="shared" si="155"/>
        <v>2511.4896936000005</v>
      </c>
      <c r="X303" s="89">
        <f t="shared" si="155"/>
        <v>2511.4896936000005</v>
      </c>
      <c r="Y303" s="89">
        <f t="shared" si="155"/>
        <v>2511.4896936000005</v>
      </c>
      <c r="Z303" s="89">
        <f t="shared" si="155"/>
        <v>2511.4896936000005</v>
      </c>
    </row>
    <row r="304" spans="1:28" outlineLevel="1" x14ac:dyDescent="0.25">
      <c r="A304" s="39" t="str">
        <f t="shared" si="148"/>
        <v>TZCO TZE240</v>
      </c>
      <c r="B304" s="39"/>
      <c r="D304" s="67" t="s">
        <v>70</v>
      </c>
      <c r="E304" s="68" t="str">
        <f>E294</f>
        <v>тыс. руб.</v>
      </c>
      <c r="F304" s="89"/>
      <c r="G304" s="85">
        <f>G307*G308</f>
        <v>65646.841969252986</v>
      </c>
      <c r="H304" s="85">
        <f t="shared" ref="H304:Z304" si="156">H307*H308</f>
        <v>65985.078427026936</v>
      </c>
      <c r="I304" s="85">
        <f t="shared" si="156"/>
        <v>61523.784472057399</v>
      </c>
      <c r="J304" s="85">
        <f t="shared" si="156"/>
        <v>69547.146022249479</v>
      </c>
      <c r="K304" s="85">
        <f t="shared" si="156"/>
        <v>75606.285600609524</v>
      </c>
      <c r="L304" s="85">
        <f t="shared" si="156"/>
        <v>63834.82677600647</v>
      </c>
      <c r="M304" s="85">
        <f t="shared" si="156"/>
        <v>74050.500933236748</v>
      </c>
      <c r="N304" s="85">
        <f t="shared" si="156"/>
        <v>72394.691365222447</v>
      </c>
      <c r="O304" s="85">
        <f t="shared" si="156"/>
        <v>0</v>
      </c>
      <c r="P304" s="85">
        <f t="shared" si="156"/>
        <v>0</v>
      </c>
      <c r="Q304" s="85">
        <f t="shared" si="156"/>
        <v>0</v>
      </c>
      <c r="R304" s="85">
        <f t="shared" si="156"/>
        <v>0</v>
      </c>
      <c r="S304" s="85">
        <f t="shared" si="156"/>
        <v>0</v>
      </c>
      <c r="T304" s="85">
        <f t="shared" si="156"/>
        <v>0</v>
      </c>
      <c r="U304" s="85">
        <f t="shared" si="156"/>
        <v>0</v>
      </c>
      <c r="V304" s="85">
        <f t="shared" si="156"/>
        <v>0</v>
      </c>
      <c r="W304" s="85">
        <f t="shared" si="156"/>
        <v>0</v>
      </c>
      <c r="X304" s="85">
        <f t="shared" si="156"/>
        <v>0</v>
      </c>
      <c r="Y304" s="85">
        <f t="shared" si="156"/>
        <v>0</v>
      </c>
      <c r="Z304" s="85">
        <f t="shared" si="156"/>
        <v>0</v>
      </c>
    </row>
    <row r="305" spans="1:28" outlineLevel="1" x14ac:dyDescent="0.25">
      <c r="A305" s="39" t="str">
        <f t="shared" si="148"/>
        <v>TZCO TZE240</v>
      </c>
      <c r="B305" s="39"/>
      <c r="D305" s="31" t="s">
        <v>64</v>
      </c>
      <c r="E305" s="77" t="str">
        <f>VLOOKUP($A305,'ФОТ, МТР, макро'!$N$4:$Q$20,4,FALSE)</f>
        <v>г/ткм</v>
      </c>
      <c r="F305" s="90">
        <f>IF($E305="г/ткм",SUMIFS('ФОТ, МТР, макро'!$O$4:$O$20,'ФОТ, МТР, макро'!$N$4:$N$20,$A305),SUMIFS('ФОТ, МТР, макро'!$P$4:$P$20,'ФОТ, МТР, макро'!$N$4:$N$20,$A305))</f>
        <v>90</v>
      </c>
      <c r="G305" s="91">
        <f>F305</f>
        <v>90</v>
      </c>
      <c r="H305" s="91">
        <f t="shared" ref="H305:Z305" si="157">G305</f>
        <v>90</v>
      </c>
      <c r="I305" s="91">
        <f t="shared" si="157"/>
        <v>90</v>
      </c>
      <c r="J305" s="91">
        <f t="shared" si="157"/>
        <v>90</v>
      </c>
      <c r="K305" s="91">
        <f t="shared" si="157"/>
        <v>90</v>
      </c>
      <c r="L305" s="91">
        <f t="shared" si="157"/>
        <v>90</v>
      </c>
      <c r="M305" s="91">
        <f t="shared" si="157"/>
        <v>90</v>
      </c>
      <c r="N305" s="91">
        <f t="shared" si="157"/>
        <v>90</v>
      </c>
      <c r="O305" s="91">
        <f t="shared" si="157"/>
        <v>90</v>
      </c>
      <c r="P305" s="91">
        <f t="shared" si="157"/>
        <v>90</v>
      </c>
      <c r="Q305" s="91">
        <f t="shared" si="157"/>
        <v>90</v>
      </c>
      <c r="R305" s="91">
        <f t="shared" si="157"/>
        <v>90</v>
      </c>
      <c r="S305" s="91">
        <f t="shared" si="157"/>
        <v>90</v>
      </c>
      <c r="T305" s="91">
        <f t="shared" si="157"/>
        <v>90</v>
      </c>
      <c r="U305" s="91">
        <f t="shared" si="157"/>
        <v>90</v>
      </c>
      <c r="V305" s="91">
        <f t="shared" si="157"/>
        <v>90</v>
      </c>
      <c r="W305" s="91">
        <f t="shared" si="157"/>
        <v>90</v>
      </c>
      <c r="X305" s="91">
        <f t="shared" si="157"/>
        <v>90</v>
      </c>
      <c r="Y305" s="91">
        <f t="shared" si="157"/>
        <v>90</v>
      </c>
      <c r="Z305" s="91">
        <f t="shared" si="157"/>
        <v>90</v>
      </c>
    </row>
    <row r="306" spans="1:28" outlineLevel="1" x14ac:dyDescent="0.25">
      <c r="A306" s="39" t="str">
        <f t="shared" si="148"/>
        <v>TZCO TZE240</v>
      </c>
      <c r="B306" s="39"/>
      <c r="D306" s="93" t="s">
        <v>71</v>
      </c>
      <c r="E306" s="94" t="str">
        <f>IF(E305='ФОТ, МТР, макро'!$O$4,'ФОТ, МТР, макро'!$P$4,'ФОТ, МТР, макро'!$O$4)</f>
        <v>л/час</v>
      </c>
      <c r="F306" s="95"/>
      <c r="G306" s="96">
        <f>IF($E305="г/ткм",G307*1000/(365*24*G288),G307/G290*1000)</f>
        <v>145.47527735706208</v>
      </c>
      <c r="H306" s="96">
        <f t="shared" ref="H306:Z306" si="158">IF($E305="г/ткм",H307*1000/(365*24*H288),H307/H290*1000)</f>
        <v>150.50340532642767</v>
      </c>
      <c r="I306" s="96">
        <f t="shared" si="158"/>
        <v>158.96220019006671</v>
      </c>
      <c r="J306" s="96">
        <f t="shared" si="158"/>
        <v>157.37486231372222</v>
      </c>
      <c r="K306" s="96">
        <f t="shared" si="158"/>
        <v>166.22208245352758</v>
      </c>
      <c r="L306" s="96">
        <f t="shared" si="158"/>
        <v>170.63421672255745</v>
      </c>
      <c r="M306" s="96">
        <f t="shared" si="158"/>
        <v>162.8016556304714</v>
      </c>
      <c r="N306" s="96">
        <f t="shared" si="158"/>
        <v>163.81843450774278</v>
      </c>
      <c r="O306" s="96" t="e">
        <f t="shared" si="158"/>
        <v>#DIV/0!</v>
      </c>
      <c r="P306" s="96" t="e">
        <f t="shared" si="158"/>
        <v>#DIV/0!</v>
      </c>
      <c r="Q306" s="96" t="e">
        <f t="shared" si="158"/>
        <v>#DIV/0!</v>
      </c>
      <c r="R306" s="96" t="e">
        <f t="shared" si="158"/>
        <v>#DIV/0!</v>
      </c>
      <c r="S306" s="96" t="e">
        <f t="shared" si="158"/>
        <v>#DIV/0!</v>
      </c>
      <c r="T306" s="96" t="e">
        <f t="shared" si="158"/>
        <v>#DIV/0!</v>
      </c>
      <c r="U306" s="96" t="e">
        <f t="shared" si="158"/>
        <v>#DIV/0!</v>
      </c>
      <c r="V306" s="96" t="e">
        <f t="shared" si="158"/>
        <v>#DIV/0!</v>
      </c>
      <c r="W306" s="96" t="e">
        <f t="shared" si="158"/>
        <v>#DIV/0!</v>
      </c>
      <c r="X306" s="96" t="e">
        <f t="shared" si="158"/>
        <v>#DIV/0!</v>
      </c>
      <c r="Y306" s="96" t="e">
        <f t="shared" si="158"/>
        <v>#DIV/0!</v>
      </c>
      <c r="Z306" s="96" t="e">
        <f t="shared" si="158"/>
        <v>#DIV/0!</v>
      </c>
    </row>
    <row r="307" spans="1:28" outlineLevel="1" x14ac:dyDescent="0.25">
      <c r="A307" s="39" t="str">
        <f t="shared" si="148"/>
        <v>TZCO TZE240</v>
      </c>
      <c r="B307" s="39"/>
      <c r="D307" s="31" t="s">
        <v>66</v>
      </c>
      <c r="E307" s="9" t="s">
        <v>11</v>
      </c>
      <c r="F307" s="89"/>
      <c r="G307" s="78">
        <f>IF($E305="г/ткм",G290*G305/1000,365*24*G288*G305*0.85/1000)</f>
        <v>994.36407743434245</v>
      </c>
      <c r="H307" s="78">
        <f t="shared" ref="H307:Z307" si="159">IF($E305="г/ткм",H290*H305/1000,365*24*H288*H305*0.85/1000)</f>
        <v>999.48740360205943</v>
      </c>
      <c r="I307" s="78">
        <f t="shared" si="159"/>
        <v>931.9114119073721</v>
      </c>
      <c r="J307" s="78">
        <f t="shared" si="159"/>
        <v>1053.4426579879625</v>
      </c>
      <c r="K307" s="78">
        <f t="shared" si="159"/>
        <v>1145.2214938945524</v>
      </c>
      <c r="L307" s="78">
        <f t="shared" si="159"/>
        <v>966.91716967945774</v>
      </c>
      <c r="M307" s="78">
        <f t="shared" si="159"/>
        <v>1121.655754263342</v>
      </c>
      <c r="N307" s="78">
        <f t="shared" si="159"/>
        <v>1096.5749201498495</v>
      </c>
      <c r="O307" s="78">
        <f t="shared" si="159"/>
        <v>0</v>
      </c>
      <c r="P307" s="78">
        <f t="shared" si="159"/>
        <v>0</v>
      </c>
      <c r="Q307" s="78">
        <f t="shared" si="159"/>
        <v>0</v>
      </c>
      <c r="R307" s="78">
        <f t="shared" si="159"/>
        <v>0</v>
      </c>
      <c r="S307" s="78">
        <f t="shared" si="159"/>
        <v>0</v>
      </c>
      <c r="T307" s="78">
        <f t="shared" si="159"/>
        <v>0</v>
      </c>
      <c r="U307" s="78">
        <f t="shared" si="159"/>
        <v>0</v>
      </c>
      <c r="V307" s="78">
        <f t="shared" si="159"/>
        <v>0</v>
      </c>
      <c r="W307" s="78">
        <f t="shared" si="159"/>
        <v>0</v>
      </c>
      <c r="X307" s="78">
        <f t="shared" si="159"/>
        <v>0</v>
      </c>
      <c r="Y307" s="78">
        <f t="shared" si="159"/>
        <v>0</v>
      </c>
      <c r="Z307" s="78">
        <f t="shared" si="159"/>
        <v>0</v>
      </c>
    </row>
    <row r="308" spans="1:28" outlineLevel="1" x14ac:dyDescent="0.25">
      <c r="A308" s="39" t="str">
        <f t="shared" si="148"/>
        <v>TZCO TZE240</v>
      </c>
      <c r="B308" s="39"/>
      <c r="D308" s="31" t="s">
        <v>68</v>
      </c>
      <c r="E308" s="9" t="s">
        <v>72</v>
      </c>
      <c r="F308" s="78">
        <f>'ФОТ, МТР, макро'!$G$2</f>
        <v>66.018919487352079</v>
      </c>
      <c r="G308" s="89">
        <f>F308</f>
        <v>66.018919487352079</v>
      </c>
      <c r="H308" s="89">
        <f t="shared" ref="H308:Z308" si="160">G308</f>
        <v>66.018919487352079</v>
      </c>
      <c r="I308" s="89">
        <f t="shared" si="160"/>
        <v>66.018919487352079</v>
      </c>
      <c r="J308" s="89">
        <f t="shared" si="160"/>
        <v>66.018919487352079</v>
      </c>
      <c r="K308" s="89">
        <f t="shared" si="160"/>
        <v>66.018919487352079</v>
      </c>
      <c r="L308" s="89">
        <f t="shared" si="160"/>
        <v>66.018919487352079</v>
      </c>
      <c r="M308" s="89">
        <f t="shared" si="160"/>
        <v>66.018919487352079</v>
      </c>
      <c r="N308" s="89">
        <f t="shared" si="160"/>
        <v>66.018919487352079</v>
      </c>
      <c r="O308" s="89">
        <f t="shared" si="160"/>
        <v>66.018919487352079</v>
      </c>
      <c r="P308" s="89">
        <f t="shared" si="160"/>
        <v>66.018919487352079</v>
      </c>
      <c r="Q308" s="89">
        <f t="shared" si="160"/>
        <v>66.018919487352079</v>
      </c>
      <c r="R308" s="89">
        <f t="shared" si="160"/>
        <v>66.018919487352079</v>
      </c>
      <c r="S308" s="89">
        <f t="shared" si="160"/>
        <v>66.018919487352079</v>
      </c>
      <c r="T308" s="89">
        <f t="shared" si="160"/>
        <v>66.018919487352079</v>
      </c>
      <c r="U308" s="89">
        <f t="shared" si="160"/>
        <v>66.018919487352079</v>
      </c>
      <c r="V308" s="89">
        <f t="shared" si="160"/>
        <v>66.018919487352079</v>
      </c>
      <c r="W308" s="89">
        <f t="shared" si="160"/>
        <v>66.018919487352079</v>
      </c>
      <c r="X308" s="89">
        <f t="shared" si="160"/>
        <v>66.018919487352079</v>
      </c>
      <c r="Y308" s="89">
        <f t="shared" si="160"/>
        <v>66.018919487352079</v>
      </c>
      <c r="Z308" s="89">
        <f t="shared" si="160"/>
        <v>66.018919487352079</v>
      </c>
      <c r="AB308" s="92"/>
    </row>
    <row r="309" spans="1:28" outlineLevel="1" x14ac:dyDescent="0.25">
      <c r="A309" s="39" t="str">
        <f t="shared" si="148"/>
        <v>TZCO TZE240</v>
      </c>
      <c r="B309" s="39"/>
      <c r="C309" s="619" t="str">
        <f>C295</f>
        <v>ТО, ТР, ППР</v>
      </c>
      <c r="D309" s="218" t="s">
        <v>73</v>
      </c>
      <c r="E309" s="68" t="str">
        <f>E294</f>
        <v>тыс. руб.</v>
      </c>
      <c r="F309" s="30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8" outlineLevel="1" x14ac:dyDescent="0.25">
      <c r="A310" s="39" t="str">
        <f t="shared" si="148"/>
        <v>TZCO TZE240</v>
      </c>
      <c r="B310" s="39"/>
      <c r="D310" s="67"/>
      <c r="E310" s="68"/>
      <c r="F310" s="30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8" outlineLevel="1" x14ac:dyDescent="0.25">
      <c r="A311" s="39" t="str">
        <f t="shared" si="148"/>
        <v>TZCO TZE240</v>
      </c>
      <c r="B311" s="39"/>
      <c r="D311" s="67" t="s">
        <v>74</v>
      </c>
      <c r="E311" s="68" t="str">
        <f>E294</f>
        <v>тыс. руб.</v>
      </c>
      <c r="F311" s="74"/>
      <c r="G311" s="85">
        <f>G312+G313+G314</f>
        <v>18475.596240662097</v>
      </c>
      <c r="H311" s="85">
        <f t="shared" ref="H311:Z311" si="161">H312+H313+H314</f>
        <v>18475.596240662097</v>
      </c>
      <c r="I311" s="85">
        <f t="shared" si="161"/>
        <v>18475.596240662097</v>
      </c>
      <c r="J311" s="85">
        <f t="shared" si="161"/>
        <v>18475.596240662097</v>
      </c>
      <c r="K311" s="85">
        <f t="shared" si="161"/>
        <v>18475.596240662097</v>
      </c>
      <c r="L311" s="85">
        <f t="shared" si="161"/>
        <v>18475.596240662097</v>
      </c>
      <c r="M311" s="85">
        <f t="shared" si="161"/>
        <v>18475.596240662097</v>
      </c>
      <c r="N311" s="85">
        <f t="shared" si="161"/>
        <v>18475.596240662097</v>
      </c>
      <c r="O311" s="85">
        <f t="shared" si="161"/>
        <v>0</v>
      </c>
      <c r="P311" s="85">
        <f t="shared" si="161"/>
        <v>0</v>
      </c>
      <c r="Q311" s="85">
        <f t="shared" si="161"/>
        <v>0</v>
      </c>
      <c r="R311" s="85">
        <f t="shared" si="161"/>
        <v>0</v>
      </c>
      <c r="S311" s="85">
        <f t="shared" si="161"/>
        <v>0</v>
      </c>
      <c r="T311" s="85">
        <f t="shared" si="161"/>
        <v>0</v>
      </c>
      <c r="U311" s="85">
        <f t="shared" si="161"/>
        <v>0</v>
      </c>
      <c r="V311" s="85">
        <f t="shared" si="161"/>
        <v>0</v>
      </c>
      <c r="W311" s="85">
        <f t="shared" si="161"/>
        <v>0</v>
      </c>
      <c r="X311" s="85">
        <f t="shared" si="161"/>
        <v>0</v>
      </c>
      <c r="Y311" s="85">
        <f t="shared" si="161"/>
        <v>0</v>
      </c>
      <c r="Z311" s="85">
        <f t="shared" si="161"/>
        <v>0</v>
      </c>
    </row>
    <row r="312" spans="1:28" outlineLevel="1" x14ac:dyDescent="0.25">
      <c r="A312" s="39" t="str">
        <f t="shared" si="148"/>
        <v>TZCO TZE240</v>
      </c>
      <c r="B312" s="39"/>
      <c r="D312" s="31" t="s">
        <v>257</v>
      </c>
      <c r="E312" s="9" t="str">
        <f>E311</f>
        <v>тыс. руб.</v>
      </c>
      <c r="F312" s="78">
        <f>'ФОТ, МТР, макро'!$B$4*'ФОТ, МТР, макро'!$B$7</f>
        <v>11107.5</v>
      </c>
      <c r="G312" s="89">
        <f>IF(G289=0,0,$F312)</f>
        <v>11107.5</v>
      </c>
      <c r="H312" s="89">
        <f t="shared" ref="H312:Z312" si="162">IF(H289=0,0,$F312)</f>
        <v>11107.5</v>
      </c>
      <c r="I312" s="89">
        <f t="shared" si="162"/>
        <v>11107.5</v>
      </c>
      <c r="J312" s="89">
        <f t="shared" si="162"/>
        <v>11107.5</v>
      </c>
      <c r="K312" s="89">
        <f t="shared" si="162"/>
        <v>11107.5</v>
      </c>
      <c r="L312" s="89">
        <f t="shared" si="162"/>
        <v>11107.5</v>
      </c>
      <c r="M312" s="89">
        <f t="shared" si="162"/>
        <v>11107.5</v>
      </c>
      <c r="N312" s="89">
        <f t="shared" si="162"/>
        <v>11107.5</v>
      </c>
      <c r="O312" s="89">
        <f t="shared" si="162"/>
        <v>0</v>
      </c>
      <c r="P312" s="89">
        <f t="shared" si="162"/>
        <v>0</v>
      </c>
      <c r="Q312" s="89">
        <f t="shared" si="162"/>
        <v>0</v>
      </c>
      <c r="R312" s="89">
        <f t="shared" si="162"/>
        <v>0</v>
      </c>
      <c r="S312" s="89">
        <f t="shared" si="162"/>
        <v>0</v>
      </c>
      <c r="T312" s="89">
        <f t="shared" si="162"/>
        <v>0</v>
      </c>
      <c r="U312" s="89">
        <f t="shared" si="162"/>
        <v>0</v>
      </c>
      <c r="V312" s="89">
        <f t="shared" si="162"/>
        <v>0</v>
      </c>
      <c r="W312" s="89">
        <f t="shared" si="162"/>
        <v>0</v>
      </c>
      <c r="X312" s="89">
        <f t="shared" si="162"/>
        <v>0</v>
      </c>
      <c r="Y312" s="89">
        <f t="shared" si="162"/>
        <v>0</v>
      </c>
      <c r="Z312" s="89">
        <f t="shared" si="162"/>
        <v>0</v>
      </c>
    </row>
    <row r="313" spans="1:28" outlineLevel="1" x14ac:dyDescent="0.25">
      <c r="A313" s="39" t="str">
        <f t="shared" si="148"/>
        <v>TZCO TZE240</v>
      </c>
      <c r="B313" s="39"/>
      <c r="D313" s="31" t="s">
        <v>75</v>
      </c>
      <c r="E313" s="9" t="str">
        <f>E311</f>
        <v>тыс. руб.</v>
      </c>
      <c r="F313" s="97">
        <f>'ФОТ, МТР, макро'!$B$5</f>
        <v>0.377</v>
      </c>
      <c r="G313" s="89">
        <f>G312*$F313</f>
        <v>4187.5275000000001</v>
      </c>
      <c r="H313" s="89">
        <f t="shared" ref="H313:Z313" si="163">H312*$F313</f>
        <v>4187.5275000000001</v>
      </c>
      <c r="I313" s="89">
        <f t="shared" si="163"/>
        <v>4187.5275000000001</v>
      </c>
      <c r="J313" s="89">
        <f t="shared" si="163"/>
        <v>4187.5275000000001</v>
      </c>
      <c r="K313" s="89">
        <f t="shared" si="163"/>
        <v>4187.5275000000001</v>
      </c>
      <c r="L313" s="89">
        <f t="shared" si="163"/>
        <v>4187.5275000000001</v>
      </c>
      <c r="M313" s="89">
        <f t="shared" si="163"/>
        <v>4187.5275000000001</v>
      </c>
      <c r="N313" s="89">
        <f t="shared" si="163"/>
        <v>4187.5275000000001</v>
      </c>
      <c r="O313" s="89">
        <f t="shared" si="163"/>
        <v>0</v>
      </c>
      <c r="P313" s="89">
        <f t="shared" si="163"/>
        <v>0</v>
      </c>
      <c r="Q313" s="89">
        <f t="shared" si="163"/>
        <v>0</v>
      </c>
      <c r="R313" s="89">
        <f t="shared" si="163"/>
        <v>0</v>
      </c>
      <c r="S313" s="89">
        <f t="shared" si="163"/>
        <v>0</v>
      </c>
      <c r="T313" s="89">
        <f t="shared" si="163"/>
        <v>0</v>
      </c>
      <c r="U313" s="89">
        <f t="shared" si="163"/>
        <v>0</v>
      </c>
      <c r="V313" s="89">
        <f t="shared" si="163"/>
        <v>0</v>
      </c>
      <c r="W313" s="89">
        <f t="shared" si="163"/>
        <v>0</v>
      </c>
      <c r="X313" s="89">
        <f t="shared" si="163"/>
        <v>0</v>
      </c>
      <c r="Y313" s="89">
        <f t="shared" si="163"/>
        <v>0</v>
      </c>
      <c r="Z313" s="89">
        <f t="shared" si="163"/>
        <v>0</v>
      </c>
    </row>
    <row r="314" spans="1:28" outlineLevel="1" x14ac:dyDescent="0.25">
      <c r="A314" s="39" t="str">
        <f t="shared" si="148"/>
        <v>TZCO TZE240</v>
      </c>
      <c r="B314" s="39"/>
      <c r="D314" s="31" t="s">
        <v>76</v>
      </c>
      <c r="E314" s="9"/>
      <c r="F314" s="78">
        <f>'ФОТ, МТР, макро'!$C$13*'ФОТ, МТР, макро'!$B$7</f>
        <v>3180.5687406620973</v>
      </c>
      <c r="G314" s="89">
        <f>IF(G289=0,0,$F314)</f>
        <v>3180.5687406620973</v>
      </c>
      <c r="H314" s="89">
        <f t="shared" ref="H314:Z314" si="164">IF(H289=0,0,$F314)</f>
        <v>3180.5687406620973</v>
      </c>
      <c r="I314" s="89">
        <f t="shared" si="164"/>
        <v>3180.5687406620973</v>
      </c>
      <c r="J314" s="89">
        <f t="shared" si="164"/>
        <v>3180.5687406620973</v>
      </c>
      <c r="K314" s="89">
        <f t="shared" si="164"/>
        <v>3180.5687406620973</v>
      </c>
      <c r="L314" s="89">
        <f t="shared" si="164"/>
        <v>3180.5687406620973</v>
      </c>
      <c r="M314" s="89">
        <f t="shared" si="164"/>
        <v>3180.5687406620973</v>
      </c>
      <c r="N314" s="89">
        <f t="shared" si="164"/>
        <v>3180.5687406620973</v>
      </c>
      <c r="O314" s="89">
        <f t="shared" si="164"/>
        <v>0</v>
      </c>
      <c r="P314" s="89">
        <f t="shared" si="164"/>
        <v>0</v>
      </c>
      <c r="Q314" s="89">
        <f t="shared" si="164"/>
        <v>0</v>
      </c>
      <c r="R314" s="89">
        <f t="shared" si="164"/>
        <v>0</v>
      </c>
      <c r="S314" s="89">
        <f t="shared" si="164"/>
        <v>0</v>
      </c>
      <c r="T314" s="89">
        <f t="shared" si="164"/>
        <v>0</v>
      </c>
      <c r="U314" s="89">
        <f t="shared" si="164"/>
        <v>0</v>
      </c>
      <c r="V314" s="89">
        <f t="shared" si="164"/>
        <v>0</v>
      </c>
      <c r="W314" s="89">
        <f t="shared" si="164"/>
        <v>0</v>
      </c>
      <c r="X314" s="89">
        <f t="shared" si="164"/>
        <v>0</v>
      </c>
      <c r="Y314" s="89">
        <f t="shared" si="164"/>
        <v>0</v>
      </c>
      <c r="Z314" s="89">
        <f t="shared" si="164"/>
        <v>0</v>
      </c>
    </row>
    <row r="315" spans="1:28" outlineLevel="1" x14ac:dyDescent="0.25">
      <c r="A315" s="39" t="str">
        <f t="shared" si="148"/>
        <v>TZCO TZE240</v>
      </c>
      <c r="B315" s="39"/>
      <c r="D315" s="98" t="s">
        <v>77</v>
      </c>
      <c r="E315" s="68" t="str">
        <f>E294</f>
        <v>тыс. руб.</v>
      </c>
      <c r="F315" s="74"/>
      <c r="G315" s="85">
        <f>IF(G289=0,0,G316*G317/1000)</f>
        <v>212.5</v>
      </c>
      <c r="H315" s="85">
        <f t="shared" ref="H315:Z315" si="165">IF(H289=0,0,H316*H317/1000)</f>
        <v>212.5</v>
      </c>
      <c r="I315" s="85">
        <f t="shared" si="165"/>
        <v>212.5</v>
      </c>
      <c r="J315" s="85">
        <f t="shared" si="165"/>
        <v>212.5</v>
      </c>
      <c r="K315" s="85">
        <f t="shared" si="165"/>
        <v>212.5</v>
      </c>
      <c r="L315" s="85">
        <f t="shared" si="165"/>
        <v>212.5</v>
      </c>
      <c r="M315" s="85">
        <f t="shared" si="165"/>
        <v>212.5</v>
      </c>
      <c r="N315" s="85">
        <f t="shared" si="165"/>
        <v>212.5</v>
      </c>
      <c r="O315" s="85">
        <f t="shared" si="165"/>
        <v>0</v>
      </c>
      <c r="P315" s="85">
        <f t="shared" si="165"/>
        <v>0</v>
      </c>
      <c r="Q315" s="85">
        <f t="shared" si="165"/>
        <v>0</v>
      </c>
      <c r="R315" s="85">
        <f t="shared" si="165"/>
        <v>0</v>
      </c>
      <c r="S315" s="85">
        <f t="shared" si="165"/>
        <v>0</v>
      </c>
      <c r="T315" s="85">
        <f t="shared" si="165"/>
        <v>0</v>
      </c>
      <c r="U315" s="85">
        <f t="shared" si="165"/>
        <v>0</v>
      </c>
      <c r="V315" s="85">
        <f t="shared" si="165"/>
        <v>0</v>
      </c>
      <c r="W315" s="85">
        <f t="shared" si="165"/>
        <v>0</v>
      </c>
      <c r="X315" s="85">
        <f t="shared" si="165"/>
        <v>0</v>
      </c>
      <c r="Y315" s="85">
        <f t="shared" si="165"/>
        <v>0</v>
      </c>
      <c r="Z315" s="85">
        <f t="shared" si="165"/>
        <v>0</v>
      </c>
    </row>
    <row r="316" spans="1:28" outlineLevel="1" x14ac:dyDescent="0.25">
      <c r="A316" s="39" t="str">
        <f t="shared" si="148"/>
        <v>TZCO TZE240</v>
      </c>
      <c r="B316" s="39"/>
      <c r="D316" s="31" t="s">
        <v>78</v>
      </c>
      <c r="E316" s="9" t="s">
        <v>13</v>
      </c>
      <c r="F316" s="78">
        <f>SUMIFS('ФОТ, МТР, макро'!$AC$4:$AC$20,'ФОТ, МТР, макро'!$W$4:$W$20,$A316)</f>
        <v>2500</v>
      </c>
      <c r="G316" s="89">
        <f>F316</f>
        <v>2500</v>
      </c>
      <c r="H316" s="89">
        <f t="shared" ref="H316:W317" si="166">G316</f>
        <v>2500</v>
      </c>
      <c r="I316" s="89">
        <f t="shared" si="166"/>
        <v>2500</v>
      </c>
      <c r="J316" s="89">
        <f t="shared" si="166"/>
        <v>2500</v>
      </c>
      <c r="K316" s="89">
        <f t="shared" si="166"/>
        <v>2500</v>
      </c>
      <c r="L316" s="89">
        <f t="shared" si="166"/>
        <v>2500</v>
      </c>
      <c r="M316" s="89">
        <f t="shared" si="166"/>
        <v>2500</v>
      </c>
      <c r="N316" s="89">
        <f t="shared" si="166"/>
        <v>2500</v>
      </c>
      <c r="O316" s="89">
        <f t="shared" si="166"/>
        <v>2500</v>
      </c>
      <c r="P316" s="89">
        <f t="shared" si="166"/>
        <v>2500</v>
      </c>
      <c r="Q316" s="89">
        <f t="shared" si="166"/>
        <v>2500</v>
      </c>
      <c r="R316" s="89">
        <f t="shared" si="166"/>
        <v>2500</v>
      </c>
      <c r="S316" s="89">
        <f t="shared" si="166"/>
        <v>2500</v>
      </c>
      <c r="T316" s="89">
        <f t="shared" si="166"/>
        <v>2500</v>
      </c>
      <c r="U316" s="89">
        <f t="shared" si="166"/>
        <v>2500</v>
      </c>
      <c r="V316" s="89">
        <f t="shared" si="166"/>
        <v>2500</v>
      </c>
      <c r="W316" s="89">
        <f t="shared" si="166"/>
        <v>2500</v>
      </c>
      <c r="X316" s="89">
        <f t="shared" ref="X316:Z317" si="167">W316</f>
        <v>2500</v>
      </c>
      <c r="Y316" s="89">
        <f t="shared" si="167"/>
        <v>2500</v>
      </c>
      <c r="Z316" s="89">
        <f t="shared" si="167"/>
        <v>2500</v>
      </c>
    </row>
    <row r="317" spans="1:28" outlineLevel="1" x14ac:dyDescent="0.25">
      <c r="A317" s="39" t="str">
        <f t="shared" si="148"/>
        <v>TZCO TZE240</v>
      </c>
      <c r="B317" s="39"/>
      <c r="D317" s="31" t="s">
        <v>79</v>
      </c>
      <c r="E317" s="9" t="s">
        <v>80</v>
      </c>
      <c r="F317" s="78">
        <f>SUMIFS('ФОТ, МТР, макро'!$AD$4:$AD$20,'ФОТ, МТР, макро'!$W$4:$W$20,$A317)</f>
        <v>85</v>
      </c>
      <c r="G317" s="89">
        <f>F317</f>
        <v>85</v>
      </c>
      <c r="H317" s="89">
        <f t="shared" si="166"/>
        <v>85</v>
      </c>
      <c r="I317" s="89">
        <f t="shared" si="166"/>
        <v>85</v>
      </c>
      <c r="J317" s="89">
        <f t="shared" si="166"/>
        <v>85</v>
      </c>
      <c r="K317" s="89">
        <f t="shared" si="166"/>
        <v>85</v>
      </c>
      <c r="L317" s="89">
        <f t="shared" si="166"/>
        <v>85</v>
      </c>
      <c r="M317" s="89">
        <f t="shared" si="166"/>
        <v>85</v>
      </c>
      <c r="N317" s="89">
        <f t="shared" si="166"/>
        <v>85</v>
      </c>
      <c r="O317" s="89">
        <f t="shared" si="166"/>
        <v>85</v>
      </c>
      <c r="P317" s="89">
        <f t="shared" si="166"/>
        <v>85</v>
      </c>
      <c r="Q317" s="89">
        <f t="shared" si="166"/>
        <v>85</v>
      </c>
      <c r="R317" s="89">
        <f t="shared" si="166"/>
        <v>85</v>
      </c>
      <c r="S317" s="89">
        <f t="shared" si="166"/>
        <v>85</v>
      </c>
      <c r="T317" s="89">
        <f t="shared" si="166"/>
        <v>85</v>
      </c>
      <c r="U317" s="89">
        <f t="shared" si="166"/>
        <v>85</v>
      </c>
      <c r="V317" s="89">
        <f t="shared" si="166"/>
        <v>85</v>
      </c>
      <c r="W317" s="89">
        <f t="shared" si="166"/>
        <v>85</v>
      </c>
      <c r="X317" s="89">
        <f t="shared" si="167"/>
        <v>85</v>
      </c>
      <c r="Y317" s="89">
        <f t="shared" si="167"/>
        <v>85</v>
      </c>
      <c r="Z317" s="89">
        <f t="shared" si="167"/>
        <v>85</v>
      </c>
    </row>
    <row r="318" spans="1:28" outlineLevel="1" x14ac:dyDescent="0.25">
      <c r="A318" s="39" t="str">
        <f t="shared" si="148"/>
        <v>TZCO TZE240</v>
      </c>
      <c r="B318" s="39"/>
      <c r="C318" s="99">
        <f>SUMIFS('ФОТ, МТР, макро'!$AG$4:$AG$20,'ФОТ, МТР, макро'!$W$4:$W$20,$A318)</f>
        <v>14.117647058823531</v>
      </c>
      <c r="D318" s="98" t="s">
        <v>81</v>
      </c>
      <c r="E318" s="68" t="str">
        <f>E294</f>
        <v>тыс. руб.</v>
      </c>
      <c r="F318" s="85"/>
      <c r="G318" s="100">
        <f>IF(G286&lt;=$C319,$F323*$C318%,"ОШИБКА")</f>
        <v>0</v>
      </c>
      <c r="H318" s="75">
        <f>IF(H286&lt;=$C319,$F323*$C318%,$F323-SUM($G318:G318))</f>
        <v>0</v>
      </c>
      <c r="I318" s="75">
        <f>IF(I286&lt;=$C319,$F323*$C318%,$F323-SUM($G318:H318))</f>
        <v>0</v>
      </c>
      <c r="J318" s="75">
        <f>IF(J286&lt;=$C319,$F323*$C318%,$F323-SUM($G318:I318))</f>
        <v>0</v>
      </c>
      <c r="K318" s="75">
        <f>IF(K286&lt;=$C319,$F323*$C318%,$F323-SUM($G318:J318))</f>
        <v>0</v>
      </c>
      <c r="L318" s="75">
        <f>IF(L286&lt;=$C319,$F323*$C318%,$F323-SUM($G318:K318))</f>
        <v>0</v>
      </c>
      <c r="M318" s="75">
        <f>IF(M286&lt;=$C319,$F323*$C318%,$F323-SUM($G318:L318))</f>
        <v>0</v>
      </c>
      <c r="N318" s="75">
        <f>IF(N286&lt;=$C319,$F323*$C318%,$F323-SUM($G318:M318))</f>
        <v>0</v>
      </c>
      <c r="O318" s="75">
        <f>IF(O286&lt;=$C319,$F323*$C318%,$F323-SUM($G318:N318))</f>
        <v>0</v>
      </c>
      <c r="P318" s="75">
        <f>IF(P286&lt;=$C319,$F323*$C318%,$F323-SUM($G318:O318))</f>
        <v>0</v>
      </c>
      <c r="Q318" s="75">
        <f>IF(Q286&lt;=$C319,$F323*$C318%,$F323-SUM($G318:P318))</f>
        <v>0</v>
      </c>
      <c r="R318" s="75">
        <f>IF(R286&lt;=$C319,$F323*$C318%,$F323-SUM($G318:Q318))</f>
        <v>0</v>
      </c>
      <c r="S318" s="75">
        <f>IF(S286&lt;=$C319,$F323*$C318%,$F323-SUM($G318:R318))</f>
        <v>0</v>
      </c>
      <c r="T318" s="75">
        <f>IF(T286&lt;=$C319,$F323*$C318%,$F323-SUM($G318:S318))</f>
        <v>0</v>
      </c>
      <c r="U318" s="75">
        <f>IF(U286&lt;=$C319,$F323*$C318%,$F323-SUM($G318:T318))</f>
        <v>0</v>
      </c>
      <c r="V318" s="75">
        <f>IF(V286&lt;=$C319,$F323*$C318%,$F323-SUM($G318:U318))</f>
        <v>0</v>
      </c>
      <c r="W318" s="75">
        <f>IF(W286&lt;=$C319,$F323*$C318%,$F323-SUM($G318:V318))</f>
        <v>0</v>
      </c>
      <c r="X318" s="75">
        <f>IF(X286&lt;=$C319,$F323*$C318%,$F323-SUM($G318:W318))</f>
        <v>0</v>
      </c>
      <c r="Y318" s="75">
        <f>IF(Y286&lt;=$C319,$F323*$C318%,$F323-SUM($G318:X318))</f>
        <v>0</v>
      </c>
      <c r="Z318" s="75">
        <f>IF(Z286&lt;=$C319,$F323*$C318%,$F323-SUM($G318:Y318))</f>
        <v>0</v>
      </c>
      <c r="AA318" s="88">
        <f>F323-SUM(G318:Z318)</f>
        <v>0</v>
      </c>
    </row>
    <row r="319" spans="1:28" outlineLevel="1" x14ac:dyDescent="0.25">
      <c r="A319" s="39" t="str">
        <f t="shared" si="148"/>
        <v>TZCO TZE240</v>
      </c>
      <c r="B319" s="39"/>
      <c r="C319" s="99">
        <f>SUMIFS('ФОТ, МТР, макро'!$AF$4:$AF$20,'ФОТ, МТР, макро'!$W$4:$W$20,$A319)/12</f>
        <v>7.083333333333333</v>
      </c>
      <c r="D319" s="98" t="s">
        <v>82</v>
      </c>
      <c r="E319" s="68" t="str">
        <f>E294</f>
        <v>тыс. руб.</v>
      </c>
      <c r="F319" s="69"/>
      <c r="G319" s="69">
        <f>SUM(G295,G300,G304,G309,G311,G315,G318)</f>
        <v>131546.19681065631</v>
      </c>
      <c r="H319" s="69">
        <f>SUM(H295,H300,H304,H309,H311,H315,H318)</f>
        <v>163040.89460540755</v>
      </c>
      <c r="I319" s="69">
        <f>SUM(I295,I300,I304,I309,I311,I315,I318)</f>
        <v>274998.36756436987</v>
      </c>
      <c r="J319" s="69">
        <f t="shared" ref="J319:Z319" si="168">SUM(J295,J300,J304,J309,J311,J315,J318)</f>
        <v>167637.13274305387</v>
      </c>
      <c r="K319" s="69">
        <f t="shared" si="168"/>
        <v>144397.15301080665</v>
      </c>
      <c r="L319" s="69">
        <f t="shared" si="168"/>
        <v>309038.63341081195</v>
      </c>
      <c r="M319" s="69">
        <f t="shared" si="168"/>
        <v>142389.67936495706</v>
      </c>
      <c r="N319" s="69">
        <f t="shared" si="168"/>
        <v>171311.40229414357</v>
      </c>
      <c r="O319" s="69">
        <f t="shared" si="168"/>
        <v>0</v>
      </c>
      <c r="P319" s="69">
        <f t="shared" si="168"/>
        <v>0</v>
      </c>
      <c r="Q319" s="69">
        <f t="shared" si="168"/>
        <v>0</v>
      </c>
      <c r="R319" s="69">
        <f t="shared" si="168"/>
        <v>0</v>
      </c>
      <c r="S319" s="69">
        <f t="shared" si="168"/>
        <v>0</v>
      </c>
      <c r="T319" s="69">
        <f t="shared" si="168"/>
        <v>0</v>
      </c>
      <c r="U319" s="69">
        <f t="shared" si="168"/>
        <v>0</v>
      </c>
      <c r="V319" s="69">
        <f t="shared" si="168"/>
        <v>0</v>
      </c>
      <c r="W319" s="69">
        <f t="shared" si="168"/>
        <v>0</v>
      </c>
      <c r="X319" s="69">
        <f t="shared" si="168"/>
        <v>0</v>
      </c>
      <c r="Y319" s="69">
        <f t="shared" si="168"/>
        <v>0</v>
      </c>
      <c r="Z319" s="69">
        <f t="shared" si="168"/>
        <v>0</v>
      </c>
      <c r="AB319" s="42"/>
    </row>
    <row r="320" spans="1:28" outlineLevel="1" x14ac:dyDescent="0.25">
      <c r="A320" s="39" t="str">
        <f t="shared" si="148"/>
        <v>TZCO TZE240</v>
      </c>
      <c r="B320" s="39"/>
      <c r="D320" s="98" t="s">
        <v>83</v>
      </c>
      <c r="E320" s="68" t="str">
        <f>E294</f>
        <v>тыс. руб.</v>
      </c>
      <c r="F320" s="69"/>
      <c r="G320" s="69">
        <f>-G319*'ФОТ, МТР, макро'!AK$11</f>
        <v>-32886.549202664079</v>
      </c>
      <c r="H320" s="69">
        <f>-H319*'ФОТ, МТР, макро'!AL$11</f>
        <v>-40760.223651351887</v>
      </c>
      <c r="I320" s="69">
        <f>-I319*'ФОТ, МТР, макро'!AM$11</f>
        <v>-68749.591891092467</v>
      </c>
      <c r="J320" s="69">
        <f>-J319*'ФОТ, МТР, макро'!AN$11</f>
        <v>-41909.283185763466</v>
      </c>
      <c r="K320" s="69">
        <f>-K319*'ФОТ, МТР, макро'!AO$11</f>
        <v>-36099.288252701663</v>
      </c>
      <c r="L320" s="69">
        <f>-L319*'ФОТ, МТР, макро'!AP$11</f>
        <v>-77259.658352702987</v>
      </c>
      <c r="M320" s="69">
        <f>-M319*'ФОТ, МТР, макро'!AQ$11</f>
        <v>-35597.419841239265</v>
      </c>
      <c r="N320" s="69">
        <f>-N319*'ФОТ, МТР, макро'!AR$11</f>
        <v>-42827.850573535892</v>
      </c>
      <c r="O320" s="69">
        <f>-O319*'ФОТ, МТР, макро'!AS$11</f>
        <v>0</v>
      </c>
      <c r="P320" s="69">
        <f>-P319*'ФОТ, МТР, макро'!AT$11</f>
        <v>0</v>
      </c>
      <c r="Q320" s="69">
        <f>-Q319*'ФОТ, МТР, макро'!AU$11</f>
        <v>0</v>
      </c>
      <c r="R320" s="69">
        <f>-R319*'ФОТ, МТР, макро'!AV$11</f>
        <v>0</v>
      </c>
      <c r="S320" s="69">
        <f>-S319*'ФОТ, МТР, макро'!AW$11</f>
        <v>0</v>
      </c>
      <c r="T320" s="69">
        <f>-T319*'ФОТ, МТР, макро'!AX$11</f>
        <v>0</v>
      </c>
      <c r="U320" s="69">
        <f>-U319*'ФОТ, МТР, макро'!AY$11</f>
        <v>0</v>
      </c>
      <c r="V320" s="69">
        <f>-V319*'ФОТ, МТР, макро'!AZ$11</f>
        <v>0</v>
      </c>
      <c r="W320" s="69">
        <f>-W319*'ФОТ, МТР, макро'!BA$11</f>
        <v>0</v>
      </c>
      <c r="X320" s="69">
        <f>-X319*'ФОТ, МТР, макро'!BB$11</f>
        <v>0</v>
      </c>
      <c r="Y320" s="69">
        <f>-Y319*'ФОТ, МТР, макро'!BC$11</f>
        <v>0</v>
      </c>
      <c r="Z320" s="69">
        <f>-Z319*'ФОТ, МТР, макро'!BD$11</f>
        <v>0</v>
      </c>
    </row>
    <row r="321" spans="1:26" outlineLevel="1" x14ac:dyDescent="0.25">
      <c r="A321" s="39" t="str">
        <f t="shared" si="148"/>
        <v>TZCO TZE240</v>
      </c>
      <c r="B321" s="39"/>
      <c r="D321" s="101"/>
      <c r="E321" s="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outlineLevel="1" x14ac:dyDescent="0.25">
      <c r="A322" s="39" t="str">
        <f t="shared" si="148"/>
        <v>TZCO TZE240</v>
      </c>
      <c r="B322" s="39"/>
      <c r="D322" s="71" t="s">
        <v>84</v>
      </c>
      <c r="E322" s="72" t="str">
        <f>E294</f>
        <v>тыс. руб.</v>
      </c>
      <c r="F322" s="73">
        <f>F323</f>
        <v>0</v>
      </c>
      <c r="G322" s="73">
        <f t="shared" ref="G322:Z322" si="169">G323</f>
        <v>0</v>
      </c>
      <c r="H322" s="73">
        <f t="shared" si="169"/>
        <v>0</v>
      </c>
      <c r="I322" s="73">
        <f t="shared" si="169"/>
        <v>0</v>
      </c>
      <c r="J322" s="73">
        <f t="shared" si="169"/>
        <v>0</v>
      </c>
      <c r="K322" s="73">
        <f t="shared" si="169"/>
        <v>0</v>
      </c>
      <c r="L322" s="73">
        <f t="shared" si="169"/>
        <v>0</v>
      </c>
      <c r="M322" s="73">
        <f t="shared" si="169"/>
        <v>0</v>
      </c>
      <c r="N322" s="73">
        <f t="shared" si="169"/>
        <v>0</v>
      </c>
      <c r="O322" s="73">
        <f t="shared" si="169"/>
        <v>0</v>
      </c>
      <c r="P322" s="73">
        <f t="shared" si="169"/>
        <v>0</v>
      </c>
      <c r="Q322" s="73">
        <f t="shared" si="169"/>
        <v>0</v>
      </c>
      <c r="R322" s="73">
        <f t="shared" si="169"/>
        <v>0</v>
      </c>
      <c r="S322" s="73">
        <f t="shared" si="169"/>
        <v>0</v>
      </c>
      <c r="T322" s="73">
        <f t="shared" si="169"/>
        <v>0</v>
      </c>
      <c r="U322" s="73">
        <f t="shared" si="169"/>
        <v>0</v>
      </c>
      <c r="V322" s="73">
        <f t="shared" si="169"/>
        <v>0</v>
      </c>
      <c r="W322" s="73">
        <f t="shared" si="169"/>
        <v>0</v>
      </c>
      <c r="X322" s="73">
        <f t="shared" si="169"/>
        <v>0</v>
      </c>
      <c r="Y322" s="73">
        <f t="shared" si="169"/>
        <v>0</v>
      </c>
      <c r="Z322" s="73">
        <f t="shared" si="169"/>
        <v>0</v>
      </c>
    </row>
    <row r="323" spans="1:26" outlineLevel="1" x14ac:dyDescent="0.25">
      <c r="A323" s="39" t="str">
        <f t="shared" si="148"/>
        <v>TZCO TZE240</v>
      </c>
      <c r="B323" s="39"/>
      <c r="D323" s="101" t="s">
        <v>85</v>
      </c>
      <c r="E323" s="9" t="str">
        <f>E322</f>
        <v>тыс. руб.</v>
      </c>
      <c r="F323" s="78">
        <f>SUMIFS(Свод_1!$D$41:$U$41,Свод_1!$D$23:$U$23,$A323)</f>
        <v>0</v>
      </c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outlineLevel="1" x14ac:dyDescent="0.25">
      <c r="A324" s="39" t="str">
        <f t="shared" si="148"/>
        <v>TZCO TZE240</v>
      </c>
      <c r="B324" s="39"/>
      <c r="D324" s="101"/>
      <c r="E324" s="9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outlineLevel="1" x14ac:dyDescent="0.25">
      <c r="A325" s="39" t="str">
        <f t="shared" si="148"/>
        <v>TZCO TZE240</v>
      </c>
      <c r="B325" s="39"/>
      <c r="D325" s="71" t="s">
        <v>86</v>
      </c>
      <c r="E325" s="72" t="str">
        <f>E294</f>
        <v>тыс. руб.</v>
      </c>
      <c r="F325" s="73">
        <f>F294+F322</f>
        <v>0</v>
      </c>
      <c r="G325" s="73">
        <f t="shared" ref="G325:Z325" si="170">G294+G322</f>
        <v>98659.647607992229</v>
      </c>
      <c r="H325" s="73">
        <f t="shared" si="170"/>
        <v>122280.67095405566</v>
      </c>
      <c r="I325" s="73">
        <f t="shared" si="170"/>
        <v>206248.77567327739</v>
      </c>
      <c r="J325" s="73">
        <f t="shared" si="170"/>
        <v>125727.84955729041</v>
      </c>
      <c r="K325" s="73">
        <f t="shared" si="170"/>
        <v>108297.86475810499</v>
      </c>
      <c r="L325" s="73">
        <f t="shared" si="170"/>
        <v>231778.97505810898</v>
      </c>
      <c r="M325" s="73">
        <f t="shared" si="170"/>
        <v>106792.2595237178</v>
      </c>
      <c r="N325" s="73">
        <f t="shared" si="170"/>
        <v>128483.55172060768</v>
      </c>
      <c r="O325" s="73">
        <f t="shared" si="170"/>
        <v>0</v>
      </c>
      <c r="P325" s="73">
        <f t="shared" si="170"/>
        <v>0</v>
      </c>
      <c r="Q325" s="73">
        <f t="shared" si="170"/>
        <v>0</v>
      </c>
      <c r="R325" s="73">
        <f t="shared" si="170"/>
        <v>0</v>
      </c>
      <c r="S325" s="73">
        <f t="shared" si="170"/>
        <v>0</v>
      </c>
      <c r="T325" s="73">
        <f t="shared" si="170"/>
        <v>0</v>
      </c>
      <c r="U325" s="73">
        <f t="shared" si="170"/>
        <v>0</v>
      </c>
      <c r="V325" s="73">
        <f t="shared" si="170"/>
        <v>0</v>
      </c>
      <c r="W325" s="73">
        <f t="shared" si="170"/>
        <v>0</v>
      </c>
      <c r="X325" s="73">
        <f t="shared" si="170"/>
        <v>0</v>
      </c>
      <c r="Y325" s="73">
        <f t="shared" si="170"/>
        <v>0</v>
      </c>
      <c r="Z325" s="73">
        <f t="shared" si="170"/>
        <v>0</v>
      </c>
    </row>
    <row r="326" spans="1:26" outlineLevel="1" x14ac:dyDescent="0.25">
      <c r="A326" s="39" t="str">
        <f t="shared" si="148"/>
        <v>TZCO TZE240</v>
      </c>
      <c r="B326" s="39"/>
      <c r="D326" s="67" t="s">
        <v>87</v>
      </c>
      <c r="E326" s="68" t="str">
        <f>E325</f>
        <v>тыс. руб.</v>
      </c>
      <c r="F326" s="102"/>
      <c r="G326" s="69">
        <f>G294*'ФОТ, МТР, макро'!AK$13</f>
        <v>88088.971078564486</v>
      </c>
      <c r="H326" s="69">
        <f>H294*'ФОТ, МТР, макро'!AL$13</f>
        <v>97481.402227404047</v>
      </c>
      <c r="I326" s="69">
        <f>I294*'ФОТ, МТР, макро'!AM$13</f>
        <v>146803.80465993797</v>
      </c>
      <c r="J326" s="69">
        <f>J294*'ФОТ, МТР, макро'!AN$13</f>
        <v>79902.3213526209</v>
      </c>
      <c r="K326" s="69">
        <f>K294*'ФОТ, МТР, макро'!AO$13</f>
        <v>61451.116880729605</v>
      </c>
      <c r="L326" s="69">
        <f>L294*'ФОТ, МТР, макро'!AP$13</f>
        <v>117426.44199902</v>
      </c>
      <c r="M326" s="69">
        <f>M294*'ФОТ, МТР, макро'!AQ$13</f>
        <v>48307.394799607631</v>
      </c>
      <c r="N326" s="69">
        <f>N294*'ФОТ, МТР, макро'!AR$13</f>
        <v>51892.351611173253</v>
      </c>
      <c r="O326" s="69">
        <f>O294*'ФОТ, МТР, макро'!AS$13</f>
        <v>0</v>
      </c>
      <c r="P326" s="69">
        <f>P294*'ФОТ, МТР, макро'!AT$13</f>
        <v>0</v>
      </c>
      <c r="Q326" s="69">
        <f>Q294*'ФОТ, МТР, макро'!AU$13</f>
        <v>0</v>
      </c>
      <c r="R326" s="69">
        <f>R294*'ФОТ, МТР, макро'!AV$13</f>
        <v>0</v>
      </c>
      <c r="S326" s="69">
        <f>S294*'ФОТ, МТР, макро'!AW$13</f>
        <v>0</v>
      </c>
      <c r="T326" s="69">
        <f>T294*'ФОТ, МТР, макро'!AX$13</f>
        <v>0</v>
      </c>
      <c r="U326" s="69">
        <f>U294*'ФОТ, МТР, макро'!AY$13</f>
        <v>0</v>
      </c>
      <c r="V326" s="69">
        <f>V294*'ФОТ, МТР, макро'!AZ$13</f>
        <v>0</v>
      </c>
      <c r="W326" s="69">
        <f>W294*'ФОТ, МТР, макро'!BA$13</f>
        <v>0</v>
      </c>
      <c r="X326" s="69">
        <f>X294*'ФОТ, МТР, макро'!BB$13</f>
        <v>0</v>
      </c>
      <c r="Y326" s="69">
        <f>Y294*'ФОТ, МТР, макро'!BC$13</f>
        <v>0</v>
      </c>
      <c r="Z326" s="69">
        <f>Z294*'ФОТ, МТР, макро'!BD$13</f>
        <v>0</v>
      </c>
    </row>
    <row r="327" spans="1:26" outlineLevel="1" x14ac:dyDescent="0.25">
      <c r="A327" s="39" t="str">
        <f t="shared" si="148"/>
        <v>TZCO TZE240</v>
      </c>
      <c r="B327" s="39"/>
      <c r="D327" s="18" t="str">
        <f>D295</f>
        <v>ТО, ТР, ППР</v>
      </c>
      <c r="E327" s="9" t="str">
        <f>E326</f>
        <v>тыс. руб.</v>
      </c>
      <c r="F327" s="103"/>
      <c r="G327" s="74">
        <f>G295*'ФОТ, МТР, макро'!AK$13</f>
        <v>25135.798828034898</v>
      </c>
      <c r="H327" s="74">
        <f>H295*'ФОТ, МТР, макро'!AL$13</f>
        <v>47202.133502012177</v>
      </c>
      <c r="I327" s="74">
        <f>I295*'ФОТ, МТР, макро'!AM$13</f>
        <v>125931.26833800314</v>
      </c>
      <c r="J327" s="74">
        <f>J295*'ФОТ, МТР, макро'!AN$13</f>
        <v>37629.251835150004</v>
      </c>
      <c r="K327" s="74">
        <f>K295*'ФОТ, МТР, макро'!AO$13</f>
        <v>15974.254570363144</v>
      </c>
      <c r="L327" s="74">
        <f>L295*'ФОТ, МТР, макро'!AP$13</f>
        <v>105370.47126992102</v>
      </c>
      <c r="M327" s="74">
        <f>M295*'ФОТ, МТР, макро'!AQ$13</f>
        <v>12734.577941934904</v>
      </c>
      <c r="N327" s="74">
        <f>N295*'ФОТ, МТР, макро'!AR$13</f>
        <v>23914.069818085998</v>
      </c>
      <c r="O327" s="74">
        <f>O295*'ФОТ, МТР, макро'!AS$13</f>
        <v>0</v>
      </c>
      <c r="P327" s="74">
        <f>P295*'ФОТ, МТР, макро'!AT$13</f>
        <v>0</v>
      </c>
      <c r="Q327" s="74">
        <f>Q295*'ФОТ, МТР, макро'!AU$13</f>
        <v>0</v>
      </c>
      <c r="R327" s="74">
        <f>R295*'ФОТ, МТР, макро'!AV$13</f>
        <v>0</v>
      </c>
      <c r="S327" s="74">
        <f>S295*'ФОТ, МТР, макро'!AW$13</f>
        <v>0</v>
      </c>
      <c r="T327" s="74">
        <f>T295*'ФОТ, МТР, макро'!AX$13</f>
        <v>0</v>
      </c>
      <c r="U327" s="74">
        <f>U295*'ФОТ, МТР, макро'!AY$13</f>
        <v>0</v>
      </c>
      <c r="V327" s="74">
        <f>V295*'ФОТ, МТР, макро'!AZ$13</f>
        <v>0</v>
      </c>
      <c r="W327" s="74">
        <f>W295*'ФОТ, МТР, макро'!BA$13</f>
        <v>0</v>
      </c>
      <c r="X327" s="74">
        <f>X295*'ФОТ, МТР, макро'!BB$13</f>
        <v>0</v>
      </c>
      <c r="Y327" s="74">
        <f>Y295*'ФОТ, МТР, макро'!BC$13</f>
        <v>0</v>
      </c>
      <c r="Z327" s="74">
        <f>Z295*'ФОТ, МТР, макро'!BD$13</f>
        <v>0</v>
      </c>
    </row>
    <row r="328" spans="1:26" outlineLevel="1" x14ac:dyDescent="0.25">
      <c r="A328" s="39" t="str">
        <f t="shared" si="148"/>
        <v>TZCO TZE240</v>
      </c>
      <c r="B328" s="39"/>
      <c r="D328" s="18" t="str">
        <f>D300</f>
        <v>Шины</v>
      </c>
      <c r="E328" s="9" t="str">
        <f t="shared" ref="E328:E333" si="171">E327</f>
        <v>тыс. руб.</v>
      </c>
      <c r="F328" s="103"/>
      <c r="G328" s="74">
        <f>G300*'ФОТ, МТР, макро'!AK$13</f>
        <v>17017.110636912628</v>
      </c>
      <c r="H328" s="74">
        <f>H300*'ФОТ, МТР, макро'!AL$13</f>
        <v>15272.133029970038</v>
      </c>
      <c r="I328" s="74">
        <f>I300*'ФОТ, МТР, макро'!AM$13</f>
        <v>12713.905543968267</v>
      </c>
      <c r="J328" s="74">
        <f>J300*'ФОТ, МТР, макро'!AN$13</f>
        <v>12832.08502450087</v>
      </c>
      <c r="K328" s="74">
        <f>K300*'ФОТ, МТР, макро'!AO$13</f>
        <v>12455.403337154605</v>
      </c>
      <c r="L328" s="74">
        <f>L300*'ФОТ, МТР, макро'!AP$13</f>
        <v>9389.437051341105</v>
      </c>
      <c r="M328" s="74">
        <f>M300*'ФОТ, МТР, макро'!AQ$13</f>
        <v>9725.0501278178817</v>
      </c>
      <c r="N328" s="74">
        <f>N300*'ФОТ, МТР, макро'!AR$13</f>
        <v>8488.922058521086</v>
      </c>
      <c r="O328" s="74">
        <f>O300*'ФОТ, МТР, макро'!AS$13</f>
        <v>0</v>
      </c>
      <c r="P328" s="74">
        <f>P300*'ФОТ, МТР, макро'!AT$13</f>
        <v>0</v>
      </c>
      <c r="Q328" s="74">
        <f>Q300*'ФОТ, МТР, макро'!AU$13</f>
        <v>0</v>
      </c>
      <c r="R328" s="74">
        <f>R300*'ФОТ, МТР, макро'!AV$13</f>
        <v>0</v>
      </c>
      <c r="S328" s="74">
        <f>S300*'ФОТ, МТР, макро'!AW$13</f>
        <v>0</v>
      </c>
      <c r="T328" s="74">
        <f>T300*'ФОТ, МТР, макро'!AX$13</f>
        <v>0</v>
      </c>
      <c r="U328" s="74">
        <f>U300*'ФОТ, МТР, макро'!AY$13</f>
        <v>0</v>
      </c>
      <c r="V328" s="74">
        <f>V300*'ФОТ, МТР, макро'!AZ$13</f>
        <v>0</v>
      </c>
      <c r="W328" s="74">
        <f>W300*'ФОТ, МТР, макро'!BA$13</f>
        <v>0</v>
      </c>
      <c r="X328" s="74">
        <f>X300*'ФОТ, МТР, макро'!BB$13</f>
        <v>0</v>
      </c>
      <c r="Y328" s="74">
        <f>Y300*'ФОТ, МТР, макро'!BC$13</f>
        <v>0</v>
      </c>
      <c r="Z328" s="74">
        <f>Z300*'ФОТ, МТР, макро'!BD$13</f>
        <v>0</v>
      </c>
    </row>
    <row r="329" spans="1:26" outlineLevel="1" x14ac:dyDescent="0.25">
      <c r="A329" s="39" t="str">
        <f t="shared" si="148"/>
        <v>TZCO TZE240</v>
      </c>
      <c r="B329" s="39"/>
      <c r="D329" s="18" t="str">
        <f>D304</f>
        <v>Топливо</v>
      </c>
      <c r="E329" s="9" t="str">
        <f t="shared" si="171"/>
        <v>тыс. руб.</v>
      </c>
      <c r="F329" s="103"/>
      <c r="G329" s="74">
        <f>G304*'ФОТ, МТР, макро'!AK$13</f>
        <v>58613.251758261591</v>
      </c>
      <c r="H329" s="74">
        <f>H304*'ФОТ, МТР, макро'!AL$13</f>
        <v>52602.900531749779</v>
      </c>
      <c r="I329" s="74">
        <f>I304*'ФОТ, МТР, макро'!AM$13</f>
        <v>43791.414557939897</v>
      </c>
      <c r="J329" s="74">
        <f>J304*'ФОТ, МТР, макро'!AN$13</f>
        <v>44198.468598600179</v>
      </c>
      <c r="K329" s="74">
        <f>K304*'ФОТ, МТР, макро'!AO$13</f>
        <v>42901.036910916264</v>
      </c>
      <c r="L329" s="74">
        <f>L304*'ФОТ, МТР, макро'!AP$13</f>
        <v>32340.70985968821</v>
      </c>
      <c r="M329" s="74">
        <f>M304*'ФОТ, МТР, макро'!AQ$13</f>
        <v>33496.685992453538</v>
      </c>
      <c r="N329" s="74">
        <f>N304*'ФОТ, МТР, макро'!AR$13</f>
        <v>29239.001637156201</v>
      </c>
      <c r="O329" s="74">
        <f>O304*'ФОТ, МТР, макро'!AS$13</f>
        <v>0</v>
      </c>
      <c r="P329" s="74">
        <f>P304*'ФОТ, МТР, макро'!AT$13</f>
        <v>0</v>
      </c>
      <c r="Q329" s="74">
        <f>Q304*'ФОТ, МТР, макро'!AU$13</f>
        <v>0</v>
      </c>
      <c r="R329" s="74">
        <f>R304*'ФОТ, МТР, макро'!AV$13</f>
        <v>0</v>
      </c>
      <c r="S329" s="74">
        <f>S304*'ФОТ, МТР, макро'!AW$13</f>
        <v>0</v>
      </c>
      <c r="T329" s="74">
        <f>T304*'ФОТ, МТР, макро'!AX$13</f>
        <v>0</v>
      </c>
      <c r="U329" s="74">
        <f>U304*'ФОТ, МТР, макро'!AY$13</f>
        <v>0</v>
      </c>
      <c r="V329" s="74">
        <f>V304*'ФОТ, МТР, макро'!AZ$13</f>
        <v>0</v>
      </c>
      <c r="W329" s="74">
        <f>W304*'ФОТ, МТР, макро'!BA$13</f>
        <v>0</v>
      </c>
      <c r="X329" s="74">
        <f>X304*'ФОТ, МТР, макро'!BB$13</f>
        <v>0</v>
      </c>
      <c r="Y329" s="74">
        <f>Y304*'ФОТ, МТР, макро'!BC$13</f>
        <v>0</v>
      </c>
      <c r="Z329" s="74">
        <f>Z304*'ФОТ, МТР, макро'!BD$13</f>
        <v>0</v>
      </c>
    </row>
    <row r="330" spans="1:26" outlineLevel="1" x14ac:dyDescent="0.25">
      <c r="A330" s="39" t="str">
        <f t="shared" si="148"/>
        <v>TZCO TZE240</v>
      </c>
      <c r="B330" s="39"/>
      <c r="D330" s="18" t="str">
        <f>D309</f>
        <v>Смазочные</v>
      </c>
      <c r="E330" s="9" t="str">
        <f t="shared" si="171"/>
        <v>тыс. руб.</v>
      </c>
      <c r="F330" s="103"/>
      <c r="G330" s="74">
        <f>G309*'ФОТ, МТР, макро'!AK$13</f>
        <v>0</v>
      </c>
      <c r="H330" s="74">
        <f>H309*'ФОТ, МТР, макро'!AL$13</f>
        <v>0</v>
      </c>
      <c r="I330" s="74">
        <f>I309*'ФОТ, МТР, макро'!AM$13</f>
        <v>0</v>
      </c>
      <c r="J330" s="74">
        <f>J309*'ФОТ, МТР, макро'!AN$13</f>
        <v>0</v>
      </c>
      <c r="K330" s="74">
        <f>K309*'ФОТ, МТР, макро'!AO$13</f>
        <v>0</v>
      </c>
      <c r="L330" s="74">
        <f>L309*'ФОТ, МТР, макро'!AP$13</f>
        <v>0</v>
      </c>
      <c r="M330" s="74">
        <f>M309*'ФОТ, МТР, макро'!AQ$13</f>
        <v>0</v>
      </c>
      <c r="N330" s="74">
        <f>N309*'ФОТ, МТР, макро'!AR$13</f>
        <v>0</v>
      </c>
      <c r="O330" s="74">
        <f>O309*'ФОТ, МТР, макро'!AS$13</f>
        <v>0</v>
      </c>
      <c r="P330" s="74">
        <f>P309*'ФОТ, МТР, макро'!AT$13</f>
        <v>0</v>
      </c>
      <c r="Q330" s="74">
        <f>Q309*'ФОТ, МТР, макро'!AU$13</f>
        <v>0</v>
      </c>
      <c r="R330" s="74">
        <f>R309*'ФОТ, МТР, макро'!AV$13</f>
        <v>0</v>
      </c>
      <c r="S330" s="74">
        <f>S309*'ФОТ, МТР, макро'!AW$13</f>
        <v>0</v>
      </c>
      <c r="T330" s="74">
        <f>T309*'ФОТ, МТР, макро'!AX$13</f>
        <v>0</v>
      </c>
      <c r="U330" s="74">
        <f>U309*'ФОТ, МТР, макро'!AY$13</f>
        <v>0</v>
      </c>
      <c r="V330" s="74">
        <f>V309*'ФОТ, МТР, макро'!AZ$13</f>
        <v>0</v>
      </c>
      <c r="W330" s="74">
        <f>W309*'ФОТ, МТР, макро'!BA$13</f>
        <v>0</v>
      </c>
      <c r="X330" s="74">
        <f>X309*'ФОТ, МТР, макро'!BB$13</f>
        <v>0</v>
      </c>
      <c r="Y330" s="74">
        <f>Y309*'ФОТ, МТР, макро'!BC$13</f>
        <v>0</v>
      </c>
      <c r="Z330" s="74">
        <f>Z309*'ФОТ, МТР, макро'!BD$13</f>
        <v>0</v>
      </c>
    </row>
    <row r="331" spans="1:26" outlineLevel="1" x14ac:dyDescent="0.25">
      <c r="A331" s="39" t="str">
        <f t="shared" si="148"/>
        <v>TZCO TZE240</v>
      </c>
      <c r="B331" s="39"/>
      <c r="D331" s="18" t="str">
        <f>D311</f>
        <v>Затраты на персонал</v>
      </c>
      <c r="E331" s="9" t="str">
        <f t="shared" si="171"/>
        <v>тыс. руб.</v>
      </c>
      <c r="F331" s="103"/>
      <c r="G331" s="74">
        <f>G311*'ФОТ, МТР, макро'!AK$13</f>
        <v>16496.068072019727</v>
      </c>
      <c r="H331" s="74">
        <f>H311*'ФОТ, МТР, макро'!AL$13</f>
        <v>14728.632207160468</v>
      </c>
      <c r="I331" s="74">
        <f>I311*'ФОТ, МТР, макро'!AM$13</f>
        <v>13150.56447067899</v>
      </c>
      <c r="J331" s="74">
        <f>J311*'ФОТ, МТР, макро'!AN$13</f>
        <v>11741.575420249097</v>
      </c>
      <c r="K331" s="74">
        <f>K311*'ФОТ, МТР, макро'!AO$13</f>
        <v>10483.549482365264</v>
      </c>
      <c r="L331" s="74">
        <f>L311*'ФОТ, МТР, макро'!AP$13</f>
        <v>9360.3120378261283</v>
      </c>
      <c r="M331" s="74">
        <f>M311*'ФОТ, МТР, макро'!AQ$13</f>
        <v>8357.4214623447569</v>
      </c>
      <c r="N331" s="74">
        <f>N311*'ФОТ, МТР, макро'!AR$13</f>
        <v>7461.9834485221045</v>
      </c>
      <c r="O331" s="74">
        <f>O311*'ФОТ, МТР, макро'!AS$13</f>
        <v>0</v>
      </c>
      <c r="P331" s="74">
        <f>P311*'ФОТ, МТР, макро'!AT$13</f>
        <v>0</v>
      </c>
      <c r="Q331" s="74">
        <f>Q311*'ФОТ, МТР, макро'!AU$13</f>
        <v>0</v>
      </c>
      <c r="R331" s="74">
        <f>R311*'ФОТ, МТР, макро'!AV$13</f>
        <v>0</v>
      </c>
      <c r="S331" s="74">
        <f>S311*'ФОТ, МТР, макро'!AW$13</f>
        <v>0</v>
      </c>
      <c r="T331" s="74">
        <f>T311*'ФОТ, МТР, макро'!AX$13</f>
        <v>0</v>
      </c>
      <c r="U331" s="74">
        <f>U311*'ФОТ, МТР, макро'!AY$13</f>
        <v>0</v>
      </c>
      <c r="V331" s="74">
        <f>V311*'ФОТ, МТР, макро'!AZ$13</f>
        <v>0</v>
      </c>
      <c r="W331" s="74">
        <f>W311*'ФОТ, МТР, макро'!BA$13</f>
        <v>0</v>
      </c>
      <c r="X331" s="74">
        <f>X311*'ФОТ, МТР, макро'!BB$13</f>
        <v>0</v>
      </c>
      <c r="Y331" s="74">
        <f>Y311*'ФОТ, МТР, макро'!BC$13</f>
        <v>0</v>
      </c>
      <c r="Z331" s="74">
        <f>Z311*'ФОТ, МТР, макро'!BD$13</f>
        <v>0</v>
      </c>
    </row>
    <row r="332" spans="1:26" outlineLevel="1" x14ac:dyDescent="0.25">
      <c r="A332" s="39" t="str">
        <f t="shared" si="148"/>
        <v>TZCO TZE240</v>
      </c>
      <c r="B332" s="39"/>
      <c r="D332" s="18" t="str">
        <f>D315</f>
        <v>Транспортный налог</v>
      </c>
      <c r="E332" s="9" t="str">
        <f t="shared" si="171"/>
        <v>тыс. руб.</v>
      </c>
      <c r="F332" s="103"/>
      <c r="G332" s="74">
        <f>G315*'ФОТ, МТР, макро'!AK$13</f>
        <v>189.73214285714283</v>
      </c>
      <c r="H332" s="74">
        <f>H315*'ФОТ, МТР, макро'!AL$13</f>
        <v>169.40369897959181</v>
      </c>
      <c r="I332" s="74">
        <f>I315*'ФОТ, МТР, макро'!AM$13</f>
        <v>151.25330266034982</v>
      </c>
      <c r="J332" s="74">
        <f>J315*'ФОТ, МТР, макро'!AN$13</f>
        <v>135.04759166102662</v>
      </c>
      <c r="K332" s="74">
        <f>K315*'ФОТ, МТР, макро'!AO$13</f>
        <v>120.57820684020233</v>
      </c>
      <c r="L332" s="74">
        <f>L315*'ФОТ, МТР, макро'!AP$13</f>
        <v>107.65911325018064</v>
      </c>
      <c r="M332" s="74">
        <f>M315*'ФОТ, МТР, макро'!AQ$13</f>
        <v>96.124208259089855</v>
      </c>
      <c r="N332" s="74">
        <f>N315*'ФОТ, МТР, макро'!AR$13</f>
        <v>85.825185945615928</v>
      </c>
      <c r="O332" s="74">
        <f>O315*'ФОТ, МТР, макро'!AS$13</f>
        <v>0</v>
      </c>
      <c r="P332" s="74">
        <f>P315*'ФОТ, МТР, макро'!AT$13</f>
        <v>0</v>
      </c>
      <c r="Q332" s="74">
        <f>Q315*'ФОТ, МТР, макро'!AU$13</f>
        <v>0</v>
      </c>
      <c r="R332" s="74">
        <f>R315*'ФОТ, МТР, макро'!AV$13</f>
        <v>0</v>
      </c>
      <c r="S332" s="74">
        <f>S315*'ФОТ, МТР, макро'!AW$13</f>
        <v>0</v>
      </c>
      <c r="T332" s="74">
        <f>T315*'ФОТ, МТР, макро'!AX$13</f>
        <v>0</v>
      </c>
      <c r="U332" s="74">
        <f>U315*'ФОТ, МТР, макро'!AY$13</f>
        <v>0</v>
      </c>
      <c r="V332" s="74">
        <f>V315*'ФОТ, МТР, макро'!AZ$13</f>
        <v>0</v>
      </c>
      <c r="W332" s="74">
        <f>W315*'ФОТ, МТР, макро'!BA$13</f>
        <v>0</v>
      </c>
      <c r="X332" s="74">
        <f>X315*'ФОТ, МТР, макро'!BB$13</f>
        <v>0</v>
      </c>
      <c r="Y332" s="74">
        <f>Y315*'ФОТ, МТР, макро'!BC$13</f>
        <v>0</v>
      </c>
      <c r="Z332" s="74">
        <f>Z315*'ФОТ, МТР, макро'!BD$13</f>
        <v>0</v>
      </c>
    </row>
    <row r="333" spans="1:26" outlineLevel="1" x14ac:dyDescent="0.25">
      <c r="A333" s="39" t="str">
        <f t="shared" si="148"/>
        <v>TZCO TZE240</v>
      </c>
      <c r="B333" s="39"/>
      <c r="D333" s="18" t="str">
        <f>D320</f>
        <v>Налог на прибыль</v>
      </c>
      <c r="E333" s="9" t="str">
        <f t="shared" si="171"/>
        <v>тыс. руб.</v>
      </c>
      <c r="F333" s="103"/>
      <c r="G333" s="74">
        <f>G320*'ФОТ, МТР, макро'!AK$13</f>
        <v>-29362.990359521496</v>
      </c>
      <c r="H333" s="74">
        <f>H320*'ФОТ, МТР, макро'!AL$13</f>
        <v>-32493.800742468015</v>
      </c>
      <c r="I333" s="74">
        <f>I320*'ФОТ, МТР, макро'!AM$13</f>
        <v>-48934.601553312656</v>
      </c>
      <c r="J333" s="74">
        <f>J320*'ФОТ, МТР, макро'!AN$13</f>
        <v>-26634.107117540298</v>
      </c>
      <c r="K333" s="74">
        <f>K320*'ФОТ, МТР, макро'!AO$13</f>
        <v>-20483.705626909868</v>
      </c>
      <c r="L333" s="74">
        <f>L320*'ФОТ, МТР, макро'!AP$13</f>
        <v>-39142.147333006666</v>
      </c>
      <c r="M333" s="74">
        <f>M320*'ФОТ, МТР, макро'!AQ$13</f>
        <v>-16102.464933202544</v>
      </c>
      <c r="N333" s="74">
        <f>N320*'ФОТ, МТР, макро'!AR$13</f>
        <v>-17297.45053705775</v>
      </c>
      <c r="O333" s="74">
        <f>O320*'ФОТ, МТР, макро'!AS$13</f>
        <v>0</v>
      </c>
      <c r="P333" s="74">
        <f>P320*'ФОТ, МТР, макро'!AT$13</f>
        <v>0</v>
      </c>
      <c r="Q333" s="74">
        <f>Q320*'ФОТ, МТР, макро'!AU$13</f>
        <v>0</v>
      </c>
      <c r="R333" s="74">
        <f>R320*'ФОТ, МТР, макро'!AV$13</f>
        <v>0</v>
      </c>
      <c r="S333" s="74">
        <f>S320*'ФОТ, МТР, макро'!AW$13</f>
        <v>0</v>
      </c>
      <c r="T333" s="74">
        <f>T320*'ФОТ, МТР, макро'!AX$13</f>
        <v>0</v>
      </c>
      <c r="U333" s="74">
        <f>U320*'ФОТ, МТР, макро'!AY$13</f>
        <v>0</v>
      </c>
      <c r="V333" s="74">
        <f>V320*'ФОТ, МТР, макро'!AZ$13</f>
        <v>0</v>
      </c>
      <c r="W333" s="74">
        <f>W320*'ФОТ, МТР, макро'!BA$13</f>
        <v>0</v>
      </c>
      <c r="X333" s="74">
        <f>X320*'ФОТ, МТР, макро'!BB$13</f>
        <v>0</v>
      </c>
      <c r="Y333" s="74">
        <f>Y320*'ФОТ, МТР, макро'!BC$13</f>
        <v>0</v>
      </c>
      <c r="Z333" s="74">
        <f>Z320*'ФОТ, МТР, макро'!BD$13</f>
        <v>0</v>
      </c>
    </row>
    <row r="334" spans="1:26" outlineLevel="1" x14ac:dyDescent="0.25">
      <c r="A334" s="39" t="str">
        <f t="shared" si="148"/>
        <v>TZCO TZE240</v>
      </c>
      <c r="B334" s="39"/>
      <c r="D334" s="104" t="s">
        <v>88</v>
      </c>
      <c r="E334" s="9"/>
      <c r="F334" s="105"/>
      <c r="G334" s="106">
        <f>G326-SUM(G327:G333)</f>
        <v>0</v>
      </c>
      <c r="H334" s="106">
        <f t="shared" ref="H334:I334" si="172">H326-SUM(H327:H333)</f>
        <v>0</v>
      </c>
      <c r="I334" s="106">
        <f t="shared" si="172"/>
        <v>0</v>
      </c>
      <c r="J334" s="106">
        <f t="shared" ref="J334:Z334" si="173">J326-SUM(J327:J333)</f>
        <v>0</v>
      </c>
      <c r="K334" s="106">
        <f t="shared" si="173"/>
        <v>0</v>
      </c>
      <c r="L334" s="106">
        <f t="shared" si="173"/>
        <v>0</v>
      </c>
      <c r="M334" s="106">
        <f t="shared" si="173"/>
        <v>0</v>
      </c>
      <c r="N334" s="106">
        <f t="shared" si="173"/>
        <v>0</v>
      </c>
      <c r="O334" s="106">
        <f t="shared" si="173"/>
        <v>0</v>
      </c>
      <c r="P334" s="106">
        <f t="shared" si="173"/>
        <v>0</v>
      </c>
      <c r="Q334" s="106">
        <f t="shared" si="173"/>
        <v>0</v>
      </c>
      <c r="R334" s="106">
        <f t="shared" si="173"/>
        <v>0</v>
      </c>
      <c r="S334" s="106">
        <f t="shared" si="173"/>
        <v>0</v>
      </c>
      <c r="T334" s="106">
        <f t="shared" si="173"/>
        <v>0</v>
      </c>
      <c r="U334" s="106">
        <f t="shared" si="173"/>
        <v>0</v>
      </c>
      <c r="V334" s="106">
        <f t="shared" si="173"/>
        <v>0</v>
      </c>
      <c r="W334" s="106">
        <f t="shared" si="173"/>
        <v>0</v>
      </c>
      <c r="X334" s="106">
        <f t="shared" si="173"/>
        <v>0</v>
      </c>
      <c r="Y334" s="106">
        <f t="shared" si="173"/>
        <v>0</v>
      </c>
      <c r="Z334" s="106">
        <f t="shared" si="173"/>
        <v>0</v>
      </c>
    </row>
    <row r="335" spans="1:26" ht="27.2" outlineLevel="1" x14ac:dyDescent="0.25">
      <c r="A335" s="39" t="str">
        <f t="shared" si="148"/>
        <v>TZCO TZE240</v>
      </c>
      <c r="B335" s="39"/>
      <c r="D335" s="107" t="s">
        <v>89</v>
      </c>
      <c r="E335" s="68" t="str">
        <f>E326</f>
        <v>тыс. руб.</v>
      </c>
      <c r="F335" s="69">
        <f>F326</f>
        <v>0</v>
      </c>
      <c r="G335" s="69">
        <f>F335+G326</f>
        <v>88088.971078564486</v>
      </c>
      <c r="H335" s="69">
        <f t="shared" ref="H335:Z342" si="174">G335+H326</f>
        <v>185570.37330596853</v>
      </c>
      <c r="I335" s="69">
        <f t="shared" si="174"/>
        <v>332374.17796590651</v>
      </c>
      <c r="J335" s="69">
        <f t="shared" si="174"/>
        <v>412276.49931852741</v>
      </c>
      <c r="K335" s="69">
        <f t="shared" si="174"/>
        <v>473727.61619925703</v>
      </c>
      <c r="L335" s="69">
        <f t="shared" si="174"/>
        <v>591154.05819827702</v>
      </c>
      <c r="M335" s="69">
        <f t="shared" si="174"/>
        <v>639461.45299788471</v>
      </c>
      <c r="N335" s="69">
        <f t="shared" si="174"/>
        <v>691353.80460905796</v>
      </c>
      <c r="O335" s="69">
        <f t="shared" si="174"/>
        <v>691353.80460905796</v>
      </c>
      <c r="P335" s="69">
        <f t="shared" si="174"/>
        <v>691353.80460905796</v>
      </c>
      <c r="Q335" s="69">
        <f t="shared" si="174"/>
        <v>691353.80460905796</v>
      </c>
      <c r="R335" s="69">
        <f t="shared" si="174"/>
        <v>691353.80460905796</v>
      </c>
      <c r="S335" s="69">
        <f t="shared" si="174"/>
        <v>691353.80460905796</v>
      </c>
      <c r="T335" s="69">
        <f t="shared" si="174"/>
        <v>691353.80460905796</v>
      </c>
      <c r="U335" s="69">
        <f t="shared" si="174"/>
        <v>691353.80460905796</v>
      </c>
      <c r="V335" s="69">
        <f t="shared" si="174"/>
        <v>691353.80460905796</v>
      </c>
      <c r="W335" s="69">
        <f t="shared" si="174"/>
        <v>691353.80460905796</v>
      </c>
      <c r="X335" s="69">
        <f t="shared" si="174"/>
        <v>691353.80460905796</v>
      </c>
      <c r="Y335" s="69">
        <f t="shared" si="174"/>
        <v>691353.80460905796</v>
      </c>
      <c r="Z335" s="69">
        <f t="shared" si="174"/>
        <v>691353.80460905796</v>
      </c>
    </row>
    <row r="336" spans="1:26" outlineLevel="1" x14ac:dyDescent="0.25">
      <c r="A336" s="39" t="str">
        <f t="shared" si="148"/>
        <v>TZCO TZE240</v>
      </c>
      <c r="B336" s="39"/>
      <c r="D336" s="101" t="str">
        <f>D327</f>
        <v>ТО, ТР, ППР</v>
      </c>
      <c r="E336" s="9" t="str">
        <f>E327</f>
        <v>тыс. руб.</v>
      </c>
      <c r="F336" s="74">
        <f>F327</f>
        <v>0</v>
      </c>
      <c r="G336" s="74">
        <f>F336+G327</f>
        <v>25135.798828034898</v>
      </c>
      <c r="H336" s="74">
        <f t="shared" si="174"/>
        <v>72337.932330047071</v>
      </c>
      <c r="I336" s="74">
        <f t="shared" si="174"/>
        <v>198269.20066805021</v>
      </c>
      <c r="J336" s="74">
        <f t="shared" si="174"/>
        <v>235898.45250320021</v>
      </c>
      <c r="K336" s="74">
        <f t="shared" si="174"/>
        <v>251872.70707356336</v>
      </c>
      <c r="L336" s="74">
        <f t="shared" si="174"/>
        <v>357243.17834348441</v>
      </c>
      <c r="M336" s="74">
        <f t="shared" si="174"/>
        <v>369977.75628541934</v>
      </c>
      <c r="N336" s="74">
        <f t="shared" si="174"/>
        <v>393891.82610350533</v>
      </c>
      <c r="O336" s="74">
        <f t="shared" si="174"/>
        <v>393891.82610350533</v>
      </c>
      <c r="P336" s="74">
        <f t="shared" si="174"/>
        <v>393891.82610350533</v>
      </c>
      <c r="Q336" s="74">
        <f t="shared" si="174"/>
        <v>393891.82610350533</v>
      </c>
      <c r="R336" s="74">
        <f t="shared" si="174"/>
        <v>393891.82610350533</v>
      </c>
      <c r="S336" s="74">
        <f t="shared" si="174"/>
        <v>393891.82610350533</v>
      </c>
      <c r="T336" s="74">
        <f t="shared" si="174"/>
        <v>393891.82610350533</v>
      </c>
      <c r="U336" s="74">
        <f t="shared" si="174"/>
        <v>393891.82610350533</v>
      </c>
      <c r="V336" s="74">
        <f t="shared" si="174"/>
        <v>393891.82610350533</v>
      </c>
      <c r="W336" s="74">
        <f t="shared" si="174"/>
        <v>393891.82610350533</v>
      </c>
      <c r="X336" s="74">
        <f t="shared" si="174"/>
        <v>393891.82610350533</v>
      </c>
      <c r="Y336" s="74">
        <f t="shared" si="174"/>
        <v>393891.82610350533</v>
      </c>
      <c r="Z336" s="74">
        <f t="shared" si="174"/>
        <v>393891.82610350533</v>
      </c>
    </row>
    <row r="337" spans="1:26" outlineLevel="1" x14ac:dyDescent="0.25">
      <c r="A337" s="39" t="str">
        <f t="shared" si="148"/>
        <v>TZCO TZE240</v>
      </c>
      <c r="B337" s="39"/>
      <c r="D337" s="101" t="str">
        <f t="shared" ref="D337:F342" si="175">D328</f>
        <v>Шины</v>
      </c>
      <c r="E337" s="9" t="str">
        <f t="shared" si="175"/>
        <v>тыс. руб.</v>
      </c>
      <c r="F337" s="74">
        <f t="shared" si="175"/>
        <v>0</v>
      </c>
      <c r="G337" s="74">
        <f t="shared" ref="G337:G342" si="176">F337+G328</f>
        <v>17017.110636912628</v>
      </c>
      <c r="H337" s="74">
        <f t="shared" si="174"/>
        <v>32289.243666882667</v>
      </c>
      <c r="I337" s="74">
        <f t="shared" si="174"/>
        <v>45003.149210850934</v>
      </c>
      <c r="J337" s="74">
        <f t="shared" si="174"/>
        <v>57835.234235351803</v>
      </c>
      <c r="K337" s="74">
        <f t="shared" si="174"/>
        <v>70290.637572506414</v>
      </c>
      <c r="L337" s="74">
        <f t="shared" si="174"/>
        <v>79680.074623847526</v>
      </c>
      <c r="M337" s="74">
        <f t="shared" si="174"/>
        <v>89405.124751665411</v>
      </c>
      <c r="N337" s="74">
        <f t="shared" si="174"/>
        <v>97894.046810186497</v>
      </c>
      <c r="O337" s="74">
        <f t="shared" si="174"/>
        <v>97894.046810186497</v>
      </c>
      <c r="P337" s="74">
        <f t="shared" si="174"/>
        <v>97894.046810186497</v>
      </c>
      <c r="Q337" s="74">
        <f t="shared" si="174"/>
        <v>97894.046810186497</v>
      </c>
      <c r="R337" s="74">
        <f t="shared" si="174"/>
        <v>97894.046810186497</v>
      </c>
      <c r="S337" s="74">
        <f t="shared" si="174"/>
        <v>97894.046810186497</v>
      </c>
      <c r="T337" s="74">
        <f t="shared" si="174"/>
        <v>97894.046810186497</v>
      </c>
      <c r="U337" s="74">
        <f t="shared" si="174"/>
        <v>97894.046810186497</v>
      </c>
      <c r="V337" s="74">
        <f t="shared" si="174"/>
        <v>97894.046810186497</v>
      </c>
      <c r="W337" s="74">
        <f t="shared" si="174"/>
        <v>97894.046810186497</v>
      </c>
      <c r="X337" s="74">
        <f t="shared" si="174"/>
        <v>97894.046810186497</v>
      </c>
      <c r="Y337" s="74">
        <f t="shared" si="174"/>
        <v>97894.046810186497</v>
      </c>
      <c r="Z337" s="74">
        <f t="shared" si="174"/>
        <v>97894.046810186497</v>
      </c>
    </row>
    <row r="338" spans="1:26" outlineLevel="1" x14ac:dyDescent="0.25">
      <c r="A338" s="39" t="str">
        <f t="shared" si="148"/>
        <v>TZCO TZE240</v>
      </c>
      <c r="B338" s="39"/>
      <c r="D338" s="101" t="str">
        <f t="shared" si="175"/>
        <v>Топливо</v>
      </c>
      <c r="E338" s="9" t="str">
        <f t="shared" si="175"/>
        <v>тыс. руб.</v>
      </c>
      <c r="F338" s="74">
        <f t="shared" si="175"/>
        <v>0</v>
      </c>
      <c r="G338" s="74">
        <f t="shared" si="176"/>
        <v>58613.251758261591</v>
      </c>
      <c r="H338" s="74">
        <f t="shared" si="174"/>
        <v>111216.15229001138</v>
      </c>
      <c r="I338" s="74">
        <f t="shared" si="174"/>
        <v>155007.56684795127</v>
      </c>
      <c r="J338" s="74">
        <f t="shared" si="174"/>
        <v>199206.03544655145</v>
      </c>
      <c r="K338" s="74">
        <f t="shared" si="174"/>
        <v>242107.07235746772</v>
      </c>
      <c r="L338" s="74">
        <f t="shared" si="174"/>
        <v>274447.78221715591</v>
      </c>
      <c r="M338" s="74">
        <f t="shared" si="174"/>
        <v>307944.46820960945</v>
      </c>
      <c r="N338" s="74">
        <f t="shared" si="174"/>
        <v>337183.46984676563</v>
      </c>
      <c r="O338" s="74">
        <f t="shared" si="174"/>
        <v>337183.46984676563</v>
      </c>
      <c r="P338" s="74">
        <f t="shared" si="174"/>
        <v>337183.46984676563</v>
      </c>
      <c r="Q338" s="74">
        <f t="shared" si="174"/>
        <v>337183.46984676563</v>
      </c>
      <c r="R338" s="74">
        <f t="shared" si="174"/>
        <v>337183.46984676563</v>
      </c>
      <c r="S338" s="74">
        <f t="shared" si="174"/>
        <v>337183.46984676563</v>
      </c>
      <c r="T338" s="74">
        <f t="shared" si="174"/>
        <v>337183.46984676563</v>
      </c>
      <c r="U338" s="74">
        <f t="shared" si="174"/>
        <v>337183.46984676563</v>
      </c>
      <c r="V338" s="74">
        <f t="shared" si="174"/>
        <v>337183.46984676563</v>
      </c>
      <c r="W338" s="74">
        <f t="shared" si="174"/>
        <v>337183.46984676563</v>
      </c>
      <c r="X338" s="74">
        <f t="shared" si="174"/>
        <v>337183.46984676563</v>
      </c>
      <c r="Y338" s="74">
        <f t="shared" si="174"/>
        <v>337183.46984676563</v>
      </c>
      <c r="Z338" s="74">
        <f t="shared" si="174"/>
        <v>337183.46984676563</v>
      </c>
    </row>
    <row r="339" spans="1:26" outlineLevel="1" x14ac:dyDescent="0.25">
      <c r="A339" s="39" t="str">
        <f t="shared" si="148"/>
        <v>TZCO TZE240</v>
      </c>
      <c r="B339" s="39"/>
      <c r="D339" s="101" t="str">
        <f t="shared" si="175"/>
        <v>Смазочные</v>
      </c>
      <c r="E339" s="9" t="str">
        <f t="shared" si="175"/>
        <v>тыс. руб.</v>
      </c>
      <c r="F339" s="74">
        <f t="shared" si="175"/>
        <v>0</v>
      </c>
      <c r="G339" s="74">
        <f t="shared" si="176"/>
        <v>0</v>
      </c>
      <c r="H339" s="74">
        <f t="shared" si="174"/>
        <v>0</v>
      </c>
      <c r="I339" s="74">
        <f t="shared" si="174"/>
        <v>0</v>
      </c>
      <c r="J339" s="74">
        <f t="shared" si="174"/>
        <v>0</v>
      </c>
      <c r="K339" s="74">
        <f t="shared" si="174"/>
        <v>0</v>
      </c>
      <c r="L339" s="74">
        <f t="shared" si="174"/>
        <v>0</v>
      </c>
      <c r="M339" s="74">
        <f t="shared" si="174"/>
        <v>0</v>
      </c>
      <c r="N339" s="74">
        <f t="shared" si="174"/>
        <v>0</v>
      </c>
      <c r="O339" s="74">
        <f t="shared" si="174"/>
        <v>0</v>
      </c>
      <c r="P339" s="74">
        <f t="shared" si="174"/>
        <v>0</v>
      </c>
      <c r="Q339" s="74">
        <f t="shared" si="174"/>
        <v>0</v>
      </c>
      <c r="R339" s="74">
        <f t="shared" si="174"/>
        <v>0</v>
      </c>
      <c r="S339" s="74">
        <f t="shared" si="174"/>
        <v>0</v>
      </c>
      <c r="T339" s="74">
        <f t="shared" si="174"/>
        <v>0</v>
      </c>
      <c r="U339" s="74">
        <f t="shared" si="174"/>
        <v>0</v>
      </c>
      <c r="V339" s="74">
        <f t="shared" si="174"/>
        <v>0</v>
      </c>
      <c r="W339" s="74">
        <f t="shared" si="174"/>
        <v>0</v>
      </c>
      <c r="X339" s="74">
        <f t="shared" si="174"/>
        <v>0</v>
      </c>
      <c r="Y339" s="74">
        <f t="shared" si="174"/>
        <v>0</v>
      </c>
      <c r="Z339" s="74">
        <f t="shared" si="174"/>
        <v>0</v>
      </c>
    </row>
    <row r="340" spans="1:26" outlineLevel="1" x14ac:dyDescent="0.25">
      <c r="A340" s="39" t="str">
        <f t="shared" si="148"/>
        <v>TZCO TZE240</v>
      </c>
      <c r="B340" s="39"/>
      <c r="D340" s="101" t="str">
        <f t="shared" si="175"/>
        <v>Затраты на персонал</v>
      </c>
      <c r="E340" s="9" t="str">
        <f t="shared" si="175"/>
        <v>тыс. руб.</v>
      </c>
      <c r="F340" s="74">
        <f t="shared" si="175"/>
        <v>0</v>
      </c>
      <c r="G340" s="74">
        <f t="shared" si="176"/>
        <v>16496.068072019727</v>
      </c>
      <c r="H340" s="74">
        <f t="shared" si="174"/>
        <v>31224.700279180193</v>
      </c>
      <c r="I340" s="74">
        <f t="shared" si="174"/>
        <v>44375.264749859183</v>
      </c>
      <c r="J340" s="74">
        <f t="shared" si="174"/>
        <v>56116.840170108277</v>
      </c>
      <c r="K340" s="74">
        <f t="shared" si="174"/>
        <v>66600.389652473546</v>
      </c>
      <c r="L340" s="74">
        <f t="shared" si="174"/>
        <v>75960.701690299669</v>
      </c>
      <c r="M340" s="74">
        <f t="shared" si="174"/>
        <v>84318.123152644432</v>
      </c>
      <c r="N340" s="74">
        <f t="shared" si="174"/>
        <v>91780.106601166539</v>
      </c>
      <c r="O340" s="74">
        <f t="shared" si="174"/>
        <v>91780.106601166539</v>
      </c>
      <c r="P340" s="74">
        <f t="shared" si="174"/>
        <v>91780.106601166539</v>
      </c>
      <c r="Q340" s="74">
        <f t="shared" si="174"/>
        <v>91780.106601166539</v>
      </c>
      <c r="R340" s="74">
        <f t="shared" si="174"/>
        <v>91780.106601166539</v>
      </c>
      <c r="S340" s="74">
        <f t="shared" si="174"/>
        <v>91780.106601166539</v>
      </c>
      <c r="T340" s="74">
        <f t="shared" si="174"/>
        <v>91780.106601166539</v>
      </c>
      <c r="U340" s="74">
        <f t="shared" si="174"/>
        <v>91780.106601166539</v>
      </c>
      <c r="V340" s="74">
        <f t="shared" si="174"/>
        <v>91780.106601166539</v>
      </c>
      <c r="W340" s="74">
        <f t="shared" si="174"/>
        <v>91780.106601166539</v>
      </c>
      <c r="X340" s="74">
        <f t="shared" si="174"/>
        <v>91780.106601166539</v>
      </c>
      <c r="Y340" s="74">
        <f t="shared" si="174"/>
        <v>91780.106601166539</v>
      </c>
      <c r="Z340" s="74">
        <f t="shared" si="174"/>
        <v>91780.106601166539</v>
      </c>
    </row>
    <row r="341" spans="1:26" outlineLevel="1" x14ac:dyDescent="0.25">
      <c r="A341" s="39" t="str">
        <f t="shared" si="148"/>
        <v>TZCO TZE240</v>
      </c>
      <c r="B341" s="39"/>
      <c r="D341" s="101" t="str">
        <f t="shared" si="175"/>
        <v>Транспортный налог</v>
      </c>
      <c r="E341" s="9" t="str">
        <f t="shared" si="175"/>
        <v>тыс. руб.</v>
      </c>
      <c r="F341" s="74">
        <f t="shared" si="175"/>
        <v>0</v>
      </c>
      <c r="G341" s="74">
        <f t="shared" si="176"/>
        <v>189.73214285714283</v>
      </c>
      <c r="H341" s="74">
        <f t="shared" si="174"/>
        <v>359.13584183673464</v>
      </c>
      <c r="I341" s="74">
        <f t="shared" si="174"/>
        <v>510.38914449708443</v>
      </c>
      <c r="J341" s="74">
        <f t="shared" si="174"/>
        <v>645.43673615811099</v>
      </c>
      <c r="K341" s="74">
        <f t="shared" si="174"/>
        <v>766.01494299831336</v>
      </c>
      <c r="L341" s="74">
        <f t="shared" si="174"/>
        <v>873.67405624849403</v>
      </c>
      <c r="M341" s="74">
        <f t="shared" si="174"/>
        <v>969.79826450758389</v>
      </c>
      <c r="N341" s="74">
        <f t="shared" si="174"/>
        <v>1055.6234504531999</v>
      </c>
      <c r="O341" s="74">
        <f t="shared" si="174"/>
        <v>1055.6234504531999</v>
      </c>
      <c r="P341" s="74">
        <f t="shared" si="174"/>
        <v>1055.6234504531999</v>
      </c>
      <c r="Q341" s="74">
        <f t="shared" si="174"/>
        <v>1055.6234504531999</v>
      </c>
      <c r="R341" s="74">
        <f t="shared" si="174"/>
        <v>1055.6234504531999</v>
      </c>
      <c r="S341" s="74">
        <f t="shared" si="174"/>
        <v>1055.6234504531999</v>
      </c>
      <c r="T341" s="74">
        <f t="shared" si="174"/>
        <v>1055.6234504531999</v>
      </c>
      <c r="U341" s="74">
        <f t="shared" si="174"/>
        <v>1055.6234504531999</v>
      </c>
      <c r="V341" s="74">
        <f t="shared" si="174"/>
        <v>1055.6234504531999</v>
      </c>
      <c r="W341" s="74">
        <f t="shared" si="174"/>
        <v>1055.6234504531999</v>
      </c>
      <c r="X341" s="74">
        <f t="shared" si="174"/>
        <v>1055.6234504531999</v>
      </c>
      <c r="Y341" s="74">
        <f t="shared" si="174"/>
        <v>1055.6234504531999</v>
      </c>
      <c r="Z341" s="74">
        <f t="shared" si="174"/>
        <v>1055.6234504531999</v>
      </c>
    </row>
    <row r="342" spans="1:26" outlineLevel="1" x14ac:dyDescent="0.25">
      <c r="A342" s="39" t="str">
        <f t="shared" si="148"/>
        <v>TZCO TZE240</v>
      </c>
      <c r="B342" s="39"/>
      <c r="D342" s="101" t="str">
        <f t="shared" si="175"/>
        <v>Налог на прибыль</v>
      </c>
      <c r="E342" s="9" t="str">
        <f t="shared" si="175"/>
        <v>тыс. руб.</v>
      </c>
      <c r="F342" s="74">
        <f t="shared" si="175"/>
        <v>0</v>
      </c>
      <c r="G342" s="74">
        <f t="shared" si="176"/>
        <v>-29362.990359521496</v>
      </c>
      <c r="H342" s="74">
        <f t="shared" si="174"/>
        <v>-61856.791101989511</v>
      </c>
      <c r="I342" s="74">
        <f t="shared" si="174"/>
        <v>-110791.39265530216</v>
      </c>
      <c r="J342" s="74">
        <f t="shared" si="174"/>
        <v>-137425.49977284245</v>
      </c>
      <c r="K342" s="74">
        <f t="shared" si="174"/>
        <v>-157909.2053997523</v>
      </c>
      <c r="L342" s="74">
        <f t="shared" si="174"/>
        <v>-197051.35273275897</v>
      </c>
      <c r="M342" s="74">
        <f t="shared" si="174"/>
        <v>-213153.81766596151</v>
      </c>
      <c r="N342" s="74">
        <f t="shared" si="174"/>
        <v>-230451.26820301925</v>
      </c>
      <c r="O342" s="74">
        <f t="shared" si="174"/>
        <v>-230451.26820301925</v>
      </c>
      <c r="P342" s="74">
        <f t="shared" si="174"/>
        <v>-230451.26820301925</v>
      </c>
      <c r="Q342" s="74">
        <f t="shared" si="174"/>
        <v>-230451.26820301925</v>
      </c>
      <c r="R342" s="74">
        <f t="shared" si="174"/>
        <v>-230451.26820301925</v>
      </c>
      <c r="S342" s="74">
        <f t="shared" si="174"/>
        <v>-230451.26820301925</v>
      </c>
      <c r="T342" s="74">
        <f t="shared" si="174"/>
        <v>-230451.26820301925</v>
      </c>
      <c r="U342" s="74">
        <f t="shared" si="174"/>
        <v>-230451.26820301925</v>
      </c>
      <c r="V342" s="74">
        <f t="shared" si="174"/>
        <v>-230451.26820301925</v>
      </c>
      <c r="W342" s="74">
        <f t="shared" si="174"/>
        <v>-230451.26820301925</v>
      </c>
      <c r="X342" s="74">
        <f t="shared" si="174"/>
        <v>-230451.26820301925</v>
      </c>
      <c r="Y342" s="74">
        <f t="shared" si="174"/>
        <v>-230451.26820301925</v>
      </c>
      <c r="Z342" s="74">
        <f t="shared" si="174"/>
        <v>-230451.26820301925</v>
      </c>
    </row>
    <row r="343" spans="1:26" outlineLevel="1" x14ac:dyDescent="0.25">
      <c r="A343" s="39" t="str">
        <f t="shared" si="148"/>
        <v>TZCO TZE240</v>
      </c>
      <c r="B343" s="39"/>
      <c r="D343" s="101"/>
      <c r="E343" s="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outlineLevel="1" x14ac:dyDescent="0.25">
      <c r="A344" s="39" t="str">
        <f t="shared" si="148"/>
        <v>TZCO TZE240</v>
      </c>
      <c r="B344" s="39"/>
      <c r="D344" s="67" t="s">
        <v>90</v>
      </c>
      <c r="E344" s="68" t="str">
        <f>E325</f>
        <v>тыс. руб.</v>
      </c>
      <c r="F344" s="69">
        <f>F322*'ФОТ, МТР, макро'!AJ$13</f>
        <v>0</v>
      </c>
      <c r="G344" s="69">
        <f>G322*'ФОТ, МТР, макро'!AK$13</f>
        <v>0</v>
      </c>
      <c r="H344" s="69">
        <f>H322*'ФОТ, МТР, макро'!AL$13</f>
        <v>0</v>
      </c>
      <c r="I344" s="69">
        <f>I322*'ФОТ, МТР, макро'!AM$13</f>
        <v>0</v>
      </c>
      <c r="J344" s="69">
        <f>J322*'ФОТ, МТР, макро'!AN$13</f>
        <v>0</v>
      </c>
      <c r="K344" s="69">
        <f>K322*'ФОТ, МТР, макро'!AO$13</f>
        <v>0</v>
      </c>
      <c r="L344" s="69">
        <f>L322*'ФОТ, МТР, макро'!AP$13</f>
        <v>0</v>
      </c>
      <c r="M344" s="69">
        <f>M322*'ФОТ, МТР, макро'!AQ$13</f>
        <v>0</v>
      </c>
      <c r="N344" s="69">
        <f>N322*'ФОТ, МТР, макро'!AR$13</f>
        <v>0</v>
      </c>
      <c r="O344" s="69">
        <f>O322*'ФОТ, МТР, макро'!AS$13</f>
        <v>0</v>
      </c>
      <c r="P344" s="69">
        <f>P322*'ФОТ, МТР, макро'!AT$13</f>
        <v>0</v>
      </c>
      <c r="Q344" s="69">
        <f>Q322*'ФОТ, МТР, макро'!AU$13</f>
        <v>0</v>
      </c>
      <c r="R344" s="69">
        <f>R322*'ФОТ, МТР, макро'!AV$13</f>
        <v>0</v>
      </c>
      <c r="S344" s="69">
        <f>S322*'ФОТ, МТР, макро'!AW$13</f>
        <v>0</v>
      </c>
      <c r="T344" s="69">
        <f>T322*'ФОТ, МТР, макро'!AX$13</f>
        <v>0</v>
      </c>
      <c r="U344" s="69">
        <f>U322*'ФОТ, МТР, макро'!AY$13</f>
        <v>0</v>
      </c>
      <c r="V344" s="69">
        <f>V322*'ФОТ, МТР, макро'!AZ$13</f>
        <v>0</v>
      </c>
      <c r="W344" s="69">
        <f>W322*'ФОТ, МТР, макро'!BA$13</f>
        <v>0</v>
      </c>
      <c r="X344" s="69">
        <f>X322*'ФОТ, МТР, макро'!BB$13</f>
        <v>0</v>
      </c>
      <c r="Y344" s="69">
        <f>Y322*'ФОТ, МТР, макро'!BC$13</f>
        <v>0</v>
      </c>
      <c r="Z344" s="69">
        <f>Z322*'ФОТ, МТР, макро'!BD$13</f>
        <v>0</v>
      </c>
    </row>
    <row r="345" spans="1:26" outlineLevel="1" x14ac:dyDescent="0.25">
      <c r="A345" s="39" t="str">
        <f t="shared" si="148"/>
        <v>TZCO TZE240</v>
      </c>
      <c r="B345" s="39"/>
      <c r="D345" s="101" t="str">
        <f>D323</f>
        <v>Самосвал</v>
      </c>
      <c r="E345" s="9" t="str">
        <f>E344</f>
        <v>тыс. руб.</v>
      </c>
      <c r="F345" s="74">
        <f>F323*'ФОТ, МТР, макро'!AJ$13</f>
        <v>0</v>
      </c>
      <c r="G345" s="74">
        <f>G323*'ФОТ, МТР, макро'!AK$13</f>
        <v>0</v>
      </c>
      <c r="H345" s="74">
        <f>H323*'ФОТ, МТР, макро'!AL$13</f>
        <v>0</v>
      </c>
      <c r="I345" s="74">
        <f>I323*'ФОТ, МТР, макро'!AM$13</f>
        <v>0</v>
      </c>
      <c r="J345" s="74">
        <f>J323*'ФОТ, МТР, макро'!AN$13</f>
        <v>0</v>
      </c>
      <c r="K345" s="74">
        <f>K323*'ФОТ, МТР, макро'!AO$13</f>
        <v>0</v>
      </c>
      <c r="L345" s="74">
        <f>L323*'ФОТ, МТР, макро'!AP$13</f>
        <v>0</v>
      </c>
      <c r="M345" s="74">
        <f>M323*'ФОТ, МТР, макро'!AQ$13</f>
        <v>0</v>
      </c>
      <c r="N345" s="74">
        <f>N323*'ФОТ, МТР, макро'!AR$13</f>
        <v>0</v>
      </c>
      <c r="O345" s="74">
        <f>O323*'ФОТ, МТР, макро'!AS$13</f>
        <v>0</v>
      </c>
      <c r="P345" s="74">
        <f>P323*'ФОТ, МТР, макро'!AT$13</f>
        <v>0</v>
      </c>
      <c r="Q345" s="74">
        <f>Q323*'ФОТ, МТР, макро'!AU$13</f>
        <v>0</v>
      </c>
      <c r="R345" s="74">
        <f>R323*'ФОТ, МТР, макро'!AV$13</f>
        <v>0</v>
      </c>
      <c r="S345" s="74">
        <f>S323*'ФОТ, МТР, макро'!AW$13</f>
        <v>0</v>
      </c>
      <c r="T345" s="74">
        <f>T323*'ФОТ, МТР, макро'!AX$13</f>
        <v>0</v>
      </c>
      <c r="U345" s="74">
        <f>U323*'ФОТ, МТР, макро'!AY$13</f>
        <v>0</v>
      </c>
      <c r="V345" s="74">
        <f>V323*'ФОТ, МТР, макро'!AZ$13</f>
        <v>0</v>
      </c>
      <c r="W345" s="74">
        <f>W323*'ФОТ, МТР, макро'!BA$13</f>
        <v>0</v>
      </c>
      <c r="X345" s="74">
        <f>X323*'ФОТ, МТР, макро'!BB$13</f>
        <v>0</v>
      </c>
      <c r="Y345" s="74">
        <f>Y323*'ФОТ, МТР, макро'!BC$13</f>
        <v>0</v>
      </c>
      <c r="Z345" s="74">
        <f>Z323*'ФОТ, МТР, макро'!BD$13</f>
        <v>0</v>
      </c>
    </row>
    <row r="346" spans="1:26" outlineLevel="1" x14ac:dyDescent="0.25">
      <c r="A346" s="39" t="str">
        <f t="shared" si="148"/>
        <v>TZCO TZE240</v>
      </c>
      <c r="B346" s="39"/>
      <c r="D346" s="104" t="s">
        <v>88</v>
      </c>
      <c r="E346" s="9"/>
      <c r="F346" s="106">
        <f>F344-F345</f>
        <v>0</v>
      </c>
      <c r="G346" s="106">
        <f t="shared" ref="G346:Z346" si="177">G344-G345</f>
        <v>0</v>
      </c>
      <c r="H346" s="106">
        <f t="shared" si="177"/>
        <v>0</v>
      </c>
      <c r="I346" s="106">
        <f t="shared" si="177"/>
        <v>0</v>
      </c>
      <c r="J346" s="106">
        <f t="shared" si="177"/>
        <v>0</v>
      </c>
      <c r="K346" s="106">
        <f t="shared" si="177"/>
        <v>0</v>
      </c>
      <c r="L346" s="106">
        <f t="shared" si="177"/>
        <v>0</v>
      </c>
      <c r="M346" s="106">
        <f t="shared" si="177"/>
        <v>0</v>
      </c>
      <c r="N346" s="106">
        <f t="shared" si="177"/>
        <v>0</v>
      </c>
      <c r="O346" s="106">
        <f t="shared" si="177"/>
        <v>0</v>
      </c>
      <c r="P346" s="106">
        <f t="shared" si="177"/>
        <v>0</v>
      </c>
      <c r="Q346" s="106">
        <f t="shared" si="177"/>
        <v>0</v>
      </c>
      <c r="R346" s="106">
        <f t="shared" si="177"/>
        <v>0</v>
      </c>
      <c r="S346" s="106">
        <f t="shared" si="177"/>
        <v>0</v>
      </c>
      <c r="T346" s="106">
        <f t="shared" si="177"/>
        <v>0</v>
      </c>
      <c r="U346" s="106">
        <f t="shared" si="177"/>
        <v>0</v>
      </c>
      <c r="V346" s="106">
        <f t="shared" si="177"/>
        <v>0</v>
      </c>
      <c r="W346" s="106">
        <f t="shared" si="177"/>
        <v>0</v>
      </c>
      <c r="X346" s="106">
        <f t="shared" si="177"/>
        <v>0</v>
      </c>
      <c r="Y346" s="106">
        <f t="shared" si="177"/>
        <v>0</v>
      </c>
      <c r="Z346" s="106">
        <f t="shared" si="177"/>
        <v>0</v>
      </c>
    </row>
    <row r="347" spans="1:26" outlineLevel="1" x14ac:dyDescent="0.25">
      <c r="A347" s="39" t="str">
        <f t="shared" si="148"/>
        <v>TZCO TZE240</v>
      </c>
      <c r="B347" s="39"/>
      <c r="D347" s="107" t="s">
        <v>91</v>
      </c>
      <c r="E347" s="68" t="str">
        <f>E344</f>
        <v>тыс. руб.</v>
      </c>
      <c r="F347" s="69">
        <f>F344</f>
        <v>0</v>
      </c>
      <c r="G347" s="69">
        <f>F347+G344</f>
        <v>0</v>
      </c>
      <c r="H347" s="69">
        <f t="shared" ref="H347:Z348" si="178">G347+H344</f>
        <v>0</v>
      </c>
      <c r="I347" s="69">
        <f t="shared" si="178"/>
        <v>0</v>
      </c>
      <c r="J347" s="69">
        <f t="shared" si="178"/>
        <v>0</v>
      </c>
      <c r="K347" s="69">
        <f t="shared" si="178"/>
        <v>0</v>
      </c>
      <c r="L347" s="69">
        <f t="shared" si="178"/>
        <v>0</v>
      </c>
      <c r="M347" s="69">
        <f t="shared" si="178"/>
        <v>0</v>
      </c>
      <c r="N347" s="69">
        <f t="shared" si="178"/>
        <v>0</v>
      </c>
      <c r="O347" s="69">
        <f t="shared" si="178"/>
        <v>0</v>
      </c>
      <c r="P347" s="69">
        <f t="shared" si="178"/>
        <v>0</v>
      </c>
      <c r="Q347" s="69">
        <f t="shared" si="178"/>
        <v>0</v>
      </c>
      <c r="R347" s="69">
        <f t="shared" si="178"/>
        <v>0</v>
      </c>
      <c r="S347" s="69">
        <f t="shared" si="178"/>
        <v>0</v>
      </c>
      <c r="T347" s="69">
        <f t="shared" si="178"/>
        <v>0</v>
      </c>
      <c r="U347" s="69">
        <f t="shared" si="178"/>
        <v>0</v>
      </c>
      <c r="V347" s="69">
        <f t="shared" si="178"/>
        <v>0</v>
      </c>
      <c r="W347" s="69">
        <f t="shared" si="178"/>
        <v>0</v>
      </c>
      <c r="X347" s="69">
        <f t="shared" si="178"/>
        <v>0</v>
      </c>
      <c r="Y347" s="69">
        <f t="shared" si="178"/>
        <v>0</v>
      </c>
      <c r="Z347" s="69">
        <f t="shared" si="178"/>
        <v>0</v>
      </c>
    </row>
    <row r="348" spans="1:26" outlineLevel="1" x14ac:dyDescent="0.25">
      <c r="A348" s="39" t="str">
        <f t="shared" si="148"/>
        <v>TZCO TZE240</v>
      </c>
      <c r="B348" s="39"/>
      <c r="D348" s="101" t="str">
        <f>D345</f>
        <v>Самосвал</v>
      </c>
      <c r="E348" s="9" t="str">
        <f>E345</f>
        <v>тыс. руб.</v>
      </c>
      <c r="F348" s="74">
        <f>F345</f>
        <v>0</v>
      </c>
      <c r="G348" s="74">
        <f>F348+G345</f>
        <v>0</v>
      </c>
      <c r="H348" s="74">
        <f t="shared" si="178"/>
        <v>0</v>
      </c>
      <c r="I348" s="74">
        <f t="shared" si="178"/>
        <v>0</v>
      </c>
      <c r="J348" s="74">
        <f t="shared" si="178"/>
        <v>0</v>
      </c>
      <c r="K348" s="74">
        <f t="shared" si="178"/>
        <v>0</v>
      </c>
      <c r="L348" s="74">
        <f t="shared" si="178"/>
        <v>0</v>
      </c>
      <c r="M348" s="74">
        <f t="shared" si="178"/>
        <v>0</v>
      </c>
      <c r="N348" s="74">
        <f t="shared" si="178"/>
        <v>0</v>
      </c>
      <c r="O348" s="74">
        <f t="shared" si="178"/>
        <v>0</v>
      </c>
      <c r="P348" s="74">
        <f t="shared" si="178"/>
        <v>0</v>
      </c>
      <c r="Q348" s="74">
        <f t="shared" si="178"/>
        <v>0</v>
      </c>
      <c r="R348" s="74">
        <f t="shared" si="178"/>
        <v>0</v>
      </c>
      <c r="S348" s="74">
        <f t="shared" si="178"/>
        <v>0</v>
      </c>
      <c r="T348" s="74">
        <f t="shared" si="178"/>
        <v>0</v>
      </c>
      <c r="U348" s="74">
        <f t="shared" si="178"/>
        <v>0</v>
      </c>
      <c r="V348" s="74">
        <f t="shared" si="178"/>
        <v>0</v>
      </c>
      <c r="W348" s="74">
        <f t="shared" si="178"/>
        <v>0</v>
      </c>
      <c r="X348" s="74">
        <f t="shared" si="178"/>
        <v>0</v>
      </c>
      <c r="Y348" s="74">
        <f t="shared" si="178"/>
        <v>0</v>
      </c>
      <c r="Z348" s="74">
        <f t="shared" si="178"/>
        <v>0</v>
      </c>
    </row>
    <row r="349" spans="1:26" outlineLevel="1" x14ac:dyDescent="0.25">
      <c r="A349" s="39" t="str">
        <f t="shared" si="148"/>
        <v>TZCO TZE240</v>
      </c>
      <c r="B349" s="39"/>
      <c r="D349" s="101"/>
      <c r="E349" s="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outlineLevel="1" x14ac:dyDescent="0.25">
      <c r="A350" s="39" t="str">
        <f t="shared" si="148"/>
        <v>TZCO TZE240</v>
      </c>
      <c r="B350" s="39"/>
      <c r="D350" s="67" t="s">
        <v>92</v>
      </c>
      <c r="E350" s="68" t="str">
        <f>E325</f>
        <v>тыс. руб.</v>
      </c>
      <c r="F350" s="69">
        <f>F325*'ФОТ, МТР, макро'!AJ$13</f>
        <v>0</v>
      </c>
      <c r="G350" s="69">
        <f>G325*'ФОТ, МТР, макро'!AK$13</f>
        <v>88088.971078564486</v>
      </c>
      <c r="H350" s="69">
        <f>H325*'ФОТ, МТР, макро'!AL$13</f>
        <v>97481.402227404047</v>
      </c>
      <c r="I350" s="69">
        <f>I325*'ФОТ, МТР, макро'!AM$13</f>
        <v>146803.80465993797</v>
      </c>
      <c r="J350" s="69">
        <f>J325*'ФОТ, МТР, макро'!AN$13</f>
        <v>79902.3213526209</v>
      </c>
      <c r="K350" s="69">
        <f>K325*'ФОТ, МТР, макро'!AO$13</f>
        <v>61451.116880729605</v>
      </c>
      <c r="L350" s="69">
        <f>L325*'ФОТ, МТР, макро'!AP$13</f>
        <v>117426.44199902</v>
      </c>
      <c r="M350" s="69">
        <f>M325*'ФОТ, МТР, макро'!AQ$13</f>
        <v>48307.394799607631</v>
      </c>
      <c r="N350" s="69">
        <f>N325*'ФОТ, МТР, макро'!AR$13</f>
        <v>51892.351611173253</v>
      </c>
      <c r="O350" s="69">
        <f>O325*'ФОТ, МТР, макро'!AS$13</f>
        <v>0</v>
      </c>
      <c r="P350" s="69">
        <f>P325*'ФОТ, МТР, макро'!AT$13</f>
        <v>0</v>
      </c>
      <c r="Q350" s="69">
        <f>Q325*'ФОТ, МТР, макро'!AU$13</f>
        <v>0</v>
      </c>
      <c r="R350" s="69">
        <f>R325*'ФОТ, МТР, макро'!AV$13</f>
        <v>0</v>
      </c>
      <c r="S350" s="69">
        <f>S325*'ФОТ, МТР, макро'!AW$13</f>
        <v>0</v>
      </c>
      <c r="T350" s="69">
        <f>T325*'ФОТ, МТР, макро'!AX$13</f>
        <v>0</v>
      </c>
      <c r="U350" s="69">
        <f>U325*'ФОТ, МТР, макро'!AY$13</f>
        <v>0</v>
      </c>
      <c r="V350" s="69">
        <f>V325*'ФОТ, МТР, макро'!AZ$13</f>
        <v>0</v>
      </c>
      <c r="W350" s="69">
        <f>W325*'ФОТ, МТР, макро'!BA$13</f>
        <v>0</v>
      </c>
      <c r="X350" s="69">
        <f>X325*'ФОТ, МТР, макро'!BB$13</f>
        <v>0</v>
      </c>
      <c r="Y350" s="69">
        <f>Y325*'ФОТ, МТР, макро'!BC$13</f>
        <v>0</v>
      </c>
      <c r="Z350" s="69">
        <f>Z325*'ФОТ, МТР, макро'!BD$13</f>
        <v>0</v>
      </c>
    </row>
    <row r="351" spans="1:26" outlineLevel="1" x14ac:dyDescent="0.25">
      <c r="A351" s="39" t="str">
        <f t="shared" si="148"/>
        <v>TZCO TZE240</v>
      </c>
      <c r="B351" s="39"/>
      <c r="D351" s="107" t="s">
        <v>93</v>
      </c>
      <c r="E351" s="68" t="str">
        <f>E350</f>
        <v>тыс. руб.</v>
      </c>
      <c r="F351" s="69">
        <f>F350</f>
        <v>0</v>
      </c>
      <c r="G351" s="69">
        <f>F351+G350</f>
        <v>88088.971078564486</v>
      </c>
      <c r="H351" s="69">
        <f t="shared" ref="H351:Z351" si="179">G351+H350</f>
        <v>185570.37330596853</v>
      </c>
      <c r="I351" s="69">
        <f t="shared" si="179"/>
        <v>332374.17796590651</v>
      </c>
      <c r="J351" s="69">
        <f t="shared" si="179"/>
        <v>412276.49931852741</v>
      </c>
      <c r="K351" s="69">
        <f t="shared" si="179"/>
        <v>473727.61619925703</v>
      </c>
      <c r="L351" s="69">
        <f t="shared" si="179"/>
        <v>591154.05819827702</v>
      </c>
      <c r="M351" s="69">
        <f t="shared" si="179"/>
        <v>639461.45299788471</v>
      </c>
      <c r="N351" s="69">
        <f t="shared" si="179"/>
        <v>691353.80460905796</v>
      </c>
      <c r="O351" s="69">
        <f t="shared" si="179"/>
        <v>691353.80460905796</v>
      </c>
      <c r="P351" s="69">
        <f t="shared" si="179"/>
        <v>691353.80460905796</v>
      </c>
      <c r="Q351" s="69">
        <f t="shared" si="179"/>
        <v>691353.80460905796</v>
      </c>
      <c r="R351" s="69">
        <f t="shared" si="179"/>
        <v>691353.80460905796</v>
      </c>
      <c r="S351" s="69">
        <f t="shared" si="179"/>
        <v>691353.80460905796</v>
      </c>
      <c r="T351" s="69">
        <f t="shared" si="179"/>
        <v>691353.80460905796</v>
      </c>
      <c r="U351" s="69">
        <f t="shared" si="179"/>
        <v>691353.80460905796</v>
      </c>
      <c r="V351" s="69">
        <f t="shared" si="179"/>
        <v>691353.80460905796</v>
      </c>
      <c r="W351" s="69">
        <f t="shared" si="179"/>
        <v>691353.80460905796</v>
      </c>
      <c r="X351" s="69">
        <f t="shared" si="179"/>
        <v>691353.80460905796</v>
      </c>
      <c r="Y351" s="69">
        <f t="shared" si="179"/>
        <v>691353.80460905796</v>
      </c>
      <c r="Z351" s="69">
        <f t="shared" si="179"/>
        <v>691353.80460905796</v>
      </c>
    </row>
    <row r="352" spans="1:26" outlineLevel="1" x14ac:dyDescent="0.25">
      <c r="A352" s="39" t="str">
        <f t="shared" ref="A352:A374" si="180">A351</f>
        <v>TZCO TZE240</v>
      </c>
      <c r="B352" s="39"/>
      <c r="D352" s="101"/>
      <c r="E352" s="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9" outlineLevel="1" x14ac:dyDescent="0.25">
      <c r="A353" s="39" t="str">
        <f t="shared" si="180"/>
        <v>TZCO TZE240</v>
      </c>
      <c r="B353" s="39" t="str">
        <f>D353</f>
        <v>Аннуитет операционный</v>
      </c>
      <c r="C353" s="61">
        <f>E284</f>
        <v>8</v>
      </c>
      <c r="D353" s="108" t="s">
        <v>94</v>
      </c>
      <c r="E353" s="109" t="s">
        <v>95</v>
      </c>
      <c r="F353" s="110"/>
      <c r="G353" s="111">
        <f>G335/'ФОТ, МТР, макро'!AK$14/(G291/G286)</f>
        <v>8.9296953562822186</v>
      </c>
      <c r="H353" s="111">
        <f>H335/'ФОТ, МТР, макро'!AL$14/(H291/H286)</f>
        <v>9.912621548497512</v>
      </c>
      <c r="I353" s="111">
        <f>I335/'ФОТ, МТР, макро'!AM$14/(I291/I286)</f>
        <v>12.770544610235628</v>
      </c>
      <c r="J353" s="111">
        <f>J335/'ФОТ, МТР, макро'!AN$14/(J291/J286)</f>
        <v>12.280045069910225</v>
      </c>
      <c r="K353" s="111">
        <f>K335/'ФОТ, МТР, макро'!AO$14/(K291/K286)</f>
        <v>11.540313179014785</v>
      </c>
      <c r="L353" s="111">
        <f>L335/'ФОТ, МТР, макро'!AP$14/(L291/L286)</f>
        <v>12.746495246115716</v>
      </c>
      <c r="M353" s="111">
        <f>M335/'ФОТ, МТР, макро'!AQ$14/(M291/M286)</f>
        <v>12.238171110742918</v>
      </c>
      <c r="N353" s="111">
        <f>N335/'ФОТ, МТР, макро'!AR$14/(N291/N286)</f>
        <v>12.058796115302989</v>
      </c>
      <c r="O353" s="111">
        <f>O335/'ФОТ, МТР, макро'!AS$14/(O291/O286)</f>
        <v>12.648003968650002</v>
      </c>
      <c r="P353" s="111">
        <f>P335/'ФОТ, МТР, макро'!AT$14/(P291/P286)</f>
        <v>13.25252003800677</v>
      </c>
      <c r="Q353" s="111">
        <f>Q335/'ФОТ, МТР, макро'!AU$14/(Q291/Q286)</f>
        <v>13.87198331464295</v>
      </c>
      <c r="R353" s="111">
        <f>R335/'ФОТ, МТР, макро'!AV$14/(R291/R286)</f>
        <v>14.506006484822153</v>
      </c>
      <c r="S353" s="111">
        <f>S335/'ФОТ, МТР, макро'!AW$14/(S291/S286)</f>
        <v>15.154178932941889</v>
      </c>
      <c r="T353" s="111">
        <f>T335/'ФОТ, МТР, макро'!AX$14/(T291/T286)</f>
        <v>15.816069818277283</v>
      </c>
      <c r="U353" s="111">
        <f>U335/'ФОТ, МТР, макро'!AY$14/(U291/U286)</f>
        <v>16.491231183437648</v>
      </c>
      <c r="V353" s="111">
        <f>V335/'ФОТ, МТР, макро'!AZ$14/(V291/V286)</f>
        <v>17.179201054576879</v>
      </c>
      <c r="W353" s="111">
        <f>W335/'ФОТ, МТР, макро'!BA$14/(W291/W286)</f>
        <v>17.879506496051302</v>
      </c>
      <c r="X353" s="111">
        <f>X335/'ФОТ, МТР, макро'!BB$14/(X291/X286)</f>
        <v>18.591666585465934</v>
      </c>
      <c r="Y353" s="111">
        <f>Y335/'ФОТ, МТР, макро'!BC$14/(Y291/Y286)</f>
        <v>19.315195278759564</v>
      </c>
      <c r="Z353" s="111">
        <f>Z335/'ФОТ, МТР, макро'!BD$14/(Z291/Z286)</f>
        <v>20.04960413901323</v>
      </c>
      <c r="AC353" s="112" cm="1">
        <f t="array" ref="AC353">INDEX(G353:Z353,1,$C353)</f>
        <v>12.058796115302989</v>
      </c>
    </row>
    <row r="354" spans="1:29" outlineLevel="1" x14ac:dyDescent="0.25">
      <c r="A354" s="39" t="str">
        <f t="shared" si="180"/>
        <v>TZCO TZE240</v>
      </c>
      <c r="B354" s="39" t="str">
        <f t="shared" ref="B354:B363" si="181">D354</f>
        <v>ТО, ТР, ППР</v>
      </c>
      <c r="C354" s="39">
        <f>C353</f>
        <v>8</v>
      </c>
      <c r="D354" s="113" t="str">
        <f>D336</f>
        <v>ТО, ТР, ППР</v>
      </c>
      <c r="E354" s="114" t="str">
        <f>E353</f>
        <v>руб/ткм</v>
      </c>
      <c r="F354" s="115"/>
      <c r="G354" s="116">
        <f>G336/'ФОТ, МТР, макро'!AK$14/(G291/G286)</f>
        <v>2.5480491294530063</v>
      </c>
      <c r="H354" s="116">
        <f>H336/'ФОТ, МТР, макро'!AL$14/(H291/H286)</f>
        <v>3.8640788074844949</v>
      </c>
      <c r="I354" s="116">
        <f>I336/'ФОТ, МТР, макро'!AM$14/(I291/I286)</f>
        <v>7.6179373724598332</v>
      </c>
      <c r="J354" s="116">
        <f>J336/'ФОТ, МТР, макро'!AN$14/(J291/J286)</f>
        <v>7.0264582954636357</v>
      </c>
      <c r="K354" s="116">
        <f>K336/'ФОТ, МТР, макро'!AO$14/(K291/K286)</f>
        <v>6.135783140944385</v>
      </c>
      <c r="L354" s="116">
        <f>L336/'ФОТ, МТР, макро'!AP$14/(L291/L286)</f>
        <v>7.7028964130618993</v>
      </c>
      <c r="M354" s="116">
        <f>M336/'ФОТ, МТР, макро'!AQ$14/(M291/M286)</f>
        <v>7.0807256127206779</v>
      </c>
      <c r="N354" s="116">
        <f>N336/'ФОТ, МТР, макро'!AR$14/(N291/N286)</f>
        <v>6.8703769196040945</v>
      </c>
      <c r="O354" s="116">
        <f>O336/'ФОТ, МТР, макро'!AS$14/(O291/O286)</f>
        <v>7.2060721248118229</v>
      </c>
      <c r="P354" s="116">
        <f>P336/'ФОТ, МТР, макро'!AT$14/(P291/P286)</f>
        <v>7.5504890310042994</v>
      </c>
      <c r="Q354" s="116">
        <f>Q336/'ФОТ, МТР, макро'!AU$14/(Q291/Q286)</f>
        <v>7.9034219571147784</v>
      </c>
      <c r="R354" s="116">
        <f>R336/'ФОТ, МТР, макро'!AV$14/(R291/R286)</f>
        <v>8.2646502350658029</v>
      </c>
      <c r="S354" s="116">
        <f>S336/'ФОТ, МТР, макро'!AW$14/(S291/S286)</f>
        <v>8.6339399207777845</v>
      </c>
      <c r="T354" s="116">
        <f>T336/'ФОТ, МТР, макро'!AX$14/(T291/T286)</f>
        <v>9.0110455471125555</v>
      </c>
      <c r="U354" s="116">
        <f>U336/'ФОТ, МТР, макро'!AY$14/(U291/U286)</f>
        <v>9.3957118948850002</v>
      </c>
      <c r="V354" s="116">
        <f>V336/'ФОТ, МТР, макро'!AZ$14/(V291/V286)</f>
        <v>9.7876757591765422</v>
      </c>
      <c r="W354" s="116">
        <f>W336/'ФОТ, МТР, макро'!BA$14/(W291/W286)</f>
        <v>10.186667689695481</v>
      </c>
      <c r="X354" s="116">
        <f>X336/'ФОТ, МТР, макро'!BB$14/(X291/X286)</f>
        <v>10.59241368577948</v>
      </c>
      <c r="Y354" s="116">
        <f>Y336/'ФОТ, МТР, макро'!BC$14/(Y291/Y286)</f>
        <v>11.004636828748755</v>
      </c>
      <c r="Z354" s="116">
        <f>Z336/'ФОТ, МТР, макро'!BD$14/(Z291/Z286)</f>
        <v>11.423058836617054</v>
      </c>
      <c r="AC354" s="117" cm="1">
        <f t="array" ref="AC354">INDEX(G354:Z354,1,$C354)</f>
        <v>6.8703769196040945</v>
      </c>
    </row>
    <row r="355" spans="1:29" outlineLevel="1" x14ac:dyDescent="0.25">
      <c r="A355" s="39" t="str">
        <f t="shared" si="180"/>
        <v>TZCO TZE240</v>
      </c>
      <c r="B355" s="39" t="str">
        <f t="shared" si="181"/>
        <v>Шины</v>
      </c>
      <c r="C355" s="39">
        <f t="shared" ref="C355:C363" si="182">C354</f>
        <v>8</v>
      </c>
      <c r="D355" s="113" t="str">
        <f t="shared" ref="D355:D360" si="183">D337</f>
        <v>Шины</v>
      </c>
      <c r="E355" s="114" t="str">
        <f t="shared" ref="E355:E360" si="184">E354</f>
        <v>руб/ткм</v>
      </c>
      <c r="F355" s="115"/>
      <c r="G355" s="116">
        <f>G337/'ФОТ, МТР, макро'!AK$14/(G291/G286)</f>
        <v>1.7250469834214777</v>
      </c>
      <c r="H355" s="116">
        <f>H337/'ФОТ, МТР, макро'!AL$14/(H291/H286)</f>
        <v>1.7247960806184006</v>
      </c>
      <c r="I355" s="116">
        <f>I337/'ФОТ, МТР, макро'!AM$14/(I291/I286)</f>
        <v>1.7291196569945753</v>
      </c>
      <c r="J355" s="116">
        <f>J337/'ФОТ, МТР, макро'!AN$14/(J291/J286)</f>
        <v>1.722677097076579</v>
      </c>
      <c r="K355" s="116">
        <f>K337/'ФОТ, МТР, макро'!AO$14/(K291/K286)</f>
        <v>1.7123256981458193</v>
      </c>
      <c r="L355" s="116">
        <f>L337/'ФОТ, МТР, макро'!AP$14/(L291/L286)</f>
        <v>1.7180660071902358</v>
      </c>
      <c r="M355" s="116">
        <f>M337/'ФОТ, МТР, макро'!AQ$14/(M291/M286)</f>
        <v>1.7110573432669716</v>
      </c>
      <c r="N355" s="116">
        <f>N337/'ФОТ, МТР, макро'!AR$14/(N291/N286)</f>
        <v>1.707496716610243</v>
      </c>
      <c r="O355" s="116">
        <f>O337/'ФОТ, МТР, макро'!AS$14/(O291/O286)</f>
        <v>1.7909271407895073</v>
      </c>
      <c r="P355" s="116">
        <f>P337/'ФОТ, МТР, макро'!AT$14/(P291/P286)</f>
        <v>1.8765251717782645</v>
      </c>
      <c r="Q355" s="116">
        <f>Q337/'ФОТ, МТР, макро'!AU$14/(Q291/Q286)</f>
        <v>1.9642396916028937</v>
      </c>
      <c r="R355" s="116">
        <f>R337/'ФОТ, МТР, макро'!AV$14/(R291/R286)</f>
        <v>2.054015857563769</v>
      </c>
      <c r="S355" s="116">
        <f>S337/'ФОТ, МТР, макро'!AW$14/(S291/S286)</f>
        <v>2.1457955274727052</v>
      </c>
      <c r="T355" s="116">
        <f>T337/'ФОТ, МТР, макро'!AX$14/(T291/T286)</f>
        <v>2.2395176953125122</v>
      </c>
      <c r="U355" s="116">
        <f>U337/'ФОТ, МТР, макро'!AY$14/(U291/U286)</f>
        <v>2.3351189313870173</v>
      </c>
      <c r="V355" s="116">
        <f>V337/'ФОТ, МТР, макро'!AZ$14/(V291/V286)</f>
        <v>2.4325338213034557</v>
      </c>
      <c r="W355" s="116">
        <f>W337/'ФОТ, МТР, макро'!BA$14/(W291/W286)</f>
        <v>2.5316953985047146</v>
      </c>
      <c r="X355" s="116">
        <f>X337/'ФОТ, МТР, макро'!BB$14/(X291/X286)</f>
        <v>2.6325355655287832</v>
      </c>
      <c r="Y355" s="116">
        <f>Y337/'ФОТ, МТР, макро'!BC$14/(Y291/Y286)</f>
        <v>2.7349854996979479</v>
      </c>
      <c r="Z355" s="116">
        <f>Z337/'ФОТ, МТР, макро'!BD$14/(Z291/Z286)</f>
        <v>2.8389760395115569</v>
      </c>
      <c r="AC355" s="117" cm="1">
        <f t="array" ref="AC355">INDEX(G355:Z355,1,$C355)</f>
        <v>1.707496716610243</v>
      </c>
    </row>
    <row r="356" spans="1:29" outlineLevel="1" x14ac:dyDescent="0.25">
      <c r="A356" s="39" t="str">
        <f t="shared" si="180"/>
        <v>TZCO TZE240</v>
      </c>
      <c r="B356" s="39" t="str">
        <f t="shared" si="181"/>
        <v>Топливо</v>
      </c>
      <c r="C356" s="39">
        <f t="shared" si="182"/>
        <v>8</v>
      </c>
      <c r="D356" s="113" t="str">
        <f t="shared" si="183"/>
        <v>Топливо</v>
      </c>
      <c r="E356" s="114" t="str">
        <f t="shared" si="184"/>
        <v>руб/ткм</v>
      </c>
      <c r="F356" s="115"/>
      <c r="G356" s="116">
        <f>G338/'ФОТ, МТР, макро'!AK$14/(G291/G286)</f>
        <v>5.941702753861688</v>
      </c>
      <c r="H356" s="116">
        <f>H338/'ФОТ, МТР, макро'!AL$14/(H291/H286)</f>
        <v>5.9408385513846991</v>
      </c>
      <c r="I356" s="116">
        <f>I338/'ФОТ, МТР, макро'!AM$14/(I291/I286)</f>
        <v>5.9557305548534352</v>
      </c>
      <c r="J356" s="116">
        <f>J338/'ФОТ, МТР, макро'!AN$14/(J291/J286)</f>
        <v>5.9335399847561785</v>
      </c>
      <c r="K356" s="116">
        <f>K338/'ФОТ, МТР, макро'!AO$14/(K291/K286)</f>
        <v>5.8978859207658596</v>
      </c>
      <c r="L356" s="116">
        <f>L338/'ФОТ, МТР, макро'!AP$14/(L291/L286)</f>
        <v>5.9176576779324819</v>
      </c>
      <c r="M356" s="116">
        <f>M338/'ФОТ, МТР, макро'!AQ$14/(M291/M286)</f>
        <v>5.8935172353045644</v>
      </c>
      <c r="N356" s="116">
        <f>N338/'ФОТ, МТР, макро'!AR$14/(N291/N286)</f>
        <v>5.8812531141443403</v>
      </c>
      <c r="O356" s="116">
        <f>O338/'ФОТ, МТР, макро'!AS$14/(O291/O286)</f>
        <v>6.1686184936765374</v>
      </c>
      <c r="P356" s="116">
        <f>P338/'ФОТ, МТР, макро'!AT$14/(P291/P286)</f>
        <v>6.4634499164371366</v>
      </c>
      <c r="Q356" s="116">
        <f>Q338/'ФОТ, МТР, макро'!AU$14/(Q291/Q286)</f>
        <v>6.7655713131320558</v>
      </c>
      <c r="R356" s="116">
        <f>R338/'ФОТ, МТР, макро'!AV$14/(R291/R286)</f>
        <v>7.074793785126924</v>
      </c>
      <c r="S356" s="116">
        <f>S338/'ФОТ, МТР, макро'!AW$14/(S291/S286)</f>
        <v>7.390917069122839</v>
      </c>
      <c r="T356" s="116">
        <f>T338/'ФОТ, МТР, макро'!AX$14/(T291/T286)</f>
        <v>7.7137310377297483</v>
      </c>
      <c r="U356" s="116">
        <f>U338/'ФОТ, МТР, макро'!AY$14/(U291/U286)</f>
        <v>8.043017215506671</v>
      </c>
      <c r="V356" s="116">
        <f>V338/'ФОТ, МТР, макро'!AZ$14/(V291/V286)</f>
        <v>8.3785502909801384</v>
      </c>
      <c r="W356" s="116">
        <f>W338/'ФОТ, МТР, макро'!BA$14/(W291/W286)</f>
        <v>8.7200996064459613</v>
      </c>
      <c r="X356" s="116">
        <f>X338/'ФОТ, МТР, макро'!BB$14/(X291/X286)</f>
        <v>9.0674306089432939</v>
      </c>
      <c r="Y356" s="116">
        <f>Y338/'ФОТ, МТР, макро'!BC$14/(Y291/Y286)</f>
        <v>9.420306247598953</v>
      </c>
      <c r="Z356" s="116">
        <f>Z338/'ФОТ, МТР, макро'!BD$14/(Z291/Z286)</f>
        <v>9.77848830450767</v>
      </c>
      <c r="AC356" s="117" cm="1">
        <f t="array" ref="AC356">INDEX(G356:Z356,1,$C356)</f>
        <v>5.8812531141443403</v>
      </c>
    </row>
    <row r="357" spans="1:29" outlineLevel="1" x14ac:dyDescent="0.25">
      <c r="A357" s="39" t="str">
        <f t="shared" si="180"/>
        <v>TZCO TZE240</v>
      </c>
      <c r="B357" s="39" t="str">
        <f t="shared" si="181"/>
        <v>Смазочные</v>
      </c>
      <c r="C357" s="39">
        <f t="shared" si="182"/>
        <v>8</v>
      </c>
      <c r="D357" s="113" t="str">
        <f t="shared" si="183"/>
        <v>Смазочные</v>
      </c>
      <c r="E357" s="114" t="str">
        <f t="shared" si="184"/>
        <v>руб/ткм</v>
      </c>
      <c r="F357" s="115"/>
      <c r="G357" s="116">
        <f>G339/'ФОТ, МТР, макро'!AK$14/(G291/G286)</f>
        <v>0</v>
      </c>
      <c r="H357" s="116">
        <f>H339/'ФОТ, МТР, макро'!AL$14/(H291/H286)</f>
        <v>0</v>
      </c>
      <c r="I357" s="116">
        <f>I339/'ФОТ, МТР, макро'!AM$14/(I291/I286)</f>
        <v>0</v>
      </c>
      <c r="J357" s="116">
        <f>J339/'ФОТ, МТР, макро'!AN$14/(J291/J286)</f>
        <v>0</v>
      </c>
      <c r="K357" s="116">
        <f>K339/'ФОТ, МТР, макро'!AO$14/(K291/K286)</f>
        <v>0</v>
      </c>
      <c r="L357" s="116">
        <f>L339/'ФОТ, МТР, макро'!AP$14/(L291/L286)</f>
        <v>0</v>
      </c>
      <c r="M357" s="116">
        <f>M339/'ФОТ, МТР, макро'!AQ$14/(M291/M286)</f>
        <v>0</v>
      </c>
      <c r="N357" s="116">
        <f>N339/'ФОТ, МТР, макро'!AR$14/(N291/N286)</f>
        <v>0</v>
      </c>
      <c r="O357" s="116">
        <f>O339/'ФОТ, МТР, макро'!AS$14/(O291/O286)</f>
        <v>0</v>
      </c>
      <c r="P357" s="116">
        <f>P339/'ФОТ, МТР, макро'!AT$14/(P291/P286)</f>
        <v>0</v>
      </c>
      <c r="Q357" s="116">
        <f>Q339/'ФОТ, МТР, макро'!AU$14/(Q291/Q286)</f>
        <v>0</v>
      </c>
      <c r="R357" s="116">
        <f>R339/'ФОТ, МТР, макро'!AV$14/(R291/R286)</f>
        <v>0</v>
      </c>
      <c r="S357" s="116">
        <f>S339/'ФОТ, МТР, макро'!AW$14/(S291/S286)</f>
        <v>0</v>
      </c>
      <c r="T357" s="116">
        <f>T339/'ФОТ, МТР, макро'!AX$14/(T291/T286)</f>
        <v>0</v>
      </c>
      <c r="U357" s="116">
        <f>U339/'ФОТ, МТР, макро'!AY$14/(U291/U286)</f>
        <v>0</v>
      </c>
      <c r="V357" s="116">
        <f>V339/'ФОТ, МТР, макро'!AZ$14/(V291/V286)</f>
        <v>0</v>
      </c>
      <c r="W357" s="116">
        <f>W339/'ФОТ, МТР, макро'!BA$14/(W291/W286)</f>
        <v>0</v>
      </c>
      <c r="X357" s="116">
        <f>X339/'ФОТ, МТР, макро'!BB$14/(X291/X286)</f>
        <v>0</v>
      </c>
      <c r="Y357" s="116">
        <f>Y339/'ФОТ, МТР, макро'!BC$14/(Y291/Y286)</f>
        <v>0</v>
      </c>
      <c r="Z357" s="116">
        <f>Z339/'ФОТ, МТР, макро'!BD$14/(Z291/Z286)</f>
        <v>0</v>
      </c>
      <c r="AC357" s="117" cm="1">
        <f t="array" ref="AC357">INDEX(G357:Z357,1,$C357)</f>
        <v>0</v>
      </c>
    </row>
    <row r="358" spans="1:29" outlineLevel="1" x14ac:dyDescent="0.25">
      <c r="A358" s="39" t="str">
        <f t="shared" si="180"/>
        <v>TZCO TZE240</v>
      </c>
      <c r="B358" s="39" t="str">
        <f t="shared" si="181"/>
        <v>Затраты на персонал</v>
      </c>
      <c r="C358" s="39">
        <f t="shared" si="182"/>
        <v>8</v>
      </c>
      <c r="D358" s="113" t="str">
        <f t="shared" si="183"/>
        <v>Затраты на персонал</v>
      </c>
      <c r="E358" s="114" t="str">
        <f t="shared" si="184"/>
        <v>руб/ткм</v>
      </c>
      <c r="F358" s="115"/>
      <c r="G358" s="116">
        <f>G340/'ФОТ, МТР, макро'!AK$14/(G291/G286)</f>
        <v>1.6722282103653157</v>
      </c>
      <c r="H358" s="116">
        <f>H340/'ФОТ, МТР, макро'!AL$14/(H291/H286)</f>
        <v>1.6679313153207025</v>
      </c>
      <c r="I358" s="116">
        <f>I340/'ФОТ, МТР, макро'!AM$14/(I291/I286)</f>
        <v>1.7049949594376208</v>
      </c>
      <c r="J358" s="116">
        <f>J340/'ФОТ, МТР, макро'!AN$14/(J291/J286)</f>
        <v>1.6714931062259308</v>
      </c>
      <c r="K358" s="116">
        <f>K340/'ФОТ, МТР, макро'!AO$14/(K291/K286)</f>
        <v>1.6224288560595124</v>
      </c>
      <c r="L358" s="116">
        <f>L340/'ФОТ, МТР, макро'!AP$14/(L291/L286)</f>
        <v>1.6378686901651398</v>
      </c>
      <c r="M358" s="116">
        <f>M340/'ФОТ, МТР, макро'!AQ$14/(M291/M286)</f>
        <v>1.613701051159639</v>
      </c>
      <c r="N358" s="116">
        <f>N340/'ФОТ, МТР, макро'!AR$14/(N291/N286)</f>
        <v>1.6008555757787188</v>
      </c>
      <c r="O358" s="116">
        <f>O340/'ФОТ, МТР, макро'!AS$14/(O291/O286)</f>
        <v>1.6790753805008651</v>
      </c>
      <c r="P358" s="116">
        <f>P340/'ФОТ, МТР, макро'!AT$14/(P291/P286)</f>
        <v>1.7593274148685012</v>
      </c>
      <c r="Q358" s="116">
        <f>Q340/'ФОТ, МТР, макро'!AU$14/(Q291/Q286)</f>
        <v>1.8415637534640867</v>
      </c>
      <c r="R358" s="116">
        <f>R340/'ФОТ, МТР, макро'!AV$14/(R291/R286)</f>
        <v>1.9257329787706023</v>
      </c>
      <c r="S358" s="116">
        <f>S340/'ФОТ, МТР, макро'!AW$14/(S291/S286)</f>
        <v>2.0117805798509321</v>
      </c>
      <c r="T358" s="116">
        <f>T340/'ФОТ, МТР, макро'!AX$14/(T291/T286)</f>
        <v>2.0996493607984457</v>
      </c>
      <c r="U358" s="116">
        <f>U340/'ФОТ, МТР, макро'!AY$14/(U291/U286)</f>
        <v>2.1892798533975966</v>
      </c>
      <c r="V358" s="116">
        <f>V340/'ФОТ, МТР, макро'!AZ$14/(V291/V286)</f>
        <v>2.2806107286898136</v>
      </c>
      <c r="W358" s="116">
        <f>W340/'ФОТ, МТР, макро'!BA$14/(W291/W286)</f>
        <v>2.3735792024920874</v>
      </c>
      <c r="X358" s="116">
        <f>X340/'ФОТ, МТР, макро'!BB$14/(X291/X286)</f>
        <v>2.4681214303467987</v>
      </c>
      <c r="Y358" s="116">
        <f>Y340/'ФОТ, МТР, макро'!BC$14/(Y291/Y286)</f>
        <v>2.5641728878737342</v>
      </c>
      <c r="Z358" s="116">
        <f>Z340/'ФОТ, МТР, макро'!BD$14/(Z291/Z286)</f>
        <v>2.6616687330308135</v>
      </c>
      <c r="AC358" s="117" cm="1">
        <f t="array" ref="AC358">INDEX(G358:Z358,1,$C358)</f>
        <v>1.6008555757787188</v>
      </c>
    </row>
    <row r="359" spans="1:29" outlineLevel="1" x14ac:dyDescent="0.25">
      <c r="A359" s="39" t="str">
        <f t="shared" si="180"/>
        <v>TZCO TZE240</v>
      </c>
      <c r="B359" s="39" t="str">
        <f t="shared" si="181"/>
        <v>Транспортный налог</v>
      </c>
      <c r="C359" s="39">
        <f t="shared" si="182"/>
        <v>8</v>
      </c>
      <c r="D359" s="113" t="str">
        <f t="shared" si="183"/>
        <v>Транспортный налог</v>
      </c>
      <c r="E359" s="114" t="str">
        <f t="shared" si="184"/>
        <v>руб/ткм</v>
      </c>
      <c r="F359" s="115"/>
      <c r="G359" s="116">
        <f>G341/'ФОТ, МТР, макро'!AK$14/(G291/G286)</f>
        <v>1.9233397941472618E-2</v>
      </c>
      <c r="H359" s="116">
        <f>H341/'ФОТ, МТР, макро'!AL$14/(H291/H286)</f>
        <v>1.9183976521720509E-2</v>
      </c>
      <c r="I359" s="116">
        <f>I341/'ФОТ, МТР, макро'!AM$14/(I291/I286)</f>
        <v>1.9610269902039738E-2</v>
      </c>
      <c r="J359" s="116">
        <f>J341/'ФОТ, МТР, макро'!AN$14/(J291/J286)</f>
        <v>1.9224943024641544E-2</v>
      </c>
      <c r="K359" s="116">
        <f>K341/'ФОТ, МТР, макро'!AO$14/(K291/K286)</f>
        <v>1.8660622770802184E-2</v>
      </c>
      <c r="L359" s="116">
        <f>L341/'ФОТ, МТР, макро'!AP$14/(L291/L286)</f>
        <v>1.8838206471198545E-2</v>
      </c>
      <c r="M359" s="116">
        <f>M341/'ФОТ, МТР, макро'!AQ$14/(M291/M286)</f>
        <v>1.8560238538701396E-2</v>
      </c>
      <c r="N359" s="116">
        <f>N341/'ФОТ, МТР, макро'!AR$14/(N291/N286)</f>
        <v>1.8412494266587569E-2</v>
      </c>
      <c r="O359" s="116">
        <f>O341/'ФОТ, МТР, макро'!AS$14/(O291/O286)</f>
        <v>1.9312151754602717E-2</v>
      </c>
      <c r="P359" s="116">
        <f>P341/'ФОТ, МТР, макро'!AT$14/(P291/P286)</f>
        <v>2.0235183254154018E-2</v>
      </c>
      <c r="Q359" s="116">
        <f>Q341/'ФОТ, МТР, макро'!AU$14/(Q291/Q286)</f>
        <v>2.1181037543451672E-2</v>
      </c>
      <c r="R359" s="116">
        <f>R341/'ФОТ, МТР, макро'!AV$14/(R291/R286)</f>
        <v>2.2149123235769962E-2</v>
      </c>
      <c r="S359" s="116">
        <f>S341/'ФОТ, МТР, макро'!AW$14/(S291/S286)</f>
        <v>2.3138813364921369E-2</v>
      </c>
      <c r="T359" s="116">
        <f>T341/'ФОТ, МТР, макро'!AX$14/(T291/T286)</f>
        <v>2.4149450083115715E-2</v>
      </c>
      <c r="U359" s="116">
        <f>U341/'ФОТ, МТР, макро'!AY$14/(U291/U286)</f>
        <v>2.5180349407241509E-2</v>
      </c>
      <c r="V359" s="116">
        <f>V341/'ФОТ, МТР, макро'!AZ$14/(V291/V286)</f>
        <v>2.6230805952556266E-2</v>
      </c>
      <c r="W359" s="116">
        <f>W341/'ФОТ, МТР, макро'!BA$14/(W291/W286)</f>
        <v>2.730009759682285E-2</v>
      </c>
      <c r="X359" s="116">
        <f>X341/'ФОТ, МТР, макро'!BB$14/(X291/X286)</f>
        <v>2.8387490022887589E-2</v>
      </c>
      <c r="Y359" s="116">
        <f>Y341/'ФОТ, МТР, макро'!BC$14/(Y291/Y286)</f>
        <v>2.949224109335926E-2</v>
      </c>
      <c r="Z359" s="116">
        <f>Z341/'ФОТ, МТР, макро'!BD$14/(Z291/Z286)</f>
        <v>3.0613605017208303E-2</v>
      </c>
      <c r="AC359" s="117" cm="1">
        <f t="array" ref="AC359">INDEX(G359:Z359,1,$C359)</f>
        <v>1.8412494266587569E-2</v>
      </c>
    </row>
    <row r="360" spans="1:29" outlineLevel="1" x14ac:dyDescent="0.25">
      <c r="A360" s="39" t="str">
        <f t="shared" si="180"/>
        <v>TZCO TZE240</v>
      </c>
      <c r="B360" s="39" t="str">
        <f t="shared" si="181"/>
        <v>Налог на прибыль</v>
      </c>
      <c r="C360" s="39">
        <f t="shared" si="182"/>
        <v>8</v>
      </c>
      <c r="D360" s="113" t="str">
        <f t="shared" si="183"/>
        <v>Налог на прибыль</v>
      </c>
      <c r="E360" s="114" t="str">
        <f t="shared" si="184"/>
        <v>руб/ткм</v>
      </c>
      <c r="F360" s="30"/>
      <c r="G360" s="116">
        <f>G342/'ФОТ, МТР, макро'!AK$14/(G291/G286)</f>
        <v>-2.9765651187607398</v>
      </c>
      <c r="H360" s="116">
        <f>H342/'ФОТ, МТР, макро'!AL$14/(H291/H286)</f>
        <v>-3.3042071828325041</v>
      </c>
      <c r="I360" s="116">
        <f>I342/'ФОТ, МТР, макро'!AM$14/(I291/I286)</f>
        <v>-4.2568482034118755</v>
      </c>
      <c r="J360" s="116">
        <f>J342/'ФОТ, МТР, макро'!AN$14/(J291/J286)</f>
        <v>-4.0933483566367412</v>
      </c>
      <c r="K360" s="116">
        <f>K342/'ФОТ, МТР, макро'!AO$14/(K291/K286)</f>
        <v>-3.8467710596715938</v>
      </c>
      <c r="L360" s="116">
        <f>L342/'ФОТ, МТР, макро'!AP$14/(L291/L286)</f>
        <v>-4.2488317487052383</v>
      </c>
      <c r="M360" s="116">
        <f>M342/'ФОТ, МТР, макро'!AQ$14/(M291/M286)</f>
        <v>-4.079390370247638</v>
      </c>
      <c r="N360" s="116">
        <f>N342/'ФОТ, МТР, макро'!AR$14/(N291/N286)</f>
        <v>-4.0195987051009956</v>
      </c>
      <c r="O360" s="116">
        <f>O342/'ФОТ, МТР, макро'!AS$14/(O291/O286)</f>
        <v>-4.2160013228833328</v>
      </c>
      <c r="P360" s="116">
        <f>P342/'ФОТ, МТР, макро'!AT$14/(P291/P286)</f>
        <v>-4.4175066793355882</v>
      </c>
      <c r="Q360" s="116">
        <f>Q342/'ФОТ, МТР, макро'!AU$14/(Q291/Q286)</f>
        <v>-4.6239944382143152</v>
      </c>
      <c r="R360" s="116">
        <f>R342/'ФОТ, МТР, макро'!AV$14/(R291/R286)</f>
        <v>-4.8353354949407166</v>
      </c>
      <c r="S360" s="116">
        <f>S342/'ФОТ, МТР, макро'!AW$14/(S291/S286)</f>
        <v>-5.0513929776472946</v>
      </c>
      <c r="T360" s="116">
        <f>T342/'ФОТ, МТР, макро'!AX$14/(T291/T286)</f>
        <v>-5.2720232727590934</v>
      </c>
      <c r="U360" s="116">
        <f>U342/'ФОТ, МТР, макро'!AY$14/(U291/U286)</f>
        <v>-5.4970770611458804</v>
      </c>
      <c r="V360" s="116">
        <f>V342/'ФОТ, МТР, макро'!AZ$14/(V291/V286)</f>
        <v>-5.7264003515256254</v>
      </c>
      <c r="W360" s="116">
        <f>W342/'ФОТ, МТР, макро'!BA$14/(W291/W286)</f>
        <v>-5.9598354986837654</v>
      </c>
      <c r="X360" s="116">
        <f>X342/'ФОТ, МТР, макро'!BB$14/(X291/X286)</f>
        <v>-6.1972221951553097</v>
      </c>
      <c r="Y360" s="116">
        <f>Y342/'ФОТ, МТР, макро'!BC$14/(Y291/Y286)</f>
        <v>-6.4383984262531859</v>
      </c>
      <c r="Z360" s="116">
        <f>Z342/'ФОТ, МТР, макро'!BD$14/(Z291/Z286)</f>
        <v>-6.6832013796710745</v>
      </c>
      <c r="AC360" s="117" cm="1">
        <f t="array" ref="AC360">INDEX(G360:Z360,1,$C360)</f>
        <v>-4.0195987051009956</v>
      </c>
    </row>
    <row r="361" spans="1:29" outlineLevel="1" x14ac:dyDescent="0.25">
      <c r="A361" s="39" t="str">
        <f t="shared" si="180"/>
        <v>TZCO TZE240</v>
      </c>
      <c r="B361" s="39" t="str">
        <f t="shared" si="181"/>
        <v>Аннуитет инвестиционный</v>
      </c>
      <c r="C361" s="39">
        <f t="shared" si="182"/>
        <v>8</v>
      </c>
      <c r="D361" s="108" t="s">
        <v>96</v>
      </c>
      <c r="E361" s="118" t="str">
        <f>E353</f>
        <v>руб/ткм</v>
      </c>
      <c r="F361" s="119"/>
      <c r="G361" s="111">
        <f>G347/'ФОТ, МТР, макро'!AK$14/(G291/G286)</f>
        <v>0</v>
      </c>
      <c r="H361" s="111">
        <f>H347/'ФОТ, МТР, макро'!AL$14/(H291/H286)</f>
        <v>0</v>
      </c>
      <c r="I361" s="111">
        <f>I347/'ФОТ, МТР, макро'!AM$14/(I291/I286)</f>
        <v>0</v>
      </c>
      <c r="J361" s="111">
        <f>J347/'ФОТ, МТР, макро'!AN$14/(J291/J286)</f>
        <v>0</v>
      </c>
      <c r="K361" s="111">
        <f>K347/'ФОТ, МТР, макро'!AO$14/(K291/K286)</f>
        <v>0</v>
      </c>
      <c r="L361" s="111">
        <f>L347/'ФОТ, МТР, макро'!AP$14/(L291/L286)</f>
        <v>0</v>
      </c>
      <c r="M361" s="111">
        <f>M347/'ФОТ, МТР, макро'!AQ$14/(M291/M286)</f>
        <v>0</v>
      </c>
      <c r="N361" s="111">
        <f>N347/'ФОТ, МТР, макро'!AR$14/(N291/N286)</f>
        <v>0</v>
      </c>
      <c r="O361" s="111">
        <f>O347/'ФОТ, МТР, макро'!AS$14/(O291/O286)</f>
        <v>0</v>
      </c>
      <c r="P361" s="111">
        <f>P347/'ФОТ, МТР, макро'!AT$14/(P291/P286)</f>
        <v>0</v>
      </c>
      <c r="Q361" s="111">
        <f>Q347/'ФОТ, МТР, макро'!AU$14/(Q291/Q286)</f>
        <v>0</v>
      </c>
      <c r="R361" s="111">
        <f>R347/'ФОТ, МТР, макро'!AV$14/(R291/R286)</f>
        <v>0</v>
      </c>
      <c r="S361" s="111">
        <f>S347/'ФОТ, МТР, макро'!AW$14/(S291/S286)</f>
        <v>0</v>
      </c>
      <c r="T361" s="111">
        <f>T347/'ФОТ, МТР, макро'!AX$14/(T291/T286)</f>
        <v>0</v>
      </c>
      <c r="U361" s="111">
        <f>U347/'ФОТ, МТР, макро'!AY$14/(U291/U286)</f>
        <v>0</v>
      </c>
      <c r="V361" s="111">
        <f>V347/'ФОТ, МТР, макро'!AZ$14/(V291/V286)</f>
        <v>0</v>
      </c>
      <c r="W361" s="111">
        <f>W347/'ФОТ, МТР, макро'!BA$14/(W291/W286)</f>
        <v>0</v>
      </c>
      <c r="X361" s="111">
        <f>X347/'ФОТ, МТР, макро'!BB$14/(X291/X286)</f>
        <v>0</v>
      </c>
      <c r="Y361" s="111">
        <f>Y347/'ФОТ, МТР, макро'!BC$14/(Y291/Y286)</f>
        <v>0</v>
      </c>
      <c r="Z361" s="111">
        <f>Z347/'ФОТ, МТР, макро'!BD$14/(Z291/Z286)</f>
        <v>0</v>
      </c>
      <c r="AC361" s="112" cm="1">
        <f t="array" ref="AC361">INDEX(G361:Z361,1,$C361)</f>
        <v>0</v>
      </c>
    </row>
    <row r="362" spans="1:29" outlineLevel="1" x14ac:dyDescent="0.25">
      <c r="A362" s="39" t="str">
        <f t="shared" si="180"/>
        <v>TZCO TZE240</v>
      </c>
      <c r="B362" s="39" t="str">
        <f t="shared" si="181"/>
        <v>Самосвал</v>
      </c>
      <c r="C362" s="39">
        <f t="shared" si="182"/>
        <v>8</v>
      </c>
      <c r="D362" s="101" t="str">
        <f>D348</f>
        <v>Самосвал</v>
      </c>
      <c r="E362" s="9" t="str">
        <f>E361</f>
        <v>руб/ткм</v>
      </c>
      <c r="F362" s="30"/>
      <c r="G362" s="120">
        <f>G348/'ФОТ, МТР, макро'!AK$14/(G291/G286)</f>
        <v>0</v>
      </c>
      <c r="H362" s="120">
        <f>H348/'ФОТ, МТР, макро'!AL$14/(H291/H286)</f>
        <v>0</v>
      </c>
      <c r="I362" s="120">
        <f>I348/'ФОТ, МТР, макро'!AM$14/(I291/I286)</f>
        <v>0</v>
      </c>
      <c r="J362" s="120">
        <f>J348/'ФОТ, МТР, макро'!AN$14/(J291/J286)</f>
        <v>0</v>
      </c>
      <c r="K362" s="120">
        <f>K348/'ФОТ, МТР, макро'!AO$14/(K291/K286)</f>
        <v>0</v>
      </c>
      <c r="L362" s="120">
        <f>L348/'ФОТ, МТР, макро'!AP$14/(L291/L286)</f>
        <v>0</v>
      </c>
      <c r="M362" s="120">
        <f>M348/'ФОТ, МТР, макро'!AQ$14/(M291/M286)</f>
        <v>0</v>
      </c>
      <c r="N362" s="120">
        <f>N348/'ФОТ, МТР, макро'!AR$14/(N291/N286)</f>
        <v>0</v>
      </c>
      <c r="O362" s="120">
        <f>O348/'ФОТ, МТР, макро'!AS$14/(O291/O286)</f>
        <v>0</v>
      </c>
      <c r="P362" s="120">
        <f>P348/'ФОТ, МТР, макро'!AT$14/(P291/P286)</f>
        <v>0</v>
      </c>
      <c r="Q362" s="120">
        <f>Q348/'ФОТ, МТР, макро'!AU$14/(Q291/Q286)</f>
        <v>0</v>
      </c>
      <c r="R362" s="120">
        <f>R348/'ФОТ, МТР, макро'!AV$14/(R291/R286)</f>
        <v>0</v>
      </c>
      <c r="S362" s="120">
        <f>S348/'ФОТ, МТР, макро'!AW$14/(S291/S286)</f>
        <v>0</v>
      </c>
      <c r="T362" s="120">
        <f>T348/'ФОТ, МТР, макро'!AX$14/(T291/T286)</f>
        <v>0</v>
      </c>
      <c r="U362" s="120">
        <f>U348/'ФОТ, МТР, макро'!AY$14/(U291/U286)</f>
        <v>0</v>
      </c>
      <c r="V362" s="120">
        <f>V348/'ФОТ, МТР, макро'!AZ$14/(V291/V286)</f>
        <v>0</v>
      </c>
      <c r="W362" s="120">
        <f>W348/'ФОТ, МТР, макро'!BA$14/(W291/W286)</f>
        <v>0</v>
      </c>
      <c r="X362" s="120">
        <f>X348/'ФОТ, МТР, макро'!BB$14/(X291/X286)</f>
        <v>0</v>
      </c>
      <c r="Y362" s="120">
        <f>Y348/'ФОТ, МТР, макро'!BC$14/(Y291/Y286)</f>
        <v>0</v>
      </c>
      <c r="Z362" s="120">
        <f>Z348/'ФОТ, МТР, макро'!BD$14/(Z291/Z286)</f>
        <v>0</v>
      </c>
      <c r="AC362" s="117" cm="1">
        <f t="array" ref="AC362">INDEX(G362:Z362,1,$C362)</f>
        <v>0</v>
      </c>
    </row>
    <row r="363" spans="1:29" outlineLevel="1" x14ac:dyDescent="0.25">
      <c r="A363" s="39" t="str">
        <f t="shared" si="180"/>
        <v>TZCO TZE240</v>
      </c>
      <c r="B363" s="39" t="str">
        <f t="shared" si="181"/>
        <v>Аннуитет общий</v>
      </c>
      <c r="C363" s="39">
        <f t="shared" si="182"/>
        <v>8</v>
      </c>
      <c r="D363" s="108" t="s">
        <v>97</v>
      </c>
      <c r="E363" s="118" t="str">
        <f>E353</f>
        <v>руб/ткм</v>
      </c>
      <c r="F363" s="119"/>
      <c r="G363" s="111">
        <f>G351/'ФОТ, МТР, макро'!AK$14/(G291/G286)</f>
        <v>8.9296953562822186</v>
      </c>
      <c r="H363" s="111">
        <f>H351/'ФОТ, МТР, макро'!AL$14/(H291/H286)</f>
        <v>9.912621548497512</v>
      </c>
      <c r="I363" s="111">
        <f>I351/'ФОТ, МТР, макро'!AM$14/(I291/I286)</f>
        <v>12.770544610235628</v>
      </c>
      <c r="J363" s="111">
        <f>J351/'ФОТ, МТР, макро'!AN$14/(J291/J286)</f>
        <v>12.280045069910225</v>
      </c>
      <c r="K363" s="111">
        <f>K351/'ФОТ, МТР, макро'!AO$14/(K291/K286)</f>
        <v>11.540313179014785</v>
      </c>
      <c r="L363" s="111">
        <f>L351/'ФОТ, МТР, макро'!AP$14/(L291/L286)</f>
        <v>12.746495246115716</v>
      </c>
      <c r="M363" s="111">
        <f>M351/'ФОТ, МТР, макро'!AQ$14/(M291/M286)</f>
        <v>12.238171110742918</v>
      </c>
      <c r="N363" s="111">
        <f>N351/'ФОТ, МТР, макро'!AR$14/(N291/N286)</f>
        <v>12.058796115302989</v>
      </c>
      <c r="O363" s="111">
        <f>O351/'ФОТ, МТР, макро'!AS$14/(O291/O286)</f>
        <v>12.648003968650002</v>
      </c>
      <c r="P363" s="111">
        <f>P351/'ФОТ, МТР, макро'!AT$14/(P291/P286)</f>
        <v>13.25252003800677</v>
      </c>
      <c r="Q363" s="111">
        <f>Q351/'ФОТ, МТР, макро'!AU$14/(Q291/Q286)</f>
        <v>13.87198331464295</v>
      </c>
      <c r="R363" s="111">
        <f>R351/'ФОТ, МТР, макро'!AV$14/(R291/R286)</f>
        <v>14.506006484822153</v>
      </c>
      <c r="S363" s="111">
        <f>S351/'ФОТ, МТР, макро'!AW$14/(S291/S286)</f>
        <v>15.154178932941889</v>
      </c>
      <c r="T363" s="111">
        <f>T351/'ФОТ, МТР, макро'!AX$14/(T291/T286)</f>
        <v>15.816069818277283</v>
      </c>
      <c r="U363" s="111">
        <f>U351/'ФОТ, МТР, макро'!AY$14/(U291/U286)</f>
        <v>16.491231183437648</v>
      </c>
      <c r="V363" s="111">
        <f>V351/'ФОТ, МТР, макро'!AZ$14/(V291/V286)</f>
        <v>17.179201054576879</v>
      </c>
      <c r="W363" s="111">
        <f>W351/'ФОТ, МТР, макро'!BA$14/(W291/W286)</f>
        <v>17.879506496051302</v>
      </c>
      <c r="X363" s="111">
        <f>X351/'ФОТ, МТР, макро'!BB$14/(X291/X286)</f>
        <v>18.591666585465934</v>
      </c>
      <c r="Y363" s="111">
        <f>Y351/'ФОТ, МТР, макро'!BC$14/(Y291/Y286)</f>
        <v>19.315195278759564</v>
      </c>
      <c r="Z363" s="111">
        <f>Z351/'ФОТ, МТР, макро'!BD$14/(Z291/Z286)</f>
        <v>20.04960413901323</v>
      </c>
      <c r="AC363" s="112" cm="1">
        <f t="array" ref="AC363">INDEX(G363:Z363,1,$C363)</f>
        <v>12.058796115302989</v>
      </c>
    </row>
    <row r="364" spans="1:29" outlineLevel="1" x14ac:dyDescent="0.25">
      <c r="A364" s="39" t="str">
        <f t="shared" si="180"/>
        <v>TZCO TZE240</v>
      </c>
      <c r="B364" s="39"/>
      <c r="D364" s="121"/>
      <c r="E364" s="1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9" outlineLevel="1" x14ac:dyDescent="0.25">
      <c r="A365" s="39" t="str">
        <f t="shared" si="180"/>
        <v>TZCO TZE240</v>
      </c>
      <c r="B365" s="39"/>
      <c r="D365" s="123" t="s">
        <v>88</v>
      </c>
      <c r="E365" s="124"/>
      <c r="F365" s="125"/>
      <c r="G365" s="126">
        <f>G363-G353-G361+G353-SUM(G354:G360)+G361-G362</f>
        <v>-1.7763568394002505E-15</v>
      </c>
      <c r="H365" s="126">
        <f t="shared" ref="H365:I365" si="185">H363-H353-H361+H353-SUM(H354:H360)+H361-H362</f>
        <v>0</v>
      </c>
      <c r="I365" s="126">
        <f t="shared" si="185"/>
        <v>1.7763568394002505E-15</v>
      </c>
      <c r="J365" s="126">
        <f t="shared" ref="J365:Z365" si="186">J363-J353-J361+J353-SUM(J354:J360)+J361-J362</f>
        <v>1.7763568394002505E-15</v>
      </c>
      <c r="K365" s="126">
        <f t="shared" si="186"/>
        <v>0</v>
      </c>
      <c r="L365" s="126">
        <f t="shared" si="186"/>
        <v>1.7763568394002505E-15</v>
      </c>
      <c r="M365" s="126">
        <f t="shared" si="186"/>
        <v>3.5527136788005009E-15</v>
      </c>
      <c r="N365" s="126">
        <f t="shared" si="186"/>
        <v>0</v>
      </c>
      <c r="O365" s="126">
        <f t="shared" si="186"/>
        <v>0</v>
      </c>
      <c r="P365" s="126">
        <f t="shared" si="186"/>
        <v>1.7763568394002505E-15</v>
      </c>
      <c r="Q365" s="126">
        <f t="shared" si="186"/>
        <v>-3.5527136788005009E-15</v>
      </c>
      <c r="R365" s="126">
        <f t="shared" si="186"/>
        <v>3.5527136788005009E-15</v>
      </c>
      <c r="S365" s="126">
        <f t="shared" si="186"/>
        <v>5.3290705182007514E-15</v>
      </c>
      <c r="T365" s="126">
        <f t="shared" si="186"/>
        <v>-1.7763568394002505E-15</v>
      </c>
      <c r="U365" s="126">
        <f t="shared" si="186"/>
        <v>3.5527136788005009E-15</v>
      </c>
      <c r="V365" s="126">
        <f t="shared" si="186"/>
        <v>-7.1054273576010019E-15</v>
      </c>
      <c r="W365" s="126">
        <f t="shared" si="186"/>
        <v>3.5527136788005009E-15</v>
      </c>
      <c r="X365" s="126">
        <f t="shared" si="186"/>
        <v>0</v>
      </c>
      <c r="Y365" s="126">
        <f t="shared" si="186"/>
        <v>0</v>
      </c>
      <c r="Z365" s="126">
        <f t="shared" si="186"/>
        <v>3.5527136788005009E-15</v>
      </c>
    </row>
    <row r="366" spans="1:29" outlineLevel="1" x14ac:dyDescent="0.25">
      <c r="A366" s="39" t="str">
        <f t="shared" si="180"/>
        <v>TZCO TZE240</v>
      </c>
      <c r="B366" s="39"/>
      <c r="D366" s="125"/>
      <c r="E366" s="124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9" outlineLevel="1" x14ac:dyDescent="0.25">
      <c r="A367" s="39" t="str">
        <f t="shared" si="180"/>
        <v>TZCO TZE240</v>
      </c>
      <c r="B367" s="39"/>
      <c r="D367" s="127" t="s">
        <v>98</v>
      </c>
      <c r="E367" s="128" t="str">
        <f>E363</f>
        <v>руб/ткм</v>
      </c>
      <c r="F367" s="129"/>
      <c r="G367" s="130">
        <f>SUM(G368:G373)</f>
        <v>11.906260475042959</v>
      </c>
      <c r="H367" s="130">
        <f t="shared" ref="H367:Z367" si="187">SUM(H368:H373)</f>
        <v>14.681206047824215</v>
      </c>
      <c r="I367" s="130">
        <f t="shared" si="187"/>
        <v>26.558160748495393</v>
      </c>
      <c r="J367" s="130">
        <f t="shared" si="187"/>
        <v>14.321939435878862</v>
      </c>
      <c r="K367" s="130">
        <f t="shared" si="187"/>
        <v>11.347799390996412</v>
      </c>
      <c r="L367" s="130">
        <f t="shared" si="187"/>
        <v>28.765108200729859</v>
      </c>
      <c r="M367" s="130">
        <f t="shared" si="187"/>
        <v>11.425137431102963</v>
      </c>
      <c r="N367" s="130">
        <f t="shared" si="187"/>
        <v>14.060166727473588</v>
      </c>
      <c r="O367" s="130" t="e">
        <f t="shared" si="187"/>
        <v>#DIV/0!</v>
      </c>
      <c r="P367" s="130" t="e">
        <f t="shared" si="187"/>
        <v>#DIV/0!</v>
      </c>
      <c r="Q367" s="130" t="e">
        <f t="shared" si="187"/>
        <v>#DIV/0!</v>
      </c>
      <c r="R367" s="130" t="e">
        <f t="shared" si="187"/>
        <v>#DIV/0!</v>
      </c>
      <c r="S367" s="130" t="e">
        <f t="shared" si="187"/>
        <v>#DIV/0!</v>
      </c>
      <c r="T367" s="130" t="e">
        <f t="shared" si="187"/>
        <v>#DIV/0!</v>
      </c>
      <c r="U367" s="130" t="e">
        <f t="shared" si="187"/>
        <v>#DIV/0!</v>
      </c>
      <c r="V367" s="130" t="e">
        <f t="shared" si="187"/>
        <v>#DIV/0!</v>
      </c>
      <c r="W367" s="130" t="e">
        <f t="shared" si="187"/>
        <v>#DIV/0!</v>
      </c>
      <c r="X367" s="130" t="e">
        <f t="shared" si="187"/>
        <v>#DIV/0!</v>
      </c>
      <c r="Y367" s="130" t="e">
        <f t="shared" si="187"/>
        <v>#DIV/0!</v>
      </c>
      <c r="Z367" s="130" t="e">
        <f t="shared" si="187"/>
        <v>#DIV/0!</v>
      </c>
    </row>
    <row r="368" spans="1:29" outlineLevel="1" x14ac:dyDescent="0.25">
      <c r="A368" s="39" t="str">
        <f t="shared" si="180"/>
        <v>TZCO TZE240</v>
      </c>
      <c r="B368" s="39"/>
      <c r="D368" s="113" t="str">
        <f>D354</f>
        <v>ТО, ТР, ППР</v>
      </c>
      <c r="E368" s="114" t="str">
        <f>E367</f>
        <v>руб/ткм</v>
      </c>
      <c r="F368" s="115"/>
      <c r="G368" s="116">
        <f>G295/G290</f>
        <v>2.5480491294530063</v>
      </c>
      <c r="H368" s="116">
        <f t="shared" ref="H368:Z368" si="188">H295/H290</f>
        <v>5.3316650561459733</v>
      </c>
      <c r="I368" s="116">
        <f t="shared" si="188"/>
        <v>17.086594973798185</v>
      </c>
      <c r="J368" s="116">
        <f t="shared" si="188"/>
        <v>5.058587691921681</v>
      </c>
      <c r="K368" s="116">
        <f t="shared" si="188"/>
        <v>2.2124004267939545</v>
      </c>
      <c r="L368" s="116">
        <f t="shared" si="188"/>
        <v>19.358883031215861</v>
      </c>
      <c r="M368" s="116">
        <f t="shared" si="188"/>
        <v>2.2588824710572109</v>
      </c>
      <c r="N368" s="116">
        <f t="shared" si="188"/>
        <v>4.8596151215230758</v>
      </c>
      <c r="O368" s="116" t="e">
        <f t="shared" si="188"/>
        <v>#DIV/0!</v>
      </c>
      <c r="P368" s="116" t="e">
        <f t="shared" si="188"/>
        <v>#DIV/0!</v>
      </c>
      <c r="Q368" s="116" t="e">
        <f t="shared" si="188"/>
        <v>#DIV/0!</v>
      </c>
      <c r="R368" s="116" t="e">
        <f t="shared" si="188"/>
        <v>#DIV/0!</v>
      </c>
      <c r="S368" s="116" t="e">
        <f t="shared" si="188"/>
        <v>#DIV/0!</v>
      </c>
      <c r="T368" s="116" t="e">
        <f t="shared" si="188"/>
        <v>#DIV/0!</v>
      </c>
      <c r="U368" s="116" t="e">
        <f t="shared" si="188"/>
        <v>#DIV/0!</v>
      </c>
      <c r="V368" s="116" t="e">
        <f t="shared" si="188"/>
        <v>#DIV/0!</v>
      </c>
      <c r="W368" s="116" t="e">
        <f t="shared" si="188"/>
        <v>#DIV/0!</v>
      </c>
      <c r="X368" s="116" t="e">
        <f t="shared" si="188"/>
        <v>#DIV/0!</v>
      </c>
      <c r="Y368" s="116" t="e">
        <f t="shared" si="188"/>
        <v>#DIV/0!</v>
      </c>
      <c r="Z368" s="116" t="e">
        <f t="shared" si="188"/>
        <v>#DIV/0!</v>
      </c>
    </row>
    <row r="369" spans="1:26" outlineLevel="1" x14ac:dyDescent="0.25">
      <c r="A369" s="39" t="str">
        <f t="shared" si="180"/>
        <v>TZCO TZE240</v>
      </c>
      <c r="B369" s="39"/>
      <c r="D369" s="113" t="str">
        <f t="shared" ref="D369:D373" si="189">D355</f>
        <v>Шины</v>
      </c>
      <c r="E369" s="114" t="str">
        <f t="shared" ref="E369:E373" si="190">E368</f>
        <v>руб/ткм</v>
      </c>
      <c r="F369" s="115"/>
      <c r="G369" s="116">
        <f>G300/G290</f>
        <v>1.7250469834214777</v>
      </c>
      <c r="H369" s="116">
        <f t="shared" ref="H369:Z369" si="191">H300/H290</f>
        <v>1.7250469834214779</v>
      </c>
      <c r="I369" s="116">
        <f t="shared" si="191"/>
        <v>1.7250469834214783</v>
      </c>
      <c r="J369" s="116">
        <f t="shared" si="191"/>
        <v>1.7250469834214777</v>
      </c>
      <c r="K369" s="116">
        <f t="shared" si="191"/>
        <v>1.7250469834214777</v>
      </c>
      <c r="L369" s="116">
        <f t="shared" si="191"/>
        <v>1.7250469834214781</v>
      </c>
      <c r="M369" s="116">
        <f t="shared" si="191"/>
        <v>1.7250469834214781</v>
      </c>
      <c r="N369" s="116">
        <f t="shared" si="191"/>
        <v>1.7250469834214777</v>
      </c>
      <c r="O369" s="116" t="e">
        <f t="shared" si="191"/>
        <v>#DIV/0!</v>
      </c>
      <c r="P369" s="116" t="e">
        <f t="shared" si="191"/>
        <v>#DIV/0!</v>
      </c>
      <c r="Q369" s="116" t="e">
        <f t="shared" si="191"/>
        <v>#DIV/0!</v>
      </c>
      <c r="R369" s="116" t="e">
        <f t="shared" si="191"/>
        <v>#DIV/0!</v>
      </c>
      <c r="S369" s="116" t="e">
        <f t="shared" si="191"/>
        <v>#DIV/0!</v>
      </c>
      <c r="T369" s="116" t="e">
        <f t="shared" si="191"/>
        <v>#DIV/0!</v>
      </c>
      <c r="U369" s="116" t="e">
        <f t="shared" si="191"/>
        <v>#DIV/0!</v>
      </c>
      <c r="V369" s="116" t="e">
        <f t="shared" si="191"/>
        <v>#DIV/0!</v>
      </c>
      <c r="W369" s="116" t="e">
        <f t="shared" si="191"/>
        <v>#DIV/0!</v>
      </c>
      <c r="X369" s="116" t="e">
        <f t="shared" si="191"/>
        <v>#DIV/0!</v>
      </c>
      <c r="Y369" s="116" t="e">
        <f t="shared" si="191"/>
        <v>#DIV/0!</v>
      </c>
      <c r="Z369" s="116" t="e">
        <f t="shared" si="191"/>
        <v>#DIV/0!</v>
      </c>
    </row>
    <row r="370" spans="1:26" outlineLevel="1" x14ac:dyDescent="0.25">
      <c r="A370" s="39" t="str">
        <f t="shared" si="180"/>
        <v>TZCO TZE240</v>
      </c>
      <c r="B370" s="39"/>
      <c r="D370" s="113" t="str">
        <f t="shared" si="189"/>
        <v>Топливо</v>
      </c>
      <c r="E370" s="114" t="str">
        <f t="shared" si="190"/>
        <v>руб/ткм</v>
      </c>
      <c r="F370" s="115"/>
      <c r="G370" s="116">
        <f>G304/G290</f>
        <v>5.941702753861688</v>
      </c>
      <c r="H370" s="116">
        <f t="shared" ref="H370:Z370" si="192">H304/H290</f>
        <v>5.9417027538616871</v>
      </c>
      <c r="I370" s="116">
        <f t="shared" si="192"/>
        <v>5.941702753861688</v>
      </c>
      <c r="J370" s="116">
        <f t="shared" si="192"/>
        <v>5.9417027538616889</v>
      </c>
      <c r="K370" s="116">
        <f t="shared" si="192"/>
        <v>5.941702753861688</v>
      </c>
      <c r="L370" s="116">
        <f t="shared" si="192"/>
        <v>5.9417027538616871</v>
      </c>
      <c r="M370" s="116">
        <f t="shared" si="192"/>
        <v>5.9417027538616871</v>
      </c>
      <c r="N370" s="116">
        <f t="shared" si="192"/>
        <v>5.9417027538616871</v>
      </c>
      <c r="O370" s="116" t="e">
        <f t="shared" si="192"/>
        <v>#DIV/0!</v>
      </c>
      <c r="P370" s="116" t="e">
        <f t="shared" si="192"/>
        <v>#DIV/0!</v>
      </c>
      <c r="Q370" s="116" t="e">
        <f t="shared" si="192"/>
        <v>#DIV/0!</v>
      </c>
      <c r="R370" s="116" t="e">
        <f t="shared" si="192"/>
        <v>#DIV/0!</v>
      </c>
      <c r="S370" s="116" t="e">
        <f t="shared" si="192"/>
        <v>#DIV/0!</v>
      </c>
      <c r="T370" s="116" t="e">
        <f t="shared" si="192"/>
        <v>#DIV/0!</v>
      </c>
      <c r="U370" s="116" t="e">
        <f t="shared" si="192"/>
        <v>#DIV/0!</v>
      </c>
      <c r="V370" s="116" t="e">
        <f t="shared" si="192"/>
        <v>#DIV/0!</v>
      </c>
      <c r="W370" s="116" t="e">
        <f t="shared" si="192"/>
        <v>#DIV/0!</v>
      </c>
      <c r="X370" s="116" t="e">
        <f t="shared" si="192"/>
        <v>#DIV/0!</v>
      </c>
      <c r="Y370" s="116" t="e">
        <f t="shared" si="192"/>
        <v>#DIV/0!</v>
      </c>
      <c r="Z370" s="116" t="e">
        <f t="shared" si="192"/>
        <v>#DIV/0!</v>
      </c>
    </row>
    <row r="371" spans="1:26" outlineLevel="1" x14ac:dyDescent="0.25">
      <c r="A371" s="39" t="str">
        <f t="shared" si="180"/>
        <v>TZCO TZE240</v>
      </c>
      <c r="B371" s="39"/>
      <c r="D371" s="113" t="str">
        <f t="shared" si="189"/>
        <v>Смазочные</v>
      </c>
      <c r="E371" s="114" t="str">
        <f t="shared" si="190"/>
        <v>руб/ткм</v>
      </c>
      <c r="F371" s="115"/>
      <c r="G371" s="116">
        <f>G309/G290</f>
        <v>0</v>
      </c>
      <c r="H371" s="116">
        <f t="shared" ref="H371:Z371" si="193">H309/H290</f>
        <v>0</v>
      </c>
      <c r="I371" s="116">
        <f t="shared" si="193"/>
        <v>0</v>
      </c>
      <c r="J371" s="116">
        <f t="shared" si="193"/>
        <v>0</v>
      </c>
      <c r="K371" s="116">
        <f t="shared" si="193"/>
        <v>0</v>
      </c>
      <c r="L371" s="116">
        <f t="shared" si="193"/>
        <v>0</v>
      </c>
      <c r="M371" s="116">
        <f t="shared" si="193"/>
        <v>0</v>
      </c>
      <c r="N371" s="116">
        <f t="shared" si="193"/>
        <v>0</v>
      </c>
      <c r="O371" s="116" t="e">
        <f t="shared" si="193"/>
        <v>#DIV/0!</v>
      </c>
      <c r="P371" s="116" t="e">
        <f t="shared" si="193"/>
        <v>#DIV/0!</v>
      </c>
      <c r="Q371" s="116" t="e">
        <f t="shared" si="193"/>
        <v>#DIV/0!</v>
      </c>
      <c r="R371" s="116" t="e">
        <f t="shared" si="193"/>
        <v>#DIV/0!</v>
      </c>
      <c r="S371" s="116" t="e">
        <f t="shared" si="193"/>
        <v>#DIV/0!</v>
      </c>
      <c r="T371" s="116" t="e">
        <f t="shared" si="193"/>
        <v>#DIV/0!</v>
      </c>
      <c r="U371" s="116" t="e">
        <f t="shared" si="193"/>
        <v>#DIV/0!</v>
      </c>
      <c r="V371" s="116" t="e">
        <f t="shared" si="193"/>
        <v>#DIV/0!</v>
      </c>
      <c r="W371" s="116" t="e">
        <f t="shared" si="193"/>
        <v>#DIV/0!</v>
      </c>
      <c r="X371" s="116" t="e">
        <f t="shared" si="193"/>
        <v>#DIV/0!</v>
      </c>
      <c r="Y371" s="116" t="e">
        <f t="shared" si="193"/>
        <v>#DIV/0!</v>
      </c>
      <c r="Z371" s="116" t="e">
        <f t="shared" si="193"/>
        <v>#DIV/0!</v>
      </c>
    </row>
    <row r="372" spans="1:26" outlineLevel="1" x14ac:dyDescent="0.25">
      <c r="A372" s="39" t="str">
        <f t="shared" si="180"/>
        <v>TZCO TZE240</v>
      </c>
      <c r="B372" s="39"/>
      <c r="D372" s="113" t="str">
        <f t="shared" si="189"/>
        <v>Затраты на персонал</v>
      </c>
      <c r="E372" s="114" t="str">
        <f t="shared" si="190"/>
        <v>руб/ткм</v>
      </c>
      <c r="F372" s="115"/>
      <c r="G372" s="116">
        <f>G311/G290</f>
        <v>1.6722282103653157</v>
      </c>
      <c r="H372" s="116">
        <f t="shared" ref="H372:Z372" si="194">H311/H290</f>
        <v>1.6636564459611989</v>
      </c>
      <c r="I372" s="116">
        <f t="shared" si="194"/>
        <v>1.7842937004669541</v>
      </c>
      <c r="J372" s="116">
        <f t="shared" si="194"/>
        <v>1.5784472453730742</v>
      </c>
      <c r="K372" s="116">
        <f t="shared" si="194"/>
        <v>1.4519494006394309</v>
      </c>
      <c r="L372" s="116">
        <f t="shared" si="194"/>
        <v>1.7196960751155386</v>
      </c>
      <c r="M372" s="116">
        <f t="shared" si="194"/>
        <v>1.4824545368214603</v>
      </c>
      <c r="N372" s="116">
        <f t="shared" si="194"/>
        <v>1.5163611998643582</v>
      </c>
      <c r="O372" s="116" t="e">
        <f t="shared" si="194"/>
        <v>#DIV/0!</v>
      </c>
      <c r="P372" s="116" t="e">
        <f t="shared" si="194"/>
        <v>#DIV/0!</v>
      </c>
      <c r="Q372" s="116" t="e">
        <f t="shared" si="194"/>
        <v>#DIV/0!</v>
      </c>
      <c r="R372" s="116" t="e">
        <f t="shared" si="194"/>
        <v>#DIV/0!</v>
      </c>
      <c r="S372" s="116" t="e">
        <f t="shared" si="194"/>
        <v>#DIV/0!</v>
      </c>
      <c r="T372" s="116" t="e">
        <f t="shared" si="194"/>
        <v>#DIV/0!</v>
      </c>
      <c r="U372" s="116" t="e">
        <f t="shared" si="194"/>
        <v>#DIV/0!</v>
      </c>
      <c r="V372" s="116" t="e">
        <f t="shared" si="194"/>
        <v>#DIV/0!</v>
      </c>
      <c r="W372" s="116" t="e">
        <f t="shared" si="194"/>
        <v>#DIV/0!</v>
      </c>
      <c r="X372" s="116" t="e">
        <f t="shared" si="194"/>
        <v>#DIV/0!</v>
      </c>
      <c r="Y372" s="116" t="e">
        <f t="shared" si="194"/>
        <v>#DIV/0!</v>
      </c>
      <c r="Z372" s="116" t="e">
        <f t="shared" si="194"/>
        <v>#DIV/0!</v>
      </c>
    </row>
    <row r="373" spans="1:26" outlineLevel="1" x14ac:dyDescent="0.25">
      <c r="A373" s="39" t="str">
        <f t="shared" si="180"/>
        <v>TZCO TZE240</v>
      </c>
      <c r="B373" s="39"/>
      <c r="D373" s="113" t="str">
        <f t="shared" si="189"/>
        <v>Транспортный налог</v>
      </c>
      <c r="E373" s="114" t="str">
        <f t="shared" si="190"/>
        <v>руб/ткм</v>
      </c>
      <c r="F373" s="115"/>
      <c r="G373" s="116">
        <f>G315/G290</f>
        <v>1.9233397941472618E-2</v>
      </c>
      <c r="H373" s="116">
        <f t="shared" ref="H373:Z373" si="195">H315/H290</f>
        <v>1.9134808433878488E-2</v>
      </c>
      <c r="I373" s="116">
        <f t="shared" si="195"/>
        <v>2.0522336947088424E-2</v>
      </c>
      <c r="J373" s="116">
        <f t="shared" si="195"/>
        <v>1.8154761300940729E-2</v>
      </c>
      <c r="K373" s="116">
        <f t="shared" si="195"/>
        <v>1.6699826279859324E-2</v>
      </c>
      <c r="L373" s="116">
        <f t="shared" si="195"/>
        <v>1.9779357115294705E-2</v>
      </c>
      <c r="M373" s="116">
        <f t="shared" si="195"/>
        <v>1.7050685941125066E-2</v>
      </c>
      <c r="N373" s="116">
        <f t="shared" si="195"/>
        <v>1.7440668802991159E-2</v>
      </c>
      <c r="O373" s="116" t="e">
        <f t="shared" si="195"/>
        <v>#DIV/0!</v>
      </c>
      <c r="P373" s="116" t="e">
        <f t="shared" si="195"/>
        <v>#DIV/0!</v>
      </c>
      <c r="Q373" s="116" t="e">
        <f t="shared" si="195"/>
        <v>#DIV/0!</v>
      </c>
      <c r="R373" s="116" t="e">
        <f t="shared" si="195"/>
        <v>#DIV/0!</v>
      </c>
      <c r="S373" s="116" t="e">
        <f t="shared" si="195"/>
        <v>#DIV/0!</v>
      </c>
      <c r="T373" s="116" t="e">
        <f t="shared" si="195"/>
        <v>#DIV/0!</v>
      </c>
      <c r="U373" s="116" t="e">
        <f t="shared" si="195"/>
        <v>#DIV/0!</v>
      </c>
      <c r="V373" s="116" t="e">
        <f t="shared" si="195"/>
        <v>#DIV/0!</v>
      </c>
      <c r="W373" s="116" t="e">
        <f t="shared" si="195"/>
        <v>#DIV/0!</v>
      </c>
      <c r="X373" s="116" t="e">
        <f t="shared" si="195"/>
        <v>#DIV/0!</v>
      </c>
      <c r="Y373" s="116" t="e">
        <f t="shared" si="195"/>
        <v>#DIV/0!</v>
      </c>
      <c r="Z373" s="116" t="e">
        <f t="shared" si="195"/>
        <v>#DIV/0!</v>
      </c>
    </row>
    <row r="374" spans="1:26" outlineLevel="1" x14ac:dyDescent="0.25">
      <c r="A374" s="39" t="str">
        <f t="shared" si="180"/>
        <v>TZCO TZE240</v>
      </c>
      <c r="B374" s="39"/>
      <c r="D374" s="121"/>
      <c r="E374" s="12"/>
      <c r="F374" s="122"/>
      <c r="G374" s="131">
        <f>G367-(G294-G320)/G290</f>
        <v>0</v>
      </c>
      <c r="H374" s="131">
        <f t="shared" ref="H374:Z374" si="196">H367-(H294-H320)/H290</f>
        <v>0</v>
      </c>
      <c r="I374" s="131">
        <f t="shared" si="196"/>
        <v>0</v>
      </c>
      <c r="J374" s="131">
        <f t="shared" si="196"/>
        <v>0</v>
      </c>
      <c r="K374" s="131">
        <f t="shared" si="196"/>
        <v>0</v>
      </c>
      <c r="L374" s="131">
        <f t="shared" si="196"/>
        <v>0</v>
      </c>
      <c r="M374" s="131">
        <f t="shared" si="196"/>
        <v>0</v>
      </c>
      <c r="N374" s="131">
        <f t="shared" si="196"/>
        <v>0</v>
      </c>
      <c r="O374" s="131" t="e">
        <f t="shared" si="196"/>
        <v>#DIV/0!</v>
      </c>
      <c r="P374" s="131" t="e">
        <f t="shared" si="196"/>
        <v>#DIV/0!</v>
      </c>
      <c r="Q374" s="131" t="e">
        <f t="shared" si="196"/>
        <v>#DIV/0!</v>
      </c>
      <c r="R374" s="131" t="e">
        <f t="shared" si="196"/>
        <v>#DIV/0!</v>
      </c>
      <c r="S374" s="131" t="e">
        <f t="shared" si="196"/>
        <v>#DIV/0!</v>
      </c>
      <c r="T374" s="131" t="e">
        <f t="shared" si="196"/>
        <v>#DIV/0!</v>
      </c>
      <c r="U374" s="131" t="e">
        <f t="shared" si="196"/>
        <v>#DIV/0!</v>
      </c>
      <c r="V374" s="131" t="e">
        <f t="shared" si="196"/>
        <v>#DIV/0!</v>
      </c>
      <c r="W374" s="131" t="e">
        <f t="shared" si="196"/>
        <v>#DIV/0!</v>
      </c>
      <c r="X374" s="131" t="e">
        <f t="shared" si="196"/>
        <v>#DIV/0!</v>
      </c>
      <c r="Y374" s="131" t="e">
        <f t="shared" si="196"/>
        <v>#DIV/0!</v>
      </c>
      <c r="Z374" s="131" t="e">
        <f t="shared" si="196"/>
        <v>#DIV/0!</v>
      </c>
    </row>
    <row r="375" spans="1:26" outlineLevel="1" x14ac:dyDescent="0.25">
      <c r="A375" s="2" t="s">
        <v>45</v>
      </c>
    </row>
    <row r="376" spans="1:26" x14ac:dyDescent="0.25">
      <c r="A376" s="2" t="s">
        <v>45</v>
      </c>
    </row>
    <row r="377" spans="1:26" ht="14.3" x14ac:dyDescent="0.25">
      <c r="A377" s="2" t="s">
        <v>45</v>
      </c>
      <c r="C377" s="57">
        <f>SUM(F427:Z427,F439:Z439,F458:Z458,AA411)</f>
        <v>6.0396132539608516E-14</v>
      </c>
      <c r="D377" s="58" t="str">
        <f>Свод_1!J23</f>
        <v>БелАЗ 7531 (ГПФК)</v>
      </c>
      <c r="E377" s="59">
        <f>SUMIFS(Производительность_1!$Y$55:$Y$71,Производительность_1!$C$55:$C$71,$D377)</f>
        <v>10</v>
      </c>
      <c r="F377" s="60" t="str">
        <f>$F$2</f>
        <v>лет</v>
      </c>
    </row>
    <row r="378" spans="1:26" outlineLevel="1" x14ac:dyDescent="0.25">
      <c r="A378" s="2" t="s">
        <v>45</v>
      </c>
    </row>
    <row r="379" spans="1:26" outlineLevel="1" x14ac:dyDescent="0.25">
      <c r="A379" s="61" t="str">
        <f>D377</f>
        <v>БелАЗ 7531 (ГПФК)</v>
      </c>
      <c r="D379" s="62" t="str">
        <f>D$1</f>
        <v>Показатель</v>
      </c>
      <c r="E379" s="62" t="str">
        <f t="shared" ref="E379:Z379" si="197">E$1</f>
        <v>Ед. изм.</v>
      </c>
      <c r="F379" s="62">
        <f t="shared" si="197"/>
        <v>0</v>
      </c>
      <c r="G379" s="62">
        <f t="shared" si="197"/>
        <v>1</v>
      </c>
      <c r="H379" s="62">
        <f t="shared" si="197"/>
        <v>2</v>
      </c>
      <c r="I379" s="62">
        <f t="shared" si="197"/>
        <v>3</v>
      </c>
      <c r="J379" s="62">
        <f t="shared" si="197"/>
        <v>4</v>
      </c>
      <c r="K379" s="62">
        <f t="shared" si="197"/>
        <v>5</v>
      </c>
      <c r="L379" s="62">
        <f t="shared" si="197"/>
        <v>6</v>
      </c>
      <c r="M379" s="62">
        <f t="shared" si="197"/>
        <v>7</v>
      </c>
      <c r="N379" s="62">
        <f t="shared" si="197"/>
        <v>8</v>
      </c>
      <c r="O379" s="62">
        <f t="shared" si="197"/>
        <v>9</v>
      </c>
      <c r="P379" s="62">
        <f t="shared" si="197"/>
        <v>10</v>
      </c>
      <c r="Q379" s="62">
        <f t="shared" si="197"/>
        <v>11</v>
      </c>
      <c r="R379" s="62">
        <f t="shared" si="197"/>
        <v>12</v>
      </c>
      <c r="S379" s="62">
        <f t="shared" si="197"/>
        <v>13</v>
      </c>
      <c r="T379" s="62">
        <f t="shared" si="197"/>
        <v>14</v>
      </c>
      <c r="U379" s="62">
        <f t="shared" si="197"/>
        <v>15</v>
      </c>
      <c r="V379" s="62">
        <f t="shared" si="197"/>
        <v>16</v>
      </c>
      <c r="W379" s="62">
        <f t="shared" si="197"/>
        <v>17</v>
      </c>
      <c r="X379" s="62">
        <f t="shared" si="197"/>
        <v>18</v>
      </c>
      <c r="Y379" s="62">
        <f t="shared" si="197"/>
        <v>19</v>
      </c>
      <c r="Z379" s="62">
        <f t="shared" si="197"/>
        <v>20</v>
      </c>
    </row>
    <row r="380" spans="1:26" outlineLevel="1" x14ac:dyDescent="0.25">
      <c r="A380" s="39" t="str">
        <f>A379</f>
        <v>БелАЗ 7531 (ГПФК)</v>
      </c>
      <c r="B380" s="39"/>
      <c r="D380" s="63" t="s">
        <v>50</v>
      </c>
      <c r="E380" s="64" t="s">
        <v>51</v>
      </c>
      <c r="F380" s="65"/>
      <c r="G380" s="66">
        <f>SUMIFS(Производительность_1!E$55:E$71,Производительность_1!$C$55:$C$71,$A380)</f>
        <v>0.90830416032470829</v>
      </c>
      <c r="H380" s="66">
        <f>SUMIFS(Производительность_1!F$55:F$71,Производительность_1!$C$55:$C$71,$A380)</f>
        <v>0.88577435312024355</v>
      </c>
      <c r="I380" s="66">
        <f>SUMIFS(Производительность_1!G$55:G$71,Производительность_1!$C$55:$C$71,$A380)</f>
        <v>0.86468734145103998</v>
      </c>
      <c r="J380" s="66">
        <f>SUMIFS(Производительность_1!H$55:H$71,Производительность_1!$C$55:$C$71,$A380)</f>
        <v>0.87460193641129713</v>
      </c>
      <c r="K380" s="66">
        <f>SUMIFS(Производительность_1!I$55:I$71,Производительность_1!$C$55:$C$71,$A380)</f>
        <v>0.88129798748520216</v>
      </c>
      <c r="L380" s="66">
        <f>SUMIFS(Производительность_1!J$55:J$71,Производительность_1!$C$55:$C$71,$A380)</f>
        <v>0.8456720361914426</v>
      </c>
      <c r="M380" s="66">
        <f>SUMIFS(Производительность_1!K$55:K$71,Производительность_1!$C$55:$C$71,$A380)</f>
        <v>0.89713174361576187</v>
      </c>
      <c r="N380" s="66">
        <f>SUMIFS(Производительность_1!L$55:L$71,Производительность_1!$C$55:$C$71,$A380)</f>
        <v>0.85462476746152538</v>
      </c>
      <c r="O380" s="66">
        <f>SUMIFS(Производительность_1!M$55:M$71,Производительность_1!$C$55:$C$71,$A380)</f>
        <v>0.84219452900388969</v>
      </c>
      <c r="P380" s="66">
        <f>SUMIFS(Производительность_1!N$55:N$71,Производительность_1!$C$55:$C$71,$A380)</f>
        <v>0.86135781329274486</v>
      </c>
      <c r="Q380" s="66">
        <f>SUMIFS(Производительность_1!O$55:O$71,Производительность_1!$C$55:$C$71,$A380)</f>
        <v>0</v>
      </c>
      <c r="R380" s="66">
        <f>SUMIFS(Производительность_1!P$55:P$71,Производительность_1!$C$55:$C$71,$A380)</f>
        <v>0</v>
      </c>
      <c r="S380" s="66">
        <f>SUMIFS(Производительность_1!Q$55:Q$71,Производительность_1!$C$55:$C$71,$A380)</f>
        <v>0</v>
      </c>
      <c r="T380" s="66">
        <f>SUMIFS(Производительность_1!R$55:R$71,Производительность_1!$C$55:$C$71,$A380)</f>
        <v>0</v>
      </c>
      <c r="U380" s="66">
        <f>SUMIFS(Производительность_1!S$55:S$71,Производительность_1!$C$55:$C$71,$A380)</f>
        <v>0</v>
      </c>
      <c r="V380" s="66">
        <f>SUMIFS(Производительность_1!T$55:T$71,Производительность_1!$C$55:$C$71,$A380)</f>
        <v>0</v>
      </c>
      <c r="W380" s="66">
        <f>SUMIFS(Производительность_1!U$55:U$71,Производительность_1!$C$55:$C$71,$A380)</f>
        <v>0</v>
      </c>
      <c r="X380" s="66">
        <f>SUMIFS(Производительность_1!V$55:V$71,Производительность_1!$C$55:$C$71,$A380)</f>
        <v>0</v>
      </c>
      <c r="Y380" s="66">
        <f>SUMIFS(Производительность_1!W$55:W$71,Производительность_1!$C$55:$C$71,$A380)</f>
        <v>0</v>
      </c>
      <c r="Z380" s="66">
        <f>SUMIFS(Производительность_1!X$55:X$71,Производительность_1!$C$55:$C$71,$A380)</f>
        <v>0</v>
      </c>
    </row>
    <row r="381" spans="1:26" outlineLevel="1" x14ac:dyDescent="0.25">
      <c r="A381" s="39" t="str">
        <f t="shared" ref="A381:A444" si="198">A380</f>
        <v>БелАЗ 7531 (ГПФК)</v>
      </c>
      <c r="B381" s="39"/>
      <c r="D381" s="63" t="s">
        <v>52</v>
      </c>
      <c r="E381" s="64" t="str">
        <f>E380</f>
        <v>%</v>
      </c>
      <c r="F381" s="65"/>
      <c r="G381" s="66">
        <f>SUMIFS(Производительность_1!E$119:E$135,Производительность_1!$C$119:$C$135,$A381)</f>
        <v>0.77914814805197918</v>
      </c>
      <c r="H381" s="66">
        <f>SUMIFS(Производительность_1!F$119:F$135,Производительность_1!$C$119:$C$135,$A381)</f>
        <v>0.75982195939613117</v>
      </c>
      <c r="I381" s="66">
        <f>SUMIFS(Производительность_1!G$119:G$135,Производительность_1!$C$119:$C$135,$A381)</f>
        <v>0.74763974273698475</v>
      </c>
      <c r="J381" s="66">
        <f>SUMIFS(Производительность_1!H$119:H$135,Производительность_1!$C$119:$C$135,$A381)</f>
        <v>0.75621225776072609</v>
      </c>
      <c r="K381" s="66">
        <f>SUMIFS(Производительность_1!I$119:I$135,Производительность_1!$C$119:$C$135,$A381)</f>
        <v>0.76200190410138724</v>
      </c>
      <c r="L381" s="66">
        <f>SUMIFS(Производительность_1!J$119:J$135,Производительность_1!$C$119:$C$135,$A381)</f>
        <v>0.73119842660936152</v>
      </c>
      <c r="M381" s="66">
        <f>SUMIFS(Производительность_1!K$119:K$135,Производительность_1!$C$119:$C$135,$A381)</f>
        <v>0.77569233854228758</v>
      </c>
      <c r="N381" s="66">
        <f>SUMIFS(Производительность_1!L$119:L$135,Производительность_1!$C$119:$C$135,$A381)</f>
        <v>0.73893927972781437</v>
      </c>
      <c r="O381" s="66">
        <f>SUMIFS(Производительность_1!M$119:M$135,Производительность_1!$C$119:$C$135,$A381)</f>
        <v>0.72819164895178057</v>
      </c>
      <c r="P381" s="66">
        <f>SUMIFS(Производительность_1!N$119:N$135,Производительность_1!$C$119:$C$135,$A381)</f>
        <v>0.74476091306483283</v>
      </c>
      <c r="Q381" s="66">
        <f>SUMIFS(Производительность_1!O$119:O$135,Производительность_1!$C$119:$C$135,$A381)</f>
        <v>0</v>
      </c>
      <c r="R381" s="66">
        <f>SUMIFS(Производительность_1!P$119:P$135,Производительность_1!$C$119:$C$135,$A381)</f>
        <v>0</v>
      </c>
      <c r="S381" s="66">
        <f>SUMIFS(Производительность_1!Q$119:Q$135,Производительность_1!$C$119:$C$135,$A381)</f>
        <v>0</v>
      </c>
      <c r="T381" s="66">
        <f>SUMIFS(Производительность_1!R$119:R$135,Производительность_1!$C$119:$C$135,$A381)</f>
        <v>0</v>
      </c>
      <c r="U381" s="66">
        <f>SUMIFS(Производительность_1!S$119:S$135,Производительность_1!$C$119:$C$135,$A381)</f>
        <v>0</v>
      </c>
      <c r="V381" s="66">
        <f>SUMIFS(Производительность_1!T$119:T$135,Производительность_1!$C$119:$C$135,$A381)</f>
        <v>0</v>
      </c>
      <c r="W381" s="66">
        <f>SUMIFS(Производительность_1!U$119:U$135,Производительность_1!$C$119:$C$135,$A381)</f>
        <v>0</v>
      </c>
      <c r="X381" s="66">
        <f>SUMIFS(Производительность_1!V$119:V$135,Производительность_1!$C$119:$C$135,$A381)</f>
        <v>0</v>
      </c>
      <c r="Y381" s="66">
        <f>SUMIFS(Производительность_1!W$119:W$135,Производительность_1!$C$119:$C$135,$A381)</f>
        <v>0</v>
      </c>
      <c r="Z381" s="66">
        <f>SUMIFS(Производительность_1!X$119:X$135,Производительность_1!$C$119:$C$135,$A381)</f>
        <v>0</v>
      </c>
    </row>
    <row r="382" spans="1:26" outlineLevel="1" x14ac:dyDescent="0.25">
      <c r="A382" s="39" t="str">
        <f t="shared" si="198"/>
        <v>БелАЗ 7531 (ГПФК)</v>
      </c>
      <c r="B382" s="39"/>
      <c r="D382" s="67" t="s">
        <v>53</v>
      </c>
      <c r="E382" s="68" t="s">
        <v>23</v>
      </c>
      <c r="F382" s="69"/>
      <c r="G382" s="69">
        <f>SUMIFS(Производительность_1!E$247:E$263,Производительность_1!$C$247:$C$263,$A382)</f>
        <v>3776.7276982276098</v>
      </c>
      <c r="H382" s="69">
        <f>SUMIFS(Производительность_1!F$247:F$263,Производительность_1!$C$247:$C$263,$A382)</f>
        <v>3436.9378140103181</v>
      </c>
      <c r="I382" s="69">
        <f>SUMIFS(Производительность_1!G$247:G$263,Производительность_1!$C$247:$C$263,$A382)</f>
        <v>2974.4403173373257</v>
      </c>
      <c r="J382" s="69">
        <f>SUMIFS(Производительность_1!H$247:H$263,Производительность_1!$C$247:$C$263,$A382)</f>
        <v>3085.871622868051</v>
      </c>
      <c r="K382" s="69">
        <f>SUMIFS(Производительность_1!I$247:I$263,Производительность_1!$C$247:$C$263,$A382)</f>
        <v>2675.2115329137619</v>
      </c>
      <c r="L382" s="69">
        <f>SUMIFS(Производительность_1!J$247:J$263,Производительность_1!$C$247:$C$263,$A382)</f>
        <v>2359.2431682374499</v>
      </c>
      <c r="M382" s="69">
        <f>SUMIFS(Производительность_1!K$247:K$263,Производительность_1!$C$247:$C$263,$A382)</f>
        <v>2894.1914242736389</v>
      </c>
      <c r="N382" s="69">
        <f>SUMIFS(Производительность_1!L$247:L$263,Производительность_1!$C$247:$C$263,$A382)</f>
        <v>2708.6615117645538</v>
      </c>
      <c r="O382" s="69">
        <f>SUMIFS(Производительность_1!M$247:M$263,Производительность_1!$C$247:$C$263,$A382)</f>
        <v>2340.1013196333156</v>
      </c>
      <c r="P382" s="69">
        <f>SUMIFS(Производительность_1!N$247:N$263,Производительность_1!$C$247:$C$263,$A382)</f>
        <v>2604.6401560824283</v>
      </c>
      <c r="Q382" s="69">
        <f>SUMIFS(Производительность_1!O$247:O$263,Производительность_1!$C$247:$C$263,$A382)</f>
        <v>0</v>
      </c>
      <c r="R382" s="69">
        <f>SUMIFS(Производительность_1!P$247:P$263,Производительность_1!$C$247:$C$263,$A382)</f>
        <v>0</v>
      </c>
      <c r="S382" s="69">
        <f>SUMIFS(Производительность_1!Q$247:Q$263,Производительность_1!$C$247:$C$263,$A382)</f>
        <v>0</v>
      </c>
      <c r="T382" s="69">
        <f>SUMIFS(Производительность_1!R$247:R$263,Производительность_1!$C$247:$C$263,$A382)</f>
        <v>0</v>
      </c>
      <c r="U382" s="69">
        <f>SUMIFS(Производительность_1!S$247:S$263,Производительность_1!$C$247:$C$263,$A382)</f>
        <v>0</v>
      </c>
      <c r="V382" s="69">
        <f>SUMIFS(Производительность_1!T$247:T$263,Производительность_1!$C$247:$C$263,$A382)</f>
        <v>0</v>
      </c>
      <c r="W382" s="69">
        <f>SUMIFS(Производительность_1!U$247:U$263,Производительность_1!$C$247:$C$263,$A382)</f>
        <v>0</v>
      </c>
      <c r="X382" s="69">
        <f>SUMIFS(Производительность_1!V$247:V$263,Производительность_1!$C$247:$C$263,$A382)</f>
        <v>0</v>
      </c>
      <c r="Y382" s="69">
        <f>SUMIFS(Производительность_1!W$247:W$263,Производительность_1!$C$247:$C$263,$A382)</f>
        <v>0</v>
      </c>
      <c r="Z382" s="69">
        <f>SUMIFS(Производительность_1!X$247:X$263,Производительность_1!$C$247:$C$263,$A382)</f>
        <v>0</v>
      </c>
    </row>
    <row r="383" spans="1:26" outlineLevel="1" x14ac:dyDescent="0.25">
      <c r="A383" s="39" t="str">
        <f t="shared" si="198"/>
        <v>БелАЗ 7531 (ГПФК)</v>
      </c>
      <c r="B383" s="39"/>
      <c r="D383" s="67" t="s">
        <v>54</v>
      </c>
      <c r="E383" s="68" t="s">
        <v>24</v>
      </c>
      <c r="F383" s="69"/>
      <c r="G383" s="69">
        <f>SUMIFS(Производительность_1!E$263:E$279,Производительность_1!$C$263:$C$279,$A383)</f>
        <v>11479.681497591326</v>
      </c>
      <c r="H383" s="69">
        <f>SUMIFS(Производительность_1!F$263:F$279,Производительность_1!$C$263:$C$279,$A383)</f>
        <v>11581.872228686147</v>
      </c>
      <c r="I383" s="69">
        <f>SUMIFS(Производительность_1!G$263:G$279,Производительность_1!$C$263:$C$279,$A383)</f>
        <v>12036.683657217869</v>
      </c>
      <c r="J383" s="69">
        <f>SUMIFS(Производительность_1!H$263:H$279,Производительность_1!$C$263:$C$279,$A383)</f>
        <v>12053.125486325915</v>
      </c>
      <c r="K383" s="69">
        <f>SUMIFS(Производительность_1!I$263:I$279,Производительность_1!$C$263:$C$279,$A383)</f>
        <v>12828.189821196389</v>
      </c>
      <c r="L383" s="69">
        <f>SUMIFS(Производительность_1!J$263:J$279,Производительность_1!$C$263:$C$279,$A383)</f>
        <v>12636.359519439371</v>
      </c>
      <c r="M383" s="69">
        <f>SUMIFS(Производительность_1!K$263:K$279,Производительность_1!$C$263:$C$279,$A383)</f>
        <v>12789.952198089773</v>
      </c>
      <c r="N383" s="69">
        <f>SUMIFS(Производительность_1!L$263:L$279,Производительность_1!$C$263:$C$279,$A383)</f>
        <v>12260.046756815291</v>
      </c>
      <c r="O383" s="69">
        <f>SUMIFS(Производительность_1!M$263:M$279,Производительность_1!$C$263:$C$279,$A383)</f>
        <v>12599.239378589557</v>
      </c>
      <c r="P383" s="69">
        <f>SUMIFS(Производительность_1!N$263:N$279,Производительность_1!$C$263:$C$279,$A383)</f>
        <v>12553.728726378233</v>
      </c>
      <c r="Q383" s="69">
        <f>SUMIFS(Производительность_1!O$263:O$279,Производительность_1!$C$263:$C$279,$A383)</f>
        <v>0</v>
      </c>
      <c r="R383" s="69">
        <f>SUMIFS(Производительность_1!P$263:P$279,Производительность_1!$C$263:$C$279,$A383)</f>
        <v>0</v>
      </c>
      <c r="S383" s="69">
        <f>SUMIFS(Производительность_1!Q$263:Q$279,Производительность_1!$C$263:$C$279,$A383)</f>
        <v>0</v>
      </c>
      <c r="T383" s="69">
        <f>SUMIFS(Производительность_1!R$263:R$279,Производительность_1!$C$263:$C$279,$A383)</f>
        <v>0</v>
      </c>
      <c r="U383" s="69">
        <f>SUMIFS(Производительность_1!S$263:S$279,Производительность_1!$C$263:$C$279,$A383)</f>
        <v>0</v>
      </c>
      <c r="V383" s="69">
        <f>SUMIFS(Производительность_1!T$263:T$279,Производительность_1!$C$263:$C$279,$A383)</f>
        <v>0</v>
      </c>
      <c r="W383" s="69">
        <f>SUMIFS(Производительность_1!U$263:U$279,Производительность_1!$C$263:$C$279,$A383)</f>
        <v>0</v>
      </c>
      <c r="X383" s="69">
        <f>SUMIFS(Производительность_1!V$263:V$279,Производительность_1!$C$263:$C$279,$A383)</f>
        <v>0</v>
      </c>
      <c r="Y383" s="69">
        <f>SUMIFS(Производительность_1!W$263:W$279,Производительность_1!$C$263:$C$279,$A383)</f>
        <v>0</v>
      </c>
      <c r="Z383" s="69">
        <f>SUMIFS(Производительность_1!X$263:X$279,Производительность_1!$C$263:$C$279,$A383)</f>
        <v>0</v>
      </c>
    </row>
    <row r="384" spans="1:26" outlineLevel="1" x14ac:dyDescent="0.25">
      <c r="A384" s="39" t="str">
        <f t="shared" si="198"/>
        <v>БелАЗ 7531 (ГПФК)</v>
      </c>
      <c r="B384" s="39"/>
      <c r="D384" s="70" t="s">
        <v>55</v>
      </c>
      <c r="E384" s="64" t="str">
        <f>E383</f>
        <v>тыс. ткм</v>
      </c>
      <c r="F384" s="65"/>
      <c r="G384" s="65">
        <f>G383</f>
        <v>11479.681497591326</v>
      </c>
      <c r="H384" s="65">
        <f>G384+H383</f>
        <v>23061.553726277474</v>
      </c>
      <c r="I384" s="65">
        <f t="shared" ref="I384:Z384" si="199">H384+I383</f>
        <v>35098.237383495347</v>
      </c>
      <c r="J384" s="65">
        <f t="shared" si="199"/>
        <v>47151.362869821263</v>
      </c>
      <c r="K384" s="65">
        <f t="shared" si="199"/>
        <v>59979.552691017656</v>
      </c>
      <c r="L384" s="65">
        <f t="shared" si="199"/>
        <v>72615.912210457027</v>
      </c>
      <c r="M384" s="65">
        <f t="shared" si="199"/>
        <v>85405.864408546797</v>
      </c>
      <c r="N384" s="65">
        <f t="shared" si="199"/>
        <v>97665.911165362093</v>
      </c>
      <c r="O384" s="65">
        <f t="shared" si="199"/>
        <v>110265.15054395165</v>
      </c>
      <c r="P384" s="65">
        <f t="shared" si="199"/>
        <v>122818.87927032988</v>
      </c>
      <c r="Q384" s="65">
        <f t="shared" si="199"/>
        <v>122818.87927032988</v>
      </c>
      <c r="R384" s="65">
        <f t="shared" si="199"/>
        <v>122818.87927032988</v>
      </c>
      <c r="S384" s="65">
        <f t="shared" si="199"/>
        <v>122818.87927032988</v>
      </c>
      <c r="T384" s="65">
        <f t="shared" si="199"/>
        <v>122818.87927032988</v>
      </c>
      <c r="U384" s="65">
        <f t="shared" si="199"/>
        <v>122818.87927032988</v>
      </c>
      <c r="V384" s="65">
        <f t="shared" si="199"/>
        <v>122818.87927032988</v>
      </c>
      <c r="W384" s="65">
        <f t="shared" si="199"/>
        <v>122818.87927032988</v>
      </c>
      <c r="X384" s="65">
        <f t="shared" si="199"/>
        <v>122818.87927032988</v>
      </c>
      <c r="Y384" s="65">
        <f t="shared" si="199"/>
        <v>122818.87927032988</v>
      </c>
      <c r="Z384" s="65">
        <f t="shared" si="199"/>
        <v>122818.87927032988</v>
      </c>
    </row>
    <row r="385" spans="1:28" outlineLevel="1" x14ac:dyDescent="0.25">
      <c r="A385" s="39" t="str">
        <f t="shared" si="198"/>
        <v>БелАЗ 7531 (ГПФК)</v>
      </c>
      <c r="B385" s="39"/>
      <c r="D385" s="63" t="s">
        <v>56</v>
      </c>
      <c r="E385" s="64" t="s">
        <v>57</v>
      </c>
      <c r="F385" s="65"/>
      <c r="G385" s="65">
        <f>SUMIFS(Производительность_1!E$279:E$295,Производительность_1!$C$279:$C$295,$A385)/1000</f>
        <v>101.03668710532018</v>
      </c>
      <c r="H385" s="65">
        <f>SUMIFS(Производительность_1!F$279:F$295,Производительность_1!$C$279:$C$295,$A385)/1000</f>
        <v>101.93610342840003</v>
      </c>
      <c r="I385" s="65">
        <f>SUMIFS(Производительность_1!G$279:G$295,Производительность_1!$C$279:$C$295,$A385)/1000</f>
        <v>105.93905769208106</v>
      </c>
      <c r="J385" s="65">
        <f>SUMIFS(Производительность_1!H$279:H$295,Производительность_1!$C$279:$C$295,$A385)/1000</f>
        <v>106.08376797375371</v>
      </c>
      <c r="K385" s="65">
        <f>SUMIFS(Производительность_1!I$279:I$295,Производительность_1!$C$279:$C$295,$A385)/1000</f>
        <v>112.90537994140561</v>
      </c>
      <c r="L385" s="65">
        <f>SUMIFS(Производительность_1!J$279:J$295,Производительность_1!$C$279:$C$295,$A385)/1000</f>
        <v>111.21701444276269</v>
      </c>
      <c r="M385" s="65">
        <f>SUMIFS(Производительность_1!K$279:K$295,Производительность_1!$C$279:$C$295,$A385)/1000</f>
        <v>112.56883726273594</v>
      </c>
      <c r="N385" s="65">
        <f>SUMIFS(Производительность_1!L$279:L$295,Производительность_1!$C$279:$C$295,$A385)/1000</f>
        <v>107.90495436000118</v>
      </c>
      <c r="O385" s="65">
        <f>SUMIFS(Производительность_1!M$279:M$295,Производительность_1!$C$279:$C$295,$A385)/1000</f>
        <v>110.89030711580985</v>
      </c>
      <c r="P385" s="65">
        <f>SUMIFS(Производительность_1!N$279:N$295,Производительность_1!$C$279:$C$295,$A385)/1000</f>
        <v>110.48975196727203</v>
      </c>
      <c r="Q385" s="65">
        <f>SUMIFS(Производительность_1!O$279:O$295,Производительность_1!$C$279:$C$295,$A385)/1000</f>
        <v>0</v>
      </c>
      <c r="R385" s="65">
        <f>SUMIFS(Производительность_1!P$279:P$295,Производительность_1!$C$279:$C$295,$A385)/1000</f>
        <v>0</v>
      </c>
      <c r="S385" s="65">
        <f>SUMIFS(Производительность_1!Q$279:Q$295,Производительность_1!$C$279:$C$295,$A385)/1000</f>
        <v>0</v>
      </c>
      <c r="T385" s="65">
        <f>SUMIFS(Производительность_1!R$279:R$295,Производительность_1!$C$279:$C$295,$A385)/1000</f>
        <v>0</v>
      </c>
      <c r="U385" s="65">
        <f>SUMIFS(Производительность_1!S$279:S$295,Производительность_1!$C$279:$C$295,$A385)/1000</f>
        <v>0</v>
      </c>
      <c r="V385" s="65">
        <f>SUMIFS(Производительность_1!T$279:T$295,Производительность_1!$C$279:$C$295,$A385)/1000</f>
        <v>0</v>
      </c>
      <c r="W385" s="65">
        <f>SUMIFS(Производительность_1!U$279:U$295,Производительность_1!$C$279:$C$295,$A385)/1000</f>
        <v>0</v>
      </c>
      <c r="X385" s="65">
        <f>SUMIFS(Производительность_1!V$279:V$295,Производительность_1!$C$279:$C$295,$A385)/1000</f>
        <v>0</v>
      </c>
      <c r="Y385" s="65">
        <f>SUMIFS(Производительность_1!W$279:W$295,Производительность_1!$C$279:$C$295,$A385)/1000</f>
        <v>0</v>
      </c>
      <c r="Z385" s="65">
        <f>SUMIFS(Производительность_1!X$279:X$295,Производительность_1!$C$279:$C$295,$A385)/1000</f>
        <v>0</v>
      </c>
    </row>
    <row r="386" spans="1:28" outlineLevel="1" x14ac:dyDescent="0.25">
      <c r="A386" s="39" t="str">
        <f t="shared" si="198"/>
        <v>БелАЗ 7531 (ГПФК)</v>
      </c>
      <c r="B386" s="39"/>
      <c r="D386" s="31"/>
      <c r="E386" s="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8" outlineLevel="1" x14ac:dyDescent="0.25">
      <c r="A387" s="39" t="str">
        <f t="shared" si="198"/>
        <v>БелАЗ 7531 (ГПФК)</v>
      </c>
      <c r="B387" s="39"/>
      <c r="D387" s="71" t="s">
        <v>58</v>
      </c>
      <c r="E387" s="72" t="s">
        <v>33</v>
      </c>
      <c r="F387" s="73">
        <f>F412+F413-F411</f>
        <v>0</v>
      </c>
      <c r="G387" s="73">
        <f t="shared" ref="G387:Z387" si="200">G412+G413-G411</f>
        <v>89859.30933619343</v>
      </c>
      <c r="H387" s="73">
        <f t="shared" si="200"/>
        <v>102401.20640991032</v>
      </c>
      <c r="I387" s="73">
        <f t="shared" si="200"/>
        <v>122941.36790046547</v>
      </c>
      <c r="J387" s="73">
        <f t="shared" si="200"/>
        <v>133963.83469684608</v>
      </c>
      <c r="K387" s="73">
        <f t="shared" si="200"/>
        <v>131651.25940728289</v>
      </c>
      <c r="L387" s="73">
        <f t="shared" si="200"/>
        <v>134578.73083324902</v>
      </c>
      <c r="M387" s="73">
        <f t="shared" si="200"/>
        <v>99612.506969759212</v>
      </c>
      <c r="N387" s="73">
        <f t="shared" si="200"/>
        <v>143620.23368332628</v>
      </c>
      <c r="O387" s="73">
        <f t="shared" si="200"/>
        <v>153632.94685517487</v>
      </c>
      <c r="P387" s="73">
        <f t="shared" si="200"/>
        <v>101865.10357002579</v>
      </c>
      <c r="Q387" s="73">
        <f t="shared" si="200"/>
        <v>0</v>
      </c>
      <c r="R387" s="73">
        <f t="shared" si="200"/>
        <v>0</v>
      </c>
      <c r="S387" s="73">
        <f t="shared" si="200"/>
        <v>0</v>
      </c>
      <c r="T387" s="73">
        <f t="shared" si="200"/>
        <v>0</v>
      </c>
      <c r="U387" s="73">
        <f t="shared" si="200"/>
        <v>0</v>
      </c>
      <c r="V387" s="73">
        <f t="shared" si="200"/>
        <v>0</v>
      </c>
      <c r="W387" s="73">
        <f t="shared" si="200"/>
        <v>0</v>
      </c>
      <c r="X387" s="73">
        <f t="shared" si="200"/>
        <v>0</v>
      </c>
      <c r="Y387" s="73">
        <f t="shared" si="200"/>
        <v>0</v>
      </c>
      <c r="Z387" s="73">
        <f t="shared" si="200"/>
        <v>0</v>
      </c>
    </row>
    <row r="388" spans="1:28" outlineLevel="1" x14ac:dyDescent="0.25">
      <c r="A388" s="39" t="str">
        <f t="shared" si="198"/>
        <v>БелАЗ 7531 (ГПФК)</v>
      </c>
      <c r="B388" s="39"/>
      <c r="C388" s="619" t="str">
        <f>D388</f>
        <v>ТО, ТР, ППР</v>
      </c>
      <c r="D388" s="430" t="s">
        <v>59</v>
      </c>
      <c r="E388" s="68" t="str">
        <f>E387</f>
        <v>тыс. руб.</v>
      </c>
      <c r="F388" s="74"/>
      <c r="G388" s="455">
        <f>(G389+G390+G391)*'ФОТ, МТР, макро'!AK$7</f>
        <v>13923.625553565003</v>
      </c>
      <c r="H388" s="455">
        <f>(H389+H390+H391)*'ФОТ, МТР, макро'!AL$7</f>
        <v>29869.931505960001</v>
      </c>
      <c r="I388" s="455">
        <f>(I389+I390+I391)*'ФОТ, МТР, макро'!AM$7</f>
        <v>53802.142940910009</v>
      </c>
      <c r="J388" s="455">
        <f>(J389+J390+J391)*'ФОТ, МТР, макро'!AN$7</f>
        <v>68373.875987917505</v>
      </c>
      <c r="K388" s="455">
        <f>(K389+K390+K391)*'ФОТ, МТР, макро'!AO$7</f>
        <v>59403.184899922504</v>
      </c>
      <c r="L388" s="455">
        <f>(L389+L390+L391)*'ФОТ, МТР, макро'!AP$7</f>
        <v>64763.590604894998</v>
      </c>
      <c r="M388" s="455">
        <f>(M389+M390+M391)*'ФОТ, МТР, макро'!AQ$7</f>
        <v>16975.2948230775</v>
      </c>
      <c r="N388" s="455">
        <f>(N389+N390+N391)*'ФОТ, МТР, макро'!AR$7</f>
        <v>79677.335724577511</v>
      </c>
      <c r="O388" s="455">
        <f>(O389+O390+O391)*'ФОТ, МТР, макро'!AS$7</f>
        <v>90451.170268095011</v>
      </c>
      <c r="P388" s="455">
        <f>(P389+P390+P391)*'ФОТ, МТР, макро'!AT$7</f>
        <v>21773.070424560003</v>
      </c>
      <c r="Q388" s="455"/>
      <c r="R388" s="455"/>
      <c r="S388" s="455"/>
      <c r="T388" s="455"/>
      <c r="U388" s="455"/>
      <c r="V388" s="455"/>
      <c r="W388" s="455"/>
      <c r="X388" s="455"/>
      <c r="Y388" s="455"/>
      <c r="Z388" s="455"/>
      <c r="AB388" s="76">
        <f>SUM(F388:Z388,F402:Z402)/E377</f>
        <v>49901.322273348007</v>
      </c>
    </row>
    <row r="389" spans="1:28" outlineLevel="1" x14ac:dyDescent="0.25">
      <c r="A389" s="39" t="str">
        <f t="shared" si="198"/>
        <v>БелАЗ 7531 (ГПФК)</v>
      </c>
      <c r="B389" s="39"/>
      <c r="D389" s="427" t="s">
        <v>60</v>
      </c>
      <c r="E389" s="428" t="s">
        <v>35</v>
      </c>
      <c r="F389" s="30"/>
      <c r="G389" s="456">
        <f>БелАЗ_1!E19</f>
        <v>62.264750000000014</v>
      </c>
      <c r="H389" s="456">
        <f>БелАЗ_1!F19</f>
        <v>51.099770000000007</v>
      </c>
      <c r="I389" s="456">
        <f>БелАЗ_1!G19</f>
        <v>51.099770000000007</v>
      </c>
      <c r="J389" s="456">
        <f>БелАЗ_1!H19</f>
        <v>51.099770000000007</v>
      </c>
      <c r="K389" s="456">
        <f>БелАЗ_1!I19</f>
        <v>51.099770000000007</v>
      </c>
      <c r="L389" s="456">
        <f>БелАЗ_1!J19</f>
        <v>51.099770000000007</v>
      </c>
      <c r="M389" s="456">
        <f>БелАЗ_1!K19</f>
        <v>51.099770000000007</v>
      </c>
      <c r="N389" s="456">
        <f>БелАЗ_1!L19</f>
        <v>51.099770000000007</v>
      </c>
      <c r="O389" s="456">
        <f>БелАЗ_1!M19</f>
        <v>51.099770000000007</v>
      </c>
      <c r="P389" s="456">
        <f>БелАЗ_1!N19</f>
        <v>51.099770000000007</v>
      </c>
      <c r="Q389" s="456"/>
      <c r="R389" s="456"/>
      <c r="S389" s="456"/>
      <c r="T389" s="456"/>
      <c r="U389" s="456"/>
      <c r="V389" s="456"/>
      <c r="W389" s="456"/>
      <c r="X389" s="456"/>
      <c r="Y389" s="456"/>
      <c r="Z389" s="456"/>
    </row>
    <row r="390" spans="1:28" outlineLevel="1" x14ac:dyDescent="0.25">
      <c r="A390" s="39" t="str">
        <f t="shared" si="198"/>
        <v>БелАЗ 7531 (ГПФК)</v>
      </c>
      <c r="B390" s="39"/>
      <c r="D390" s="427" t="s">
        <v>61</v>
      </c>
      <c r="E390" s="428" t="s">
        <v>35</v>
      </c>
      <c r="F390" s="30"/>
      <c r="G390" s="456">
        <f>БелАЗ_1!E20+БелАЗ_1!E21</f>
        <v>16.5</v>
      </c>
      <c r="H390" s="456">
        <f>БелАЗ_1!F20+БелАЗ_1!F21</f>
        <v>183.7</v>
      </c>
      <c r="I390" s="456">
        <f>БелАЗ_1!G20+БелАЗ_1!G21</f>
        <v>425.9</v>
      </c>
      <c r="J390" s="456">
        <f>БелАЗ_1!H20+БелАЗ_1!H21</f>
        <v>580.70000000000005</v>
      </c>
      <c r="K390" s="456">
        <f>БелАЗ_1!I20+БелАЗ_1!I21</f>
        <v>490.5</v>
      </c>
      <c r="L390" s="456">
        <f>БелАЗ_1!J20+БелАЗ_1!J21</f>
        <v>526.9</v>
      </c>
      <c r="M390" s="456">
        <f>БелАЗ_1!K20+БелАЗ_1!K21</f>
        <v>49.7</v>
      </c>
      <c r="N390" s="456">
        <f>БелАЗ_1!L20+БелАЗ_1!L21</f>
        <v>688.7</v>
      </c>
      <c r="O390" s="456">
        <f>БелАЗ_1!M20+БелАЗ_1!M21</f>
        <v>793.7</v>
      </c>
      <c r="P390" s="456">
        <f>БелАЗ_1!N20+БелАЗ_1!N21</f>
        <v>70.7</v>
      </c>
      <c r="Q390" s="456"/>
      <c r="R390" s="456"/>
      <c r="S390" s="456"/>
      <c r="T390" s="456"/>
      <c r="U390" s="456"/>
      <c r="V390" s="456"/>
      <c r="W390" s="456"/>
      <c r="X390" s="456"/>
      <c r="Y390" s="456"/>
      <c r="Z390" s="456"/>
    </row>
    <row r="391" spans="1:28" outlineLevel="1" x14ac:dyDescent="0.25">
      <c r="A391" s="39" t="str">
        <f t="shared" si="198"/>
        <v>БелАЗ 7531 (ГПФК)</v>
      </c>
      <c r="B391" s="39"/>
      <c r="D391" s="427" t="s">
        <v>62</v>
      </c>
      <c r="E391" s="428" t="s">
        <v>35</v>
      </c>
      <c r="F391" s="30"/>
      <c r="G391" s="456">
        <f>БелАЗ_1!E22+БелАЗ_1!E23</f>
        <v>69.282540000000012</v>
      </c>
      <c r="H391" s="456">
        <f>БелАЗ_1!F22+БелАЗ_1!F23</f>
        <v>82.801590000000004</v>
      </c>
      <c r="I391" s="456">
        <f>БелАЗ_1!G22+БелАЗ_1!G23</f>
        <v>95.068290000000019</v>
      </c>
      <c r="J391" s="456">
        <f>БелАЗ_1!H22+БелАЗ_1!H23</f>
        <v>95.206785000000011</v>
      </c>
      <c r="K391" s="456">
        <f>БелАЗ_1!I22+БелАЗ_1!I23</f>
        <v>90.023115000000004</v>
      </c>
      <c r="L391" s="456">
        <f>БелАЗ_1!J22+БелАЗ_1!J23</f>
        <v>110.61930000000001</v>
      </c>
      <c r="M391" s="456">
        <f>БелАЗ_1!K22+БелАЗ_1!K23</f>
        <v>79.695345000000003</v>
      </c>
      <c r="N391" s="456">
        <f>БелАЗ_1!L22+БелАЗ_1!L23</f>
        <v>107.39434500000002</v>
      </c>
      <c r="O391" s="456">
        <f>БелАЗ_1!M22+БелАЗ_1!M23</f>
        <v>116.95050000000001</v>
      </c>
      <c r="P391" s="456">
        <f>БелАЗ_1!N22+БелАЗ_1!N23</f>
        <v>109.70919000000001</v>
      </c>
      <c r="Q391" s="456"/>
      <c r="R391" s="456"/>
      <c r="S391" s="456"/>
      <c r="T391" s="456"/>
      <c r="U391" s="456"/>
      <c r="V391" s="456"/>
      <c r="W391" s="456"/>
      <c r="X391" s="456"/>
      <c r="Y391" s="456"/>
      <c r="Z391" s="456"/>
    </row>
    <row r="392" spans="1:28" outlineLevel="1" x14ac:dyDescent="0.25">
      <c r="A392" s="39" t="str">
        <f t="shared" si="198"/>
        <v>БелАЗ 7531 (ГПФК)</v>
      </c>
      <c r="B392" s="39"/>
      <c r="D392" s="80" t="s">
        <v>63</v>
      </c>
      <c r="E392" s="81"/>
      <c r="F392" s="82"/>
      <c r="G392" s="83" t="e">
        <f>G388/$F416</f>
        <v>#DIV/0!</v>
      </c>
      <c r="H392" s="83" t="e">
        <f t="shared" ref="H392:Z392" si="201">H388/$F416</f>
        <v>#DIV/0!</v>
      </c>
      <c r="I392" s="83" t="e">
        <f t="shared" si="201"/>
        <v>#DIV/0!</v>
      </c>
      <c r="J392" s="83" t="e">
        <f t="shared" si="201"/>
        <v>#DIV/0!</v>
      </c>
      <c r="K392" s="83" t="e">
        <f t="shared" si="201"/>
        <v>#DIV/0!</v>
      </c>
      <c r="L392" s="83" t="e">
        <f t="shared" si="201"/>
        <v>#DIV/0!</v>
      </c>
      <c r="M392" s="83" t="e">
        <f t="shared" si="201"/>
        <v>#DIV/0!</v>
      </c>
      <c r="N392" s="83" t="e">
        <f t="shared" si="201"/>
        <v>#DIV/0!</v>
      </c>
      <c r="O392" s="83" t="e">
        <f t="shared" si="201"/>
        <v>#DIV/0!</v>
      </c>
      <c r="P392" s="83" t="e">
        <f t="shared" si="201"/>
        <v>#DIV/0!</v>
      </c>
      <c r="Q392" s="83" t="e">
        <f t="shared" si="201"/>
        <v>#DIV/0!</v>
      </c>
      <c r="R392" s="83" t="e">
        <f t="shared" si="201"/>
        <v>#DIV/0!</v>
      </c>
      <c r="S392" s="83" t="e">
        <f t="shared" si="201"/>
        <v>#DIV/0!</v>
      </c>
      <c r="T392" s="83" t="e">
        <f t="shared" si="201"/>
        <v>#DIV/0!</v>
      </c>
      <c r="U392" s="83" t="e">
        <f t="shared" si="201"/>
        <v>#DIV/0!</v>
      </c>
      <c r="V392" s="83" t="e">
        <f t="shared" si="201"/>
        <v>#DIV/0!</v>
      </c>
      <c r="W392" s="83" t="e">
        <f t="shared" si="201"/>
        <v>#DIV/0!</v>
      </c>
      <c r="X392" s="83" t="e">
        <f t="shared" si="201"/>
        <v>#DIV/0!</v>
      </c>
      <c r="Y392" s="83" t="e">
        <f t="shared" si="201"/>
        <v>#DIV/0!</v>
      </c>
      <c r="Z392" s="83" t="e">
        <f t="shared" si="201"/>
        <v>#DIV/0!</v>
      </c>
      <c r="AA392" s="84" t="e">
        <f>SUM(F388:Z388)/$F416</f>
        <v>#DIV/0!</v>
      </c>
    </row>
    <row r="393" spans="1:28" outlineLevel="1" x14ac:dyDescent="0.25">
      <c r="A393" s="39" t="str">
        <f t="shared" si="198"/>
        <v>БелАЗ 7531 (ГПФК)</v>
      </c>
      <c r="B393" s="39"/>
      <c r="D393" s="67" t="s">
        <v>39</v>
      </c>
      <c r="E393" s="68" t="str">
        <f>E387</f>
        <v>тыс. руб.</v>
      </c>
      <c r="F393" s="74"/>
      <c r="G393" s="85">
        <f>G395*G396</f>
        <v>18988.860486337369</v>
      </c>
      <c r="H393" s="85">
        <f t="shared" ref="H393:Z393" si="202">H395*H396</f>
        <v>19157.897017199619</v>
      </c>
      <c r="I393" s="85">
        <f t="shared" si="202"/>
        <v>19910.213252261783</v>
      </c>
      <c r="J393" s="85">
        <f t="shared" si="202"/>
        <v>19937.410139138687</v>
      </c>
      <c r="K393" s="85">
        <f t="shared" si="202"/>
        <v>21219.465614796205</v>
      </c>
      <c r="L393" s="85">
        <f t="shared" si="202"/>
        <v>20902.153776668969</v>
      </c>
      <c r="M393" s="85">
        <f t="shared" si="202"/>
        <v>21156.215698790002</v>
      </c>
      <c r="N393" s="85">
        <f t="shared" si="202"/>
        <v>20279.684368419599</v>
      </c>
      <c r="O393" s="85">
        <f t="shared" si="202"/>
        <v>20840.75231914785</v>
      </c>
      <c r="P393" s="85">
        <f t="shared" si="202"/>
        <v>20765.471883391478</v>
      </c>
      <c r="Q393" s="85">
        <f t="shared" si="202"/>
        <v>0</v>
      </c>
      <c r="R393" s="85">
        <f t="shared" si="202"/>
        <v>0</v>
      </c>
      <c r="S393" s="85">
        <f t="shared" si="202"/>
        <v>0</v>
      </c>
      <c r="T393" s="85">
        <f t="shared" si="202"/>
        <v>0</v>
      </c>
      <c r="U393" s="85">
        <f t="shared" si="202"/>
        <v>0</v>
      </c>
      <c r="V393" s="85">
        <f t="shared" si="202"/>
        <v>0</v>
      </c>
      <c r="W393" s="85">
        <f t="shared" si="202"/>
        <v>0</v>
      </c>
      <c r="X393" s="85">
        <f t="shared" si="202"/>
        <v>0</v>
      </c>
      <c r="Y393" s="85">
        <f t="shared" si="202"/>
        <v>0</v>
      </c>
      <c r="Z393" s="85">
        <f t="shared" si="202"/>
        <v>0</v>
      </c>
    </row>
    <row r="394" spans="1:28" outlineLevel="1" x14ac:dyDescent="0.25">
      <c r="A394" s="39" t="str">
        <f t="shared" si="198"/>
        <v>БелАЗ 7531 (ГПФК)</v>
      </c>
      <c r="B394" s="39"/>
      <c r="D394" s="31" t="s">
        <v>64</v>
      </c>
      <c r="E394" s="9" t="s">
        <v>65</v>
      </c>
      <c r="F394" s="86">
        <f>SUMIFS('ФОТ, МТР, макро'!$Z$4:$Z$20,'ФОТ, МТР, макро'!$W$4:$W$20,$A394)</f>
        <v>6.6666666666666666E-2</v>
      </c>
      <c r="G394" s="87">
        <f>F394</f>
        <v>6.6666666666666666E-2</v>
      </c>
      <c r="H394" s="87">
        <f t="shared" ref="H394:Z394" si="203">G394</f>
        <v>6.6666666666666666E-2</v>
      </c>
      <c r="I394" s="87">
        <f t="shared" si="203"/>
        <v>6.6666666666666666E-2</v>
      </c>
      <c r="J394" s="87">
        <f t="shared" si="203"/>
        <v>6.6666666666666666E-2</v>
      </c>
      <c r="K394" s="87">
        <f t="shared" si="203"/>
        <v>6.6666666666666666E-2</v>
      </c>
      <c r="L394" s="87">
        <f t="shared" si="203"/>
        <v>6.6666666666666666E-2</v>
      </c>
      <c r="M394" s="87">
        <f t="shared" si="203"/>
        <v>6.6666666666666666E-2</v>
      </c>
      <c r="N394" s="87">
        <f t="shared" si="203"/>
        <v>6.6666666666666666E-2</v>
      </c>
      <c r="O394" s="87">
        <f t="shared" si="203"/>
        <v>6.6666666666666666E-2</v>
      </c>
      <c r="P394" s="87">
        <f t="shared" si="203"/>
        <v>6.6666666666666666E-2</v>
      </c>
      <c r="Q394" s="87">
        <f t="shared" si="203"/>
        <v>6.6666666666666666E-2</v>
      </c>
      <c r="R394" s="87">
        <f t="shared" si="203"/>
        <v>6.6666666666666666E-2</v>
      </c>
      <c r="S394" s="87">
        <f t="shared" si="203"/>
        <v>6.6666666666666666E-2</v>
      </c>
      <c r="T394" s="87">
        <f t="shared" si="203"/>
        <v>6.6666666666666666E-2</v>
      </c>
      <c r="U394" s="87">
        <f t="shared" si="203"/>
        <v>6.6666666666666666E-2</v>
      </c>
      <c r="V394" s="87">
        <f t="shared" si="203"/>
        <v>6.6666666666666666E-2</v>
      </c>
      <c r="W394" s="87">
        <f t="shared" si="203"/>
        <v>6.6666666666666666E-2</v>
      </c>
      <c r="X394" s="87">
        <f t="shared" si="203"/>
        <v>6.6666666666666666E-2</v>
      </c>
      <c r="Y394" s="87">
        <f t="shared" si="203"/>
        <v>6.6666666666666666E-2</v>
      </c>
      <c r="Z394" s="87">
        <f t="shared" si="203"/>
        <v>6.6666666666666666E-2</v>
      </c>
    </row>
    <row r="395" spans="1:28" outlineLevel="1" x14ac:dyDescent="0.25">
      <c r="A395" s="39" t="str">
        <f t="shared" si="198"/>
        <v>БелАЗ 7531 (ГПФК)</v>
      </c>
      <c r="B395" s="39"/>
      <c r="D395" s="31" t="s">
        <v>66</v>
      </c>
      <c r="E395" s="9" t="s">
        <v>67</v>
      </c>
      <c r="F395" s="74"/>
      <c r="G395" s="78">
        <f>G385*G394</f>
        <v>6.735779140354679</v>
      </c>
      <c r="H395" s="78">
        <f t="shared" ref="H395:Z395" si="204">H385*H394</f>
        <v>6.7957402285600024</v>
      </c>
      <c r="I395" s="78">
        <f t="shared" si="204"/>
        <v>7.0626038461387379</v>
      </c>
      <c r="J395" s="78">
        <f t="shared" si="204"/>
        <v>7.072251198250247</v>
      </c>
      <c r="K395" s="78">
        <f t="shared" si="204"/>
        <v>7.5270253294270404</v>
      </c>
      <c r="L395" s="78">
        <f t="shared" si="204"/>
        <v>7.4144676295175129</v>
      </c>
      <c r="M395" s="78">
        <f t="shared" si="204"/>
        <v>7.5045891508490623</v>
      </c>
      <c r="N395" s="78">
        <f t="shared" si="204"/>
        <v>7.1936636240000791</v>
      </c>
      <c r="O395" s="78">
        <f t="shared" si="204"/>
        <v>7.3926871410539894</v>
      </c>
      <c r="P395" s="78">
        <f t="shared" si="204"/>
        <v>7.3659834644848017</v>
      </c>
      <c r="Q395" s="78">
        <f t="shared" si="204"/>
        <v>0</v>
      </c>
      <c r="R395" s="78">
        <f t="shared" si="204"/>
        <v>0</v>
      </c>
      <c r="S395" s="78">
        <f t="shared" si="204"/>
        <v>0</v>
      </c>
      <c r="T395" s="78">
        <f t="shared" si="204"/>
        <v>0</v>
      </c>
      <c r="U395" s="78">
        <f t="shared" si="204"/>
        <v>0</v>
      </c>
      <c r="V395" s="78">
        <f t="shared" si="204"/>
        <v>0</v>
      </c>
      <c r="W395" s="78">
        <f t="shared" si="204"/>
        <v>0</v>
      </c>
      <c r="X395" s="78">
        <f t="shared" si="204"/>
        <v>0</v>
      </c>
      <c r="Y395" s="78">
        <f t="shared" si="204"/>
        <v>0</v>
      </c>
      <c r="Z395" s="78">
        <f t="shared" si="204"/>
        <v>0</v>
      </c>
      <c r="AA395" s="88">
        <f>SUM(F385:Z385)*F394-SUM(F395:Z395)</f>
        <v>0</v>
      </c>
    </row>
    <row r="396" spans="1:28" outlineLevel="1" x14ac:dyDescent="0.25">
      <c r="A396" s="39" t="str">
        <f t="shared" si="198"/>
        <v>БелАЗ 7531 (ГПФК)</v>
      </c>
      <c r="B396" s="39"/>
      <c r="D396" s="31" t="s">
        <v>68</v>
      </c>
      <c r="E396" s="9" t="s">
        <v>69</v>
      </c>
      <c r="F396" s="78">
        <f>SUMIFS('ФОТ, МТР, макро'!$AA$4:$AA$20,'ФОТ, МТР, макро'!$W$4:$W$20,$A396)</f>
        <v>2819.1037875000002</v>
      </c>
      <c r="G396" s="89">
        <f>F396</f>
        <v>2819.1037875000002</v>
      </c>
      <c r="H396" s="89">
        <f t="shared" ref="H396:Z396" si="205">G396</f>
        <v>2819.1037875000002</v>
      </c>
      <c r="I396" s="89">
        <f t="shared" si="205"/>
        <v>2819.1037875000002</v>
      </c>
      <c r="J396" s="89">
        <f t="shared" si="205"/>
        <v>2819.1037875000002</v>
      </c>
      <c r="K396" s="89">
        <f t="shared" si="205"/>
        <v>2819.1037875000002</v>
      </c>
      <c r="L396" s="89">
        <f t="shared" si="205"/>
        <v>2819.1037875000002</v>
      </c>
      <c r="M396" s="89">
        <f t="shared" si="205"/>
        <v>2819.1037875000002</v>
      </c>
      <c r="N396" s="89">
        <f t="shared" si="205"/>
        <v>2819.1037875000002</v>
      </c>
      <c r="O396" s="89">
        <f t="shared" si="205"/>
        <v>2819.1037875000002</v>
      </c>
      <c r="P396" s="89">
        <f t="shared" si="205"/>
        <v>2819.1037875000002</v>
      </c>
      <c r="Q396" s="89">
        <f t="shared" si="205"/>
        <v>2819.1037875000002</v>
      </c>
      <c r="R396" s="89">
        <f t="shared" si="205"/>
        <v>2819.1037875000002</v>
      </c>
      <c r="S396" s="89">
        <f t="shared" si="205"/>
        <v>2819.1037875000002</v>
      </c>
      <c r="T396" s="89">
        <f t="shared" si="205"/>
        <v>2819.1037875000002</v>
      </c>
      <c r="U396" s="89">
        <f t="shared" si="205"/>
        <v>2819.1037875000002</v>
      </c>
      <c r="V396" s="89">
        <f t="shared" si="205"/>
        <v>2819.1037875000002</v>
      </c>
      <c r="W396" s="89">
        <f t="shared" si="205"/>
        <v>2819.1037875000002</v>
      </c>
      <c r="X396" s="89">
        <f t="shared" si="205"/>
        <v>2819.1037875000002</v>
      </c>
      <c r="Y396" s="89">
        <f t="shared" si="205"/>
        <v>2819.1037875000002</v>
      </c>
      <c r="Z396" s="89">
        <f t="shared" si="205"/>
        <v>2819.1037875000002</v>
      </c>
    </row>
    <row r="397" spans="1:28" outlineLevel="1" x14ac:dyDescent="0.25">
      <c r="A397" s="39" t="str">
        <f t="shared" si="198"/>
        <v>БелАЗ 7531 (ГПФК)</v>
      </c>
      <c r="B397" s="39"/>
      <c r="D397" s="67" t="s">
        <v>70</v>
      </c>
      <c r="E397" s="68" t="str">
        <f>E387</f>
        <v>тыс. руб.</v>
      </c>
      <c r="F397" s="89"/>
      <c r="G397" s="85">
        <f>G400*G401</f>
        <v>68208.855167693429</v>
      </c>
      <c r="H397" s="85">
        <f t="shared" ref="H397:Z397" si="206">H400*H401</f>
        <v>68816.04211605867</v>
      </c>
      <c r="I397" s="85">
        <f t="shared" si="206"/>
        <v>71518.396433453381</v>
      </c>
      <c r="J397" s="85">
        <f t="shared" si="206"/>
        <v>71616.088894743167</v>
      </c>
      <c r="K397" s="85">
        <f t="shared" si="206"/>
        <v>76221.290787663049</v>
      </c>
      <c r="L397" s="85">
        <f t="shared" si="206"/>
        <v>75081.492155439264</v>
      </c>
      <c r="M397" s="85">
        <f t="shared" si="206"/>
        <v>75994.094197149345</v>
      </c>
      <c r="N397" s="85">
        <f t="shared" si="206"/>
        <v>72845.553577442464</v>
      </c>
      <c r="O397" s="85">
        <f t="shared" si="206"/>
        <v>74860.935312328191</v>
      </c>
      <c r="P397" s="85">
        <f t="shared" si="206"/>
        <v>74590.524544754124</v>
      </c>
      <c r="Q397" s="85">
        <f t="shared" si="206"/>
        <v>0</v>
      </c>
      <c r="R397" s="85">
        <f t="shared" si="206"/>
        <v>0</v>
      </c>
      <c r="S397" s="85">
        <f t="shared" si="206"/>
        <v>0</v>
      </c>
      <c r="T397" s="85">
        <f t="shared" si="206"/>
        <v>0</v>
      </c>
      <c r="U397" s="85">
        <f t="shared" si="206"/>
        <v>0</v>
      </c>
      <c r="V397" s="85">
        <f t="shared" si="206"/>
        <v>0</v>
      </c>
      <c r="W397" s="85">
        <f t="shared" si="206"/>
        <v>0</v>
      </c>
      <c r="X397" s="85">
        <f t="shared" si="206"/>
        <v>0</v>
      </c>
      <c r="Y397" s="85">
        <f t="shared" si="206"/>
        <v>0</v>
      </c>
      <c r="Z397" s="85">
        <f t="shared" si="206"/>
        <v>0</v>
      </c>
    </row>
    <row r="398" spans="1:28" outlineLevel="1" x14ac:dyDescent="0.25">
      <c r="A398" s="39" t="str">
        <f t="shared" si="198"/>
        <v>БелАЗ 7531 (ГПФК)</v>
      </c>
      <c r="B398" s="39"/>
      <c r="D398" s="31" t="s">
        <v>64</v>
      </c>
      <c r="E398" s="77" t="str">
        <f>VLOOKUP($A398,'ФОТ, МТР, макро'!$N$4:$Q$20,4,FALSE)</f>
        <v>г/ткм</v>
      </c>
      <c r="F398" s="90">
        <f>IF($E398="г/ткм",SUMIFS('ФОТ, МТР, макро'!$O$4:$O$20,'ФОТ, МТР, макро'!$N$4:$N$20,$A398),SUMIFS('ФОТ, МТР, макро'!$P$4:$P$20,'ФОТ, МТР, макро'!$N$4:$N$20,$A398))</f>
        <v>90</v>
      </c>
      <c r="G398" s="91">
        <f>F398</f>
        <v>90</v>
      </c>
      <c r="H398" s="91">
        <f t="shared" ref="H398:Z398" si="207">G398</f>
        <v>90</v>
      </c>
      <c r="I398" s="91">
        <f t="shared" si="207"/>
        <v>90</v>
      </c>
      <c r="J398" s="91">
        <f t="shared" si="207"/>
        <v>90</v>
      </c>
      <c r="K398" s="91">
        <f t="shared" si="207"/>
        <v>90</v>
      </c>
      <c r="L398" s="91">
        <f t="shared" si="207"/>
        <v>90</v>
      </c>
      <c r="M398" s="91">
        <f t="shared" si="207"/>
        <v>90</v>
      </c>
      <c r="N398" s="91">
        <f t="shared" si="207"/>
        <v>90</v>
      </c>
      <c r="O398" s="91">
        <f t="shared" si="207"/>
        <v>90</v>
      </c>
      <c r="P398" s="91">
        <f t="shared" si="207"/>
        <v>90</v>
      </c>
      <c r="Q398" s="91">
        <f t="shared" si="207"/>
        <v>90</v>
      </c>
      <c r="R398" s="91">
        <f t="shared" si="207"/>
        <v>90</v>
      </c>
      <c r="S398" s="91">
        <f t="shared" si="207"/>
        <v>90</v>
      </c>
      <c r="T398" s="91">
        <f t="shared" si="207"/>
        <v>90</v>
      </c>
      <c r="U398" s="91">
        <f t="shared" si="207"/>
        <v>90</v>
      </c>
      <c r="V398" s="91">
        <f t="shared" si="207"/>
        <v>90</v>
      </c>
      <c r="W398" s="91">
        <f t="shared" si="207"/>
        <v>90</v>
      </c>
      <c r="X398" s="91">
        <f t="shared" si="207"/>
        <v>90</v>
      </c>
      <c r="Y398" s="91">
        <f t="shared" si="207"/>
        <v>90</v>
      </c>
      <c r="Z398" s="91">
        <f t="shared" si="207"/>
        <v>90</v>
      </c>
    </row>
    <row r="399" spans="1:28" outlineLevel="1" x14ac:dyDescent="0.25">
      <c r="A399" s="39" t="str">
        <f t="shared" si="198"/>
        <v>БелАЗ 7531 (ГПФК)</v>
      </c>
      <c r="B399" s="39"/>
      <c r="D399" s="93" t="s">
        <v>71</v>
      </c>
      <c r="E399" s="94" t="str">
        <f>IF(E398='ФОТ, МТР, макро'!$O$4,'ФОТ, МТР, макро'!$P$4,'ФОТ, МТР, макро'!$O$4)</f>
        <v>л/час</v>
      </c>
      <c r="F399" s="95"/>
      <c r="G399" s="96">
        <f>IF($E398="г/ткм",G400*1000/(365*24*G381),G400/G383*1000)</f>
        <v>151.37292373640241</v>
      </c>
      <c r="H399" s="96">
        <f t="shared" ref="H399:Z399" si="208">IF($E398="г/ткм",H400*1000/(365*24*H381),H400/H383*1000)</f>
        <v>156.60489473155312</v>
      </c>
      <c r="I399" s="96">
        <f t="shared" si="208"/>
        <v>165.40661371128564</v>
      </c>
      <c r="J399" s="96">
        <f t="shared" si="208"/>
        <v>163.75492429941366</v>
      </c>
      <c r="K399" s="96">
        <f t="shared" si="208"/>
        <v>172.96081552596792</v>
      </c>
      <c r="L399" s="96">
        <f t="shared" si="208"/>
        <v>177.55182010320163</v>
      </c>
      <c r="M399" s="96">
        <f t="shared" si="208"/>
        <v>169.40172275062565</v>
      </c>
      <c r="N399" s="96">
        <f t="shared" si="208"/>
        <v>170.45972239319178</v>
      </c>
      <c r="O399" s="96">
        <f t="shared" si="208"/>
        <v>177.76122587689844</v>
      </c>
      <c r="P399" s="96">
        <f t="shared" si="208"/>
        <v>173.17861710313602</v>
      </c>
      <c r="Q399" s="96" t="e">
        <f t="shared" si="208"/>
        <v>#DIV/0!</v>
      </c>
      <c r="R399" s="96" t="e">
        <f t="shared" si="208"/>
        <v>#DIV/0!</v>
      </c>
      <c r="S399" s="96" t="e">
        <f t="shared" si="208"/>
        <v>#DIV/0!</v>
      </c>
      <c r="T399" s="96" t="e">
        <f t="shared" si="208"/>
        <v>#DIV/0!</v>
      </c>
      <c r="U399" s="96" t="e">
        <f t="shared" si="208"/>
        <v>#DIV/0!</v>
      </c>
      <c r="V399" s="96" t="e">
        <f t="shared" si="208"/>
        <v>#DIV/0!</v>
      </c>
      <c r="W399" s="96" t="e">
        <f t="shared" si="208"/>
        <v>#DIV/0!</v>
      </c>
      <c r="X399" s="96" t="e">
        <f t="shared" si="208"/>
        <v>#DIV/0!</v>
      </c>
      <c r="Y399" s="96" t="e">
        <f t="shared" si="208"/>
        <v>#DIV/0!</v>
      </c>
      <c r="Z399" s="96" t="e">
        <f t="shared" si="208"/>
        <v>#DIV/0!</v>
      </c>
    </row>
    <row r="400" spans="1:28" outlineLevel="1" x14ac:dyDescent="0.25">
      <c r="A400" s="39" t="str">
        <f t="shared" si="198"/>
        <v>БелАЗ 7531 (ГПФК)</v>
      </c>
      <c r="B400" s="39"/>
      <c r="D400" s="31" t="s">
        <v>66</v>
      </c>
      <c r="E400" s="9" t="s">
        <v>11</v>
      </c>
      <c r="F400" s="89"/>
      <c r="G400" s="78">
        <f>IF($E398="г/ткм",G383*G398/1000,365*24*G381*G398*0.85/1000)</f>
        <v>1033.1713347832192</v>
      </c>
      <c r="H400" s="78">
        <f t="shared" ref="H400:Z400" si="209">IF($E398="г/ткм",H383*H398/1000,365*24*H381*H398*0.85/1000)</f>
        <v>1042.3685005817531</v>
      </c>
      <c r="I400" s="78">
        <f t="shared" si="209"/>
        <v>1083.3015291496083</v>
      </c>
      <c r="J400" s="78">
        <f t="shared" si="209"/>
        <v>1084.7812937693323</v>
      </c>
      <c r="K400" s="78">
        <f t="shared" si="209"/>
        <v>1154.537083907675</v>
      </c>
      <c r="L400" s="78">
        <f t="shared" si="209"/>
        <v>1137.2723567495434</v>
      </c>
      <c r="M400" s="78">
        <f t="shared" si="209"/>
        <v>1151.0956978280797</v>
      </c>
      <c r="N400" s="78">
        <f t="shared" si="209"/>
        <v>1103.4042081133762</v>
      </c>
      <c r="O400" s="78">
        <f t="shared" si="209"/>
        <v>1133.9315440730602</v>
      </c>
      <c r="P400" s="78">
        <f t="shared" si="209"/>
        <v>1129.8355853740411</v>
      </c>
      <c r="Q400" s="78">
        <f t="shared" si="209"/>
        <v>0</v>
      </c>
      <c r="R400" s="78">
        <f t="shared" si="209"/>
        <v>0</v>
      </c>
      <c r="S400" s="78">
        <f t="shared" si="209"/>
        <v>0</v>
      </c>
      <c r="T400" s="78">
        <f t="shared" si="209"/>
        <v>0</v>
      </c>
      <c r="U400" s="78">
        <f t="shared" si="209"/>
        <v>0</v>
      </c>
      <c r="V400" s="78">
        <f t="shared" si="209"/>
        <v>0</v>
      </c>
      <c r="W400" s="78">
        <f t="shared" si="209"/>
        <v>0</v>
      </c>
      <c r="X400" s="78">
        <f t="shared" si="209"/>
        <v>0</v>
      </c>
      <c r="Y400" s="78">
        <f t="shared" si="209"/>
        <v>0</v>
      </c>
      <c r="Z400" s="78">
        <f t="shared" si="209"/>
        <v>0</v>
      </c>
    </row>
    <row r="401" spans="1:28" outlineLevel="1" x14ac:dyDescent="0.25">
      <c r="A401" s="39" t="str">
        <f t="shared" si="198"/>
        <v>БелАЗ 7531 (ГПФК)</v>
      </c>
      <c r="B401" s="39"/>
      <c r="D401" s="31" t="s">
        <v>68</v>
      </c>
      <c r="E401" s="9" t="s">
        <v>72</v>
      </c>
      <c r="F401" s="78">
        <f>'ФОТ, МТР, макро'!$G$2</f>
        <v>66.018919487352079</v>
      </c>
      <c r="G401" s="89">
        <f>F401</f>
        <v>66.018919487352079</v>
      </c>
      <c r="H401" s="89">
        <f t="shared" ref="H401:Z401" si="210">G401</f>
        <v>66.018919487352079</v>
      </c>
      <c r="I401" s="89">
        <f t="shared" si="210"/>
        <v>66.018919487352079</v>
      </c>
      <c r="J401" s="89">
        <f t="shared" si="210"/>
        <v>66.018919487352079</v>
      </c>
      <c r="K401" s="89">
        <f t="shared" si="210"/>
        <v>66.018919487352079</v>
      </c>
      <c r="L401" s="89">
        <f t="shared" si="210"/>
        <v>66.018919487352079</v>
      </c>
      <c r="M401" s="89">
        <f t="shared" si="210"/>
        <v>66.018919487352079</v>
      </c>
      <c r="N401" s="89">
        <f t="shared" si="210"/>
        <v>66.018919487352079</v>
      </c>
      <c r="O401" s="89">
        <f t="shared" si="210"/>
        <v>66.018919487352079</v>
      </c>
      <c r="P401" s="89">
        <f t="shared" si="210"/>
        <v>66.018919487352079</v>
      </c>
      <c r="Q401" s="89">
        <f t="shared" si="210"/>
        <v>66.018919487352079</v>
      </c>
      <c r="R401" s="89">
        <f t="shared" si="210"/>
        <v>66.018919487352079</v>
      </c>
      <c r="S401" s="89">
        <f t="shared" si="210"/>
        <v>66.018919487352079</v>
      </c>
      <c r="T401" s="89">
        <f t="shared" si="210"/>
        <v>66.018919487352079</v>
      </c>
      <c r="U401" s="89">
        <f t="shared" si="210"/>
        <v>66.018919487352079</v>
      </c>
      <c r="V401" s="89">
        <f t="shared" si="210"/>
        <v>66.018919487352079</v>
      </c>
      <c r="W401" s="89">
        <f t="shared" si="210"/>
        <v>66.018919487352079</v>
      </c>
      <c r="X401" s="89">
        <f t="shared" si="210"/>
        <v>66.018919487352079</v>
      </c>
      <c r="Y401" s="89">
        <f t="shared" si="210"/>
        <v>66.018919487352079</v>
      </c>
      <c r="Z401" s="89">
        <f t="shared" si="210"/>
        <v>66.018919487352079</v>
      </c>
      <c r="AB401" s="92"/>
    </row>
    <row r="402" spans="1:28" outlineLevel="1" x14ac:dyDescent="0.25">
      <c r="A402" s="39" t="str">
        <f t="shared" si="198"/>
        <v>БелАЗ 7531 (ГПФК)</v>
      </c>
      <c r="B402" s="39"/>
      <c r="C402" s="619" t="str">
        <f>C388</f>
        <v>ТО, ТР, ППР</v>
      </c>
      <c r="D402" s="218" t="s">
        <v>73</v>
      </c>
      <c r="E402" s="68" t="str">
        <f>E387</f>
        <v>тыс. руб.</v>
      </c>
      <c r="F402" s="30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8" outlineLevel="1" x14ac:dyDescent="0.25">
      <c r="A403" s="39" t="str">
        <f t="shared" si="198"/>
        <v>БелАЗ 7531 (ГПФК)</v>
      </c>
      <c r="B403" s="39"/>
      <c r="D403" s="67"/>
      <c r="E403" s="68"/>
      <c r="F403" s="30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8" outlineLevel="1" x14ac:dyDescent="0.25">
      <c r="A404" s="39" t="str">
        <f t="shared" si="198"/>
        <v>БелАЗ 7531 (ГПФК)</v>
      </c>
      <c r="B404" s="39"/>
      <c r="D404" s="67" t="s">
        <v>74</v>
      </c>
      <c r="E404" s="68" t="str">
        <f>E387</f>
        <v>тыс. руб.</v>
      </c>
      <c r="F404" s="74"/>
      <c r="G404" s="85">
        <f>G405+G406+G407</f>
        <v>18475.596240662097</v>
      </c>
      <c r="H404" s="85">
        <f t="shared" ref="H404:Z404" si="211">H405+H406+H407</f>
        <v>18475.596240662097</v>
      </c>
      <c r="I404" s="85">
        <f t="shared" si="211"/>
        <v>18475.596240662097</v>
      </c>
      <c r="J404" s="85">
        <f t="shared" si="211"/>
        <v>18475.596240662097</v>
      </c>
      <c r="K404" s="85">
        <f t="shared" si="211"/>
        <v>18475.596240662097</v>
      </c>
      <c r="L404" s="85">
        <f t="shared" si="211"/>
        <v>18475.596240662097</v>
      </c>
      <c r="M404" s="85">
        <f t="shared" si="211"/>
        <v>18475.596240662097</v>
      </c>
      <c r="N404" s="85">
        <f t="shared" si="211"/>
        <v>18475.596240662097</v>
      </c>
      <c r="O404" s="85">
        <f t="shared" si="211"/>
        <v>18475.596240662097</v>
      </c>
      <c r="P404" s="85">
        <f t="shared" si="211"/>
        <v>18475.596240662097</v>
      </c>
      <c r="Q404" s="85">
        <f t="shared" si="211"/>
        <v>0</v>
      </c>
      <c r="R404" s="85">
        <f t="shared" si="211"/>
        <v>0</v>
      </c>
      <c r="S404" s="85">
        <f t="shared" si="211"/>
        <v>0</v>
      </c>
      <c r="T404" s="85">
        <f t="shared" si="211"/>
        <v>0</v>
      </c>
      <c r="U404" s="85">
        <f t="shared" si="211"/>
        <v>0</v>
      </c>
      <c r="V404" s="85">
        <f t="shared" si="211"/>
        <v>0</v>
      </c>
      <c r="W404" s="85">
        <f t="shared" si="211"/>
        <v>0</v>
      </c>
      <c r="X404" s="85">
        <f t="shared" si="211"/>
        <v>0</v>
      </c>
      <c r="Y404" s="85">
        <f t="shared" si="211"/>
        <v>0</v>
      </c>
      <c r="Z404" s="85">
        <f t="shared" si="211"/>
        <v>0</v>
      </c>
    </row>
    <row r="405" spans="1:28" outlineLevel="1" x14ac:dyDescent="0.25">
      <c r="A405" s="39" t="str">
        <f t="shared" si="198"/>
        <v>БелАЗ 7531 (ГПФК)</v>
      </c>
      <c r="B405" s="39"/>
      <c r="D405" s="31" t="s">
        <v>257</v>
      </c>
      <c r="E405" s="9" t="str">
        <f>E404</f>
        <v>тыс. руб.</v>
      </c>
      <c r="F405" s="78">
        <f>'ФОТ, МТР, макро'!$B$4*'ФОТ, МТР, макро'!$B$7</f>
        <v>11107.5</v>
      </c>
      <c r="G405" s="89">
        <f>IF(G382=0,0,$F405)</f>
        <v>11107.5</v>
      </c>
      <c r="H405" s="89">
        <f t="shared" ref="H405:Z405" si="212">IF(H382=0,0,$F405)</f>
        <v>11107.5</v>
      </c>
      <c r="I405" s="89">
        <f t="shared" si="212"/>
        <v>11107.5</v>
      </c>
      <c r="J405" s="89">
        <f t="shared" si="212"/>
        <v>11107.5</v>
      </c>
      <c r="K405" s="89">
        <f t="shared" si="212"/>
        <v>11107.5</v>
      </c>
      <c r="L405" s="89">
        <f t="shared" si="212"/>
        <v>11107.5</v>
      </c>
      <c r="M405" s="89">
        <f t="shared" si="212"/>
        <v>11107.5</v>
      </c>
      <c r="N405" s="89">
        <f t="shared" si="212"/>
        <v>11107.5</v>
      </c>
      <c r="O405" s="89">
        <f t="shared" si="212"/>
        <v>11107.5</v>
      </c>
      <c r="P405" s="89">
        <f t="shared" si="212"/>
        <v>11107.5</v>
      </c>
      <c r="Q405" s="89">
        <f t="shared" si="212"/>
        <v>0</v>
      </c>
      <c r="R405" s="89">
        <f t="shared" si="212"/>
        <v>0</v>
      </c>
      <c r="S405" s="89">
        <f t="shared" si="212"/>
        <v>0</v>
      </c>
      <c r="T405" s="89">
        <f t="shared" si="212"/>
        <v>0</v>
      </c>
      <c r="U405" s="89">
        <f t="shared" si="212"/>
        <v>0</v>
      </c>
      <c r="V405" s="89">
        <f t="shared" si="212"/>
        <v>0</v>
      </c>
      <c r="W405" s="89">
        <f t="shared" si="212"/>
        <v>0</v>
      </c>
      <c r="X405" s="89">
        <f t="shared" si="212"/>
        <v>0</v>
      </c>
      <c r="Y405" s="89">
        <f t="shared" si="212"/>
        <v>0</v>
      </c>
      <c r="Z405" s="89">
        <f t="shared" si="212"/>
        <v>0</v>
      </c>
    </row>
    <row r="406" spans="1:28" outlineLevel="1" x14ac:dyDescent="0.25">
      <c r="A406" s="39" t="str">
        <f t="shared" si="198"/>
        <v>БелАЗ 7531 (ГПФК)</v>
      </c>
      <c r="B406" s="39"/>
      <c r="D406" s="31" t="s">
        <v>75</v>
      </c>
      <c r="E406" s="9" t="str">
        <f>E404</f>
        <v>тыс. руб.</v>
      </c>
      <c r="F406" s="97">
        <f>'ФОТ, МТР, макро'!$B$5</f>
        <v>0.377</v>
      </c>
      <c r="G406" s="89">
        <f>G405*$F406</f>
        <v>4187.5275000000001</v>
      </c>
      <c r="H406" s="89">
        <f t="shared" ref="H406:Z406" si="213">H405*$F406</f>
        <v>4187.5275000000001</v>
      </c>
      <c r="I406" s="89">
        <f t="shared" si="213"/>
        <v>4187.5275000000001</v>
      </c>
      <c r="J406" s="89">
        <f t="shared" si="213"/>
        <v>4187.5275000000001</v>
      </c>
      <c r="K406" s="89">
        <f t="shared" si="213"/>
        <v>4187.5275000000001</v>
      </c>
      <c r="L406" s="89">
        <f t="shared" si="213"/>
        <v>4187.5275000000001</v>
      </c>
      <c r="M406" s="89">
        <f t="shared" si="213"/>
        <v>4187.5275000000001</v>
      </c>
      <c r="N406" s="89">
        <f t="shared" si="213"/>
        <v>4187.5275000000001</v>
      </c>
      <c r="O406" s="89">
        <f t="shared" si="213"/>
        <v>4187.5275000000001</v>
      </c>
      <c r="P406" s="89">
        <f t="shared" si="213"/>
        <v>4187.5275000000001</v>
      </c>
      <c r="Q406" s="89">
        <f t="shared" si="213"/>
        <v>0</v>
      </c>
      <c r="R406" s="89">
        <f t="shared" si="213"/>
        <v>0</v>
      </c>
      <c r="S406" s="89">
        <f t="shared" si="213"/>
        <v>0</v>
      </c>
      <c r="T406" s="89">
        <f t="shared" si="213"/>
        <v>0</v>
      </c>
      <c r="U406" s="89">
        <f t="shared" si="213"/>
        <v>0</v>
      </c>
      <c r="V406" s="89">
        <f t="shared" si="213"/>
        <v>0</v>
      </c>
      <c r="W406" s="89">
        <f t="shared" si="213"/>
        <v>0</v>
      </c>
      <c r="X406" s="89">
        <f t="shared" si="213"/>
        <v>0</v>
      </c>
      <c r="Y406" s="89">
        <f t="shared" si="213"/>
        <v>0</v>
      </c>
      <c r="Z406" s="89">
        <f t="shared" si="213"/>
        <v>0</v>
      </c>
    </row>
    <row r="407" spans="1:28" outlineLevel="1" x14ac:dyDescent="0.25">
      <c r="A407" s="39" t="str">
        <f t="shared" si="198"/>
        <v>БелАЗ 7531 (ГПФК)</v>
      </c>
      <c r="B407" s="39"/>
      <c r="D407" s="31" t="s">
        <v>76</v>
      </c>
      <c r="E407" s="9"/>
      <c r="F407" s="78">
        <f>'ФОТ, МТР, макро'!$C$13*'ФОТ, МТР, макро'!$B$7</f>
        <v>3180.5687406620973</v>
      </c>
      <c r="G407" s="89">
        <f>IF(G382=0,0,$F407)</f>
        <v>3180.5687406620973</v>
      </c>
      <c r="H407" s="89">
        <f t="shared" ref="H407:Z407" si="214">IF(H382=0,0,$F407)</f>
        <v>3180.5687406620973</v>
      </c>
      <c r="I407" s="89">
        <f t="shared" si="214"/>
        <v>3180.5687406620973</v>
      </c>
      <c r="J407" s="89">
        <f t="shared" si="214"/>
        <v>3180.5687406620973</v>
      </c>
      <c r="K407" s="89">
        <f t="shared" si="214"/>
        <v>3180.5687406620973</v>
      </c>
      <c r="L407" s="89">
        <f t="shared" si="214"/>
        <v>3180.5687406620973</v>
      </c>
      <c r="M407" s="89">
        <f t="shared" si="214"/>
        <v>3180.5687406620973</v>
      </c>
      <c r="N407" s="89">
        <f t="shared" si="214"/>
        <v>3180.5687406620973</v>
      </c>
      <c r="O407" s="89">
        <f t="shared" si="214"/>
        <v>3180.5687406620973</v>
      </c>
      <c r="P407" s="89">
        <f t="shared" si="214"/>
        <v>3180.5687406620973</v>
      </c>
      <c r="Q407" s="89">
        <f t="shared" si="214"/>
        <v>0</v>
      </c>
      <c r="R407" s="89">
        <f t="shared" si="214"/>
        <v>0</v>
      </c>
      <c r="S407" s="89">
        <f t="shared" si="214"/>
        <v>0</v>
      </c>
      <c r="T407" s="89">
        <f t="shared" si="214"/>
        <v>0</v>
      </c>
      <c r="U407" s="89">
        <f t="shared" si="214"/>
        <v>0</v>
      </c>
      <c r="V407" s="89">
        <f t="shared" si="214"/>
        <v>0</v>
      </c>
      <c r="W407" s="89">
        <f t="shared" si="214"/>
        <v>0</v>
      </c>
      <c r="X407" s="89">
        <f t="shared" si="214"/>
        <v>0</v>
      </c>
      <c r="Y407" s="89">
        <f t="shared" si="214"/>
        <v>0</v>
      </c>
      <c r="Z407" s="89">
        <f t="shared" si="214"/>
        <v>0</v>
      </c>
    </row>
    <row r="408" spans="1:28" outlineLevel="1" x14ac:dyDescent="0.25">
      <c r="A408" s="39" t="str">
        <f t="shared" si="198"/>
        <v>БелАЗ 7531 (ГПФК)</v>
      </c>
      <c r="B408" s="39"/>
      <c r="D408" s="98" t="s">
        <v>77</v>
      </c>
      <c r="E408" s="68" t="str">
        <f>E387</f>
        <v>тыс. руб.</v>
      </c>
      <c r="F408" s="74"/>
      <c r="G408" s="85">
        <f>IF(G382=0,0,G409*G410/1000)</f>
        <v>215.47499999999999</v>
      </c>
      <c r="H408" s="85">
        <f t="shared" ref="H408:Z408" si="215">IF(H382=0,0,H409*H410/1000)</f>
        <v>215.47499999999999</v>
      </c>
      <c r="I408" s="85">
        <f t="shared" si="215"/>
        <v>215.47499999999999</v>
      </c>
      <c r="J408" s="85">
        <f t="shared" si="215"/>
        <v>215.47499999999999</v>
      </c>
      <c r="K408" s="85">
        <f t="shared" si="215"/>
        <v>215.47499999999999</v>
      </c>
      <c r="L408" s="85">
        <f t="shared" si="215"/>
        <v>215.47499999999999</v>
      </c>
      <c r="M408" s="85">
        <f t="shared" si="215"/>
        <v>215.47499999999999</v>
      </c>
      <c r="N408" s="85">
        <f t="shared" si="215"/>
        <v>215.47499999999999</v>
      </c>
      <c r="O408" s="85">
        <f t="shared" si="215"/>
        <v>215.47499999999999</v>
      </c>
      <c r="P408" s="85">
        <f t="shared" si="215"/>
        <v>215.47499999999999</v>
      </c>
      <c r="Q408" s="85">
        <f t="shared" si="215"/>
        <v>0</v>
      </c>
      <c r="R408" s="85">
        <f t="shared" si="215"/>
        <v>0</v>
      </c>
      <c r="S408" s="85">
        <f t="shared" si="215"/>
        <v>0</v>
      </c>
      <c r="T408" s="85">
        <f t="shared" si="215"/>
        <v>0</v>
      </c>
      <c r="U408" s="85">
        <f t="shared" si="215"/>
        <v>0</v>
      </c>
      <c r="V408" s="85">
        <f t="shared" si="215"/>
        <v>0</v>
      </c>
      <c r="W408" s="85">
        <f t="shared" si="215"/>
        <v>0</v>
      </c>
      <c r="X408" s="85">
        <f t="shared" si="215"/>
        <v>0</v>
      </c>
      <c r="Y408" s="85">
        <f t="shared" si="215"/>
        <v>0</v>
      </c>
      <c r="Z408" s="85">
        <f t="shared" si="215"/>
        <v>0</v>
      </c>
    </row>
    <row r="409" spans="1:28" outlineLevel="1" x14ac:dyDescent="0.25">
      <c r="A409" s="39" t="str">
        <f t="shared" si="198"/>
        <v>БелАЗ 7531 (ГПФК)</v>
      </c>
      <c r="B409" s="39"/>
      <c r="D409" s="31" t="s">
        <v>78</v>
      </c>
      <c r="E409" s="9" t="s">
        <v>13</v>
      </c>
      <c r="F409" s="78">
        <f>SUMIFS('ФОТ, МТР, макро'!$AC$4:$AC$20,'ФОТ, МТР, макро'!$W$4:$W$20,$A409)</f>
        <v>2535</v>
      </c>
      <c r="G409" s="89">
        <f>F409</f>
        <v>2535</v>
      </c>
      <c r="H409" s="89">
        <f t="shared" ref="H409:W410" si="216">G409</f>
        <v>2535</v>
      </c>
      <c r="I409" s="89">
        <f t="shared" si="216"/>
        <v>2535</v>
      </c>
      <c r="J409" s="89">
        <f t="shared" si="216"/>
        <v>2535</v>
      </c>
      <c r="K409" s="89">
        <f t="shared" si="216"/>
        <v>2535</v>
      </c>
      <c r="L409" s="89">
        <f t="shared" si="216"/>
        <v>2535</v>
      </c>
      <c r="M409" s="89">
        <f t="shared" si="216"/>
        <v>2535</v>
      </c>
      <c r="N409" s="89">
        <f t="shared" si="216"/>
        <v>2535</v>
      </c>
      <c r="O409" s="89">
        <f t="shared" si="216"/>
        <v>2535</v>
      </c>
      <c r="P409" s="89">
        <f t="shared" si="216"/>
        <v>2535</v>
      </c>
      <c r="Q409" s="89">
        <f t="shared" si="216"/>
        <v>2535</v>
      </c>
      <c r="R409" s="89">
        <f t="shared" si="216"/>
        <v>2535</v>
      </c>
      <c r="S409" s="89">
        <f t="shared" si="216"/>
        <v>2535</v>
      </c>
      <c r="T409" s="89">
        <f t="shared" si="216"/>
        <v>2535</v>
      </c>
      <c r="U409" s="89">
        <f t="shared" si="216"/>
        <v>2535</v>
      </c>
      <c r="V409" s="89">
        <f t="shared" si="216"/>
        <v>2535</v>
      </c>
      <c r="W409" s="89">
        <f t="shared" si="216"/>
        <v>2535</v>
      </c>
      <c r="X409" s="89">
        <f t="shared" ref="X409:Z410" si="217">W409</f>
        <v>2535</v>
      </c>
      <c r="Y409" s="89">
        <f t="shared" si="217"/>
        <v>2535</v>
      </c>
      <c r="Z409" s="89">
        <f t="shared" si="217"/>
        <v>2535</v>
      </c>
    </row>
    <row r="410" spans="1:28" outlineLevel="1" x14ac:dyDescent="0.25">
      <c r="A410" s="39" t="str">
        <f t="shared" si="198"/>
        <v>БелАЗ 7531 (ГПФК)</v>
      </c>
      <c r="B410" s="39"/>
      <c r="D410" s="31" t="s">
        <v>79</v>
      </c>
      <c r="E410" s="9" t="s">
        <v>80</v>
      </c>
      <c r="F410" s="78">
        <f>SUMIFS('ФОТ, МТР, макро'!$AD$4:$AD$20,'ФОТ, МТР, макро'!$W$4:$W$20,$A410)</f>
        <v>85</v>
      </c>
      <c r="G410" s="89">
        <f>F410</f>
        <v>85</v>
      </c>
      <c r="H410" s="89">
        <f t="shared" si="216"/>
        <v>85</v>
      </c>
      <c r="I410" s="89">
        <f t="shared" si="216"/>
        <v>85</v>
      </c>
      <c r="J410" s="89">
        <f t="shared" si="216"/>
        <v>85</v>
      </c>
      <c r="K410" s="89">
        <f t="shared" si="216"/>
        <v>85</v>
      </c>
      <c r="L410" s="89">
        <f t="shared" si="216"/>
        <v>85</v>
      </c>
      <c r="M410" s="89">
        <f t="shared" si="216"/>
        <v>85</v>
      </c>
      <c r="N410" s="89">
        <f t="shared" si="216"/>
        <v>85</v>
      </c>
      <c r="O410" s="89">
        <f t="shared" si="216"/>
        <v>85</v>
      </c>
      <c r="P410" s="89">
        <f t="shared" si="216"/>
        <v>85</v>
      </c>
      <c r="Q410" s="89">
        <f t="shared" si="216"/>
        <v>85</v>
      </c>
      <c r="R410" s="89">
        <f t="shared" si="216"/>
        <v>85</v>
      </c>
      <c r="S410" s="89">
        <f t="shared" si="216"/>
        <v>85</v>
      </c>
      <c r="T410" s="89">
        <f t="shared" si="216"/>
        <v>85</v>
      </c>
      <c r="U410" s="89">
        <f t="shared" si="216"/>
        <v>85</v>
      </c>
      <c r="V410" s="89">
        <f t="shared" si="216"/>
        <v>85</v>
      </c>
      <c r="W410" s="89">
        <f t="shared" si="216"/>
        <v>85</v>
      </c>
      <c r="X410" s="89">
        <f t="shared" si="217"/>
        <v>85</v>
      </c>
      <c r="Y410" s="89">
        <f t="shared" si="217"/>
        <v>85</v>
      </c>
      <c r="Z410" s="89">
        <f t="shared" si="217"/>
        <v>85</v>
      </c>
    </row>
    <row r="411" spans="1:28" outlineLevel="1" x14ac:dyDescent="0.25">
      <c r="A411" s="39" t="str">
        <f t="shared" si="198"/>
        <v>БелАЗ 7531 (ГПФК)</v>
      </c>
      <c r="B411" s="39"/>
      <c r="C411" s="99">
        <f>SUMIFS('ФОТ, МТР, макро'!$AG$4:$AG$20,'ФОТ, МТР, макро'!$W$4:$W$20,$A411)</f>
        <v>14.117647058823531</v>
      </c>
      <c r="D411" s="98" t="s">
        <v>81</v>
      </c>
      <c r="E411" s="68" t="str">
        <f>E387</f>
        <v>тыс. руб.</v>
      </c>
      <c r="F411" s="85"/>
      <c r="G411" s="100">
        <f>IF(G379&lt;=$C412,$F416*$C411%,"ОШИБКА")</f>
        <v>0</v>
      </c>
      <c r="H411" s="75">
        <f>IF(H379&lt;=$C412,$F416*$C411%,$F416-SUM($G411:G411))</f>
        <v>0</v>
      </c>
      <c r="I411" s="75">
        <f>IF(I379&lt;=$C412,$F416*$C411%,$F416-SUM($G411:H411))</f>
        <v>0</v>
      </c>
      <c r="J411" s="75">
        <f>IF(J379&lt;=$C412,$F416*$C411%,$F416-SUM($G411:I411))</f>
        <v>0</v>
      </c>
      <c r="K411" s="75">
        <f>IF(K379&lt;=$C412,$F416*$C411%,$F416-SUM($G411:J411))</f>
        <v>0</v>
      </c>
      <c r="L411" s="75">
        <f>IF(L379&lt;=$C412,$F416*$C411%,$F416-SUM($G411:K411))</f>
        <v>0</v>
      </c>
      <c r="M411" s="75">
        <f>IF(M379&lt;=$C412,$F416*$C411%,$F416-SUM($G411:L411))</f>
        <v>0</v>
      </c>
      <c r="N411" s="75">
        <f>IF(N379&lt;=$C412,$F416*$C411%,$F416-SUM($G411:M411))</f>
        <v>0</v>
      </c>
      <c r="O411" s="75">
        <f>IF(O379&lt;=$C412,$F416*$C411%,$F416-SUM($G411:N411))</f>
        <v>0</v>
      </c>
      <c r="P411" s="75">
        <f>IF(P379&lt;=$C412,$F416*$C411%,$F416-SUM($G411:O411))</f>
        <v>0</v>
      </c>
      <c r="Q411" s="75">
        <f>IF(Q379&lt;=$C412,$F416*$C411%,$F416-SUM($G411:P411))</f>
        <v>0</v>
      </c>
      <c r="R411" s="75">
        <f>IF(R379&lt;=$C412,$F416*$C411%,$F416-SUM($G411:Q411))</f>
        <v>0</v>
      </c>
      <c r="S411" s="75">
        <f>IF(S379&lt;=$C412,$F416*$C411%,$F416-SUM($G411:R411))</f>
        <v>0</v>
      </c>
      <c r="T411" s="75">
        <f>IF(T379&lt;=$C412,$F416*$C411%,$F416-SUM($G411:S411))</f>
        <v>0</v>
      </c>
      <c r="U411" s="75">
        <f>IF(U379&lt;=$C412,$F416*$C411%,$F416-SUM($G411:T411))</f>
        <v>0</v>
      </c>
      <c r="V411" s="75">
        <f>IF(V379&lt;=$C412,$F416*$C411%,$F416-SUM($G411:U411))</f>
        <v>0</v>
      </c>
      <c r="W411" s="75">
        <f>IF(W379&lt;=$C412,$F416*$C411%,$F416-SUM($G411:V411))</f>
        <v>0</v>
      </c>
      <c r="X411" s="75">
        <f>IF(X379&lt;=$C412,$F416*$C411%,$F416-SUM($G411:W411))</f>
        <v>0</v>
      </c>
      <c r="Y411" s="75">
        <f>IF(Y379&lt;=$C412,$F416*$C411%,$F416-SUM($G411:X411))</f>
        <v>0</v>
      </c>
      <c r="Z411" s="75">
        <f>IF(Z379&lt;=$C412,$F416*$C411%,$F416-SUM($G411:Y411))</f>
        <v>0</v>
      </c>
      <c r="AA411" s="88">
        <f>F416-SUM(G411:Z411)</f>
        <v>0</v>
      </c>
    </row>
    <row r="412" spans="1:28" outlineLevel="1" x14ac:dyDescent="0.25">
      <c r="A412" s="39" t="str">
        <f t="shared" si="198"/>
        <v>БелАЗ 7531 (ГПФК)</v>
      </c>
      <c r="B412" s="39"/>
      <c r="C412" s="99">
        <f>SUMIFS('ФОТ, МТР, макро'!$AF$4:$AF$20,'ФОТ, МТР, макро'!$W$4:$W$20,$A412)/12</f>
        <v>7.083333333333333</v>
      </c>
      <c r="D412" s="98" t="s">
        <v>82</v>
      </c>
      <c r="E412" s="68" t="str">
        <f>E387</f>
        <v>тыс. руб.</v>
      </c>
      <c r="F412" s="69"/>
      <c r="G412" s="69">
        <f>SUM(G388,G393,G397,G402,G404,G408,G411)</f>
        <v>119812.41244825791</v>
      </c>
      <c r="H412" s="69">
        <f>SUM(H388,H393,H397,H402,H404,H408,H411)</f>
        <v>136534.94187988041</v>
      </c>
      <c r="I412" s="69">
        <f>SUM(I388,I393,I397,I402,I404,I408,I411)</f>
        <v>163921.82386728728</v>
      </c>
      <c r="J412" s="69">
        <f t="shared" ref="J412:Z412" si="218">SUM(J388,J393,J397,J402,J404,J408,J411)</f>
        <v>178618.44626246145</v>
      </c>
      <c r="K412" s="69">
        <f t="shared" si="218"/>
        <v>175535.01254304385</v>
      </c>
      <c r="L412" s="69">
        <f t="shared" si="218"/>
        <v>179438.30777766535</v>
      </c>
      <c r="M412" s="69">
        <f t="shared" si="218"/>
        <v>132816.67595967895</v>
      </c>
      <c r="N412" s="69">
        <f t="shared" si="218"/>
        <v>191493.6449111017</v>
      </c>
      <c r="O412" s="69">
        <f t="shared" si="218"/>
        <v>204843.92914023317</v>
      </c>
      <c r="P412" s="69">
        <f t="shared" si="218"/>
        <v>135820.13809336771</v>
      </c>
      <c r="Q412" s="69">
        <f t="shared" si="218"/>
        <v>0</v>
      </c>
      <c r="R412" s="69">
        <f t="shared" si="218"/>
        <v>0</v>
      </c>
      <c r="S412" s="69">
        <f t="shared" si="218"/>
        <v>0</v>
      </c>
      <c r="T412" s="69">
        <f t="shared" si="218"/>
        <v>0</v>
      </c>
      <c r="U412" s="69">
        <f t="shared" si="218"/>
        <v>0</v>
      </c>
      <c r="V412" s="69">
        <f t="shared" si="218"/>
        <v>0</v>
      </c>
      <c r="W412" s="69">
        <f t="shared" si="218"/>
        <v>0</v>
      </c>
      <c r="X412" s="69">
        <f t="shared" si="218"/>
        <v>0</v>
      </c>
      <c r="Y412" s="69">
        <f t="shared" si="218"/>
        <v>0</v>
      </c>
      <c r="Z412" s="69">
        <f t="shared" si="218"/>
        <v>0</v>
      </c>
      <c r="AB412" s="42"/>
    </row>
    <row r="413" spans="1:28" outlineLevel="1" x14ac:dyDescent="0.25">
      <c r="A413" s="39" t="str">
        <f t="shared" si="198"/>
        <v>БелАЗ 7531 (ГПФК)</v>
      </c>
      <c r="B413" s="39"/>
      <c r="D413" s="98" t="s">
        <v>83</v>
      </c>
      <c r="E413" s="68" t="str">
        <f>E387</f>
        <v>тыс. руб.</v>
      </c>
      <c r="F413" s="69"/>
      <c r="G413" s="69">
        <f>-G412*'ФОТ, МТР, макро'!AK$11</f>
        <v>-29953.103112064477</v>
      </c>
      <c r="H413" s="69">
        <f>-H412*'ФОТ, МТР, макро'!AL$11</f>
        <v>-34133.735469970103</v>
      </c>
      <c r="I413" s="69">
        <f>-I412*'ФОТ, МТР, макро'!AM$11</f>
        <v>-40980.455966821821</v>
      </c>
      <c r="J413" s="69">
        <f>-J412*'ФОТ, МТР, макро'!AN$11</f>
        <v>-44654.611565615363</v>
      </c>
      <c r="K413" s="69">
        <f>-K412*'ФОТ, МТР, макро'!AO$11</f>
        <v>-43883.753135760962</v>
      </c>
      <c r="L413" s="69">
        <f>-L412*'ФОТ, МТР, макро'!AP$11</f>
        <v>-44859.576944416338</v>
      </c>
      <c r="M413" s="69">
        <f>-M412*'ФОТ, МТР, макро'!AQ$11</f>
        <v>-33204.168989919737</v>
      </c>
      <c r="N413" s="69">
        <f>-N412*'ФОТ, МТР, макро'!AR$11</f>
        <v>-47873.411227775425</v>
      </c>
      <c r="O413" s="69">
        <f>-O412*'ФОТ, МТР, макро'!AS$11</f>
        <v>-51210.982285058293</v>
      </c>
      <c r="P413" s="69">
        <f>-P412*'ФОТ, МТР, макро'!AT$11</f>
        <v>-33955.034523341928</v>
      </c>
      <c r="Q413" s="69">
        <f>-Q412*'ФОТ, МТР, макро'!AU$11</f>
        <v>0</v>
      </c>
      <c r="R413" s="69">
        <f>-R412*'ФОТ, МТР, макро'!AV$11</f>
        <v>0</v>
      </c>
      <c r="S413" s="69">
        <f>-S412*'ФОТ, МТР, макро'!AW$11</f>
        <v>0</v>
      </c>
      <c r="T413" s="69">
        <f>-T412*'ФОТ, МТР, макро'!AX$11</f>
        <v>0</v>
      </c>
      <c r="U413" s="69">
        <f>-U412*'ФОТ, МТР, макро'!AY$11</f>
        <v>0</v>
      </c>
      <c r="V413" s="69">
        <f>-V412*'ФОТ, МТР, макро'!AZ$11</f>
        <v>0</v>
      </c>
      <c r="W413" s="69">
        <f>-W412*'ФОТ, МТР, макро'!BA$11</f>
        <v>0</v>
      </c>
      <c r="X413" s="69">
        <f>-X412*'ФОТ, МТР, макро'!BB$11</f>
        <v>0</v>
      </c>
      <c r="Y413" s="69">
        <f>-Y412*'ФОТ, МТР, макро'!BC$11</f>
        <v>0</v>
      </c>
      <c r="Z413" s="69">
        <f>-Z412*'ФОТ, МТР, макро'!BD$11</f>
        <v>0</v>
      </c>
    </row>
    <row r="414" spans="1:28" outlineLevel="1" x14ac:dyDescent="0.25">
      <c r="A414" s="39" t="str">
        <f t="shared" si="198"/>
        <v>БелАЗ 7531 (ГПФК)</v>
      </c>
      <c r="B414" s="39"/>
      <c r="D414" s="101"/>
      <c r="E414" s="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8" outlineLevel="1" x14ac:dyDescent="0.25">
      <c r="A415" s="39" t="str">
        <f t="shared" si="198"/>
        <v>БелАЗ 7531 (ГПФК)</v>
      </c>
      <c r="B415" s="39"/>
      <c r="D415" s="71" t="s">
        <v>84</v>
      </c>
      <c r="E415" s="72" t="str">
        <f>E387</f>
        <v>тыс. руб.</v>
      </c>
      <c r="F415" s="73">
        <f>F416</f>
        <v>0</v>
      </c>
      <c r="G415" s="73">
        <f t="shared" ref="G415:Z415" si="219">G416</f>
        <v>0</v>
      </c>
      <c r="H415" s="73">
        <f t="shared" si="219"/>
        <v>0</v>
      </c>
      <c r="I415" s="73">
        <f t="shared" si="219"/>
        <v>0</v>
      </c>
      <c r="J415" s="73">
        <f t="shared" si="219"/>
        <v>0</v>
      </c>
      <c r="K415" s="73">
        <f t="shared" si="219"/>
        <v>0</v>
      </c>
      <c r="L415" s="73">
        <f t="shared" si="219"/>
        <v>0</v>
      </c>
      <c r="M415" s="73">
        <f t="shared" si="219"/>
        <v>0</v>
      </c>
      <c r="N415" s="73">
        <f t="shared" si="219"/>
        <v>0</v>
      </c>
      <c r="O415" s="73">
        <f t="shared" si="219"/>
        <v>0</v>
      </c>
      <c r="P415" s="73">
        <f t="shared" si="219"/>
        <v>0</v>
      </c>
      <c r="Q415" s="73">
        <f t="shared" si="219"/>
        <v>0</v>
      </c>
      <c r="R415" s="73">
        <f t="shared" si="219"/>
        <v>0</v>
      </c>
      <c r="S415" s="73">
        <f t="shared" si="219"/>
        <v>0</v>
      </c>
      <c r="T415" s="73">
        <f t="shared" si="219"/>
        <v>0</v>
      </c>
      <c r="U415" s="73">
        <f t="shared" si="219"/>
        <v>0</v>
      </c>
      <c r="V415" s="73">
        <f t="shared" si="219"/>
        <v>0</v>
      </c>
      <c r="W415" s="73">
        <f t="shared" si="219"/>
        <v>0</v>
      </c>
      <c r="X415" s="73">
        <f t="shared" si="219"/>
        <v>0</v>
      </c>
      <c r="Y415" s="73">
        <f t="shared" si="219"/>
        <v>0</v>
      </c>
      <c r="Z415" s="73">
        <f t="shared" si="219"/>
        <v>0</v>
      </c>
    </row>
    <row r="416" spans="1:28" outlineLevel="1" x14ac:dyDescent="0.25">
      <c r="A416" s="39" t="str">
        <f t="shared" si="198"/>
        <v>БелАЗ 7531 (ГПФК)</v>
      </c>
      <c r="B416" s="39"/>
      <c r="D416" s="101" t="s">
        <v>85</v>
      </c>
      <c r="E416" s="9" t="str">
        <f>E415</f>
        <v>тыс. руб.</v>
      </c>
      <c r="F416" s="78">
        <f>SUMIFS(Свод_1!$D$41:$U$41,Свод_1!$D$23:$U$23,$A416)</f>
        <v>0</v>
      </c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outlineLevel="1" x14ac:dyDescent="0.25">
      <c r="A417" s="39" t="str">
        <f t="shared" si="198"/>
        <v>БелАЗ 7531 (ГПФК)</v>
      </c>
      <c r="B417" s="39"/>
      <c r="D417" s="101"/>
      <c r="E417" s="9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outlineLevel="1" x14ac:dyDescent="0.25">
      <c r="A418" s="39" t="str">
        <f t="shared" si="198"/>
        <v>БелАЗ 7531 (ГПФК)</v>
      </c>
      <c r="B418" s="39"/>
      <c r="D418" s="71" t="s">
        <v>86</v>
      </c>
      <c r="E418" s="72" t="str">
        <f>E387</f>
        <v>тыс. руб.</v>
      </c>
      <c r="F418" s="73">
        <f>F387+F415</f>
        <v>0</v>
      </c>
      <c r="G418" s="73">
        <f t="shared" ref="G418:Z418" si="220">G387+G415</f>
        <v>89859.30933619343</v>
      </c>
      <c r="H418" s="73">
        <f t="shared" si="220"/>
        <v>102401.20640991032</v>
      </c>
      <c r="I418" s="73">
        <f t="shared" si="220"/>
        <v>122941.36790046547</v>
      </c>
      <c r="J418" s="73">
        <f t="shared" si="220"/>
        <v>133963.83469684608</v>
      </c>
      <c r="K418" s="73">
        <f t="shared" si="220"/>
        <v>131651.25940728289</v>
      </c>
      <c r="L418" s="73">
        <f t="shared" si="220"/>
        <v>134578.73083324902</v>
      </c>
      <c r="M418" s="73">
        <f t="shared" si="220"/>
        <v>99612.506969759212</v>
      </c>
      <c r="N418" s="73">
        <f t="shared" si="220"/>
        <v>143620.23368332628</v>
      </c>
      <c r="O418" s="73">
        <f t="shared" si="220"/>
        <v>153632.94685517487</v>
      </c>
      <c r="P418" s="73">
        <f t="shared" si="220"/>
        <v>101865.10357002579</v>
      </c>
      <c r="Q418" s="73">
        <f t="shared" si="220"/>
        <v>0</v>
      </c>
      <c r="R418" s="73">
        <f t="shared" si="220"/>
        <v>0</v>
      </c>
      <c r="S418" s="73">
        <f t="shared" si="220"/>
        <v>0</v>
      </c>
      <c r="T418" s="73">
        <f t="shared" si="220"/>
        <v>0</v>
      </c>
      <c r="U418" s="73">
        <f t="shared" si="220"/>
        <v>0</v>
      </c>
      <c r="V418" s="73">
        <f t="shared" si="220"/>
        <v>0</v>
      </c>
      <c r="W418" s="73">
        <f t="shared" si="220"/>
        <v>0</v>
      </c>
      <c r="X418" s="73">
        <f t="shared" si="220"/>
        <v>0</v>
      </c>
      <c r="Y418" s="73">
        <f t="shared" si="220"/>
        <v>0</v>
      </c>
      <c r="Z418" s="73">
        <f t="shared" si="220"/>
        <v>0</v>
      </c>
    </row>
    <row r="419" spans="1:26" outlineLevel="1" x14ac:dyDescent="0.25">
      <c r="A419" s="39" t="str">
        <f t="shared" si="198"/>
        <v>БелАЗ 7531 (ГПФК)</v>
      </c>
      <c r="B419" s="39"/>
      <c r="D419" s="67" t="s">
        <v>87</v>
      </c>
      <c r="E419" s="68" t="str">
        <f>E418</f>
        <v>тыс. руб.</v>
      </c>
      <c r="F419" s="102"/>
      <c r="G419" s="69">
        <f>G387*'ФОТ, МТР, макро'!AK$13</f>
        <v>80231.526193029844</v>
      </c>
      <c r="H419" s="69">
        <f>H387*'ФОТ, МТР, макро'!AL$13</f>
        <v>81633.614803818797</v>
      </c>
      <c r="I419" s="69">
        <f>I387*'ФОТ, МТР, макро'!AM$13</f>
        <v>87507.237310713026</v>
      </c>
      <c r="J419" s="69">
        <f>J387*'ФОТ, МТР, макро'!AN$13</f>
        <v>85136.438802282064</v>
      </c>
      <c r="K419" s="69">
        <f>K387*'ФОТ, МТР, макро'!AO$13</f>
        <v>74702.46017686819</v>
      </c>
      <c r="L419" s="69">
        <f>L387*'ФОТ, МТР, макро'!AP$13</f>
        <v>68181.773288669807</v>
      </c>
      <c r="M419" s="69">
        <f>M387*'ФОТ, МТР, макро'!AQ$13</f>
        <v>45059.639365511408</v>
      </c>
      <c r="N419" s="69">
        <f>N387*'ФОТ, МТР, макро'!AR$13</f>
        <v>58005.803583173132</v>
      </c>
      <c r="O419" s="69">
        <f>O387*'ФОТ, МТР, макро'!AS$13</f>
        <v>55401.580803438286</v>
      </c>
      <c r="P419" s="69">
        <f>P387*'ФОТ, МТР, макро'!AT$13</f>
        <v>32797.837092087662</v>
      </c>
      <c r="Q419" s="69">
        <f>Q387*'ФОТ, МТР, макро'!AU$13</f>
        <v>0</v>
      </c>
      <c r="R419" s="69">
        <f>R387*'ФОТ, МТР, макро'!AV$13</f>
        <v>0</v>
      </c>
      <c r="S419" s="69">
        <f>S387*'ФОТ, МТР, макро'!AW$13</f>
        <v>0</v>
      </c>
      <c r="T419" s="69">
        <f>T387*'ФОТ, МТР, макро'!AX$13</f>
        <v>0</v>
      </c>
      <c r="U419" s="69">
        <f>U387*'ФОТ, МТР, макро'!AY$13</f>
        <v>0</v>
      </c>
      <c r="V419" s="69">
        <f>V387*'ФОТ, МТР, макро'!AZ$13</f>
        <v>0</v>
      </c>
      <c r="W419" s="69">
        <f>W387*'ФОТ, МТР, макро'!BA$13</f>
        <v>0</v>
      </c>
      <c r="X419" s="69">
        <f>X387*'ФОТ, МТР, макро'!BB$13</f>
        <v>0</v>
      </c>
      <c r="Y419" s="69">
        <f>Y387*'ФОТ, МТР, макро'!BC$13</f>
        <v>0</v>
      </c>
      <c r="Z419" s="69">
        <f>Z387*'ФОТ, МТР, макро'!BD$13</f>
        <v>0</v>
      </c>
    </row>
    <row r="420" spans="1:26" outlineLevel="1" x14ac:dyDescent="0.25">
      <c r="A420" s="39" t="str">
        <f t="shared" si="198"/>
        <v>БелАЗ 7531 (ГПФК)</v>
      </c>
      <c r="B420" s="39"/>
      <c r="D420" s="18" t="str">
        <f>D388</f>
        <v>ТО, ТР, ППР</v>
      </c>
      <c r="E420" s="9" t="str">
        <f>E419</f>
        <v>тыс. руб.</v>
      </c>
      <c r="F420" s="103"/>
      <c r="G420" s="74">
        <f>G388*'ФОТ, МТР, макро'!AK$13</f>
        <v>12431.808529968752</v>
      </c>
      <c r="H420" s="74">
        <f>H388*'ФОТ, МТР, макро'!AL$13</f>
        <v>23812.126519419638</v>
      </c>
      <c r="I420" s="74">
        <f>I388*'ФОТ, МТР, макро'!AM$13</f>
        <v>38295.302635373482</v>
      </c>
      <c r="J420" s="74">
        <f>J388*'ФОТ, МТР, макро'!AN$13</f>
        <v>43452.834280931558</v>
      </c>
      <c r="K420" s="74">
        <f>K388*'ФОТ, МТР, макро'!AO$13</f>
        <v>33706.962427433595</v>
      </c>
      <c r="L420" s="74">
        <f>L388*'ФОТ, МТР, макро'!AP$13</f>
        <v>32811.250519626941</v>
      </c>
      <c r="M420" s="74">
        <f>M388*'ФОТ, МТР, макро'!AQ$13</f>
        <v>7678.7612933315359</v>
      </c>
      <c r="N420" s="74">
        <f>N388*'ФОТ, МТР, макро'!AR$13</f>
        <v>32180.33954923827</v>
      </c>
      <c r="O420" s="74">
        <f>O388*'ФОТ, МТР, макро'!AS$13</f>
        <v>32617.598769990844</v>
      </c>
      <c r="P420" s="74">
        <f>P388*'ФОТ, МТР, макро'!AT$13</f>
        <v>7010.3459551127435</v>
      </c>
      <c r="Q420" s="74">
        <f>Q388*'ФОТ, МТР, макро'!AU$13</f>
        <v>0</v>
      </c>
      <c r="R420" s="74">
        <f>R388*'ФОТ, МТР, макро'!AV$13</f>
        <v>0</v>
      </c>
      <c r="S420" s="74">
        <f>S388*'ФОТ, МТР, макро'!AW$13</f>
        <v>0</v>
      </c>
      <c r="T420" s="74">
        <f>T388*'ФОТ, МТР, макро'!AX$13</f>
        <v>0</v>
      </c>
      <c r="U420" s="74">
        <f>U388*'ФОТ, МТР, макро'!AY$13</f>
        <v>0</v>
      </c>
      <c r="V420" s="74">
        <f>V388*'ФОТ, МТР, макро'!AZ$13</f>
        <v>0</v>
      </c>
      <c r="W420" s="74">
        <f>W388*'ФОТ, МТР, макро'!BA$13</f>
        <v>0</v>
      </c>
      <c r="X420" s="74">
        <f>X388*'ФОТ, МТР, макро'!BB$13</f>
        <v>0</v>
      </c>
      <c r="Y420" s="74">
        <f>Y388*'ФОТ, МТР, макро'!BC$13</f>
        <v>0</v>
      </c>
      <c r="Z420" s="74">
        <f>Z388*'ФОТ, МТР, макро'!BD$13</f>
        <v>0</v>
      </c>
    </row>
    <row r="421" spans="1:26" outlineLevel="1" x14ac:dyDescent="0.25">
      <c r="A421" s="39" t="str">
        <f t="shared" si="198"/>
        <v>БелАЗ 7531 (ГПФК)</v>
      </c>
      <c r="B421" s="39"/>
      <c r="D421" s="18" t="str">
        <f>D393</f>
        <v>Шины</v>
      </c>
      <c r="E421" s="9" t="str">
        <f t="shared" ref="E421:E426" si="221">E420</f>
        <v>тыс. руб.</v>
      </c>
      <c r="F421" s="103"/>
      <c r="G421" s="74">
        <f>G393*'ФОТ, МТР, макро'!AK$13</f>
        <v>16954.339719944077</v>
      </c>
      <c r="H421" s="74">
        <f>H393*'ФОТ, МТР, макро'!AL$13</f>
        <v>15272.558208864488</v>
      </c>
      <c r="I421" s="74">
        <f>I393*'ФОТ, МТР, макро'!AM$13</f>
        <v>14171.696522712749</v>
      </c>
      <c r="J421" s="74">
        <f>J393*'ФОТ, МТР, макро'!AN$13</f>
        <v>12670.584579994415</v>
      </c>
      <c r="K421" s="74">
        <f>K393*'ФОТ, МТР, макро'!AO$13</f>
        <v>12040.494653832742</v>
      </c>
      <c r="L421" s="74">
        <f>L393*'ФОТ, МТР, макро'!AP$13</f>
        <v>10589.681602894567</v>
      </c>
      <c r="M421" s="74">
        <f>M393*'ФОТ, МТР, макро'!AQ$13</f>
        <v>9569.9975708457241</v>
      </c>
      <c r="N421" s="74">
        <f>N393*'ФОТ, МТР, макро'!AR$13</f>
        <v>8190.6243851200607</v>
      </c>
      <c r="O421" s="74">
        <f>O393*'ФОТ, МТР, макро'!AS$13</f>
        <v>7515.3842144428172</v>
      </c>
      <c r="P421" s="74">
        <f>P393*'ФОТ, МТР, макро'!AT$13</f>
        <v>6685.9261916286496</v>
      </c>
      <c r="Q421" s="74">
        <f>Q393*'ФОТ, МТР, макро'!AU$13</f>
        <v>0</v>
      </c>
      <c r="R421" s="74">
        <f>R393*'ФОТ, МТР, макро'!AV$13</f>
        <v>0</v>
      </c>
      <c r="S421" s="74">
        <f>S393*'ФОТ, МТР, макро'!AW$13</f>
        <v>0</v>
      </c>
      <c r="T421" s="74">
        <f>T393*'ФОТ, МТР, макро'!AX$13</f>
        <v>0</v>
      </c>
      <c r="U421" s="74">
        <f>U393*'ФОТ, МТР, макро'!AY$13</f>
        <v>0</v>
      </c>
      <c r="V421" s="74">
        <f>V393*'ФОТ, МТР, макро'!AZ$13</f>
        <v>0</v>
      </c>
      <c r="W421" s="74">
        <f>W393*'ФОТ, МТР, макро'!BA$13</f>
        <v>0</v>
      </c>
      <c r="X421" s="74">
        <f>X393*'ФОТ, МТР, макро'!BB$13</f>
        <v>0</v>
      </c>
      <c r="Y421" s="74">
        <f>Y393*'ФОТ, МТР, макро'!BC$13</f>
        <v>0</v>
      </c>
      <c r="Z421" s="74">
        <f>Z393*'ФОТ, МТР, макро'!BD$13</f>
        <v>0</v>
      </c>
    </row>
    <row r="422" spans="1:26" outlineLevel="1" x14ac:dyDescent="0.25">
      <c r="A422" s="39" t="str">
        <f t="shared" si="198"/>
        <v>БелАЗ 7531 (ГПФК)</v>
      </c>
      <c r="B422" s="39"/>
      <c r="D422" s="18" t="str">
        <f>D397</f>
        <v>Топливо</v>
      </c>
      <c r="E422" s="9" t="str">
        <f t="shared" si="221"/>
        <v>тыс. руб.</v>
      </c>
      <c r="F422" s="103"/>
      <c r="G422" s="74">
        <f>G397*'ФОТ, МТР, макро'!AK$13</f>
        <v>60900.763542583416</v>
      </c>
      <c r="H422" s="74">
        <f>H397*'ФОТ, МТР, макро'!AL$13</f>
        <v>54859.727452215127</v>
      </c>
      <c r="I422" s="74">
        <f>I397*'ФОТ, МТР, макро'!AM$13</f>
        <v>50905.381936621205</v>
      </c>
      <c r="J422" s="74">
        <f>J397*'ФОТ, МТР, макро'!AN$13</f>
        <v>45513.319197256744</v>
      </c>
      <c r="K422" s="74">
        <f>K397*'ФОТ, МТР, макро'!AO$13</f>
        <v>43250.007370456675</v>
      </c>
      <c r="L422" s="74">
        <f>L397*'ФОТ, МТР, макро'!AP$13</f>
        <v>38038.620550376399</v>
      </c>
      <c r="M422" s="74">
        <f>M397*'ФОТ, МТР, макро'!AQ$13</f>
        <v>34375.86888031847</v>
      </c>
      <c r="N422" s="74">
        <f>N397*'ФОТ, МТР, макро'!AR$13</f>
        <v>29421.097322801539</v>
      </c>
      <c r="O422" s="74">
        <f>O397*'ФОТ, МТР, макро'!AS$13</f>
        <v>26995.603753123076</v>
      </c>
      <c r="P422" s="74">
        <f>P397*'ФОТ, МТР, макро'!AT$13</f>
        <v>24016.152606672236</v>
      </c>
      <c r="Q422" s="74">
        <f>Q397*'ФОТ, МТР, макро'!AU$13</f>
        <v>0</v>
      </c>
      <c r="R422" s="74">
        <f>R397*'ФОТ, МТР, макро'!AV$13</f>
        <v>0</v>
      </c>
      <c r="S422" s="74">
        <f>S397*'ФОТ, МТР, макро'!AW$13</f>
        <v>0</v>
      </c>
      <c r="T422" s="74">
        <f>T397*'ФОТ, МТР, макро'!AX$13</f>
        <v>0</v>
      </c>
      <c r="U422" s="74">
        <f>U397*'ФОТ, МТР, макро'!AY$13</f>
        <v>0</v>
      </c>
      <c r="V422" s="74">
        <f>V397*'ФОТ, МТР, макро'!AZ$13</f>
        <v>0</v>
      </c>
      <c r="W422" s="74">
        <f>W397*'ФОТ, МТР, макро'!BA$13</f>
        <v>0</v>
      </c>
      <c r="X422" s="74">
        <f>X397*'ФОТ, МТР, макро'!BB$13</f>
        <v>0</v>
      </c>
      <c r="Y422" s="74">
        <f>Y397*'ФОТ, МТР, макро'!BC$13</f>
        <v>0</v>
      </c>
      <c r="Z422" s="74">
        <f>Z397*'ФОТ, МТР, макро'!BD$13</f>
        <v>0</v>
      </c>
    </row>
    <row r="423" spans="1:26" outlineLevel="1" x14ac:dyDescent="0.25">
      <c r="A423" s="39" t="str">
        <f t="shared" si="198"/>
        <v>БелАЗ 7531 (ГПФК)</v>
      </c>
      <c r="B423" s="39"/>
      <c r="D423" s="18" t="str">
        <f>D402</f>
        <v>Смазочные</v>
      </c>
      <c r="E423" s="9" t="str">
        <f t="shared" si="221"/>
        <v>тыс. руб.</v>
      </c>
      <c r="F423" s="103"/>
      <c r="G423" s="74">
        <f>G402*'ФОТ, МТР, макро'!AK$13</f>
        <v>0</v>
      </c>
      <c r="H423" s="74">
        <f>H402*'ФОТ, МТР, макро'!AL$13</f>
        <v>0</v>
      </c>
      <c r="I423" s="74">
        <f>I402*'ФОТ, МТР, макро'!AM$13</f>
        <v>0</v>
      </c>
      <c r="J423" s="74">
        <f>J402*'ФОТ, МТР, макро'!AN$13</f>
        <v>0</v>
      </c>
      <c r="K423" s="74">
        <f>K402*'ФОТ, МТР, макро'!AO$13</f>
        <v>0</v>
      </c>
      <c r="L423" s="74">
        <f>L402*'ФОТ, МТР, макро'!AP$13</f>
        <v>0</v>
      </c>
      <c r="M423" s="74">
        <f>M402*'ФОТ, МТР, макро'!AQ$13</f>
        <v>0</v>
      </c>
      <c r="N423" s="74">
        <f>N402*'ФОТ, МТР, макро'!AR$13</f>
        <v>0</v>
      </c>
      <c r="O423" s="74">
        <f>O402*'ФОТ, МТР, макро'!AS$13</f>
        <v>0</v>
      </c>
      <c r="P423" s="74">
        <f>P402*'ФОТ, МТР, макро'!AT$13</f>
        <v>0</v>
      </c>
      <c r="Q423" s="74">
        <f>Q402*'ФОТ, МТР, макро'!AU$13</f>
        <v>0</v>
      </c>
      <c r="R423" s="74">
        <f>R402*'ФОТ, МТР, макро'!AV$13</f>
        <v>0</v>
      </c>
      <c r="S423" s="74">
        <f>S402*'ФОТ, МТР, макро'!AW$13</f>
        <v>0</v>
      </c>
      <c r="T423" s="74">
        <f>T402*'ФОТ, МТР, макро'!AX$13</f>
        <v>0</v>
      </c>
      <c r="U423" s="74">
        <f>U402*'ФОТ, МТР, макро'!AY$13</f>
        <v>0</v>
      </c>
      <c r="V423" s="74">
        <f>V402*'ФОТ, МТР, макро'!AZ$13</f>
        <v>0</v>
      </c>
      <c r="W423" s="74">
        <f>W402*'ФОТ, МТР, макро'!BA$13</f>
        <v>0</v>
      </c>
      <c r="X423" s="74">
        <f>X402*'ФОТ, МТР, макро'!BB$13</f>
        <v>0</v>
      </c>
      <c r="Y423" s="74">
        <f>Y402*'ФОТ, МТР, макро'!BC$13</f>
        <v>0</v>
      </c>
      <c r="Z423" s="74">
        <f>Z402*'ФОТ, МТР, макро'!BD$13</f>
        <v>0</v>
      </c>
    </row>
    <row r="424" spans="1:26" outlineLevel="1" x14ac:dyDescent="0.25">
      <c r="A424" s="39" t="str">
        <f t="shared" si="198"/>
        <v>БелАЗ 7531 (ГПФК)</v>
      </c>
      <c r="B424" s="39"/>
      <c r="D424" s="18" t="str">
        <f>D404</f>
        <v>Затраты на персонал</v>
      </c>
      <c r="E424" s="9" t="str">
        <f t="shared" si="221"/>
        <v>тыс. руб.</v>
      </c>
      <c r="F424" s="103"/>
      <c r="G424" s="74">
        <f>G404*'ФОТ, МТР, макро'!AK$13</f>
        <v>16496.068072019727</v>
      </c>
      <c r="H424" s="74">
        <f>H404*'ФОТ, МТР, макро'!AL$13</f>
        <v>14728.632207160468</v>
      </c>
      <c r="I424" s="74">
        <f>I404*'ФОТ, МТР, макро'!AM$13</f>
        <v>13150.56447067899</v>
      </c>
      <c r="J424" s="74">
        <f>J404*'ФОТ, МТР, макро'!AN$13</f>
        <v>11741.575420249097</v>
      </c>
      <c r="K424" s="74">
        <f>K404*'ФОТ, МТР, макро'!AO$13</f>
        <v>10483.549482365264</v>
      </c>
      <c r="L424" s="74">
        <f>L404*'ФОТ, МТР, макро'!AP$13</f>
        <v>9360.3120378261283</v>
      </c>
      <c r="M424" s="74">
        <f>M404*'ФОТ, МТР, макро'!AQ$13</f>
        <v>8357.4214623447569</v>
      </c>
      <c r="N424" s="74">
        <f>N404*'ФОТ, МТР, макро'!AR$13</f>
        <v>7461.9834485221045</v>
      </c>
      <c r="O424" s="74">
        <f>O404*'ФОТ, МТР, макро'!AS$13</f>
        <v>6662.4852218947353</v>
      </c>
      <c r="P424" s="74">
        <f>P404*'ФОТ, МТР, макро'!AT$13</f>
        <v>5948.6475195488702</v>
      </c>
      <c r="Q424" s="74">
        <f>Q404*'ФОТ, МТР, макро'!AU$13</f>
        <v>0</v>
      </c>
      <c r="R424" s="74">
        <f>R404*'ФОТ, МТР, макро'!AV$13</f>
        <v>0</v>
      </c>
      <c r="S424" s="74">
        <f>S404*'ФОТ, МТР, макро'!AW$13</f>
        <v>0</v>
      </c>
      <c r="T424" s="74">
        <f>T404*'ФОТ, МТР, макро'!AX$13</f>
        <v>0</v>
      </c>
      <c r="U424" s="74">
        <f>U404*'ФОТ, МТР, макро'!AY$13</f>
        <v>0</v>
      </c>
      <c r="V424" s="74">
        <f>V404*'ФОТ, МТР, макро'!AZ$13</f>
        <v>0</v>
      </c>
      <c r="W424" s="74">
        <f>W404*'ФОТ, МТР, макро'!BA$13</f>
        <v>0</v>
      </c>
      <c r="X424" s="74">
        <f>X404*'ФОТ, МТР, макро'!BB$13</f>
        <v>0</v>
      </c>
      <c r="Y424" s="74">
        <f>Y404*'ФОТ, МТР, макро'!BC$13</f>
        <v>0</v>
      </c>
      <c r="Z424" s="74">
        <f>Z404*'ФОТ, МТР, макро'!BD$13</f>
        <v>0</v>
      </c>
    </row>
    <row r="425" spans="1:26" outlineLevel="1" x14ac:dyDescent="0.25">
      <c r="A425" s="39" t="str">
        <f t="shared" si="198"/>
        <v>БелАЗ 7531 (ГПФК)</v>
      </c>
      <c r="B425" s="39"/>
      <c r="D425" s="18" t="str">
        <f>D408</f>
        <v>Транспортный налог</v>
      </c>
      <c r="E425" s="9" t="str">
        <f t="shared" si="221"/>
        <v>тыс. руб.</v>
      </c>
      <c r="F425" s="103"/>
      <c r="G425" s="74">
        <f>G408*'ФОТ, МТР, макро'!AK$13</f>
        <v>192.38839285714283</v>
      </c>
      <c r="H425" s="74">
        <f>H408*'ФОТ, МТР, макро'!AL$13</f>
        <v>171.77535076530609</v>
      </c>
      <c r="I425" s="74">
        <f>I408*'ФОТ, МТР, макро'!AM$13</f>
        <v>153.3708488975947</v>
      </c>
      <c r="J425" s="74">
        <f>J408*'ФОТ, МТР, макро'!AN$13</f>
        <v>136.93825794428099</v>
      </c>
      <c r="K425" s="74">
        <f>K408*'ФОТ, МТР, макро'!AO$13</f>
        <v>122.26630173596516</v>
      </c>
      <c r="L425" s="74">
        <f>L408*'ФОТ, МТР, макро'!AP$13</f>
        <v>109.16634083568317</v>
      </c>
      <c r="M425" s="74">
        <f>M408*'ФОТ, МТР, макро'!AQ$13</f>
        <v>97.469947174717106</v>
      </c>
      <c r="N425" s="74">
        <f>N408*'ФОТ, МТР, макро'!AR$13</f>
        <v>87.026738548854553</v>
      </c>
      <c r="O425" s="74">
        <f>O408*'ФОТ, МТР, макро'!AS$13</f>
        <v>77.702445132905837</v>
      </c>
      <c r="P425" s="74">
        <f>P408*'ФОТ, МТР, макро'!AT$13</f>
        <v>69.377183154380219</v>
      </c>
      <c r="Q425" s="74">
        <f>Q408*'ФОТ, МТР, макро'!AU$13</f>
        <v>0</v>
      </c>
      <c r="R425" s="74">
        <f>R408*'ФОТ, МТР, макро'!AV$13</f>
        <v>0</v>
      </c>
      <c r="S425" s="74">
        <f>S408*'ФОТ, МТР, макро'!AW$13</f>
        <v>0</v>
      </c>
      <c r="T425" s="74">
        <f>T408*'ФОТ, МТР, макро'!AX$13</f>
        <v>0</v>
      </c>
      <c r="U425" s="74">
        <f>U408*'ФОТ, МТР, макро'!AY$13</f>
        <v>0</v>
      </c>
      <c r="V425" s="74">
        <f>V408*'ФОТ, МТР, макро'!AZ$13</f>
        <v>0</v>
      </c>
      <c r="W425" s="74">
        <f>W408*'ФОТ, МТР, макро'!BA$13</f>
        <v>0</v>
      </c>
      <c r="X425" s="74">
        <f>X408*'ФОТ, МТР, макро'!BB$13</f>
        <v>0</v>
      </c>
      <c r="Y425" s="74">
        <f>Y408*'ФОТ, МТР, макро'!BC$13</f>
        <v>0</v>
      </c>
      <c r="Z425" s="74">
        <f>Z408*'ФОТ, МТР, макро'!BD$13</f>
        <v>0</v>
      </c>
    </row>
    <row r="426" spans="1:26" outlineLevel="1" x14ac:dyDescent="0.25">
      <c r="A426" s="39" t="str">
        <f t="shared" si="198"/>
        <v>БелАЗ 7531 (ГПФК)</v>
      </c>
      <c r="B426" s="39"/>
      <c r="D426" s="18" t="str">
        <f>D413</f>
        <v>Налог на прибыль</v>
      </c>
      <c r="E426" s="9" t="str">
        <f t="shared" si="221"/>
        <v>тыс. руб.</v>
      </c>
      <c r="F426" s="103"/>
      <c r="G426" s="74">
        <f>G413*'ФОТ, МТР, макро'!AK$13</f>
        <v>-26743.84206434328</v>
      </c>
      <c r="H426" s="74">
        <f>H413*'ФОТ, МТР, макро'!AL$13</f>
        <v>-27211.204934606263</v>
      </c>
      <c r="I426" s="74">
        <f>I413*'ФОТ, МТР, макро'!AM$13</f>
        <v>-29169.079103571006</v>
      </c>
      <c r="J426" s="74">
        <f>J413*'ФОТ, МТР, макро'!AN$13</f>
        <v>-28378.812934094021</v>
      </c>
      <c r="K426" s="74">
        <f>K413*'ФОТ, МТР, макро'!AO$13</f>
        <v>-24900.820058956062</v>
      </c>
      <c r="L426" s="74">
        <f>L413*'ФОТ, МТР, макро'!AP$13</f>
        <v>-22727.257762889934</v>
      </c>
      <c r="M426" s="74">
        <f>M413*'ФОТ, МТР, макро'!AQ$13</f>
        <v>-15019.879788503802</v>
      </c>
      <c r="N426" s="74">
        <f>N413*'ФОТ, МТР, макро'!AR$13</f>
        <v>-19335.26786105771</v>
      </c>
      <c r="O426" s="74">
        <f>O413*'ФОТ, МТР, макро'!AS$13</f>
        <v>-18467.193601146097</v>
      </c>
      <c r="P426" s="74">
        <f>P413*'ФОТ, МТР, макро'!AT$13</f>
        <v>-10932.612364029221</v>
      </c>
      <c r="Q426" s="74">
        <f>Q413*'ФОТ, МТР, макро'!AU$13</f>
        <v>0</v>
      </c>
      <c r="R426" s="74">
        <f>R413*'ФОТ, МТР, макро'!AV$13</f>
        <v>0</v>
      </c>
      <c r="S426" s="74">
        <f>S413*'ФОТ, МТР, макро'!AW$13</f>
        <v>0</v>
      </c>
      <c r="T426" s="74">
        <f>T413*'ФОТ, МТР, макро'!AX$13</f>
        <v>0</v>
      </c>
      <c r="U426" s="74">
        <f>U413*'ФОТ, МТР, макро'!AY$13</f>
        <v>0</v>
      </c>
      <c r="V426" s="74">
        <f>V413*'ФОТ, МТР, макро'!AZ$13</f>
        <v>0</v>
      </c>
      <c r="W426" s="74">
        <f>W413*'ФОТ, МТР, макро'!BA$13</f>
        <v>0</v>
      </c>
      <c r="X426" s="74">
        <f>X413*'ФОТ, МТР, макро'!BB$13</f>
        <v>0</v>
      </c>
      <c r="Y426" s="74">
        <f>Y413*'ФОТ, МТР, макро'!BC$13</f>
        <v>0</v>
      </c>
      <c r="Z426" s="74">
        <f>Z413*'ФОТ, МТР, макро'!BD$13</f>
        <v>0</v>
      </c>
    </row>
    <row r="427" spans="1:26" outlineLevel="1" x14ac:dyDescent="0.25">
      <c r="A427" s="39" t="str">
        <f t="shared" si="198"/>
        <v>БелАЗ 7531 (ГПФК)</v>
      </c>
      <c r="B427" s="39"/>
      <c r="D427" s="104" t="s">
        <v>88</v>
      </c>
      <c r="E427" s="9"/>
      <c r="F427" s="105"/>
      <c r="G427" s="106">
        <f>G419-SUM(G420:G426)</f>
        <v>0</v>
      </c>
      <c r="H427" s="106">
        <f t="shared" ref="H427:I427" si="222">H419-SUM(H420:H426)</f>
        <v>0</v>
      </c>
      <c r="I427" s="106">
        <f t="shared" si="222"/>
        <v>0</v>
      </c>
      <c r="J427" s="106">
        <f t="shared" ref="J427:Z427" si="223">J419-SUM(J420:J426)</f>
        <v>0</v>
      </c>
      <c r="K427" s="106">
        <f t="shared" si="223"/>
        <v>0</v>
      </c>
      <c r="L427" s="106">
        <f t="shared" si="223"/>
        <v>0</v>
      </c>
      <c r="M427" s="106">
        <f t="shared" si="223"/>
        <v>0</v>
      </c>
      <c r="N427" s="106">
        <f t="shared" si="223"/>
        <v>0</v>
      </c>
      <c r="O427" s="106">
        <f t="shared" si="223"/>
        <v>0</v>
      </c>
      <c r="P427" s="106">
        <f t="shared" si="223"/>
        <v>0</v>
      </c>
      <c r="Q427" s="106">
        <f t="shared" si="223"/>
        <v>0</v>
      </c>
      <c r="R427" s="106">
        <f t="shared" si="223"/>
        <v>0</v>
      </c>
      <c r="S427" s="106">
        <f t="shared" si="223"/>
        <v>0</v>
      </c>
      <c r="T427" s="106">
        <f t="shared" si="223"/>
        <v>0</v>
      </c>
      <c r="U427" s="106">
        <f t="shared" si="223"/>
        <v>0</v>
      </c>
      <c r="V427" s="106">
        <f t="shared" si="223"/>
        <v>0</v>
      </c>
      <c r="W427" s="106">
        <f t="shared" si="223"/>
        <v>0</v>
      </c>
      <c r="X427" s="106">
        <f t="shared" si="223"/>
        <v>0</v>
      </c>
      <c r="Y427" s="106">
        <f t="shared" si="223"/>
        <v>0</v>
      </c>
      <c r="Z427" s="106">
        <f t="shared" si="223"/>
        <v>0</v>
      </c>
    </row>
    <row r="428" spans="1:26" ht="27.2" outlineLevel="1" x14ac:dyDescent="0.25">
      <c r="A428" s="39" t="str">
        <f t="shared" si="198"/>
        <v>БелАЗ 7531 (ГПФК)</v>
      </c>
      <c r="B428" s="39"/>
      <c r="D428" s="107" t="s">
        <v>89</v>
      </c>
      <c r="E428" s="68" t="str">
        <f>E419</f>
        <v>тыс. руб.</v>
      </c>
      <c r="F428" s="69">
        <f>F419</f>
        <v>0</v>
      </c>
      <c r="G428" s="69">
        <f>F428+G419</f>
        <v>80231.526193029844</v>
      </c>
      <c r="H428" s="69">
        <f t="shared" ref="H428:Z435" si="224">G428+H419</f>
        <v>161865.14099684864</v>
      </c>
      <c r="I428" s="69">
        <f t="shared" si="224"/>
        <v>249372.37830756168</v>
      </c>
      <c r="J428" s="69">
        <f t="shared" si="224"/>
        <v>334508.81710984372</v>
      </c>
      <c r="K428" s="69">
        <f t="shared" si="224"/>
        <v>409211.27728671191</v>
      </c>
      <c r="L428" s="69">
        <f t="shared" si="224"/>
        <v>477393.05057538173</v>
      </c>
      <c r="M428" s="69">
        <f t="shared" si="224"/>
        <v>522452.68994089315</v>
      </c>
      <c r="N428" s="69">
        <f t="shared" si="224"/>
        <v>580458.49352406629</v>
      </c>
      <c r="O428" s="69">
        <f t="shared" si="224"/>
        <v>635860.07432750461</v>
      </c>
      <c r="P428" s="69">
        <f t="shared" si="224"/>
        <v>668657.91141959233</v>
      </c>
      <c r="Q428" s="69">
        <f t="shared" si="224"/>
        <v>668657.91141959233</v>
      </c>
      <c r="R428" s="69">
        <f t="shared" si="224"/>
        <v>668657.91141959233</v>
      </c>
      <c r="S428" s="69">
        <f t="shared" si="224"/>
        <v>668657.91141959233</v>
      </c>
      <c r="T428" s="69">
        <f t="shared" si="224"/>
        <v>668657.91141959233</v>
      </c>
      <c r="U428" s="69">
        <f t="shared" si="224"/>
        <v>668657.91141959233</v>
      </c>
      <c r="V428" s="69">
        <f t="shared" si="224"/>
        <v>668657.91141959233</v>
      </c>
      <c r="W428" s="69">
        <f t="shared" si="224"/>
        <v>668657.91141959233</v>
      </c>
      <c r="X428" s="69">
        <f t="shared" si="224"/>
        <v>668657.91141959233</v>
      </c>
      <c r="Y428" s="69">
        <f t="shared" si="224"/>
        <v>668657.91141959233</v>
      </c>
      <c r="Z428" s="69">
        <f t="shared" si="224"/>
        <v>668657.91141959233</v>
      </c>
    </row>
    <row r="429" spans="1:26" outlineLevel="1" x14ac:dyDescent="0.25">
      <c r="A429" s="39" t="str">
        <f t="shared" si="198"/>
        <v>БелАЗ 7531 (ГПФК)</v>
      </c>
      <c r="B429" s="39"/>
      <c r="D429" s="101" t="str">
        <f>D420</f>
        <v>ТО, ТР, ППР</v>
      </c>
      <c r="E429" s="9" t="str">
        <f>E420</f>
        <v>тыс. руб.</v>
      </c>
      <c r="F429" s="74">
        <f>F420</f>
        <v>0</v>
      </c>
      <c r="G429" s="74">
        <f>F429+G420</f>
        <v>12431.808529968752</v>
      </c>
      <c r="H429" s="74">
        <f t="shared" si="224"/>
        <v>36243.93504938839</v>
      </c>
      <c r="I429" s="74">
        <f t="shared" si="224"/>
        <v>74539.237684761873</v>
      </c>
      <c r="J429" s="74">
        <f t="shared" si="224"/>
        <v>117992.07196569344</v>
      </c>
      <c r="K429" s="74">
        <f t="shared" si="224"/>
        <v>151699.03439312702</v>
      </c>
      <c r="L429" s="74">
        <f t="shared" si="224"/>
        <v>184510.28491275397</v>
      </c>
      <c r="M429" s="74">
        <f t="shared" si="224"/>
        <v>192189.04620608551</v>
      </c>
      <c r="N429" s="74">
        <f t="shared" si="224"/>
        <v>224369.38575532378</v>
      </c>
      <c r="O429" s="74">
        <f t="shared" si="224"/>
        <v>256986.98452531462</v>
      </c>
      <c r="P429" s="74">
        <f t="shared" si="224"/>
        <v>263997.33048042736</v>
      </c>
      <c r="Q429" s="74">
        <f t="shared" si="224"/>
        <v>263997.33048042736</v>
      </c>
      <c r="R429" s="74">
        <f t="shared" si="224"/>
        <v>263997.33048042736</v>
      </c>
      <c r="S429" s="74">
        <f t="shared" si="224"/>
        <v>263997.33048042736</v>
      </c>
      <c r="T429" s="74">
        <f t="shared" si="224"/>
        <v>263997.33048042736</v>
      </c>
      <c r="U429" s="74">
        <f t="shared" si="224"/>
        <v>263997.33048042736</v>
      </c>
      <c r="V429" s="74">
        <f t="shared" si="224"/>
        <v>263997.33048042736</v>
      </c>
      <c r="W429" s="74">
        <f t="shared" si="224"/>
        <v>263997.33048042736</v>
      </c>
      <c r="X429" s="74">
        <f t="shared" si="224"/>
        <v>263997.33048042736</v>
      </c>
      <c r="Y429" s="74">
        <f t="shared" si="224"/>
        <v>263997.33048042736</v>
      </c>
      <c r="Z429" s="74">
        <f t="shared" si="224"/>
        <v>263997.33048042736</v>
      </c>
    </row>
    <row r="430" spans="1:26" outlineLevel="1" x14ac:dyDescent="0.25">
      <c r="A430" s="39" t="str">
        <f t="shared" si="198"/>
        <v>БелАЗ 7531 (ГПФК)</v>
      </c>
      <c r="B430" s="39"/>
      <c r="D430" s="101" t="str">
        <f t="shared" ref="D430:F435" si="225">D421</f>
        <v>Шины</v>
      </c>
      <c r="E430" s="9" t="str">
        <f t="shared" si="225"/>
        <v>тыс. руб.</v>
      </c>
      <c r="F430" s="74">
        <f t="shared" si="225"/>
        <v>0</v>
      </c>
      <c r="G430" s="74">
        <f t="shared" ref="G430:G435" si="226">F430+G421</f>
        <v>16954.339719944077</v>
      </c>
      <c r="H430" s="74">
        <f t="shared" si="224"/>
        <v>32226.897928808565</v>
      </c>
      <c r="I430" s="74">
        <f t="shared" si="224"/>
        <v>46398.594451521312</v>
      </c>
      <c r="J430" s="74">
        <f t="shared" si="224"/>
        <v>59069.179031515727</v>
      </c>
      <c r="K430" s="74">
        <f t="shared" si="224"/>
        <v>71109.673685348476</v>
      </c>
      <c r="L430" s="74">
        <f t="shared" si="224"/>
        <v>81699.355288243038</v>
      </c>
      <c r="M430" s="74">
        <f t="shared" si="224"/>
        <v>91269.352859088758</v>
      </c>
      <c r="N430" s="74">
        <f t="shared" si="224"/>
        <v>99459.977244208814</v>
      </c>
      <c r="O430" s="74">
        <f t="shared" si="224"/>
        <v>106975.36145865163</v>
      </c>
      <c r="P430" s="74">
        <f t="shared" si="224"/>
        <v>113661.28765028028</v>
      </c>
      <c r="Q430" s="74">
        <f t="shared" si="224"/>
        <v>113661.28765028028</v>
      </c>
      <c r="R430" s="74">
        <f t="shared" si="224"/>
        <v>113661.28765028028</v>
      </c>
      <c r="S430" s="74">
        <f t="shared" si="224"/>
        <v>113661.28765028028</v>
      </c>
      <c r="T430" s="74">
        <f t="shared" si="224"/>
        <v>113661.28765028028</v>
      </c>
      <c r="U430" s="74">
        <f t="shared" si="224"/>
        <v>113661.28765028028</v>
      </c>
      <c r="V430" s="74">
        <f t="shared" si="224"/>
        <v>113661.28765028028</v>
      </c>
      <c r="W430" s="74">
        <f t="shared" si="224"/>
        <v>113661.28765028028</v>
      </c>
      <c r="X430" s="74">
        <f t="shared" si="224"/>
        <v>113661.28765028028</v>
      </c>
      <c r="Y430" s="74">
        <f t="shared" si="224"/>
        <v>113661.28765028028</v>
      </c>
      <c r="Z430" s="74">
        <f t="shared" si="224"/>
        <v>113661.28765028028</v>
      </c>
    </row>
    <row r="431" spans="1:26" outlineLevel="1" x14ac:dyDescent="0.25">
      <c r="A431" s="39" t="str">
        <f t="shared" si="198"/>
        <v>БелАЗ 7531 (ГПФК)</v>
      </c>
      <c r="B431" s="39"/>
      <c r="D431" s="101" t="str">
        <f t="shared" si="225"/>
        <v>Топливо</v>
      </c>
      <c r="E431" s="9" t="str">
        <f t="shared" si="225"/>
        <v>тыс. руб.</v>
      </c>
      <c r="F431" s="74">
        <f t="shared" si="225"/>
        <v>0</v>
      </c>
      <c r="G431" s="74">
        <f t="shared" si="226"/>
        <v>60900.763542583416</v>
      </c>
      <c r="H431" s="74">
        <f t="shared" si="224"/>
        <v>115760.49099479854</v>
      </c>
      <c r="I431" s="74">
        <f t="shared" si="224"/>
        <v>166665.87293141976</v>
      </c>
      <c r="J431" s="74">
        <f t="shared" si="224"/>
        <v>212179.19212867651</v>
      </c>
      <c r="K431" s="74">
        <f t="shared" si="224"/>
        <v>255429.19949913319</v>
      </c>
      <c r="L431" s="74">
        <f t="shared" si="224"/>
        <v>293467.82004950958</v>
      </c>
      <c r="M431" s="74">
        <f t="shared" si="224"/>
        <v>327843.68892982806</v>
      </c>
      <c r="N431" s="74">
        <f t="shared" si="224"/>
        <v>357264.78625262959</v>
      </c>
      <c r="O431" s="74">
        <f t="shared" si="224"/>
        <v>384260.39000575268</v>
      </c>
      <c r="P431" s="74">
        <f t="shared" si="224"/>
        <v>408276.54261242494</v>
      </c>
      <c r="Q431" s="74">
        <f t="shared" si="224"/>
        <v>408276.54261242494</v>
      </c>
      <c r="R431" s="74">
        <f t="shared" si="224"/>
        <v>408276.54261242494</v>
      </c>
      <c r="S431" s="74">
        <f t="shared" si="224"/>
        <v>408276.54261242494</v>
      </c>
      <c r="T431" s="74">
        <f t="shared" si="224"/>
        <v>408276.54261242494</v>
      </c>
      <c r="U431" s="74">
        <f t="shared" si="224"/>
        <v>408276.54261242494</v>
      </c>
      <c r="V431" s="74">
        <f t="shared" si="224"/>
        <v>408276.54261242494</v>
      </c>
      <c r="W431" s="74">
        <f t="shared" si="224"/>
        <v>408276.54261242494</v>
      </c>
      <c r="X431" s="74">
        <f t="shared" si="224"/>
        <v>408276.54261242494</v>
      </c>
      <c r="Y431" s="74">
        <f t="shared" si="224"/>
        <v>408276.54261242494</v>
      </c>
      <c r="Z431" s="74">
        <f t="shared" si="224"/>
        <v>408276.54261242494</v>
      </c>
    </row>
    <row r="432" spans="1:26" outlineLevel="1" x14ac:dyDescent="0.25">
      <c r="A432" s="39" t="str">
        <f t="shared" si="198"/>
        <v>БелАЗ 7531 (ГПФК)</v>
      </c>
      <c r="B432" s="39"/>
      <c r="D432" s="101" t="str">
        <f t="shared" si="225"/>
        <v>Смазочные</v>
      </c>
      <c r="E432" s="9" t="str">
        <f t="shared" si="225"/>
        <v>тыс. руб.</v>
      </c>
      <c r="F432" s="74">
        <f t="shared" si="225"/>
        <v>0</v>
      </c>
      <c r="G432" s="74">
        <f t="shared" si="226"/>
        <v>0</v>
      </c>
      <c r="H432" s="74">
        <f t="shared" si="224"/>
        <v>0</v>
      </c>
      <c r="I432" s="74">
        <f t="shared" si="224"/>
        <v>0</v>
      </c>
      <c r="J432" s="74">
        <f t="shared" si="224"/>
        <v>0</v>
      </c>
      <c r="K432" s="74">
        <f t="shared" si="224"/>
        <v>0</v>
      </c>
      <c r="L432" s="74">
        <f t="shared" si="224"/>
        <v>0</v>
      </c>
      <c r="M432" s="74">
        <f t="shared" si="224"/>
        <v>0</v>
      </c>
      <c r="N432" s="74">
        <f t="shared" si="224"/>
        <v>0</v>
      </c>
      <c r="O432" s="74">
        <f t="shared" si="224"/>
        <v>0</v>
      </c>
      <c r="P432" s="74">
        <f t="shared" si="224"/>
        <v>0</v>
      </c>
      <c r="Q432" s="74">
        <f t="shared" si="224"/>
        <v>0</v>
      </c>
      <c r="R432" s="74">
        <f t="shared" si="224"/>
        <v>0</v>
      </c>
      <c r="S432" s="74">
        <f t="shared" si="224"/>
        <v>0</v>
      </c>
      <c r="T432" s="74">
        <f t="shared" si="224"/>
        <v>0</v>
      </c>
      <c r="U432" s="74">
        <f t="shared" si="224"/>
        <v>0</v>
      </c>
      <c r="V432" s="74">
        <f t="shared" si="224"/>
        <v>0</v>
      </c>
      <c r="W432" s="74">
        <f t="shared" si="224"/>
        <v>0</v>
      </c>
      <c r="X432" s="74">
        <f t="shared" si="224"/>
        <v>0</v>
      </c>
      <c r="Y432" s="74">
        <f t="shared" si="224"/>
        <v>0</v>
      </c>
      <c r="Z432" s="74">
        <f t="shared" si="224"/>
        <v>0</v>
      </c>
    </row>
    <row r="433" spans="1:29" outlineLevel="1" x14ac:dyDescent="0.25">
      <c r="A433" s="39" t="str">
        <f t="shared" si="198"/>
        <v>БелАЗ 7531 (ГПФК)</v>
      </c>
      <c r="B433" s="39"/>
      <c r="D433" s="101" t="str">
        <f t="shared" si="225"/>
        <v>Затраты на персонал</v>
      </c>
      <c r="E433" s="9" t="str">
        <f t="shared" si="225"/>
        <v>тыс. руб.</v>
      </c>
      <c r="F433" s="74">
        <f t="shared" si="225"/>
        <v>0</v>
      </c>
      <c r="G433" s="74">
        <f t="shared" si="226"/>
        <v>16496.068072019727</v>
      </c>
      <c r="H433" s="74">
        <f t="shared" si="224"/>
        <v>31224.700279180193</v>
      </c>
      <c r="I433" s="74">
        <f t="shared" si="224"/>
        <v>44375.264749859183</v>
      </c>
      <c r="J433" s="74">
        <f t="shared" si="224"/>
        <v>56116.840170108277</v>
      </c>
      <c r="K433" s="74">
        <f t="shared" si="224"/>
        <v>66600.389652473546</v>
      </c>
      <c r="L433" s="74">
        <f t="shared" si="224"/>
        <v>75960.701690299669</v>
      </c>
      <c r="M433" s="74">
        <f t="shared" si="224"/>
        <v>84318.123152644432</v>
      </c>
      <c r="N433" s="74">
        <f t="shared" si="224"/>
        <v>91780.106601166539</v>
      </c>
      <c r="O433" s="74">
        <f t="shared" si="224"/>
        <v>98442.591823061273</v>
      </c>
      <c r="P433" s="74">
        <f t="shared" si="224"/>
        <v>104391.23934261015</v>
      </c>
      <c r="Q433" s="74">
        <f t="shared" si="224"/>
        <v>104391.23934261015</v>
      </c>
      <c r="R433" s="74">
        <f t="shared" si="224"/>
        <v>104391.23934261015</v>
      </c>
      <c r="S433" s="74">
        <f t="shared" si="224"/>
        <v>104391.23934261015</v>
      </c>
      <c r="T433" s="74">
        <f t="shared" si="224"/>
        <v>104391.23934261015</v>
      </c>
      <c r="U433" s="74">
        <f t="shared" si="224"/>
        <v>104391.23934261015</v>
      </c>
      <c r="V433" s="74">
        <f t="shared" si="224"/>
        <v>104391.23934261015</v>
      </c>
      <c r="W433" s="74">
        <f t="shared" si="224"/>
        <v>104391.23934261015</v>
      </c>
      <c r="X433" s="74">
        <f t="shared" si="224"/>
        <v>104391.23934261015</v>
      </c>
      <c r="Y433" s="74">
        <f t="shared" si="224"/>
        <v>104391.23934261015</v>
      </c>
      <c r="Z433" s="74">
        <f t="shared" si="224"/>
        <v>104391.23934261015</v>
      </c>
    </row>
    <row r="434" spans="1:29" outlineLevel="1" x14ac:dyDescent="0.25">
      <c r="A434" s="39" t="str">
        <f t="shared" si="198"/>
        <v>БелАЗ 7531 (ГПФК)</v>
      </c>
      <c r="B434" s="39"/>
      <c r="D434" s="101" t="str">
        <f t="shared" si="225"/>
        <v>Транспортный налог</v>
      </c>
      <c r="E434" s="9" t="str">
        <f t="shared" si="225"/>
        <v>тыс. руб.</v>
      </c>
      <c r="F434" s="74">
        <f t="shared" si="225"/>
        <v>0</v>
      </c>
      <c r="G434" s="74">
        <f t="shared" si="226"/>
        <v>192.38839285714283</v>
      </c>
      <c r="H434" s="74">
        <f t="shared" si="224"/>
        <v>364.16374362244892</v>
      </c>
      <c r="I434" s="74">
        <f t="shared" si="224"/>
        <v>517.53459252004359</v>
      </c>
      <c r="J434" s="74">
        <f t="shared" si="224"/>
        <v>654.47285046432455</v>
      </c>
      <c r="K434" s="74">
        <f t="shared" si="224"/>
        <v>776.73915220028971</v>
      </c>
      <c r="L434" s="74">
        <f t="shared" si="224"/>
        <v>885.90549303597288</v>
      </c>
      <c r="M434" s="74">
        <f t="shared" si="224"/>
        <v>983.37544021068993</v>
      </c>
      <c r="N434" s="74">
        <f t="shared" si="224"/>
        <v>1070.4021787595445</v>
      </c>
      <c r="O434" s="74">
        <f t="shared" si="224"/>
        <v>1148.1046238924505</v>
      </c>
      <c r="P434" s="74">
        <f t="shared" si="224"/>
        <v>1217.4818070468307</v>
      </c>
      <c r="Q434" s="74">
        <f t="shared" si="224"/>
        <v>1217.4818070468307</v>
      </c>
      <c r="R434" s="74">
        <f t="shared" si="224"/>
        <v>1217.4818070468307</v>
      </c>
      <c r="S434" s="74">
        <f t="shared" si="224"/>
        <v>1217.4818070468307</v>
      </c>
      <c r="T434" s="74">
        <f t="shared" si="224"/>
        <v>1217.4818070468307</v>
      </c>
      <c r="U434" s="74">
        <f t="shared" si="224"/>
        <v>1217.4818070468307</v>
      </c>
      <c r="V434" s="74">
        <f t="shared" si="224"/>
        <v>1217.4818070468307</v>
      </c>
      <c r="W434" s="74">
        <f t="shared" si="224"/>
        <v>1217.4818070468307</v>
      </c>
      <c r="X434" s="74">
        <f t="shared" si="224"/>
        <v>1217.4818070468307</v>
      </c>
      <c r="Y434" s="74">
        <f t="shared" si="224"/>
        <v>1217.4818070468307</v>
      </c>
      <c r="Z434" s="74">
        <f t="shared" si="224"/>
        <v>1217.4818070468307</v>
      </c>
    </row>
    <row r="435" spans="1:29" outlineLevel="1" x14ac:dyDescent="0.25">
      <c r="A435" s="39" t="str">
        <f t="shared" si="198"/>
        <v>БелАЗ 7531 (ГПФК)</v>
      </c>
      <c r="B435" s="39"/>
      <c r="D435" s="101" t="str">
        <f t="shared" si="225"/>
        <v>Налог на прибыль</v>
      </c>
      <c r="E435" s="9" t="str">
        <f t="shared" si="225"/>
        <v>тыс. руб.</v>
      </c>
      <c r="F435" s="74">
        <f t="shared" si="225"/>
        <v>0</v>
      </c>
      <c r="G435" s="74">
        <f t="shared" si="226"/>
        <v>-26743.84206434328</v>
      </c>
      <c r="H435" s="74">
        <f t="shared" si="224"/>
        <v>-53955.046998949547</v>
      </c>
      <c r="I435" s="74">
        <f t="shared" si="224"/>
        <v>-83124.12610252056</v>
      </c>
      <c r="J435" s="74">
        <f t="shared" si="224"/>
        <v>-111502.93903661458</v>
      </c>
      <c r="K435" s="74">
        <f t="shared" si="224"/>
        <v>-136403.75909557065</v>
      </c>
      <c r="L435" s="74">
        <f t="shared" si="224"/>
        <v>-159131.01685846059</v>
      </c>
      <c r="M435" s="74">
        <f t="shared" si="224"/>
        <v>-174150.89664696439</v>
      </c>
      <c r="N435" s="74">
        <f t="shared" si="224"/>
        <v>-193486.16450802211</v>
      </c>
      <c r="O435" s="74">
        <f t="shared" si="224"/>
        <v>-211953.35810916821</v>
      </c>
      <c r="P435" s="74">
        <f t="shared" si="224"/>
        <v>-222885.97047319743</v>
      </c>
      <c r="Q435" s="74">
        <f t="shared" si="224"/>
        <v>-222885.97047319743</v>
      </c>
      <c r="R435" s="74">
        <f t="shared" si="224"/>
        <v>-222885.97047319743</v>
      </c>
      <c r="S435" s="74">
        <f t="shared" si="224"/>
        <v>-222885.97047319743</v>
      </c>
      <c r="T435" s="74">
        <f t="shared" si="224"/>
        <v>-222885.97047319743</v>
      </c>
      <c r="U435" s="74">
        <f t="shared" si="224"/>
        <v>-222885.97047319743</v>
      </c>
      <c r="V435" s="74">
        <f t="shared" si="224"/>
        <v>-222885.97047319743</v>
      </c>
      <c r="W435" s="74">
        <f t="shared" si="224"/>
        <v>-222885.97047319743</v>
      </c>
      <c r="X435" s="74">
        <f t="shared" si="224"/>
        <v>-222885.97047319743</v>
      </c>
      <c r="Y435" s="74">
        <f t="shared" si="224"/>
        <v>-222885.97047319743</v>
      </c>
      <c r="Z435" s="74">
        <f t="shared" si="224"/>
        <v>-222885.97047319743</v>
      </c>
    </row>
    <row r="436" spans="1:29" outlineLevel="1" x14ac:dyDescent="0.25">
      <c r="A436" s="39" t="str">
        <f t="shared" si="198"/>
        <v>БелАЗ 7531 (ГПФК)</v>
      </c>
      <c r="B436" s="39"/>
      <c r="D436" s="101"/>
      <c r="E436" s="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9" outlineLevel="1" x14ac:dyDescent="0.25">
      <c r="A437" s="39" t="str">
        <f t="shared" si="198"/>
        <v>БелАЗ 7531 (ГПФК)</v>
      </c>
      <c r="B437" s="39"/>
      <c r="D437" s="67" t="s">
        <v>90</v>
      </c>
      <c r="E437" s="68" t="str">
        <f>E418</f>
        <v>тыс. руб.</v>
      </c>
      <c r="F437" s="69">
        <f>F415*'ФОТ, МТР, макро'!AJ$13</f>
        <v>0</v>
      </c>
      <c r="G437" s="69">
        <f>G415*'ФОТ, МТР, макро'!AK$13</f>
        <v>0</v>
      </c>
      <c r="H437" s="69">
        <f>H415*'ФОТ, МТР, макро'!AL$13</f>
        <v>0</v>
      </c>
      <c r="I437" s="69">
        <f>I415*'ФОТ, МТР, макро'!AM$13</f>
        <v>0</v>
      </c>
      <c r="J437" s="69">
        <f>J415*'ФОТ, МТР, макро'!AN$13</f>
        <v>0</v>
      </c>
      <c r="K437" s="69">
        <f>K415*'ФОТ, МТР, макро'!AO$13</f>
        <v>0</v>
      </c>
      <c r="L437" s="69">
        <f>L415*'ФОТ, МТР, макро'!AP$13</f>
        <v>0</v>
      </c>
      <c r="M437" s="69">
        <f>M415*'ФОТ, МТР, макро'!AQ$13</f>
        <v>0</v>
      </c>
      <c r="N437" s="69">
        <f>N415*'ФОТ, МТР, макро'!AR$13</f>
        <v>0</v>
      </c>
      <c r="O437" s="69">
        <f>O415*'ФОТ, МТР, макро'!AS$13</f>
        <v>0</v>
      </c>
      <c r="P437" s="69">
        <f>P415*'ФОТ, МТР, макро'!AT$13</f>
        <v>0</v>
      </c>
      <c r="Q437" s="69">
        <f>Q415*'ФОТ, МТР, макро'!AU$13</f>
        <v>0</v>
      </c>
      <c r="R437" s="69">
        <f>R415*'ФОТ, МТР, макро'!AV$13</f>
        <v>0</v>
      </c>
      <c r="S437" s="69">
        <f>S415*'ФОТ, МТР, макро'!AW$13</f>
        <v>0</v>
      </c>
      <c r="T437" s="69">
        <f>T415*'ФОТ, МТР, макро'!AX$13</f>
        <v>0</v>
      </c>
      <c r="U437" s="69">
        <f>U415*'ФОТ, МТР, макро'!AY$13</f>
        <v>0</v>
      </c>
      <c r="V437" s="69">
        <f>V415*'ФОТ, МТР, макро'!AZ$13</f>
        <v>0</v>
      </c>
      <c r="W437" s="69">
        <f>W415*'ФОТ, МТР, макро'!BA$13</f>
        <v>0</v>
      </c>
      <c r="X437" s="69">
        <f>X415*'ФОТ, МТР, макро'!BB$13</f>
        <v>0</v>
      </c>
      <c r="Y437" s="69">
        <f>Y415*'ФОТ, МТР, макро'!BC$13</f>
        <v>0</v>
      </c>
      <c r="Z437" s="69">
        <f>Z415*'ФОТ, МТР, макро'!BD$13</f>
        <v>0</v>
      </c>
    </row>
    <row r="438" spans="1:29" outlineLevel="1" x14ac:dyDescent="0.25">
      <c r="A438" s="39" t="str">
        <f t="shared" si="198"/>
        <v>БелАЗ 7531 (ГПФК)</v>
      </c>
      <c r="B438" s="39"/>
      <c r="D438" s="101" t="str">
        <f>D416</f>
        <v>Самосвал</v>
      </c>
      <c r="E438" s="9" t="str">
        <f>E437</f>
        <v>тыс. руб.</v>
      </c>
      <c r="F438" s="74">
        <f>F416*'ФОТ, МТР, макро'!AJ$13</f>
        <v>0</v>
      </c>
      <c r="G438" s="74">
        <f>G416*'ФОТ, МТР, макро'!AK$13</f>
        <v>0</v>
      </c>
      <c r="H438" s="74">
        <f>H416*'ФОТ, МТР, макро'!AL$13</f>
        <v>0</v>
      </c>
      <c r="I438" s="74">
        <f>I416*'ФОТ, МТР, макро'!AM$13</f>
        <v>0</v>
      </c>
      <c r="J438" s="74">
        <f>J416*'ФОТ, МТР, макро'!AN$13</f>
        <v>0</v>
      </c>
      <c r="K438" s="74">
        <f>K416*'ФОТ, МТР, макро'!AO$13</f>
        <v>0</v>
      </c>
      <c r="L438" s="74">
        <f>L416*'ФОТ, МТР, макро'!AP$13</f>
        <v>0</v>
      </c>
      <c r="M438" s="74">
        <f>M416*'ФОТ, МТР, макро'!AQ$13</f>
        <v>0</v>
      </c>
      <c r="N438" s="74">
        <f>N416*'ФОТ, МТР, макро'!AR$13</f>
        <v>0</v>
      </c>
      <c r="O438" s="74">
        <f>O416*'ФОТ, МТР, макро'!AS$13</f>
        <v>0</v>
      </c>
      <c r="P438" s="74">
        <f>P416*'ФОТ, МТР, макро'!AT$13</f>
        <v>0</v>
      </c>
      <c r="Q438" s="74">
        <f>Q416*'ФОТ, МТР, макро'!AU$13</f>
        <v>0</v>
      </c>
      <c r="R438" s="74">
        <f>R416*'ФОТ, МТР, макро'!AV$13</f>
        <v>0</v>
      </c>
      <c r="S438" s="74">
        <f>S416*'ФОТ, МТР, макро'!AW$13</f>
        <v>0</v>
      </c>
      <c r="T438" s="74">
        <f>T416*'ФОТ, МТР, макро'!AX$13</f>
        <v>0</v>
      </c>
      <c r="U438" s="74">
        <f>U416*'ФОТ, МТР, макро'!AY$13</f>
        <v>0</v>
      </c>
      <c r="V438" s="74">
        <f>V416*'ФОТ, МТР, макро'!AZ$13</f>
        <v>0</v>
      </c>
      <c r="W438" s="74">
        <f>W416*'ФОТ, МТР, макро'!BA$13</f>
        <v>0</v>
      </c>
      <c r="X438" s="74">
        <f>X416*'ФОТ, МТР, макро'!BB$13</f>
        <v>0</v>
      </c>
      <c r="Y438" s="74">
        <f>Y416*'ФОТ, МТР, макро'!BC$13</f>
        <v>0</v>
      </c>
      <c r="Z438" s="74">
        <f>Z416*'ФОТ, МТР, макро'!BD$13</f>
        <v>0</v>
      </c>
    </row>
    <row r="439" spans="1:29" outlineLevel="1" x14ac:dyDescent="0.25">
      <c r="A439" s="39" t="str">
        <f t="shared" si="198"/>
        <v>БелАЗ 7531 (ГПФК)</v>
      </c>
      <c r="B439" s="39"/>
      <c r="D439" s="104" t="s">
        <v>88</v>
      </c>
      <c r="E439" s="9"/>
      <c r="F439" s="106">
        <f>F437-F438</f>
        <v>0</v>
      </c>
      <c r="G439" s="106">
        <f t="shared" ref="G439:Z439" si="227">G437-G438</f>
        <v>0</v>
      </c>
      <c r="H439" s="106">
        <f t="shared" si="227"/>
        <v>0</v>
      </c>
      <c r="I439" s="106">
        <f t="shared" si="227"/>
        <v>0</v>
      </c>
      <c r="J439" s="106">
        <f t="shared" si="227"/>
        <v>0</v>
      </c>
      <c r="K439" s="106">
        <f t="shared" si="227"/>
        <v>0</v>
      </c>
      <c r="L439" s="106">
        <f t="shared" si="227"/>
        <v>0</v>
      </c>
      <c r="M439" s="106">
        <f t="shared" si="227"/>
        <v>0</v>
      </c>
      <c r="N439" s="106">
        <f t="shared" si="227"/>
        <v>0</v>
      </c>
      <c r="O439" s="106">
        <f t="shared" si="227"/>
        <v>0</v>
      </c>
      <c r="P439" s="106">
        <f t="shared" si="227"/>
        <v>0</v>
      </c>
      <c r="Q439" s="106">
        <f t="shared" si="227"/>
        <v>0</v>
      </c>
      <c r="R439" s="106">
        <f t="shared" si="227"/>
        <v>0</v>
      </c>
      <c r="S439" s="106">
        <f t="shared" si="227"/>
        <v>0</v>
      </c>
      <c r="T439" s="106">
        <f t="shared" si="227"/>
        <v>0</v>
      </c>
      <c r="U439" s="106">
        <f t="shared" si="227"/>
        <v>0</v>
      </c>
      <c r="V439" s="106">
        <f t="shared" si="227"/>
        <v>0</v>
      </c>
      <c r="W439" s="106">
        <f t="shared" si="227"/>
        <v>0</v>
      </c>
      <c r="X439" s="106">
        <f t="shared" si="227"/>
        <v>0</v>
      </c>
      <c r="Y439" s="106">
        <f t="shared" si="227"/>
        <v>0</v>
      </c>
      <c r="Z439" s="106">
        <f t="shared" si="227"/>
        <v>0</v>
      </c>
    </row>
    <row r="440" spans="1:29" outlineLevel="1" x14ac:dyDescent="0.25">
      <c r="A440" s="39" t="str">
        <f t="shared" si="198"/>
        <v>БелАЗ 7531 (ГПФК)</v>
      </c>
      <c r="B440" s="39"/>
      <c r="D440" s="107" t="s">
        <v>91</v>
      </c>
      <c r="E440" s="68" t="str">
        <f>E437</f>
        <v>тыс. руб.</v>
      </c>
      <c r="F440" s="69">
        <f>F437</f>
        <v>0</v>
      </c>
      <c r="G440" s="69">
        <f>F440+G437</f>
        <v>0</v>
      </c>
      <c r="H440" s="69">
        <f t="shared" ref="H440:Z441" si="228">G440+H437</f>
        <v>0</v>
      </c>
      <c r="I440" s="69">
        <f t="shared" si="228"/>
        <v>0</v>
      </c>
      <c r="J440" s="69">
        <f t="shared" si="228"/>
        <v>0</v>
      </c>
      <c r="K440" s="69">
        <f t="shared" si="228"/>
        <v>0</v>
      </c>
      <c r="L440" s="69">
        <f t="shared" si="228"/>
        <v>0</v>
      </c>
      <c r="M440" s="69">
        <f t="shared" si="228"/>
        <v>0</v>
      </c>
      <c r="N440" s="69">
        <f t="shared" si="228"/>
        <v>0</v>
      </c>
      <c r="O440" s="69">
        <f t="shared" si="228"/>
        <v>0</v>
      </c>
      <c r="P440" s="69">
        <f t="shared" si="228"/>
        <v>0</v>
      </c>
      <c r="Q440" s="69">
        <f t="shared" si="228"/>
        <v>0</v>
      </c>
      <c r="R440" s="69">
        <f t="shared" si="228"/>
        <v>0</v>
      </c>
      <c r="S440" s="69">
        <f t="shared" si="228"/>
        <v>0</v>
      </c>
      <c r="T440" s="69">
        <f t="shared" si="228"/>
        <v>0</v>
      </c>
      <c r="U440" s="69">
        <f t="shared" si="228"/>
        <v>0</v>
      </c>
      <c r="V440" s="69">
        <f t="shared" si="228"/>
        <v>0</v>
      </c>
      <c r="W440" s="69">
        <f t="shared" si="228"/>
        <v>0</v>
      </c>
      <c r="X440" s="69">
        <f t="shared" si="228"/>
        <v>0</v>
      </c>
      <c r="Y440" s="69">
        <f t="shared" si="228"/>
        <v>0</v>
      </c>
      <c r="Z440" s="69">
        <f t="shared" si="228"/>
        <v>0</v>
      </c>
    </row>
    <row r="441" spans="1:29" outlineLevel="1" x14ac:dyDescent="0.25">
      <c r="A441" s="39" t="str">
        <f t="shared" si="198"/>
        <v>БелАЗ 7531 (ГПФК)</v>
      </c>
      <c r="B441" s="39"/>
      <c r="D441" s="101" t="str">
        <f>D438</f>
        <v>Самосвал</v>
      </c>
      <c r="E441" s="9" t="str">
        <f>E438</f>
        <v>тыс. руб.</v>
      </c>
      <c r="F441" s="74">
        <f>F438</f>
        <v>0</v>
      </c>
      <c r="G441" s="74">
        <f>F441+G438</f>
        <v>0</v>
      </c>
      <c r="H441" s="74">
        <f t="shared" si="228"/>
        <v>0</v>
      </c>
      <c r="I441" s="74">
        <f t="shared" si="228"/>
        <v>0</v>
      </c>
      <c r="J441" s="74">
        <f t="shared" si="228"/>
        <v>0</v>
      </c>
      <c r="K441" s="74">
        <f t="shared" si="228"/>
        <v>0</v>
      </c>
      <c r="L441" s="74">
        <f t="shared" si="228"/>
        <v>0</v>
      </c>
      <c r="M441" s="74">
        <f t="shared" si="228"/>
        <v>0</v>
      </c>
      <c r="N441" s="74">
        <f t="shared" si="228"/>
        <v>0</v>
      </c>
      <c r="O441" s="74">
        <f t="shared" si="228"/>
        <v>0</v>
      </c>
      <c r="P441" s="74">
        <f t="shared" si="228"/>
        <v>0</v>
      </c>
      <c r="Q441" s="74">
        <f t="shared" si="228"/>
        <v>0</v>
      </c>
      <c r="R441" s="74">
        <f t="shared" si="228"/>
        <v>0</v>
      </c>
      <c r="S441" s="74">
        <f t="shared" si="228"/>
        <v>0</v>
      </c>
      <c r="T441" s="74">
        <f t="shared" si="228"/>
        <v>0</v>
      </c>
      <c r="U441" s="74">
        <f t="shared" si="228"/>
        <v>0</v>
      </c>
      <c r="V441" s="74">
        <f t="shared" si="228"/>
        <v>0</v>
      </c>
      <c r="W441" s="74">
        <f t="shared" si="228"/>
        <v>0</v>
      </c>
      <c r="X441" s="74">
        <f t="shared" si="228"/>
        <v>0</v>
      </c>
      <c r="Y441" s="74">
        <f t="shared" si="228"/>
        <v>0</v>
      </c>
      <c r="Z441" s="74">
        <f t="shared" si="228"/>
        <v>0</v>
      </c>
    </row>
    <row r="442" spans="1:29" outlineLevel="1" x14ac:dyDescent="0.25">
      <c r="A442" s="39" t="str">
        <f t="shared" si="198"/>
        <v>БелАЗ 7531 (ГПФК)</v>
      </c>
      <c r="B442" s="39"/>
      <c r="D442" s="101"/>
      <c r="E442" s="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9" outlineLevel="1" x14ac:dyDescent="0.25">
      <c r="A443" s="39" t="str">
        <f t="shared" si="198"/>
        <v>БелАЗ 7531 (ГПФК)</v>
      </c>
      <c r="B443" s="39"/>
      <c r="D443" s="67" t="s">
        <v>92</v>
      </c>
      <c r="E443" s="68" t="str">
        <f>E418</f>
        <v>тыс. руб.</v>
      </c>
      <c r="F443" s="69">
        <f>F418*'ФОТ, МТР, макро'!AJ$13</f>
        <v>0</v>
      </c>
      <c r="G443" s="69">
        <f>G418*'ФОТ, МТР, макро'!AK$13</f>
        <v>80231.526193029844</v>
      </c>
      <c r="H443" s="69">
        <f>H418*'ФОТ, МТР, макро'!AL$13</f>
        <v>81633.614803818797</v>
      </c>
      <c r="I443" s="69">
        <f>I418*'ФОТ, МТР, макро'!AM$13</f>
        <v>87507.237310713026</v>
      </c>
      <c r="J443" s="69">
        <f>J418*'ФОТ, МТР, макро'!AN$13</f>
        <v>85136.438802282064</v>
      </c>
      <c r="K443" s="69">
        <f>K418*'ФОТ, МТР, макро'!AO$13</f>
        <v>74702.46017686819</v>
      </c>
      <c r="L443" s="69">
        <f>L418*'ФОТ, МТР, макро'!AP$13</f>
        <v>68181.773288669807</v>
      </c>
      <c r="M443" s="69">
        <f>M418*'ФОТ, МТР, макро'!AQ$13</f>
        <v>45059.639365511408</v>
      </c>
      <c r="N443" s="69">
        <f>N418*'ФОТ, МТР, макро'!AR$13</f>
        <v>58005.803583173132</v>
      </c>
      <c r="O443" s="69">
        <f>O418*'ФОТ, МТР, макро'!AS$13</f>
        <v>55401.580803438286</v>
      </c>
      <c r="P443" s="69">
        <f>P418*'ФОТ, МТР, макро'!AT$13</f>
        <v>32797.837092087662</v>
      </c>
      <c r="Q443" s="69">
        <f>Q418*'ФОТ, МТР, макро'!AU$13</f>
        <v>0</v>
      </c>
      <c r="R443" s="69">
        <f>R418*'ФОТ, МТР, макро'!AV$13</f>
        <v>0</v>
      </c>
      <c r="S443" s="69">
        <f>S418*'ФОТ, МТР, макро'!AW$13</f>
        <v>0</v>
      </c>
      <c r="T443" s="69">
        <f>T418*'ФОТ, МТР, макро'!AX$13</f>
        <v>0</v>
      </c>
      <c r="U443" s="69">
        <f>U418*'ФОТ, МТР, макро'!AY$13</f>
        <v>0</v>
      </c>
      <c r="V443" s="69">
        <f>V418*'ФОТ, МТР, макро'!AZ$13</f>
        <v>0</v>
      </c>
      <c r="W443" s="69">
        <f>W418*'ФОТ, МТР, макро'!BA$13</f>
        <v>0</v>
      </c>
      <c r="X443" s="69">
        <f>X418*'ФОТ, МТР, макро'!BB$13</f>
        <v>0</v>
      </c>
      <c r="Y443" s="69">
        <f>Y418*'ФОТ, МТР, макро'!BC$13</f>
        <v>0</v>
      </c>
      <c r="Z443" s="69">
        <f>Z418*'ФОТ, МТР, макро'!BD$13</f>
        <v>0</v>
      </c>
    </row>
    <row r="444" spans="1:29" outlineLevel="1" x14ac:dyDescent="0.25">
      <c r="A444" s="39" t="str">
        <f t="shared" si="198"/>
        <v>БелАЗ 7531 (ГПФК)</v>
      </c>
      <c r="B444" s="39"/>
      <c r="D444" s="107" t="s">
        <v>93</v>
      </c>
      <c r="E444" s="68" t="str">
        <f>E443</f>
        <v>тыс. руб.</v>
      </c>
      <c r="F444" s="69">
        <f>F443</f>
        <v>0</v>
      </c>
      <c r="G444" s="69">
        <f>F444+G443</f>
        <v>80231.526193029844</v>
      </c>
      <c r="H444" s="69">
        <f t="shared" ref="H444:Z444" si="229">G444+H443</f>
        <v>161865.14099684864</v>
      </c>
      <c r="I444" s="69">
        <f t="shared" si="229"/>
        <v>249372.37830756168</v>
      </c>
      <c r="J444" s="69">
        <f t="shared" si="229"/>
        <v>334508.81710984372</v>
      </c>
      <c r="K444" s="69">
        <f t="shared" si="229"/>
        <v>409211.27728671191</v>
      </c>
      <c r="L444" s="69">
        <f t="shared" si="229"/>
        <v>477393.05057538173</v>
      </c>
      <c r="M444" s="69">
        <f t="shared" si="229"/>
        <v>522452.68994089315</v>
      </c>
      <c r="N444" s="69">
        <f t="shared" si="229"/>
        <v>580458.49352406629</v>
      </c>
      <c r="O444" s="69">
        <f t="shared" si="229"/>
        <v>635860.07432750461</v>
      </c>
      <c r="P444" s="69">
        <f t="shared" si="229"/>
        <v>668657.91141959233</v>
      </c>
      <c r="Q444" s="69">
        <f t="shared" si="229"/>
        <v>668657.91141959233</v>
      </c>
      <c r="R444" s="69">
        <f t="shared" si="229"/>
        <v>668657.91141959233</v>
      </c>
      <c r="S444" s="69">
        <f t="shared" si="229"/>
        <v>668657.91141959233</v>
      </c>
      <c r="T444" s="69">
        <f t="shared" si="229"/>
        <v>668657.91141959233</v>
      </c>
      <c r="U444" s="69">
        <f t="shared" si="229"/>
        <v>668657.91141959233</v>
      </c>
      <c r="V444" s="69">
        <f t="shared" si="229"/>
        <v>668657.91141959233</v>
      </c>
      <c r="W444" s="69">
        <f t="shared" si="229"/>
        <v>668657.91141959233</v>
      </c>
      <c r="X444" s="69">
        <f t="shared" si="229"/>
        <v>668657.91141959233</v>
      </c>
      <c r="Y444" s="69">
        <f t="shared" si="229"/>
        <v>668657.91141959233</v>
      </c>
      <c r="Z444" s="69">
        <f t="shared" si="229"/>
        <v>668657.91141959233</v>
      </c>
    </row>
    <row r="445" spans="1:29" outlineLevel="1" x14ac:dyDescent="0.25">
      <c r="A445" s="39" t="str">
        <f t="shared" ref="A445:A467" si="230">A444</f>
        <v>БелАЗ 7531 (ГПФК)</v>
      </c>
      <c r="B445" s="39"/>
      <c r="D445" s="101"/>
      <c r="E445" s="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9" outlineLevel="1" x14ac:dyDescent="0.25">
      <c r="A446" s="39" t="str">
        <f t="shared" si="230"/>
        <v>БелАЗ 7531 (ГПФК)</v>
      </c>
      <c r="B446" s="39" t="str">
        <f>D446</f>
        <v>Аннуитет операционный</v>
      </c>
      <c r="C446" s="61">
        <f>E377</f>
        <v>10</v>
      </c>
      <c r="D446" s="108" t="s">
        <v>94</v>
      </c>
      <c r="E446" s="109" t="s">
        <v>95</v>
      </c>
      <c r="F446" s="110"/>
      <c r="G446" s="111">
        <f>G428/'ФОТ, МТР, макро'!AK$14/(G384/G379)</f>
        <v>7.8276831421714768</v>
      </c>
      <c r="H446" s="111">
        <f>H428/'ФОТ, МТР, макро'!AL$14/(H384/H379)</f>
        <v>8.3060577495069499</v>
      </c>
      <c r="I446" s="111">
        <f>I428/'ФОТ, МТР, макро'!AM$14/(I384/I379)</f>
        <v>8.8744572287447383</v>
      </c>
      <c r="J446" s="111">
        <f>J428/'ФОТ, МТР, макро'!AN$14/(J384/J379)</f>
        <v>9.3428325407689332</v>
      </c>
      <c r="K446" s="111">
        <f>K428/'ФОТ, МТР, макро'!AO$14/(K384/K379)</f>
        <v>9.4631574967014789</v>
      </c>
      <c r="L446" s="111">
        <f>L428/'ФОТ, МТР, макро'!AP$14/(L384/L379)</f>
        <v>9.5941176661609138</v>
      </c>
      <c r="M446" s="111">
        <f>M428/'ФОТ, МТР, макро'!AQ$14/(M384/M379)</f>
        <v>9.3828516261453103</v>
      </c>
      <c r="N446" s="111">
        <f>N428/'ФОТ, МТР, макро'!AR$14/(N384/N379)</f>
        <v>9.5712366907414026</v>
      </c>
      <c r="O446" s="111">
        <f>O428/'ФОТ, МТР, макро'!AS$14/(O384/O379)</f>
        <v>9.7404991889957095</v>
      </c>
      <c r="P446" s="111">
        <f>P428/'ФОТ, МТР, макро'!AT$14/(P384/P379)</f>
        <v>9.6354780522779304</v>
      </c>
      <c r="Q446" s="111">
        <f>Q428/'ФОТ, МТР, макро'!AU$14/(Q384/Q379)</f>
        <v>10.085869735452315</v>
      </c>
      <c r="R446" s="111">
        <f>R428/'ФОТ, МТР, макро'!AV$14/(R384/R379)</f>
        <v>10.546847445606844</v>
      </c>
      <c r="S446" s="111">
        <f>S428/'ФОТ, МТР, макро'!AW$14/(S384/S379)</f>
        <v>11.018112637437353</v>
      </c>
      <c r="T446" s="111">
        <f>T428/'ФОТ, МТР, макро'!AX$14/(T384/T379)</f>
        <v>11.49935206060832</v>
      </c>
      <c r="U446" s="111">
        <f>U428/'ФОТ, МТР, макро'!AY$14/(U384/U379)</f>
        <v>11.990240019810919</v>
      </c>
      <c r="V446" s="111">
        <f>V428/'ФОТ, МТР, макро'!AZ$14/(V384/V379)</f>
        <v>12.490440628825622</v>
      </c>
      <c r="W446" s="111">
        <f>W428/'ФОТ, МТР, макро'!BA$14/(W384/W379)</f>
        <v>12.999610031464947</v>
      </c>
      <c r="X446" s="111">
        <f>X428/'ФОТ, МТР, макро'!BB$14/(X384/X379)</f>
        <v>13.517398564633243</v>
      </c>
      <c r="Y446" s="111">
        <f>Y428/'ФОТ, МТР, макро'!BC$14/(Y384/Y379)</f>
        <v>14.04345284143724</v>
      </c>
      <c r="Z446" s="111">
        <f>Z428/'ФОТ, МТР, макро'!BD$14/(Z384/Z379)</f>
        <v>14.577417735214299</v>
      </c>
      <c r="AC446" s="112" cm="1">
        <f t="array" ref="AC446">INDEX(G446:Z446,1,$C446)</f>
        <v>9.6354780522779304</v>
      </c>
    </row>
    <row r="447" spans="1:29" outlineLevel="1" x14ac:dyDescent="0.25">
      <c r="A447" s="39" t="str">
        <f t="shared" si="230"/>
        <v>БелАЗ 7531 (ГПФК)</v>
      </c>
      <c r="B447" s="39" t="str">
        <f t="shared" ref="B447:B456" si="231">D447</f>
        <v>ТО, ТР, ППР</v>
      </c>
      <c r="C447" s="39">
        <f>C446</f>
        <v>10</v>
      </c>
      <c r="D447" s="113" t="str">
        <f>D429</f>
        <v>ТО, ТР, ППР</v>
      </c>
      <c r="E447" s="114" t="str">
        <f>E446</f>
        <v>руб/ткм</v>
      </c>
      <c r="F447" s="115"/>
      <c r="G447" s="116">
        <f>G429/'ФОТ, МТР, макро'!AK$14/(G384/G379)</f>
        <v>1.212893019417522</v>
      </c>
      <c r="H447" s="116">
        <f>H429/'ФОТ, МТР, макро'!AL$14/(H384/H379)</f>
        <v>1.8598458923003072</v>
      </c>
      <c r="I447" s="116">
        <f>I429/'ФОТ, МТР, макро'!AM$14/(I384/I379)</f>
        <v>2.6526405257313885</v>
      </c>
      <c r="J447" s="116">
        <f>J429/'ФОТ, МТР, макро'!AN$14/(J384/J379)</f>
        <v>3.2955190211080092</v>
      </c>
      <c r="K447" s="116">
        <f>K429/'ФОТ, МТР, макро'!AO$14/(K384/K379)</f>
        <v>3.5080945571152551</v>
      </c>
      <c r="L447" s="116">
        <f>L429/'ФОТ, МТР, макро'!AP$14/(L384/L379)</f>
        <v>3.7080836889776103</v>
      </c>
      <c r="M447" s="116">
        <f>M429/'ФОТ, МТР, макро'!AQ$14/(M384/M379)</f>
        <v>3.4515686098316332</v>
      </c>
      <c r="N447" s="116">
        <f>N429/'ФОТ, МТР, макро'!AR$14/(N384/N379)</f>
        <v>3.6996486763121665</v>
      </c>
      <c r="O447" s="116">
        <f>O429/'ФОТ, МТР, макро'!AS$14/(O384/O379)</f>
        <v>3.9366860971711164</v>
      </c>
      <c r="P447" s="116">
        <f>P429/'ФОТ, МТР, макро'!AT$14/(P384/P379)</f>
        <v>3.8042479424249094</v>
      </c>
      <c r="Q447" s="116">
        <f>Q429/'ФОТ, МТР, макро'!AU$14/(Q384/Q379)</f>
        <v>3.9820701142678905</v>
      </c>
      <c r="R447" s="116">
        <f>R429/'ФОТ, МТР, макро'!AV$14/(R384/R379)</f>
        <v>4.1640718266732781</v>
      </c>
      <c r="S447" s="116">
        <f>S429/'ФОТ, МТР, макро'!AW$14/(S384/S379)</f>
        <v>4.3501352089601451</v>
      </c>
      <c r="T447" s="116">
        <f>T429/'ФОТ, МТР, макро'!AX$14/(T384/T379)</f>
        <v>4.5401365846551558</v>
      </c>
      <c r="U447" s="116">
        <f>U429/'ФОТ, МТР, макро'!AY$14/(U384/U379)</f>
        <v>4.7339473638013096</v>
      </c>
      <c r="V447" s="116">
        <f>V429/'ФОТ, МТР, макро'!AZ$14/(V384/V379)</f>
        <v>4.9314349328995561</v>
      </c>
      <c r="W447" s="116">
        <f>W429/'ФОТ, МТР, макро'!BA$14/(W384/W379)</f>
        <v>5.1324635317741532</v>
      </c>
      <c r="X447" s="116">
        <f>X429/'ФОТ, МТР, макро'!BB$14/(X384/X379)</f>
        <v>5.3368951075848656</v>
      </c>
      <c r="Y447" s="116">
        <f>Y429/'ФОТ, МТР, макро'!BC$14/(Y384/Y379)</f>
        <v>5.5445901372738504</v>
      </c>
      <c r="Z447" s="116">
        <f>Z429/'ФОТ, МТР, макро'!BD$14/(Z384/Z379)</f>
        <v>5.7554084108932155</v>
      </c>
      <c r="AC447" s="117" cm="1">
        <f t="array" ref="AC447">INDEX(G447:Z447,1,$C447)</f>
        <v>3.8042479424249094</v>
      </c>
    </row>
    <row r="448" spans="1:29" outlineLevel="1" x14ac:dyDescent="0.25">
      <c r="A448" s="39" t="str">
        <f t="shared" si="230"/>
        <v>БелАЗ 7531 (ГПФК)</v>
      </c>
      <c r="B448" s="39" t="str">
        <f t="shared" si="231"/>
        <v>Шины</v>
      </c>
      <c r="C448" s="39">
        <f t="shared" ref="C448:C456" si="232">C447</f>
        <v>10</v>
      </c>
      <c r="D448" s="113" t="str">
        <f t="shared" ref="D448:D453" si="233">D430</f>
        <v>Шины</v>
      </c>
      <c r="E448" s="114" t="str">
        <f t="shared" ref="E448:E453" si="234">E447</f>
        <v>руб/ткм</v>
      </c>
      <c r="F448" s="115"/>
      <c r="G448" s="116">
        <f>G430/'ФОТ, МТР, макро'!AK$14/(G384/G379)</f>
        <v>1.6541278162047981</v>
      </c>
      <c r="H448" s="116">
        <f>H430/'ФОТ, МТР, макро'!AL$14/(H384/H379)</f>
        <v>1.6537129219771987</v>
      </c>
      <c r="I448" s="116">
        <f>I430/'ФОТ, МТР, макро'!AM$14/(I384/I379)</f>
        <v>1.6511946701091913</v>
      </c>
      <c r="J448" s="116">
        <f>J430/'ФОТ, МТР, макро'!AN$14/(J384/J379)</f>
        <v>1.64980239618297</v>
      </c>
      <c r="K448" s="116">
        <f>K430/'ФОТ, МТР, макро'!AO$14/(K384/K379)</f>
        <v>1.6444366980434453</v>
      </c>
      <c r="L448" s="116">
        <f>L430/'ФОТ, МТР, макро'!AP$14/(L384/L379)</f>
        <v>1.6419033057564798</v>
      </c>
      <c r="M448" s="116">
        <f>M430/'ФОТ, МТР, макро'!AQ$14/(M384/M379)</f>
        <v>1.639127929436089</v>
      </c>
      <c r="N448" s="116">
        <f>N430/'ФОТ, МТР, макро'!AR$14/(N384/N379)</f>
        <v>1.6400052614969749</v>
      </c>
      <c r="O448" s="116">
        <f>O430/'ФОТ, МТР, макро'!AS$14/(O384/O379)</f>
        <v>1.6387149682774897</v>
      </c>
      <c r="P448" s="116">
        <f>P430/'ФОТ, МТР, макро'!AT$14/(P384/P379)</f>
        <v>1.6378791364672609</v>
      </c>
      <c r="Q448" s="116">
        <f>Q430/'ФОТ, МТР, макро'!AU$14/(Q384/Q379)</f>
        <v>1.7144386114727903</v>
      </c>
      <c r="R448" s="116">
        <f>R430/'ФОТ, МТР, макро'!AV$14/(R384/R379)</f>
        <v>1.7927975439245181</v>
      </c>
      <c r="S448" s="116">
        <f>S430/'ФОТ, МТР, макро'!AW$14/(S384/S379)</f>
        <v>1.872905185834403</v>
      </c>
      <c r="T448" s="116">
        <f>T430/'ФОТ, МТР, макро'!AX$14/(T384/T379)</f>
        <v>1.9547082895912451</v>
      </c>
      <c r="U448" s="116">
        <f>U430/'ФОТ, МТР, макро'!AY$14/(U384/U379)</f>
        <v>2.0381514921348747</v>
      </c>
      <c r="V448" s="116">
        <f>V430/'ФОТ, МТР, макро'!AZ$14/(V384/V379)</f>
        <v>2.1231776981112063</v>
      </c>
      <c r="W448" s="116">
        <f>W430/'ФОТ, МТР, макро'!BA$14/(W384/W379)</f>
        <v>2.2097284573974347</v>
      </c>
      <c r="X448" s="116">
        <f>X430/'ФОТ, МТР, макро'!BB$14/(X384/X379)</f>
        <v>2.2977443327880542</v>
      </c>
      <c r="Y448" s="116">
        <f>Y430/'ФОТ, МТР, макро'!BC$14/(Y384/Y379)</f>
        <v>2.3871652540907538</v>
      </c>
      <c r="Z448" s="116">
        <f>Z430/'ФОТ, МТР, макро'!BD$14/(Z384/Z379)</f>
        <v>2.4779308553799027</v>
      </c>
      <c r="AC448" s="117" cm="1">
        <f t="array" ref="AC448">INDEX(G448:Z448,1,$C448)</f>
        <v>1.6378791364672609</v>
      </c>
    </row>
    <row r="449" spans="1:29" outlineLevel="1" x14ac:dyDescent="0.25">
      <c r="A449" s="39" t="str">
        <f t="shared" si="230"/>
        <v>БелАЗ 7531 (ГПФК)</v>
      </c>
      <c r="B449" s="39" t="str">
        <f t="shared" si="231"/>
        <v>Топливо</v>
      </c>
      <c r="C449" s="39">
        <f t="shared" si="232"/>
        <v>10</v>
      </c>
      <c r="D449" s="113" t="str">
        <f t="shared" si="233"/>
        <v>Топливо</v>
      </c>
      <c r="E449" s="114" t="str">
        <f t="shared" si="234"/>
        <v>руб/ткм</v>
      </c>
      <c r="F449" s="115"/>
      <c r="G449" s="116">
        <f>G431/'ФОТ, МТР, макро'!AK$14/(G384/G379)</f>
        <v>5.9417027538616862</v>
      </c>
      <c r="H449" s="116">
        <f>H431/'ФОТ, МТР, макро'!AL$14/(H384/H379)</f>
        <v>5.9402124348243426</v>
      </c>
      <c r="I449" s="116">
        <f>I431/'ФОТ, МТР, макро'!AM$14/(I384/I379)</f>
        <v>5.9311667589627364</v>
      </c>
      <c r="J449" s="116">
        <f>J431/'ФОТ, МТР, макро'!AN$14/(J384/J379)</f>
        <v>5.9261656473554485</v>
      </c>
      <c r="K449" s="116">
        <f>K431/'ФОТ, МТР, макро'!AO$14/(K384/K379)</f>
        <v>5.9068918142818028</v>
      </c>
      <c r="L449" s="116">
        <f>L431/'ФОТ, МТР, макро'!AP$14/(L384/L379)</f>
        <v>5.8977917533429745</v>
      </c>
      <c r="M449" s="116">
        <f>M431/'ФОТ, МТР, макро'!AQ$14/(M384/M379)</f>
        <v>5.8878224746909149</v>
      </c>
      <c r="N449" s="116">
        <f>N431/'ФОТ, МТР, макро'!AR$14/(N384/N379)</f>
        <v>5.8909738915712486</v>
      </c>
      <c r="O449" s="116">
        <f>O431/'ФОТ, МТР, макро'!AS$14/(O384/O379)</f>
        <v>5.8863390993258147</v>
      </c>
      <c r="P449" s="116">
        <f>P431/'ФОТ, МТР, макро'!AT$14/(P384/P379)</f>
        <v>5.8833367532435172</v>
      </c>
      <c r="Q449" s="116">
        <f>Q431/'ФОТ, МТР, макро'!AU$14/(Q384/Q379)</f>
        <v>6.1583418882869854</v>
      </c>
      <c r="R449" s="116">
        <f>R431/'ФОТ, МТР, макро'!AV$14/(R384/R379)</f>
        <v>6.4398107567607195</v>
      </c>
      <c r="S449" s="116">
        <f>S431/'ФОТ, МТР, макро'!AW$14/(S384/S379)</f>
        <v>6.727561069571129</v>
      </c>
      <c r="T449" s="116">
        <f>T431/'ФОТ, МТР, макро'!AX$14/(T384/T379)</f>
        <v>7.0214015588639356</v>
      </c>
      <c r="U449" s="116">
        <f>U431/'ФОТ, МТР, макро'!AY$14/(U384/U379)</f>
        <v>7.3211333579954365</v>
      </c>
      <c r="V449" s="116">
        <f>V431/'ФОТ, МТР, макро'!AZ$14/(V384/V379)</f>
        <v>7.6265513778429606</v>
      </c>
      <c r="W449" s="116">
        <f>W431/'ФОТ, МТР, макро'!BA$14/(W384/W379)</f>
        <v>7.9374456628926557</v>
      </c>
      <c r="X449" s="116">
        <f>X431/'ФОТ, МТР, макро'!BB$14/(X384/X379)</f>
        <v>8.2536027119844668</v>
      </c>
      <c r="Y449" s="116">
        <f>Y431/'ФОТ, МТР, макро'!BC$14/(Y384/Y379)</f>
        <v>8.5748067502407928</v>
      </c>
      <c r="Z449" s="116">
        <f>Z431/'ФОТ, МТР, макро'!BD$14/(Z384/Z379)</f>
        <v>8.9008409404964244</v>
      </c>
      <c r="AC449" s="117" cm="1">
        <f t="array" ref="AC449">INDEX(G449:Z449,1,$C449)</f>
        <v>5.8833367532435172</v>
      </c>
    </row>
    <row r="450" spans="1:29" outlineLevel="1" x14ac:dyDescent="0.25">
      <c r="A450" s="39" t="str">
        <f t="shared" si="230"/>
        <v>БелАЗ 7531 (ГПФК)</v>
      </c>
      <c r="B450" s="39" t="str">
        <f t="shared" si="231"/>
        <v>Смазочные</v>
      </c>
      <c r="C450" s="39">
        <f t="shared" si="232"/>
        <v>10</v>
      </c>
      <c r="D450" s="113" t="str">
        <f t="shared" si="233"/>
        <v>Смазочные</v>
      </c>
      <c r="E450" s="114" t="str">
        <f t="shared" si="234"/>
        <v>руб/ткм</v>
      </c>
      <c r="F450" s="115"/>
      <c r="G450" s="116">
        <f>G432/'ФОТ, МТР, макро'!AK$14/(G384/G379)</f>
        <v>0</v>
      </c>
      <c r="H450" s="116">
        <f>H432/'ФОТ, МТР, макро'!AL$14/(H384/H379)</f>
        <v>0</v>
      </c>
      <c r="I450" s="116">
        <f>I432/'ФОТ, МТР, макро'!AM$14/(I384/I379)</f>
        <v>0</v>
      </c>
      <c r="J450" s="116">
        <f>J432/'ФОТ, МТР, макро'!AN$14/(J384/J379)</f>
        <v>0</v>
      </c>
      <c r="K450" s="116">
        <f>K432/'ФОТ, МТР, макро'!AO$14/(K384/K379)</f>
        <v>0</v>
      </c>
      <c r="L450" s="116">
        <f>L432/'ФОТ, МТР, макро'!AP$14/(L384/L379)</f>
        <v>0</v>
      </c>
      <c r="M450" s="116">
        <f>M432/'ФОТ, МТР, макро'!AQ$14/(M384/M379)</f>
        <v>0</v>
      </c>
      <c r="N450" s="116">
        <f>N432/'ФОТ, МТР, макро'!AR$14/(N384/N379)</f>
        <v>0</v>
      </c>
      <c r="O450" s="116">
        <f>O432/'ФОТ, МТР, макро'!AS$14/(O384/O379)</f>
        <v>0</v>
      </c>
      <c r="P450" s="116">
        <f>P432/'ФОТ, МТР, макро'!AT$14/(P384/P379)</f>
        <v>0</v>
      </c>
      <c r="Q450" s="116">
        <f>Q432/'ФОТ, МТР, макро'!AU$14/(Q384/Q379)</f>
        <v>0</v>
      </c>
      <c r="R450" s="116">
        <f>R432/'ФОТ, МТР, макро'!AV$14/(R384/R379)</f>
        <v>0</v>
      </c>
      <c r="S450" s="116">
        <f>S432/'ФОТ, МТР, макро'!AW$14/(S384/S379)</f>
        <v>0</v>
      </c>
      <c r="T450" s="116">
        <f>T432/'ФОТ, МТР, макро'!AX$14/(T384/T379)</f>
        <v>0</v>
      </c>
      <c r="U450" s="116">
        <f>U432/'ФОТ, МТР, макро'!AY$14/(U384/U379)</f>
        <v>0</v>
      </c>
      <c r="V450" s="116">
        <f>V432/'ФОТ, МТР, макро'!AZ$14/(V384/V379)</f>
        <v>0</v>
      </c>
      <c r="W450" s="116">
        <f>W432/'ФОТ, МТР, макро'!BA$14/(W384/W379)</f>
        <v>0</v>
      </c>
      <c r="X450" s="116">
        <f>X432/'ФОТ, МТР, макро'!BB$14/(X384/X379)</f>
        <v>0</v>
      </c>
      <c r="Y450" s="116">
        <f>Y432/'ФОТ, МТР, макро'!BC$14/(Y384/Y379)</f>
        <v>0</v>
      </c>
      <c r="Z450" s="116">
        <f>Z432/'ФОТ, МТР, макро'!BD$14/(Z384/Z379)</f>
        <v>0</v>
      </c>
      <c r="AC450" s="117" cm="1">
        <f t="array" ref="AC450">INDEX(G450:Z450,1,$C450)</f>
        <v>0</v>
      </c>
    </row>
    <row r="451" spans="1:29" outlineLevel="1" x14ac:dyDescent="0.25">
      <c r="A451" s="39" t="str">
        <f t="shared" si="230"/>
        <v>БелАЗ 7531 (ГПФК)</v>
      </c>
      <c r="B451" s="39" t="str">
        <f t="shared" si="231"/>
        <v>Затраты на персонал</v>
      </c>
      <c r="C451" s="39">
        <f t="shared" si="232"/>
        <v>10</v>
      </c>
      <c r="D451" s="113" t="str">
        <f t="shared" si="233"/>
        <v>Затраты на персонал</v>
      </c>
      <c r="E451" s="114" t="str">
        <f t="shared" si="234"/>
        <v>руб/ткм</v>
      </c>
      <c r="F451" s="115"/>
      <c r="G451" s="116">
        <f>G433/'ФОТ, МТР, макро'!AK$14/(G384/G379)</f>
        <v>1.609417146681174</v>
      </c>
      <c r="H451" s="116">
        <f>H433/'ФОТ, МТР, макро'!AL$14/(H384/H379)</f>
        <v>1.6022854713045709</v>
      </c>
      <c r="I451" s="116">
        <f>I433/'ФОТ, МТР, макро'!AM$14/(I384/I379)</f>
        <v>1.5791900919802393</v>
      </c>
      <c r="J451" s="116">
        <f>J433/'ФОТ, МТР, макро'!AN$14/(J384/J379)</f>
        <v>1.5673435604965056</v>
      </c>
      <c r="K451" s="116">
        <f>K433/'ФОТ, МТР, макро'!AO$14/(K384/K379)</f>
        <v>1.5401578881255098</v>
      </c>
      <c r="L451" s="116">
        <f>L433/'ФОТ, МТР, макро'!AP$14/(L384/L379)</f>
        <v>1.5265741911042072</v>
      </c>
      <c r="M451" s="116">
        <f>M433/'ФОТ, МТР, макро'!AQ$14/(M384/M379)</f>
        <v>1.5142891484122998</v>
      </c>
      <c r="N451" s="116">
        <f>N433/'ФОТ, МТР, макро'!AR$14/(N384/N379)</f>
        <v>1.5133711257251525</v>
      </c>
      <c r="O451" s="116">
        <f>O433/'ФОТ, МТР, макро'!AS$14/(O384/O379)</f>
        <v>1.5080047081573571</v>
      </c>
      <c r="P451" s="116">
        <f>P433/'ФОТ, МТР, макро'!AT$14/(P384/P379)</f>
        <v>1.5042961106978086</v>
      </c>
      <c r="Q451" s="116">
        <f>Q433/'ФОТ, МТР, макро'!AU$14/(Q384/Q379)</f>
        <v>1.5746115069463309</v>
      </c>
      <c r="R451" s="116">
        <f>R433/'ФОТ, МТР, макро'!AV$14/(R384/R379)</f>
        <v>1.6465795995247685</v>
      </c>
      <c r="S451" s="116">
        <f>S433/'ФОТ, МТР, макро'!AW$14/(S384/S379)</f>
        <v>1.720153779376727</v>
      </c>
      <c r="T451" s="116">
        <f>T433/'ФОТ, МТР, макро'!AX$14/(T384/T379)</f>
        <v>1.7952851416882623</v>
      </c>
      <c r="U451" s="116">
        <f>U433/'ФОТ, МТР, макро'!AY$14/(U384/U379)</f>
        <v>1.8719228387293838</v>
      </c>
      <c r="V451" s="116">
        <f>V433/'ФОТ, МТР, макро'!AZ$14/(V384/V379)</f>
        <v>1.9500144317595405</v>
      </c>
      <c r="W451" s="116">
        <f>W433/'ФОТ, МТР, макро'!BA$14/(W384/W379)</f>
        <v>2.0295062377624182</v>
      </c>
      <c r="X451" s="116">
        <f>X433/'ФОТ, МТР, макро'!BB$14/(X384/X379)</f>
        <v>2.1103436671440199</v>
      </c>
      <c r="Y451" s="116">
        <f>Y433/'ФОТ, МТР, макро'!BC$14/(Y384/Y379)</f>
        <v>2.1924715489490247</v>
      </c>
      <c r="Z451" s="116">
        <f>Z433/'ФОТ, МТР, макро'!BD$14/(Z384/Z379)</f>
        <v>2.275834440608365</v>
      </c>
      <c r="AC451" s="117" cm="1">
        <f t="array" ref="AC451">INDEX(G451:Z451,1,$C451)</f>
        <v>1.5042961106978086</v>
      </c>
    </row>
    <row r="452" spans="1:29" outlineLevel="1" x14ac:dyDescent="0.25">
      <c r="A452" s="39" t="str">
        <f t="shared" si="230"/>
        <v>БелАЗ 7531 (ГПФК)</v>
      </c>
      <c r="B452" s="39" t="str">
        <f t="shared" si="231"/>
        <v>Транспортный налог</v>
      </c>
      <c r="C452" s="39">
        <f t="shared" si="232"/>
        <v>10</v>
      </c>
      <c r="D452" s="113" t="str">
        <f t="shared" si="233"/>
        <v>Транспортный налог</v>
      </c>
      <c r="E452" s="114" t="str">
        <f t="shared" si="234"/>
        <v>руб/ткм</v>
      </c>
      <c r="F452" s="115"/>
      <c r="G452" s="116">
        <f>G434/'ФОТ, МТР, макро'!AK$14/(G384/G379)</f>
        <v>1.8770120063453948E-2</v>
      </c>
      <c r="H452" s="116">
        <f>H434/'ФОТ, МТР, макро'!AL$14/(H384/H379)</f>
        <v>1.8686945602843501E-2</v>
      </c>
      <c r="I452" s="116">
        <f>I434/'ФОТ, МТР, макро'!AM$14/(I384/I379)</f>
        <v>1.8417591542758668E-2</v>
      </c>
      <c r="J452" s="116">
        <f>J434/'ФОТ, МТР, макро'!AN$14/(J384/J379)</f>
        <v>1.8279429215643097E-2</v>
      </c>
      <c r="K452" s="116">
        <f>K434/'ФОТ, МТР, макро'!AO$14/(K384/K379)</f>
        <v>1.7962371369290724E-2</v>
      </c>
      <c r="L452" s="116">
        <f>L434/'ФОТ, МТР, макро'!AP$14/(L384/L379)</f>
        <v>1.7803949033278459E-2</v>
      </c>
      <c r="M452" s="116">
        <f>M434/'ФОТ, МТР, макро'!AQ$14/(M384/M379)</f>
        <v>1.7660672489476701E-2</v>
      </c>
      <c r="N452" s="116">
        <f>N434/'ФОТ, МТР, макро'!AR$14/(N384/N379)</f>
        <v>1.7649965882992322E-2</v>
      </c>
      <c r="O452" s="116">
        <f>O434/'ФОТ, МТР, макро'!AS$14/(O384/O379)</f>
        <v>1.7587379062499041E-2</v>
      </c>
      <c r="P452" s="116">
        <f>P434/'ФОТ, МТР, макро'!AT$14/(P384/P379)</f>
        <v>1.7544126870408072E-2</v>
      </c>
      <c r="Q452" s="116">
        <f>Q434/'ФОТ, МТР, макро'!AU$14/(Q384/Q379)</f>
        <v>1.8364192962418941E-2</v>
      </c>
      <c r="R452" s="116">
        <f>R434/'ФОТ, МТР, макро'!AV$14/(R384/R379)</f>
        <v>1.9203533925835826E-2</v>
      </c>
      <c r="S452" s="116">
        <f>S434/'ФОТ, МТР, макро'!AW$14/(S384/S379)</f>
        <v>2.0061606174065078E-2</v>
      </c>
      <c r="T452" s="116">
        <f>T434/'ФОТ, МТР, макро'!AX$14/(T384/T379)</f>
        <v>2.0937839345823214E-2</v>
      </c>
      <c r="U452" s="116">
        <f>U434/'ФОТ, МТР, макро'!AY$14/(U384/U379)</f>
        <v>2.1831640420215164E-2</v>
      </c>
      <c r="V452" s="116">
        <f>V434/'ФОТ, МТР, макро'!AZ$14/(V384/V379)</f>
        <v>2.2742397820895946E-2</v>
      </c>
      <c r="W452" s="116">
        <f>W434/'ФОТ, МТР, макро'!BA$14/(W384/W379)</f>
        <v>2.3669485459928277E-2</v>
      </c>
      <c r="X452" s="116">
        <f>X434/'ФОТ, МТР, макро'!BB$14/(X384/X379)</f>
        <v>2.4612266676247847E-2</v>
      </c>
      <c r="Y452" s="116">
        <f>Y434/'ФОТ, МТР, макро'!BC$14/(Y384/Y379)</f>
        <v>2.5570098028558197E-2</v>
      </c>
      <c r="Z452" s="116">
        <f>Z434/'ФОТ, МТР, макро'!BD$14/(Z384/Z379)</f>
        <v>2.6542332907818184E-2</v>
      </c>
      <c r="AC452" s="117" cm="1">
        <f t="array" ref="AC452">INDEX(G452:Z452,1,$C452)</f>
        <v>1.7544126870408072E-2</v>
      </c>
    </row>
    <row r="453" spans="1:29" outlineLevel="1" x14ac:dyDescent="0.25">
      <c r="A453" s="39" t="str">
        <f t="shared" si="230"/>
        <v>БелАЗ 7531 (ГПФК)</v>
      </c>
      <c r="B453" s="39" t="str">
        <f t="shared" si="231"/>
        <v>Налог на прибыль</v>
      </c>
      <c r="C453" s="39">
        <f t="shared" si="232"/>
        <v>10</v>
      </c>
      <c r="D453" s="113" t="str">
        <f t="shared" si="233"/>
        <v>Налог на прибыль</v>
      </c>
      <c r="E453" s="114" t="str">
        <f t="shared" si="234"/>
        <v>руб/ткм</v>
      </c>
      <c r="F453" s="30"/>
      <c r="G453" s="116">
        <f>G435/'ФОТ, МТР, макро'!AK$14/(G384/G379)</f>
        <v>-2.6092277140571589</v>
      </c>
      <c r="H453" s="116">
        <f>H435/'ФОТ, МТР, макро'!AL$14/(H384/H379)</f>
        <v>-2.7686859165023163</v>
      </c>
      <c r="I453" s="116">
        <f>I435/'ФОТ, МТР, макро'!AM$14/(I384/I379)</f>
        <v>-2.9581524095815794</v>
      </c>
      <c r="J453" s="116">
        <f>J435/'ФОТ, МТР, макро'!AN$14/(J384/J379)</f>
        <v>-3.1142775135896441</v>
      </c>
      <c r="K453" s="116">
        <f>K435/'ФОТ, МТР, макро'!AO$14/(K384/K379)</f>
        <v>-3.1543858322338263</v>
      </c>
      <c r="L453" s="116">
        <f>L435/'ФОТ, МТР, макро'!AP$14/(L384/L379)</f>
        <v>-3.1980392220536382</v>
      </c>
      <c r="M453" s="116">
        <f>M435/'ФОТ, МТР, макро'!AQ$14/(M384/M379)</f>
        <v>-3.1276172087151037</v>
      </c>
      <c r="N453" s="116">
        <f>N435/'ФОТ, МТР, макро'!AR$14/(N384/N379)</f>
        <v>-3.1904122302471341</v>
      </c>
      <c r="O453" s="116">
        <f>O435/'ФОТ, МТР, макро'!AS$14/(O384/O379)</f>
        <v>-3.24683306299857</v>
      </c>
      <c r="P453" s="116">
        <f>P435/'ФОТ, МТР, макро'!AT$14/(P384/P379)</f>
        <v>-3.211826017425977</v>
      </c>
      <c r="Q453" s="116">
        <f>Q435/'ФОТ, МТР, макро'!AU$14/(Q384/Q379)</f>
        <v>-3.3619565784841048</v>
      </c>
      <c r="R453" s="116">
        <f>R435/'ФОТ, МТР, макро'!AV$14/(R384/R379)</f>
        <v>-3.5156158152022807</v>
      </c>
      <c r="S453" s="116">
        <f>S435/'ФОТ, МТР, макро'!AW$14/(S384/S379)</f>
        <v>-3.6727042124791178</v>
      </c>
      <c r="T453" s="116">
        <f>T435/'ФОТ, МТР, макро'!AX$14/(T384/T379)</f>
        <v>-3.8331173535361063</v>
      </c>
      <c r="U453" s="116">
        <f>U435/'ФОТ, МТР, макро'!AY$14/(U384/U379)</f>
        <v>-3.9967466732703056</v>
      </c>
      <c r="V453" s="116">
        <f>V435/'ФОТ, МТР, макро'!AZ$14/(V384/V379)</f>
        <v>-4.163480209608541</v>
      </c>
      <c r="W453" s="116">
        <f>W435/'ФОТ, МТР, макро'!BA$14/(W384/W379)</f>
        <v>-4.3332033438216486</v>
      </c>
      <c r="X453" s="116">
        <f>X435/'ФОТ, МТР, макро'!BB$14/(X384/X379)</f>
        <v>-4.5057995215444144</v>
      </c>
      <c r="Y453" s="116">
        <f>Y435/'ФОТ, МТР, макро'!BC$14/(Y384/Y379)</f>
        <v>-4.6811509471457464</v>
      </c>
      <c r="Z453" s="116">
        <f>Z435/'ФОТ, МТР, макро'!BD$14/(Z384/Z379)</f>
        <v>-4.8591392450714324</v>
      </c>
      <c r="AC453" s="117" cm="1">
        <f t="array" ref="AC453">INDEX(G453:Z453,1,$C453)</f>
        <v>-3.211826017425977</v>
      </c>
    </row>
    <row r="454" spans="1:29" outlineLevel="1" x14ac:dyDescent="0.25">
      <c r="A454" s="39" t="str">
        <f t="shared" si="230"/>
        <v>БелАЗ 7531 (ГПФК)</v>
      </c>
      <c r="B454" s="39" t="str">
        <f t="shared" si="231"/>
        <v>Аннуитет инвестиционный</v>
      </c>
      <c r="C454" s="39">
        <f t="shared" si="232"/>
        <v>10</v>
      </c>
      <c r="D454" s="108" t="s">
        <v>96</v>
      </c>
      <c r="E454" s="118" t="str">
        <f>E446</f>
        <v>руб/ткм</v>
      </c>
      <c r="F454" s="119"/>
      <c r="G454" s="111">
        <f>G440/'ФОТ, МТР, макро'!AK$14/(G384/G379)</f>
        <v>0</v>
      </c>
      <c r="H454" s="111">
        <f>H440/'ФОТ, МТР, макро'!AL$14/(H384/H379)</f>
        <v>0</v>
      </c>
      <c r="I454" s="111">
        <f>I440/'ФОТ, МТР, макро'!AM$14/(I384/I379)</f>
        <v>0</v>
      </c>
      <c r="J454" s="111">
        <f>J440/'ФОТ, МТР, макро'!AN$14/(J384/J379)</f>
        <v>0</v>
      </c>
      <c r="K454" s="111">
        <f>K440/'ФОТ, МТР, макро'!AO$14/(K384/K379)</f>
        <v>0</v>
      </c>
      <c r="L454" s="111">
        <f>L440/'ФОТ, МТР, макро'!AP$14/(L384/L379)</f>
        <v>0</v>
      </c>
      <c r="M454" s="111">
        <f>M440/'ФОТ, МТР, макро'!AQ$14/(M384/M379)</f>
        <v>0</v>
      </c>
      <c r="N454" s="111">
        <f>N440/'ФОТ, МТР, макро'!AR$14/(N384/N379)</f>
        <v>0</v>
      </c>
      <c r="O454" s="111">
        <f>O440/'ФОТ, МТР, макро'!AS$14/(O384/O379)</f>
        <v>0</v>
      </c>
      <c r="P454" s="111">
        <f>P440/'ФОТ, МТР, макро'!AT$14/(P384/P379)</f>
        <v>0</v>
      </c>
      <c r="Q454" s="111">
        <f>Q440/'ФОТ, МТР, макро'!AU$14/(Q384/Q379)</f>
        <v>0</v>
      </c>
      <c r="R454" s="111">
        <f>R440/'ФОТ, МТР, макро'!AV$14/(R384/R379)</f>
        <v>0</v>
      </c>
      <c r="S454" s="111">
        <f>S440/'ФОТ, МТР, макро'!AW$14/(S384/S379)</f>
        <v>0</v>
      </c>
      <c r="T454" s="111">
        <f>T440/'ФОТ, МТР, макро'!AX$14/(T384/T379)</f>
        <v>0</v>
      </c>
      <c r="U454" s="111">
        <f>U440/'ФОТ, МТР, макро'!AY$14/(U384/U379)</f>
        <v>0</v>
      </c>
      <c r="V454" s="111">
        <f>V440/'ФОТ, МТР, макро'!AZ$14/(V384/V379)</f>
        <v>0</v>
      </c>
      <c r="W454" s="111">
        <f>W440/'ФОТ, МТР, макро'!BA$14/(W384/W379)</f>
        <v>0</v>
      </c>
      <c r="X454" s="111">
        <f>X440/'ФОТ, МТР, макро'!BB$14/(X384/X379)</f>
        <v>0</v>
      </c>
      <c r="Y454" s="111">
        <f>Y440/'ФОТ, МТР, макро'!BC$14/(Y384/Y379)</f>
        <v>0</v>
      </c>
      <c r="Z454" s="111">
        <f>Z440/'ФОТ, МТР, макро'!BD$14/(Z384/Z379)</f>
        <v>0</v>
      </c>
      <c r="AC454" s="112" cm="1">
        <f t="array" ref="AC454">INDEX(G454:Z454,1,$C454)</f>
        <v>0</v>
      </c>
    </row>
    <row r="455" spans="1:29" outlineLevel="1" x14ac:dyDescent="0.25">
      <c r="A455" s="39" t="str">
        <f t="shared" si="230"/>
        <v>БелАЗ 7531 (ГПФК)</v>
      </c>
      <c r="B455" s="39" t="str">
        <f t="shared" si="231"/>
        <v>Самосвал</v>
      </c>
      <c r="C455" s="39">
        <f t="shared" si="232"/>
        <v>10</v>
      </c>
      <c r="D455" s="101" t="str">
        <f>D441</f>
        <v>Самосвал</v>
      </c>
      <c r="E455" s="9" t="str">
        <f>E454</f>
        <v>руб/ткм</v>
      </c>
      <c r="F455" s="30"/>
      <c r="G455" s="120">
        <f>G441/'ФОТ, МТР, макро'!AK$14/(G384/G379)</f>
        <v>0</v>
      </c>
      <c r="H455" s="120">
        <f>H441/'ФОТ, МТР, макро'!AL$14/(H384/H379)</f>
        <v>0</v>
      </c>
      <c r="I455" s="120">
        <f>I441/'ФОТ, МТР, макро'!AM$14/(I384/I379)</f>
        <v>0</v>
      </c>
      <c r="J455" s="120">
        <f>J441/'ФОТ, МТР, макро'!AN$14/(J384/J379)</f>
        <v>0</v>
      </c>
      <c r="K455" s="120">
        <f>K441/'ФОТ, МТР, макро'!AO$14/(K384/K379)</f>
        <v>0</v>
      </c>
      <c r="L455" s="120">
        <f>L441/'ФОТ, МТР, макро'!AP$14/(L384/L379)</f>
        <v>0</v>
      </c>
      <c r="M455" s="120">
        <f>M441/'ФОТ, МТР, макро'!AQ$14/(M384/M379)</f>
        <v>0</v>
      </c>
      <c r="N455" s="120">
        <f>N441/'ФОТ, МТР, макро'!AR$14/(N384/N379)</f>
        <v>0</v>
      </c>
      <c r="O455" s="120">
        <f>O441/'ФОТ, МТР, макро'!AS$14/(O384/O379)</f>
        <v>0</v>
      </c>
      <c r="P455" s="120">
        <f>P441/'ФОТ, МТР, макро'!AT$14/(P384/P379)</f>
        <v>0</v>
      </c>
      <c r="Q455" s="120">
        <f>Q441/'ФОТ, МТР, макро'!AU$14/(Q384/Q379)</f>
        <v>0</v>
      </c>
      <c r="R455" s="120">
        <f>R441/'ФОТ, МТР, макро'!AV$14/(R384/R379)</f>
        <v>0</v>
      </c>
      <c r="S455" s="120">
        <f>S441/'ФОТ, МТР, макро'!AW$14/(S384/S379)</f>
        <v>0</v>
      </c>
      <c r="T455" s="120">
        <f>T441/'ФОТ, МТР, макро'!AX$14/(T384/T379)</f>
        <v>0</v>
      </c>
      <c r="U455" s="120">
        <f>U441/'ФОТ, МТР, макро'!AY$14/(U384/U379)</f>
        <v>0</v>
      </c>
      <c r="V455" s="120">
        <f>V441/'ФОТ, МТР, макро'!AZ$14/(V384/V379)</f>
        <v>0</v>
      </c>
      <c r="W455" s="120">
        <f>W441/'ФОТ, МТР, макро'!BA$14/(W384/W379)</f>
        <v>0</v>
      </c>
      <c r="X455" s="120">
        <f>X441/'ФОТ, МТР, макро'!BB$14/(X384/X379)</f>
        <v>0</v>
      </c>
      <c r="Y455" s="120">
        <f>Y441/'ФОТ, МТР, макро'!BC$14/(Y384/Y379)</f>
        <v>0</v>
      </c>
      <c r="Z455" s="120">
        <f>Z441/'ФОТ, МТР, макро'!BD$14/(Z384/Z379)</f>
        <v>0</v>
      </c>
      <c r="AC455" s="117" cm="1">
        <f t="array" ref="AC455">INDEX(G455:Z455,1,$C455)</f>
        <v>0</v>
      </c>
    </row>
    <row r="456" spans="1:29" outlineLevel="1" x14ac:dyDescent="0.25">
      <c r="A456" s="39" t="str">
        <f t="shared" si="230"/>
        <v>БелАЗ 7531 (ГПФК)</v>
      </c>
      <c r="B456" s="39" t="str">
        <f t="shared" si="231"/>
        <v>Аннуитет общий</v>
      </c>
      <c r="C456" s="39">
        <f t="shared" si="232"/>
        <v>10</v>
      </c>
      <c r="D456" s="108" t="s">
        <v>97</v>
      </c>
      <c r="E456" s="118" t="str">
        <f>E446</f>
        <v>руб/ткм</v>
      </c>
      <c r="F456" s="119"/>
      <c r="G456" s="111">
        <f>G444/'ФОТ, МТР, макро'!AK$14/(G384/G379)</f>
        <v>7.8276831421714768</v>
      </c>
      <c r="H456" s="111">
        <f>H444/'ФОТ, МТР, макро'!AL$14/(H384/H379)</f>
        <v>8.3060577495069499</v>
      </c>
      <c r="I456" s="111">
        <f>I444/'ФОТ, МТР, макро'!AM$14/(I384/I379)</f>
        <v>8.8744572287447383</v>
      </c>
      <c r="J456" s="111">
        <f>J444/'ФОТ, МТР, макро'!AN$14/(J384/J379)</f>
        <v>9.3428325407689332</v>
      </c>
      <c r="K456" s="111">
        <f>K444/'ФОТ, МТР, макро'!AO$14/(K384/K379)</f>
        <v>9.4631574967014789</v>
      </c>
      <c r="L456" s="111">
        <f>L444/'ФОТ, МТР, макро'!AP$14/(L384/L379)</f>
        <v>9.5941176661609138</v>
      </c>
      <c r="M456" s="111">
        <f>M444/'ФОТ, МТР, макро'!AQ$14/(M384/M379)</f>
        <v>9.3828516261453103</v>
      </c>
      <c r="N456" s="111">
        <f>N444/'ФОТ, МТР, макро'!AR$14/(N384/N379)</f>
        <v>9.5712366907414026</v>
      </c>
      <c r="O456" s="111">
        <f>O444/'ФОТ, МТР, макро'!AS$14/(O384/O379)</f>
        <v>9.7404991889957095</v>
      </c>
      <c r="P456" s="111">
        <f>P444/'ФОТ, МТР, макро'!AT$14/(P384/P379)</f>
        <v>9.6354780522779304</v>
      </c>
      <c r="Q456" s="111">
        <f>Q444/'ФОТ, МТР, макро'!AU$14/(Q384/Q379)</f>
        <v>10.085869735452315</v>
      </c>
      <c r="R456" s="111">
        <f>R444/'ФОТ, МТР, макро'!AV$14/(R384/R379)</f>
        <v>10.546847445606844</v>
      </c>
      <c r="S456" s="111">
        <f>S444/'ФОТ, МТР, макро'!AW$14/(S384/S379)</f>
        <v>11.018112637437353</v>
      </c>
      <c r="T456" s="111">
        <f>T444/'ФОТ, МТР, макро'!AX$14/(T384/T379)</f>
        <v>11.49935206060832</v>
      </c>
      <c r="U456" s="111">
        <f>U444/'ФОТ, МТР, макро'!AY$14/(U384/U379)</f>
        <v>11.990240019810919</v>
      </c>
      <c r="V456" s="111">
        <f>V444/'ФОТ, МТР, макро'!AZ$14/(V384/V379)</f>
        <v>12.490440628825622</v>
      </c>
      <c r="W456" s="111">
        <f>W444/'ФОТ, МТР, макро'!BA$14/(W384/W379)</f>
        <v>12.999610031464947</v>
      </c>
      <c r="X456" s="111">
        <f>X444/'ФОТ, МТР, макро'!BB$14/(X384/X379)</f>
        <v>13.517398564633243</v>
      </c>
      <c r="Y456" s="111">
        <f>Y444/'ФОТ, МТР, макро'!BC$14/(Y384/Y379)</f>
        <v>14.04345284143724</v>
      </c>
      <c r="Z456" s="111">
        <f>Z444/'ФОТ, МТР, макро'!BD$14/(Z384/Z379)</f>
        <v>14.577417735214299</v>
      </c>
      <c r="AC456" s="112" cm="1">
        <f t="array" ref="AC456">INDEX(G456:Z456,1,$C456)</f>
        <v>9.6354780522779304</v>
      </c>
    </row>
    <row r="457" spans="1:29" outlineLevel="1" x14ac:dyDescent="0.25">
      <c r="A457" s="39" t="str">
        <f t="shared" si="230"/>
        <v>БелАЗ 7531 (ГПФК)</v>
      </c>
      <c r="B457" s="39"/>
      <c r="D457" s="121"/>
      <c r="E457" s="1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9" outlineLevel="1" x14ac:dyDescent="0.25">
      <c r="A458" s="39" t="str">
        <f t="shared" si="230"/>
        <v>БелАЗ 7531 (ГПФК)</v>
      </c>
      <c r="B458" s="39"/>
      <c r="D458" s="123" t="s">
        <v>88</v>
      </c>
      <c r="E458" s="124"/>
      <c r="F458" s="125"/>
      <c r="G458" s="126">
        <f>G456-G446-G454+G446-SUM(G447:G453)+G454-G455</f>
        <v>0</v>
      </c>
      <c r="H458" s="126">
        <f t="shared" ref="H458:I458" si="235">H456-H446-H454+H446-SUM(H447:H453)+H454-H455</f>
        <v>5.3290705182007514E-15</v>
      </c>
      <c r="I458" s="126">
        <f t="shared" si="235"/>
        <v>3.5527136788005009E-15</v>
      </c>
      <c r="J458" s="126">
        <f t="shared" ref="J458:Z458" si="236">J456-J446-J454+J446-SUM(J447:J453)+J454-J455</f>
        <v>1.7763568394002505E-15</v>
      </c>
      <c r="K458" s="126">
        <f t="shared" si="236"/>
        <v>1.7763568394002505E-15</v>
      </c>
      <c r="L458" s="126">
        <f t="shared" si="236"/>
        <v>1.7763568394002505E-15</v>
      </c>
      <c r="M458" s="126">
        <f t="shared" si="236"/>
        <v>0</v>
      </c>
      <c r="N458" s="126">
        <f t="shared" si="236"/>
        <v>1.7763568394002505E-15</v>
      </c>
      <c r="O458" s="126">
        <f t="shared" si="236"/>
        <v>3.5527136788005009E-15</v>
      </c>
      <c r="P458" s="126">
        <f t="shared" si="236"/>
        <v>3.5527136788005009E-15</v>
      </c>
      <c r="Q458" s="126">
        <f t="shared" si="236"/>
        <v>3.5527136788005009E-15</v>
      </c>
      <c r="R458" s="126">
        <f t="shared" si="236"/>
        <v>5.3290705182007514E-15</v>
      </c>
      <c r="S458" s="126">
        <f t="shared" si="236"/>
        <v>1.7763568394002505E-15</v>
      </c>
      <c r="T458" s="126">
        <f t="shared" si="236"/>
        <v>5.3290705182007514E-15</v>
      </c>
      <c r="U458" s="126">
        <f t="shared" si="236"/>
        <v>3.5527136788005009E-15</v>
      </c>
      <c r="V458" s="126">
        <f t="shared" si="236"/>
        <v>1.7763568394002505E-15</v>
      </c>
      <c r="W458" s="126">
        <f t="shared" si="236"/>
        <v>3.5527136788005009E-15</v>
      </c>
      <c r="X458" s="126">
        <f t="shared" si="236"/>
        <v>3.5527136788005009E-15</v>
      </c>
      <c r="Y458" s="126">
        <f t="shared" si="236"/>
        <v>3.5527136788005009E-15</v>
      </c>
      <c r="Z458" s="126">
        <f t="shared" si="236"/>
        <v>5.3290705182007514E-15</v>
      </c>
    </row>
    <row r="459" spans="1:29" outlineLevel="1" x14ac:dyDescent="0.25">
      <c r="A459" s="39" t="str">
        <f t="shared" si="230"/>
        <v>БелАЗ 7531 (ГПФК)</v>
      </c>
      <c r="B459" s="39"/>
      <c r="D459" s="125"/>
      <c r="E459" s="124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9" outlineLevel="1" x14ac:dyDescent="0.25">
      <c r="A460" s="39" t="str">
        <f t="shared" si="230"/>
        <v>БелАЗ 7531 (ГПФК)</v>
      </c>
      <c r="B460" s="39"/>
      <c r="D460" s="127" t="s">
        <v>98</v>
      </c>
      <c r="E460" s="128" t="str">
        <f>E456</f>
        <v>руб/ткм</v>
      </c>
      <c r="F460" s="129"/>
      <c r="G460" s="130">
        <f>SUM(G461:G466)</f>
        <v>10.436910856228636</v>
      </c>
      <c r="H460" s="130">
        <f t="shared" ref="H460:Z460" si="237">SUM(H461:H466)</f>
        <v>11.788676233338913</v>
      </c>
      <c r="I460" s="130">
        <f t="shared" si="237"/>
        <v>13.618520560602301</v>
      </c>
      <c r="J460" s="130">
        <f t="shared" si="237"/>
        <v>14.819263805483592</v>
      </c>
      <c r="K460" s="130">
        <f t="shared" si="237"/>
        <v>13.683537193455171</v>
      </c>
      <c r="L460" s="130">
        <f t="shared" si="237"/>
        <v>14.200158479317022</v>
      </c>
      <c r="M460" s="130">
        <f t="shared" si="237"/>
        <v>10.384454445382181</v>
      </c>
      <c r="N460" s="130">
        <f t="shared" si="237"/>
        <v>15.619324192597507</v>
      </c>
      <c r="O460" s="130">
        <f t="shared" si="237"/>
        <v>16.258436163085648</v>
      </c>
      <c r="P460" s="130">
        <f t="shared" si="237"/>
        <v>10.819107299011391</v>
      </c>
      <c r="Q460" s="130" t="e">
        <f t="shared" si="237"/>
        <v>#DIV/0!</v>
      </c>
      <c r="R460" s="130" t="e">
        <f t="shared" si="237"/>
        <v>#DIV/0!</v>
      </c>
      <c r="S460" s="130" t="e">
        <f t="shared" si="237"/>
        <v>#DIV/0!</v>
      </c>
      <c r="T460" s="130" t="e">
        <f t="shared" si="237"/>
        <v>#DIV/0!</v>
      </c>
      <c r="U460" s="130" t="e">
        <f t="shared" si="237"/>
        <v>#DIV/0!</v>
      </c>
      <c r="V460" s="130" t="e">
        <f t="shared" si="237"/>
        <v>#DIV/0!</v>
      </c>
      <c r="W460" s="130" t="e">
        <f t="shared" si="237"/>
        <v>#DIV/0!</v>
      </c>
      <c r="X460" s="130" t="e">
        <f t="shared" si="237"/>
        <v>#DIV/0!</v>
      </c>
      <c r="Y460" s="130" t="e">
        <f t="shared" si="237"/>
        <v>#DIV/0!</v>
      </c>
      <c r="Z460" s="130" t="e">
        <f t="shared" si="237"/>
        <v>#DIV/0!</v>
      </c>
    </row>
    <row r="461" spans="1:29" outlineLevel="1" x14ac:dyDescent="0.25">
      <c r="A461" s="39" t="str">
        <f t="shared" si="230"/>
        <v>БелАЗ 7531 (ГПФК)</v>
      </c>
      <c r="B461" s="39"/>
      <c r="D461" s="113" t="str">
        <f>D447</f>
        <v>ТО, ТР, ППР</v>
      </c>
      <c r="E461" s="114" t="str">
        <f>E460</f>
        <v>руб/ткм</v>
      </c>
      <c r="F461" s="115"/>
      <c r="G461" s="116">
        <f>G388/G383</f>
        <v>1.212893019417522</v>
      </c>
      <c r="H461" s="116">
        <f t="shared" ref="H461:Z461" si="238">H388/H383</f>
        <v>2.579024437169815</v>
      </c>
      <c r="I461" s="116">
        <f t="shared" si="238"/>
        <v>4.4698477149598626</v>
      </c>
      <c r="J461" s="116">
        <f t="shared" si="238"/>
        <v>5.6727092126840146</v>
      </c>
      <c r="K461" s="116">
        <f t="shared" si="238"/>
        <v>4.6306755456462687</v>
      </c>
      <c r="L461" s="116">
        <f t="shared" si="238"/>
        <v>5.1251779047014896</v>
      </c>
      <c r="M461" s="116">
        <f t="shared" si="238"/>
        <v>1.3272367683761026</v>
      </c>
      <c r="N461" s="116">
        <f t="shared" si="238"/>
        <v>6.4989422393748484</v>
      </c>
      <c r="O461" s="116">
        <f t="shared" si="238"/>
        <v>7.1790976859922733</v>
      </c>
      <c r="P461" s="116">
        <f t="shared" si="238"/>
        <v>1.7343907056721595</v>
      </c>
      <c r="Q461" s="116" t="e">
        <f t="shared" si="238"/>
        <v>#DIV/0!</v>
      </c>
      <c r="R461" s="116" t="e">
        <f t="shared" si="238"/>
        <v>#DIV/0!</v>
      </c>
      <c r="S461" s="116" t="e">
        <f t="shared" si="238"/>
        <v>#DIV/0!</v>
      </c>
      <c r="T461" s="116" t="e">
        <f t="shared" si="238"/>
        <v>#DIV/0!</v>
      </c>
      <c r="U461" s="116" t="e">
        <f t="shared" si="238"/>
        <v>#DIV/0!</v>
      </c>
      <c r="V461" s="116" t="e">
        <f t="shared" si="238"/>
        <v>#DIV/0!</v>
      </c>
      <c r="W461" s="116" t="e">
        <f t="shared" si="238"/>
        <v>#DIV/0!</v>
      </c>
      <c r="X461" s="116" t="e">
        <f t="shared" si="238"/>
        <v>#DIV/0!</v>
      </c>
      <c r="Y461" s="116" t="e">
        <f t="shared" si="238"/>
        <v>#DIV/0!</v>
      </c>
      <c r="Z461" s="116" t="e">
        <f t="shared" si="238"/>
        <v>#DIV/0!</v>
      </c>
    </row>
    <row r="462" spans="1:29" outlineLevel="1" x14ac:dyDescent="0.25">
      <c r="A462" s="39" t="str">
        <f t="shared" si="230"/>
        <v>БелАЗ 7531 (ГПФК)</v>
      </c>
      <c r="B462" s="39"/>
      <c r="D462" s="113" t="str">
        <f t="shared" ref="D462:D466" si="239">D448</f>
        <v>Шины</v>
      </c>
      <c r="E462" s="114" t="str">
        <f t="shared" ref="E462:E466" si="240">E461</f>
        <v>руб/ткм</v>
      </c>
      <c r="F462" s="115"/>
      <c r="G462" s="116">
        <f>G393/G383</f>
        <v>1.6541278162047983</v>
      </c>
      <c r="H462" s="116">
        <f t="shared" ref="H462:Z462" si="241">H393/H383</f>
        <v>1.6541278162047985</v>
      </c>
      <c r="I462" s="116">
        <f t="shared" si="241"/>
        <v>1.6541278162047988</v>
      </c>
      <c r="J462" s="116">
        <f t="shared" si="241"/>
        <v>1.6541278162047985</v>
      </c>
      <c r="K462" s="116">
        <f t="shared" si="241"/>
        <v>1.6541278162047983</v>
      </c>
      <c r="L462" s="116">
        <f t="shared" si="241"/>
        <v>1.654127816204799</v>
      </c>
      <c r="M462" s="116">
        <f t="shared" si="241"/>
        <v>1.6541278162047988</v>
      </c>
      <c r="N462" s="116">
        <f t="shared" si="241"/>
        <v>1.6541278162047985</v>
      </c>
      <c r="O462" s="116">
        <f t="shared" si="241"/>
        <v>1.654127816204799</v>
      </c>
      <c r="P462" s="116">
        <f t="shared" si="241"/>
        <v>1.654127816204799</v>
      </c>
      <c r="Q462" s="116" t="e">
        <f t="shared" si="241"/>
        <v>#DIV/0!</v>
      </c>
      <c r="R462" s="116" t="e">
        <f t="shared" si="241"/>
        <v>#DIV/0!</v>
      </c>
      <c r="S462" s="116" t="e">
        <f t="shared" si="241"/>
        <v>#DIV/0!</v>
      </c>
      <c r="T462" s="116" t="e">
        <f t="shared" si="241"/>
        <v>#DIV/0!</v>
      </c>
      <c r="U462" s="116" t="e">
        <f t="shared" si="241"/>
        <v>#DIV/0!</v>
      </c>
      <c r="V462" s="116" t="e">
        <f t="shared" si="241"/>
        <v>#DIV/0!</v>
      </c>
      <c r="W462" s="116" t="e">
        <f t="shared" si="241"/>
        <v>#DIV/0!</v>
      </c>
      <c r="X462" s="116" t="e">
        <f t="shared" si="241"/>
        <v>#DIV/0!</v>
      </c>
      <c r="Y462" s="116" t="e">
        <f t="shared" si="241"/>
        <v>#DIV/0!</v>
      </c>
      <c r="Z462" s="116" t="e">
        <f t="shared" si="241"/>
        <v>#DIV/0!</v>
      </c>
    </row>
    <row r="463" spans="1:29" outlineLevel="1" x14ac:dyDescent="0.25">
      <c r="A463" s="39" t="str">
        <f t="shared" si="230"/>
        <v>БелАЗ 7531 (ГПФК)</v>
      </c>
      <c r="B463" s="39"/>
      <c r="D463" s="113" t="str">
        <f t="shared" si="239"/>
        <v>Топливо</v>
      </c>
      <c r="E463" s="114" t="str">
        <f t="shared" si="240"/>
        <v>руб/ткм</v>
      </c>
      <c r="F463" s="115"/>
      <c r="G463" s="116">
        <f>G397/G383</f>
        <v>5.9417027538616862</v>
      </c>
      <c r="H463" s="116">
        <f t="shared" ref="H463:Z463" si="242">H397/H383</f>
        <v>5.9417027538616871</v>
      </c>
      <c r="I463" s="116">
        <f t="shared" si="242"/>
        <v>5.9417027538616871</v>
      </c>
      <c r="J463" s="116">
        <f t="shared" si="242"/>
        <v>5.9417027538616862</v>
      </c>
      <c r="K463" s="116">
        <f t="shared" si="242"/>
        <v>5.9417027538616871</v>
      </c>
      <c r="L463" s="116">
        <f t="shared" si="242"/>
        <v>5.941702753861688</v>
      </c>
      <c r="M463" s="116">
        <f t="shared" si="242"/>
        <v>5.9417027538616871</v>
      </c>
      <c r="N463" s="116">
        <f t="shared" si="242"/>
        <v>5.9417027538616871</v>
      </c>
      <c r="O463" s="116">
        <f t="shared" si="242"/>
        <v>5.941702753861688</v>
      </c>
      <c r="P463" s="116">
        <f t="shared" si="242"/>
        <v>5.941702753861688</v>
      </c>
      <c r="Q463" s="116" t="e">
        <f t="shared" si="242"/>
        <v>#DIV/0!</v>
      </c>
      <c r="R463" s="116" t="e">
        <f t="shared" si="242"/>
        <v>#DIV/0!</v>
      </c>
      <c r="S463" s="116" t="e">
        <f t="shared" si="242"/>
        <v>#DIV/0!</v>
      </c>
      <c r="T463" s="116" t="e">
        <f t="shared" si="242"/>
        <v>#DIV/0!</v>
      </c>
      <c r="U463" s="116" t="e">
        <f t="shared" si="242"/>
        <v>#DIV/0!</v>
      </c>
      <c r="V463" s="116" t="e">
        <f t="shared" si="242"/>
        <v>#DIV/0!</v>
      </c>
      <c r="W463" s="116" t="e">
        <f t="shared" si="242"/>
        <v>#DIV/0!</v>
      </c>
      <c r="X463" s="116" t="e">
        <f t="shared" si="242"/>
        <v>#DIV/0!</v>
      </c>
      <c r="Y463" s="116" t="e">
        <f t="shared" si="242"/>
        <v>#DIV/0!</v>
      </c>
      <c r="Z463" s="116" t="e">
        <f t="shared" si="242"/>
        <v>#DIV/0!</v>
      </c>
    </row>
    <row r="464" spans="1:29" outlineLevel="1" x14ac:dyDescent="0.25">
      <c r="A464" s="39" t="str">
        <f t="shared" si="230"/>
        <v>БелАЗ 7531 (ГПФК)</v>
      </c>
      <c r="B464" s="39"/>
      <c r="D464" s="113" t="str">
        <f t="shared" si="239"/>
        <v>Смазочные</v>
      </c>
      <c r="E464" s="114" t="str">
        <f t="shared" si="240"/>
        <v>руб/ткм</v>
      </c>
      <c r="F464" s="115"/>
      <c r="G464" s="116">
        <f>G402/G383</f>
        <v>0</v>
      </c>
      <c r="H464" s="116">
        <f t="shared" ref="H464:Z464" si="243">H402/H383</f>
        <v>0</v>
      </c>
      <c r="I464" s="116">
        <f t="shared" si="243"/>
        <v>0</v>
      </c>
      <c r="J464" s="116">
        <f t="shared" si="243"/>
        <v>0</v>
      </c>
      <c r="K464" s="116">
        <f t="shared" si="243"/>
        <v>0</v>
      </c>
      <c r="L464" s="116">
        <f t="shared" si="243"/>
        <v>0</v>
      </c>
      <c r="M464" s="116">
        <f t="shared" si="243"/>
        <v>0</v>
      </c>
      <c r="N464" s="116">
        <f t="shared" si="243"/>
        <v>0</v>
      </c>
      <c r="O464" s="116">
        <f t="shared" si="243"/>
        <v>0</v>
      </c>
      <c r="P464" s="116">
        <f t="shared" si="243"/>
        <v>0</v>
      </c>
      <c r="Q464" s="116" t="e">
        <f t="shared" si="243"/>
        <v>#DIV/0!</v>
      </c>
      <c r="R464" s="116" t="e">
        <f t="shared" si="243"/>
        <v>#DIV/0!</v>
      </c>
      <c r="S464" s="116" t="e">
        <f t="shared" si="243"/>
        <v>#DIV/0!</v>
      </c>
      <c r="T464" s="116" t="e">
        <f t="shared" si="243"/>
        <v>#DIV/0!</v>
      </c>
      <c r="U464" s="116" t="e">
        <f t="shared" si="243"/>
        <v>#DIV/0!</v>
      </c>
      <c r="V464" s="116" t="e">
        <f t="shared" si="243"/>
        <v>#DIV/0!</v>
      </c>
      <c r="W464" s="116" t="e">
        <f t="shared" si="243"/>
        <v>#DIV/0!</v>
      </c>
      <c r="X464" s="116" t="e">
        <f t="shared" si="243"/>
        <v>#DIV/0!</v>
      </c>
      <c r="Y464" s="116" t="e">
        <f t="shared" si="243"/>
        <v>#DIV/0!</v>
      </c>
      <c r="Z464" s="116" t="e">
        <f t="shared" si="243"/>
        <v>#DIV/0!</v>
      </c>
    </row>
    <row r="465" spans="1:26" outlineLevel="1" x14ac:dyDescent="0.25">
      <c r="A465" s="39" t="str">
        <f t="shared" si="230"/>
        <v>БелАЗ 7531 (ГПФК)</v>
      </c>
      <c r="B465" s="39"/>
      <c r="D465" s="113" t="str">
        <f t="shared" si="239"/>
        <v>Затраты на персонал</v>
      </c>
      <c r="E465" s="114" t="str">
        <f t="shared" si="240"/>
        <v>руб/ткм</v>
      </c>
      <c r="F465" s="115"/>
      <c r="G465" s="116">
        <f>G404/G383</f>
        <v>1.609417146681174</v>
      </c>
      <c r="H465" s="116">
        <f t="shared" ref="H465:Z465" si="244">H404/H383</f>
        <v>1.5952167210843058</v>
      </c>
      <c r="I465" s="116">
        <f t="shared" si="244"/>
        <v>1.5349407500281935</v>
      </c>
      <c r="J465" s="116">
        <f t="shared" si="244"/>
        <v>1.5328469168949064</v>
      </c>
      <c r="K465" s="116">
        <f t="shared" si="244"/>
        <v>1.4402340858828215</v>
      </c>
      <c r="L465" s="116">
        <f t="shared" si="244"/>
        <v>1.462098020576245</v>
      </c>
      <c r="M465" s="116">
        <f t="shared" si="244"/>
        <v>1.4445398977661148</v>
      </c>
      <c r="N465" s="116">
        <f t="shared" si="244"/>
        <v>1.5069760015712514</v>
      </c>
      <c r="O465" s="116">
        <f t="shared" si="244"/>
        <v>1.4664056841445916</v>
      </c>
      <c r="P465" s="116">
        <f t="shared" si="244"/>
        <v>1.4717218002202546</v>
      </c>
      <c r="Q465" s="116" t="e">
        <f t="shared" si="244"/>
        <v>#DIV/0!</v>
      </c>
      <c r="R465" s="116" t="e">
        <f t="shared" si="244"/>
        <v>#DIV/0!</v>
      </c>
      <c r="S465" s="116" t="e">
        <f t="shared" si="244"/>
        <v>#DIV/0!</v>
      </c>
      <c r="T465" s="116" t="e">
        <f t="shared" si="244"/>
        <v>#DIV/0!</v>
      </c>
      <c r="U465" s="116" t="e">
        <f t="shared" si="244"/>
        <v>#DIV/0!</v>
      </c>
      <c r="V465" s="116" t="e">
        <f t="shared" si="244"/>
        <v>#DIV/0!</v>
      </c>
      <c r="W465" s="116" t="e">
        <f t="shared" si="244"/>
        <v>#DIV/0!</v>
      </c>
      <c r="X465" s="116" t="e">
        <f t="shared" si="244"/>
        <v>#DIV/0!</v>
      </c>
      <c r="Y465" s="116" t="e">
        <f t="shared" si="244"/>
        <v>#DIV/0!</v>
      </c>
      <c r="Z465" s="116" t="e">
        <f t="shared" si="244"/>
        <v>#DIV/0!</v>
      </c>
    </row>
    <row r="466" spans="1:26" outlineLevel="1" x14ac:dyDescent="0.25">
      <c r="A466" s="39" t="str">
        <f t="shared" si="230"/>
        <v>БелАЗ 7531 (ГПФК)</v>
      </c>
      <c r="B466" s="39"/>
      <c r="D466" s="113" t="str">
        <f t="shared" si="239"/>
        <v>Транспортный налог</v>
      </c>
      <c r="E466" s="114" t="str">
        <f t="shared" si="240"/>
        <v>руб/ткм</v>
      </c>
      <c r="F466" s="115"/>
      <c r="G466" s="116">
        <f>G408/G383</f>
        <v>1.8770120063453948E-2</v>
      </c>
      <c r="H466" s="116">
        <f t="shared" ref="H466:Z466" si="245">H408/H383</f>
        <v>1.8604505018308563E-2</v>
      </c>
      <c r="I466" s="116">
        <f t="shared" si="245"/>
        <v>1.7901525547760751E-2</v>
      </c>
      <c r="J466" s="116">
        <f t="shared" si="245"/>
        <v>1.7877105838187204E-2</v>
      </c>
      <c r="K466" s="116">
        <f t="shared" si="245"/>
        <v>1.6796991859596933E-2</v>
      </c>
      <c r="L466" s="116">
        <f t="shared" si="245"/>
        <v>1.7051983972798508E-2</v>
      </c>
      <c r="M466" s="116">
        <f t="shared" si="245"/>
        <v>1.6847209173477755E-2</v>
      </c>
      <c r="N466" s="116">
        <f t="shared" si="245"/>
        <v>1.7575381584920845E-2</v>
      </c>
      <c r="O466" s="116">
        <f t="shared" si="245"/>
        <v>1.7102222882292892E-2</v>
      </c>
      <c r="P466" s="116">
        <f t="shared" si="245"/>
        <v>1.7164223052489425E-2</v>
      </c>
      <c r="Q466" s="116" t="e">
        <f t="shared" si="245"/>
        <v>#DIV/0!</v>
      </c>
      <c r="R466" s="116" t="e">
        <f t="shared" si="245"/>
        <v>#DIV/0!</v>
      </c>
      <c r="S466" s="116" t="e">
        <f t="shared" si="245"/>
        <v>#DIV/0!</v>
      </c>
      <c r="T466" s="116" t="e">
        <f t="shared" si="245"/>
        <v>#DIV/0!</v>
      </c>
      <c r="U466" s="116" t="e">
        <f t="shared" si="245"/>
        <v>#DIV/0!</v>
      </c>
      <c r="V466" s="116" t="e">
        <f t="shared" si="245"/>
        <v>#DIV/0!</v>
      </c>
      <c r="W466" s="116" t="e">
        <f t="shared" si="245"/>
        <v>#DIV/0!</v>
      </c>
      <c r="X466" s="116" t="e">
        <f t="shared" si="245"/>
        <v>#DIV/0!</v>
      </c>
      <c r="Y466" s="116" t="e">
        <f t="shared" si="245"/>
        <v>#DIV/0!</v>
      </c>
      <c r="Z466" s="116" t="e">
        <f t="shared" si="245"/>
        <v>#DIV/0!</v>
      </c>
    </row>
    <row r="467" spans="1:26" outlineLevel="1" x14ac:dyDescent="0.25">
      <c r="A467" s="39" t="str">
        <f t="shared" si="230"/>
        <v>БелАЗ 7531 (ГПФК)</v>
      </c>
      <c r="B467" s="39"/>
      <c r="D467" s="121"/>
      <c r="E467" s="12"/>
      <c r="F467" s="122"/>
      <c r="G467" s="131">
        <f>G460-(G387-G413)/G383</f>
        <v>0</v>
      </c>
      <c r="H467" s="131">
        <f t="shared" ref="H467:Z467" si="246">H460-(H387-H413)/H383</f>
        <v>0</v>
      </c>
      <c r="I467" s="131">
        <f t="shared" si="246"/>
        <v>0</v>
      </c>
      <c r="J467" s="131">
        <f t="shared" si="246"/>
        <v>0</v>
      </c>
      <c r="K467" s="131">
        <f t="shared" si="246"/>
        <v>0</v>
      </c>
      <c r="L467" s="131">
        <f t="shared" si="246"/>
        <v>0</v>
      </c>
      <c r="M467" s="131">
        <f t="shared" si="246"/>
        <v>0</v>
      </c>
      <c r="N467" s="131">
        <f t="shared" si="246"/>
        <v>0</v>
      </c>
      <c r="O467" s="131">
        <f t="shared" si="246"/>
        <v>0</v>
      </c>
      <c r="P467" s="131">
        <f t="shared" si="246"/>
        <v>0</v>
      </c>
      <c r="Q467" s="131" t="e">
        <f t="shared" si="246"/>
        <v>#DIV/0!</v>
      </c>
      <c r="R467" s="131" t="e">
        <f t="shared" si="246"/>
        <v>#DIV/0!</v>
      </c>
      <c r="S467" s="131" t="e">
        <f t="shared" si="246"/>
        <v>#DIV/0!</v>
      </c>
      <c r="T467" s="131" t="e">
        <f t="shared" si="246"/>
        <v>#DIV/0!</v>
      </c>
      <c r="U467" s="131" t="e">
        <f t="shared" si="246"/>
        <v>#DIV/0!</v>
      </c>
      <c r="V467" s="131" t="e">
        <f t="shared" si="246"/>
        <v>#DIV/0!</v>
      </c>
      <c r="W467" s="131" t="e">
        <f t="shared" si="246"/>
        <v>#DIV/0!</v>
      </c>
      <c r="X467" s="131" t="e">
        <f t="shared" si="246"/>
        <v>#DIV/0!</v>
      </c>
      <c r="Y467" s="131" t="e">
        <f t="shared" si="246"/>
        <v>#DIV/0!</v>
      </c>
      <c r="Z467" s="131" t="e">
        <f t="shared" si="246"/>
        <v>#DIV/0!</v>
      </c>
    </row>
    <row r="468" spans="1:26" outlineLevel="1" x14ac:dyDescent="0.25">
      <c r="A468" s="2" t="s">
        <v>45</v>
      </c>
    </row>
    <row r="469" spans="1:26" x14ac:dyDescent="0.25">
      <c r="A469" s="2" t="s">
        <v>45</v>
      </c>
    </row>
    <row r="470" spans="1:26" ht="14.3" x14ac:dyDescent="0.25">
      <c r="A470" s="2" t="s">
        <v>45</v>
      </c>
      <c r="C470" s="57" t="e">
        <f>SUM(F520:Z520,F532:Z532,F551:Z551,AA504)</f>
        <v>#DIV/0!</v>
      </c>
      <c r="D470" s="58" t="str">
        <f>Свод_1!K23</f>
        <v>XCMG 240</v>
      </c>
      <c r="E470" s="59">
        <f>SUMIFS(Производительность_1!$Y$55:$Y$71,Производительность_1!$C$55:$C$71,$D470)</f>
        <v>0</v>
      </c>
      <c r="F470" s="60" t="str">
        <f>$F$2</f>
        <v>лет</v>
      </c>
    </row>
    <row r="471" spans="1:26" outlineLevel="1" x14ac:dyDescent="0.25">
      <c r="A471" s="2" t="s">
        <v>45</v>
      </c>
    </row>
    <row r="472" spans="1:26" outlineLevel="1" x14ac:dyDescent="0.25">
      <c r="A472" s="61" t="str">
        <f>D470</f>
        <v>XCMG 240</v>
      </c>
      <c r="D472" s="62" t="str">
        <f>D$1</f>
        <v>Показатель</v>
      </c>
      <c r="E472" s="62" t="str">
        <f t="shared" ref="E472:Z472" si="247">E$1</f>
        <v>Ед. изм.</v>
      </c>
      <c r="F472" s="62">
        <f t="shared" si="247"/>
        <v>0</v>
      </c>
      <c r="G472" s="62">
        <f t="shared" si="247"/>
        <v>1</v>
      </c>
      <c r="H472" s="62">
        <f t="shared" si="247"/>
        <v>2</v>
      </c>
      <c r="I472" s="62">
        <f t="shared" si="247"/>
        <v>3</v>
      </c>
      <c r="J472" s="62">
        <f t="shared" si="247"/>
        <v>4</v>
      </c>
      <c r="K472" s="62">
        <f t="shared" si="247"/>
        <v>5</v>
      </c>
      <c r="L472" s="62">
        <f t="shared" si="247"/>
        <v>6</v>
      </c>
      <c r="M472" s="62">
        <f t="shared" si="247"/>
        <v>7</v>
      </c>
      <c r="N472" s="62">
        <f t="shared" si="247"/>
        <v>8</v>
      </c>
      <c r="O472" s="62">
        <f t="shared" si="247"/>
        <v>9</v>
      </c>
      <c r="P472" s="62">
        <f t="shared" si="247"/>
        <v>10</v>
      </c>
      <c r="Q472" s="62">
        <f t="shared" si="247"/>
        <v>11</v>
      </c>
      <c r="R472" s="62">
        <f t="shared" si="247"/>
        <v>12</v>
      </c>
      <c r="S472" s="62">
        <f t="shared" si="247"/>
        <v>13</v>
      </c>
      <c r="T472" s="62">
        <f t="shared" si="247"/>
        <v>14</v>
      </c>
      <c r="U472" s="62">
        <f t="shared" si="247"/>
        <v>15</v>
      </c>
      <c r="V472" s="62">
        <f t="shared" si="247"/>
        <v>16</v>
      </c>
      <c r="W472" s="62">
        <f t="shared" si="247"/>
        <v>17</v>
      </c>
      <c r="X472" s="62">
        <f t="shared" si="247"/>
        <v>18</v>
      </c>
      <c r="Y472" s="62">
        <f t="shared" si="247"/>
        <v>19</v>
      </c>
      <c r="Z472" s="62">
        <f t="shared" si="247"/>
        <v>20</v>
      </c>
    </row>
    <row r="473" spans="1:26" outlineLevel="1" x14ac:dyDescent="0.25">
      <c r="A473" s="39" t="str">
        <f>A472</f>
        <v>XCMG 240</v>
      </c>
      <c r="B473" s="39"/>
      <c r="D473" s="63" t="s">
        <v>50</v>
      </c>
      <c r="E473" s="64" t="s">
        <v>51</v>
      </c>
      <c r="F473" s="65"/>
      <c r="G473" s="66">
        <f>SUMIFS(Производительность_1!E$55:E$71,Производительность_1!$C$55:$C$71,$A473)</f>
        <v>0</v>
      </c>
      <c r="H473" s="66">
        <f>SUMIFS(Производительность_1!F$55:F$71,Производительность_1!$C$55:$C$71,$A473)</f>
        <v>0</v>
      </c>
      <c r="I473" s="66">
        <f>SUMIFS(Производительность_1!G$55:G$71,Производительность_1!$C$55:$C$71,$A473)</f>
        <v>0</v>
      </c>
      <c r="J473" s="66">
        <f>SUMIFS(Производительность_1!H$55:H$71,Производительность_1!$C$55:$C$71,$A473)</f>
        <v>0</v>
      </c>
      <c r="K473" s="66">
        <f>SUMIFS(Производительность_1!I$55:I$71,Производительность_1!$C$55:$C$71,$A473)</f>
        <v>0</v>
      </c>
      <c r="L473" s="66">
        <f>SUMIFS(Производительность_1!J$55:J$71,Производительность_1!$C$55:$C$71,$A473)</f>
        <v>0</v>
      </c>
      <c r="M473" s="66">
        <f>SUMIFS(Производительность_1!K$55:K$71,Производительность_1!$C$55:$C$71,$A473)</f>
        <v>0</v>
      </c>
      <c r="N473" s="66">
        <f>SUMIFS(Производительность_1!L$55:L$71,Производительность_1!$C$55:$C$71,$A473)</f>
        <v>0</v>
      </c>
      <c r="O473" s="66">
        <f>SUMIFS(Производительность_1!M$55:M$71,Производительность_1!$C$55:$C$71,$A473)</f>
        <v>0</v>
      </c>
      <c r="P473" s="66">
        <f>SUMIFS(Производительность_1!N$55:N$71,Производительность_1!$C$55:$C$71,$A473)</f>
        <v>0</v>
      </c>
      <c r="Q473" s="66">
        <f>SUMIFS(Производительность_1!O$55:O$71,Производительность_1!$C$55:$C$71,$A473)</f>
        <v>0</v>
      </c>
      <c r="R473" s="66">
        <f>SUMIFS(Производительность_1!P$55:P$71,Производительность_1!$C$55:$C$71,$A473)</f>
        <v>0</v>
      </c>
      <c r="S473" s="66">
        <f>SUMIFS(Производительность_1!Q$55:Q$71,Производительность_1!$C$55:$C$71,$A473)</f>
        <v>0</v>
      </c>
      <c r="T473" s="66">
        <f>SUMIFS(Производительность_1!R$55:R$71,Производительность_1!$C$55:$C$71,$A473)</f>
        <v>0</v>
      </c>
      <c r="U473" s="66">
        <f>SUMIFS(Производительность_1!S$55:S$71,Производительность_1!$C$55:$C$71,$A473)</f>
        <v>0</v>
      </c>
      <c r="V473" s="66">
        <f>SUMIFS(Производительность_1!T$55:T$71,Производительность_1!$C$55:$C$71,$A473)</f>
        <v>0</v>
      </c>
      <c r="W473" s="66">
        <f>SUMIFS(Производительность_1!U$55:U$71,Производительность_1!$C$55:$C$71,$A473)</f>
        <v>0</v>
      </c>
      <c r="X473" s="66">
        <f>SUMIFS(Производительность_1!V$55:V$71,Производительность_1!$C$55:$C$71,$A473)</f>
        <v>0</v>
      </c>
      <c r="Y473" s="66">
        <f>SUMIFS(Производительность_1!W$55:W$71,Производительность_1!$C$55:$C$71,$A473)</f>
        <v>0</v>
      </c>
      <c r="Z473" s="66">
        <f>SUMIFS(Производительность_1!X$55:X$71,Производительность_1!$C$55:$C$71,$A473)</f>
        <v>0</v>
      </c>
    </row>
    <row r="474" spans="1:26" outlineLevel="1" x14ac:dyDescent="0.25">
      <c r="A474" s="39" t="str">
        <f t="shared" ref="A474:A537" si="248">A473</f>
        <v>XCMG 240</v>
      </c>
      <c r="B474" s="39"/>
      <c r="D474" s="63" t="s">
        <v>52</v>
      </c>
      <c r="E474" s="64" t="str">
        <f>E473</f>
        <v>%</v>
      </c>
      <c r="F474" s="65"/>
      <c r="G474" s="66">
        <f>SUMIFS(Производительность_1!E$119:E$135,Производительность_1!$C$119:$C$135,$A474)</f>
        <v>0</v>
      </c>
      <c r="H474" s="66">
        <f>SUMIFS(Производительность_1!F$119:F$135,Производительность_1!$C$119:$C$135,$A474)</f>
        <v>0</v>
      </c>
      <c r="I474" s="66">
        <f>SUMIFS(Производительность_1!G$119:G$135,Производительность_1!$C$119:$C$135,$A474)</f>
        <v>0</v>
      </c>
      <c r="J474" s="66">
        <f>SUMIFS(Производительность_1!H$119:H$135,Производительность_1!$C$119:$C$135,$A474)</f>
        <v>0</v>
      </c>
      <c r="K474" s="66">
        <f>SUMIFS(Производительность_1!I$119:I$135,Производительность_1!$C$119:$C$135,$A474)</f>
        <v>0</v>
      </c>
      <c r="L474" s="66">
        <f>SUMIFS(Производительность_1!J$119:J$135,Производительность_1!$C$119:$C$135,$A474)</f>
        <v>0</v>
      </c>
      <c r="M474" s="66">
        <f>SUMIFS(Производительность_1!K$119:K$135,Производительность_1!$C$119:$C$135,$A474)</f>
        <v>0</v>
      </c>
      <c r="N474" s="66">
        <f>SUMIFS(Производительность_1!L$119:L$135,Производительность_1!$C$119:$C$135,$A474)</f>
        <v>0</v>
      </c>
      <c r="O474" s="66">
        <f>SUMIFS(Производительность_1!M$119:M$135,Производительность_1!$C$119:$C$135,$A474)</f>
        <v>0</v>
      </c>
      <c r="P474" s="66">
        <f>SUMIFS(Производительность_1!N$119:N$135,Производительность_1!$C$119:$C$135,$A474)</f>
        <v>0</v>
      </c>
      <c r="Q474" s="66">
        <f>SUMIFS(Производительность_1!O$119:O$135,Производительность_1!$C$119:$C$135,$A474)</f>
        <v>0</v>
      </c>
      <c r="R474" s="66">
        <f>SUMIFS(Производительность_1!P$119:P$135,Производительность_1!$C$119:$C$135,$A474)</f>
        <v>0</v>
      </c>
      <c r="S474" s="66">
        <f>SUMIFS(Производительность_1!Q$119:Q$135,Производительность_1!$C$119:$C$135,$A474)</f>
        <v>0</v>
      </c>
      <c r="T474" s="66">
        <f>SUMIFS(Производительность_1!R$119:R$135,Производительность_1!$C$119:$C$135,$A474)</f>
        <v>0</v>
      </c>
      <c r="U474" s="66">
        <f>SUMIFS(Производительность_1!S$119:S$135,Производительность_1!$C$119:$C$135,$A474)</f>
        <v>0</v>
      </c>
      <c r="V474" s="66">
        <f>SUMIFS(Производительность_1!T$119:T$135,Производительность_1!$C$119:$C$135,$A474)</f>
        <v>0</v>
      </c>
      <c r="W474" s="66">
        <f>SUMIFS(Производительность_1!U$119:U$135,Производительность_1!$C$119:$C$135,$A474)</f>
        <v>0</v>
      </c>
      <c r="X474" s="66">
        <f>SUMIFS(Производительность_1!V$119:V$135,Производительность_1!$C$119:$C$135,$A474)</f>
        <v>0</v>
      </c>
      <c r="Y474" s="66">
        <f>SUMIFS(Производительность_1!W$119:W$135,Производительность_1!$C$119:$C$135,$A474)</f>
        <v>0</v>
      </c>
      <c r="Z474" s="66">
        <f>SUMIFS(Производительность_1!X$119:X$135,Производительность_1!$C$119:$C$135,$A474)</f>
        <v>0</v>
      </c>
    </row>
    <row r="475" spans="1:26" outlineLevel="1" x14ac:dyDescent="0.25">
      <c r="A475" s="39" t="str">
        <f t="shared" si="248"/>
        <v>XCMG 240</v>
      </c>
      <c r="B475" s="39"/>
      <c r="D475" s="67" t="s">
        <v>53</v>
      </c>
      <c r="E475" s="68" t="s">
        <v>23</v>
      </c>
      <c r="F475" s="69"/>
      <c r="G475" s="69">
        <f>SUMIFS(Производительность_1!E$247:E$263,Производительность_1!$C$247:$C$263,$A475)</f>
        <v>0</v>
      </c>
      <c r="H475" s="69">
        <f>SUMIFS(Производительность_1!F$247:F$263,Производительность_1!$C$247:$C$263,$A475)</f>
        <v>0</v>
      </c>
      <c r="I475" s="69">
        <f>SUMIFS(Производительность_1!G$247:G$263,Производительность_1!$C$247:$C$263,$A475)</f>
        <v>0</v>
      </c>
      <c r="J475" s="69">
        <f>SUMIFS(Производительность_1!H$247:H$263,Производительность_1!$C$247:$C$263,$A475)</f>
        <v>0</v>
      </c>
      <c r="K475" s="69">
        <f>SUMIFS(Производительность_1!I$247:I$263,Производительность_1!$C$247:$C$263,$A475)</f>
        <v>0</v>
      </c>
      <c r="L475" s="69">
        <f>SUMIFS(Производительность_1!J$247:J$263,Производительность_1!$C$247:$C$263,$A475)</f>
        <v>0</v>
      </c>
      <c r="M475" s="69">
        <f>SUMIFS(Производительность_1!K$247:K$263,Производительность_1!$C$247:$C$263,$A475)</f>
        <v>0</v>
      </c>
      <c r="N475" s="69">
        <f>SUMIFS(Производительность_1!L$247:L$263,Производительность_1!$C$247:$C$263,$A475)</f>
        <v>0</v>
      </c>
      <c r="O475" s="69">
        <f>SUMIFS(Производительность_1!M$247:M$263,Производительность_1!$C$247:$C$263,$A475)</f>
        <v>0</v>
      </c>
      <c r="P475" s="69">
        <f>SUMIFS(Производительность_1!N$247:N$263,Производительность_1!$C$247:$C$263,$A475)</f>
        <v>0</v>
      </c>
      <c r="Q475" s="69">
        <f>SUMIFS(Производительность_1!O$247:O$263,Производительность_1!$C$247:$C$263,$A475)</f>
        <v>0</v>
      </c>
      <c r="R475" s="69">
        <f>SUMIFS(Производительность_1!P$247:P$263,Производительность_1!$C$247:$C$263,$A475)</f>
        <v>0</v>
      </c>
      <c r="S475" s="69">
        <f>SUMIFS(Производительность_1!Q$247:Q$263,Производительность_1!$C$247:$C$263,$A475)</f>
        <v>0</v>
      </c>
      <c r="T475" s="69">
        <f>SUMIFS(Производительность_1!R$247:R$263,Производительность_1!$C$247:$C$263,$A475)</f>
        <v>0</v>
      </c>
      <c r="U475" s="69">
        <f>SUMIFS(Производительность_1!S$247:S$263,Производительность_1!$C$247:$C$263,$A475)</f>
        <v>0</v>
      </c>
      <c r="V475" s="69">
        <f>SUMIFS(Производительность_1!T$247:T$263,Производительность_1!$C$247:$C$263,$A475)</f>
        <v>0</v>
      </c>
      <c r="W475" s="69">
        <f>SUMIFS(Производительность_1!U$247:U$263,Производительность_1!$C$247:$C$263,$A475)</f>
        <v>0</v>
      </c>
      <c r="X475" s="69">
        <f>SUMIFS(Производительность_1!V$247:V$263,Производительность_1!$C$247:$C$263,$A475)</f>
        <v>0</v>
      </c>
      <c r="Y475" s="69">
        <f>SUMIFS(Производительность_1!W$247:W$263,Производительность_1!$C$247:$C$263,$A475)</f>
        <v>0</v>
      </c>
      <c r="Z475" s="69">
        <f>SUMIFS(Производительность_1!X$247:X$263,Производительность_1!$C$247:$C$263,$A475)</f>
        <v>0</v>
      </c>
    </row>
    <row r="476" spans="1:26" outlineLevel="1" x14ac:dyDescent="0.25">
      <c r="A476" s="39" t="str">
        <f t="shared" si="248"/>
        <v>XCMG 240</v>
      </c>
      <c r="B476" s="39"/>
      <c r="D476" s="67" t="s">
        <v>54</v>
      </c>
      <c r="E476" s="68" t="s">
        <v>24</v>
      </c>
      <c r="F476" s="69"/>
      <c r="G476" s="69">
        <f>SUMIFS(Производительность_1!E$263:E$279,Производительность_1!$C$263:$C$279,$A476)</f>
        <v>0</v>
      </c>
      <c r="H476" s="69">
        <f>SUMIFS(Производительность_1!F$263:F$279,Производительность_1!$C$263:$C$279,$A476)</f>
        <v>0</v>
      </c>
      <c r="I476" s="69">
        <f>SUMIFS(Производительность_1!G$263:G$279,Производительность_1!$C$263:$C$279,$A476)</f>
        <v>0</v>
      </c>
      <c r="J476" s="69">
        <f>SUMIFS(Производительность_1!H$263:H$279,Производительность_1!$C$263:$C$279,$A476)</f>
        <v>0</v>
      </c>
      <c r="K476" s="69">
        <f>SUMIFS(Производительность_1!I$263:I$279,Производительность_1!$C$263:$C$279,$A476)</f>
        <v>0</v>
      </c>
      <c r="L476" s="69">
        <f>SUMIFS(Производительность_1!J$263:J$279,Производительность_1!$C$263:$C$279,$A476)</f>
        <v>0</v>
      </c>
      <c r="M476" s="69">
        <f>SUMIFS(Производительность_1!K$263:K$279,Производительность_1!$C$263:$C$279,$A476)</f>
        <v>0</v>
      </c>
      <c r="N476" s="69">
        <f>SUMIFS(Производительность_1!L$263:L$279,Производительность_1!$C$263:$C$279,$A476)</f>
        <v>0</v>
      </c>
      <c r="O476" s="69">
        <f>SUMIFS(Производительность_1!M$263:M$279,Производительность_1!$C$263:$C$279,$A476)</f>
        <v>0</v>
      </c>
      <c r="P476" s="69">
        <f>SUMIFS(Производительность_1!N$263:N$279,Производительность_1!$C$263:$C$279,$A476)</f>
        <v>0</v>
      </c>
      <c r="Q476" s="69">
        <f>SUMIFS(Производительность_1!O$263:O$279,Производительность_1!$C$263:$C$279,$A476)</f>
        <v>0</v>
      </c>
      <c r="R476" s="69">
        <f>SUMIFS(Производительность_1!P$263:P$279,Производительность_1!$C$263:$C$279,$A476)</f>
        <v>0</v>
      </c>
      <c r="S476" s="69">
        <f>SUMIFS(Производительность_1!Q$263:Q$279,Производительность_1!$C$263:$C$279,$A476)</f>
        <v>0</v>
      </c>
      <c r="T476" s="69">
        <f>SUMIFS(Производительность_1!R$263:R$279,Производительность_1!$C$263:$C$279,$A476)</f>
        <v>0</v>
      </c>
      <c r="U476" s="69">
        <f>SUMIFS(Производительность_1!S$263:S$279,Производительность_1!$C$263:$C$279,$A476)</f>
        <v>0</v>
      </c>
      <c r="V476" s="69">
        <f>SUMIFS(Производительность_1!T$263:T$279,Производительность_1!$C$263:$C$279,$A476)</f>
        <v>0</v>
      </c>
      <c r="W476" s="69">
        <f>SUMIFS(Производительность_1!U$263:U$279,Производительность_1!$C$263:$C$279,$A476)</f>
        <v>0</v>
      </c>
      <c r="X476" s="69">
        <f>SUMIFS(Производительность_1!V$263:V$279,Производительность_1!$C$263:$C$279,$A476)</f>
        <v>0</v>
      </c>
      <c r="Y476" s="69">
        <f>SUMIFS(Производительность_1!W$263:W$279,Производительность_1!$C$263:$C$279,$A476)</f>
        <v>0</v>
      </c>
      <c r="Z476" s="69">
        <f>SUMIFS(Производительность_1!X$263:X$279,Производительность_1!$C$263:$C$279,$A476)</f>
        <v>0</v>
      </c>
    </row>
    <row r="477" spans="1:26" outlineLevel="1" x14ac:dyDescent="0.25">
      <c r="A477" s="39" t="str">
        <f t="shared" si="248"/>
        <v>XCMG 240</v>
      </c>
      <c r="B477" s="39"/>
      <c r="D477" s="70" t="s">
        <v>55</v>
      </c>
      <c r="E477" s="64" t="str">
        <f>E476</f>
        <v>тыс. ткм</v>
      </c>
      <c r="F477" s="65"/>
      <c r="G477" s="65">
        <f>G476</f>
        <v>0</v>
      </c>
      <c r="H477" s="65">
        <f>G477+H476</f>
        <v>0</v>
      </c>
      <c r="I477" s="65">
        <f t="shared" ref="I477" si="249">H477+I476</f>
        <v>0</v>
      </c>
      <c r="J477" s="65">
        <f t="shared" ref="J477" si="250">I477+J476</f>
        <v>0</v>
      </c>
      <c r="K477" s="65">
        <f t="shared" ref="K477" si="251">J477+K476</f>
        <v>0</v>
      </c>
      <c r="L477" s="65">
        <f t="shared" ref="L477" si="252">K477+L476</f>
        <v>0</v>
      </c>
      <c r="M477" s="65">
        <f t="shared" ref="M477" si="253">L477+M476</f>
        <v>0</v>
      </c>
      <c r="N477" s="65">
        <f t="shared" ref="N477" si="254">M477+N476</f>
        <v>0</v>
      </c>
      <c r="O477" s="65">
        <f t="shared" ref="O477" si="255">N477+O476</f>
        <v>0</v>
      </c>
      <c r="P477" s="65">
        <f t="shared" ref="P477" si="256">O477+P476</f>
        <v>0</v>
      </c>
      <c r="Q477" s="65">
        <f t="shared" ref="Q477" si="257">P477+Q476</f>
        <v>0</v>
      </c>
      <c r="R477" s="65">
        <f t="shared" ref="R477" si="258">Q477+R476</f>
        <v>0</v>
      </c>
      <c r="S477" s="65">
        <f t="shared" ref="S477" si="259">R477+S476</f>
        <v>0</v>
      </c>
      <c r="T477" s="65">
        <f t="shared" ref="T477" si="260">S477+T476</f>
        <v>0</v>
      </c>
      <c r="U477" s="65">
        <f t="shared" ref="U477" si="261">T477+U476</f>
        <v>0</v>
      </c>
      <c r="V477" s="65">
        <f t="shared" ref="V477" si="262">U477+V476</f>
        <v>0</v>
      </c>
      <c r="W477" s="65">
        <f t="shared" ref="W477" si="263">V477+W476</f>
        <v>0</v>
      </c>
      <c r="X477" s="65">
        <f t="shared" ref="X477" si="264">W477+X476</f>
        <v>0</v>
      </c>
      <c r="Y477" s="65">
        <f t="shared" ref="Y477" si="265">X477+Y476</f>
        <v>0</v>
      </c>
      <c r="Z477" s="65">
        <f t="shared" ref="Z477" si="266">Y477+Z476</f>
        <v>0</v>
      </c>
    </row>
    <row r="478" spans="1:26" outlineLevel="1" x14ac:dyDescent="0.25">
      <c r="A478" s="39" t="str">
        <f t="shared" si="248"/>
        <v>XCMG 240</v>
      </c>
      <c r="B478" s="39"/>
      <c r="D478" s="63" t="s">
        <v>56</v>
      </c>
      <c r="E478" s="64" t="s">
        <v>57</v>
      </c>
      <c r="F478" s="65"/>
      <c r="G478" s="65">
        <f>SUMIFS(Производительность_1!E$279:E$295,Производительность_1!$C$279:$C$295,$A478)/1000</f>
        <v>0</v>
      </c>
      <c r="H478" s="65">
        <f>SUMIFS(Производительность_1!F$279:F$295,Производительность_1!$C$279:$C$295,$A478)/1000</f>
        <v>0</v>
      </c>
      <c r="I478" s="65">
        <f>SUMIFS(Производительность_1!G$279:G$295,Производительность_1!$C$279:$C$295,$A478)/1000</f>
        <v>0</v>
      </c>
      <c r="J478" s="65">
        <f>SUMIFS(Производительность_1!H$279:H$295,Производительность_1!$C$279:$C$295,$A478)/1000</f>
        <v>0</v>
      </c>
      <c r="K478" s="65">
        <f>SUMIFS(Производительность_1!I$279:I$295,Производительность_1!$C$279:$C$295,$A478)/1000</f>
        <v>0</v>
      </c>
      <c r="L478" s="65">
        <f>SUMIFS(Производительность_1!J$279:J$295,Производительность_1!$C$279:$C$295,$A478)/1000</f>
        <v>0</v>
      </c>
      <c r="M478" s="65">
        <f>SUMIFS(Производительность_1!K$279:K$295,Производительность_1!$C$279:$C$295,$A478)/1000</f>
        <v>0</v>
      </c>
      <c r="N478" s="65">
        <f>SUMIFS(Производительность_1!L$279:L$295,Производительность_1!$C$279:$C$295,$A478)/1000</f>
        <v>0</v>
      </c>
      <c r="O478" s="65">
        <f>SUMIFS(Производительность_1!M$279:M$295,Производительность_1!$C$279:$C$295,$A478)/1000</f>
        <v>0</v>
      </c>
      <c r="P478" s="65">
        <f>SUMIFS(Производительность_1!N$279:N$295,Производительность_1!$C$279:$C$295,$A478)/1000</f>
        <v>0</v>
      </c>
      <c r="Q478" s="65">
        <f>SUMIFS(Производительность_1!O$279:O$295,Производительность_1!$C$279:$C$295,$A478)/1000</f>
        <v>0</v>
      </c>
      <c r="R478" s="65">
        <f>SUMIFS(Производительность_1!P$279:P$295,Производительность_1!$C$279:$C$295,$A478)/1000</f>
        <v>0</v>
      </c>
      <c r="S478" s="65">
        <f>SUMIFS(Производительность_1!Q$279:Q$295,Производительность_1!$C$279:$C$295,$A478)/1000</f>
        <v>0</v>
      </c>
      <c r="T478" s="65">
        <f>SUMIFS(Производительность_1!R$279:R$295,Производительность_1!$C$279:$C$295,$A478)/1000</f>
        <v>0</v>
      </c>
      <c r="U478" s="65">
        <f>SUMIFS(Производительность_1!S$279:S$295,Производительность_1!$C$279:$C$295,$A478)/1000</f>
        <v>0</v>
      </c>
      <c r="V478" s="65">
        <f>SUMIFS(Производительность_1!T$279:T$295,Производительность_1!$C$279:$C$295,$A478)/1000</f>
        <v>0</v>
      </c>
      <c r="W478" s="65">
        <f>SUMIFS(Производительность_1!U$279:U$295,Производительность_1!$C$279:$C$295,$A478)/1000</f>
        <v>0</v>
      </c>
      <c r="X478" s="65">
        <f>SUMIFS(Производительность_1!V$279:V$295,Производительность_1!$C$279:$C$295,$A478)/1000</f>
        <v>0</v>
      </c>
      <c r="Y478" s="65">
        <f>SUMIFS(Производительность_1!W$279:W$295,Производительность_1!$C$279:$C$295,$A478)/1000</f>
        <v>0</v>
      </c>
      <c r="Z478" s="65">
        <f>SUMIFS(Производительность_1!X$279:X$295,Производительность_1!$C$279:$C$295,$A478)/1000</f>
        <v>0</v>
      </c>
    </row>
    <row r="479" spans="1:26" outlineLevel="1" x14ac:dyDescent="0.25">
      <c r="A479" s="39" t="str">
        <f t="shared" si="248"/>
        <v>XCMG 240</v>
      </c>
      <c r="B479" s="39"/>
      <c r="D479" s="31"/>
      <c r="E479" s="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outlineLevel="1" x14ac:dyDescent="0.25">
      <c r="A480" s="39" t="str">
        <f t="shared" si="248"/>
        <v>XCMG 240</v>
      </c>
      <c r="B480" s="39"/>
      <c r="D480" s="71" t="s">
        <v>58</v>
      </c>
      <c r="E480" s="72" t="s">
        <v>33</v>
      </c>
      <c r="F480" s="73">
        <f>F505+F506-F504</f>
        <v>0</v>
      </c>
      <c r="G480" s="73">
        <f t="shared" ref="G480:Z480" si="267">G505+G506-G504</f>
        <v>0</v>
      </c>
      <c r="H480" s="73">
        <f t="shared" si="267"/>
        <v>0</v>
      </c>
      <c r="I480" s="73">
        <f t="shared" si="267"/>
        <v>0</v>
      </c>
      <c r="J480" s="73">
        <f t="shared" si="267"/>
        <v>0</v>
      </c>
      <c r="K480" s="73">
        <f t="shared" si="267"/>
        <v>0</v>
      </c>
      <c r="L480" s="73">
        <f t="shared" si="267"/>
        <v>0</v>
      </c>
      <c r="M480" s="73">
        <f t="shared" si="267"/>
        <v>0</v>
      </c>
      <c r="N480" s="73">
        <f t="shared" si="267"/>
        <v>0</v>
      </c>
      <c r="O480" s="73">
        <f t="shared" si="267"/>
        <v>0</v>
      </c>
      <c r="P480" s="73">
        <f t="shared" si="267"/>
        <v>0</v>
      </c>
      <c r="Q480" s="73">
        <f t="shared" si="267"/>
        <v>0</v>
      </c>
      <c r="R480" s="73">
        <f t="shared" si="267"/>
        <v>0</v>
      </c>
      <c r="S480" s="73">
        <f t="shared" si="267"/>
        <v>0</v>
      </c>
      <c r="T480" s="73">
        <f t="shared" si="267"/>
        <v>0</v>
      </c>
      <c r="U480" s="73">
        <f t="shared" si="267"/>
        <v>0</v>
      </c>
      <c r="V480" s="73">
        <f t="shared" si="267"/>
        <v>0</v>
      </c>
      <c r="W480" s="73">
        <f t="shared" si="267"/>
        <v>0</v>
      </c>
      <c r="X480" s="73">
        <f t="shared" si="267"/>
        <v>0</v>
      </c>
      <c r="Y480" s="73">
        <f t="shared" si="267"/>
        <v>0</v>
      </c>
      <c r="Z480" s="73">
        <f t="shared" si="267"/>
        <v>0</v>
      </c>
    </row>
    <row r="481" spans="1:28" outlineLevel="1" x14ac:dyDescent="0.25">
      <c r="A481" s="39" t="str">
        <f t="shared" si="248"/>
        <v>XCMG 240</v>
      </c>
      <c r="B481" s="39"/>
      <c r="C481" s="619" t="str">
        <f>D481</f>
        <v>ТО, ТР, ППР</v>
      </c>
      <c r="D481" s="208" t="s">
        <v>59</v>
      </c>
      <c r="E481" s="68" t="str">
        <f>E480</f>
        <v>тыс. руб.</v>
      </c>
      <c r="F481" s="74"/>
      <c r="G481" s="453"/>
      <c r="H481" s="453"/>
      <c r="I481" s="453"/>
      <c r="J481" s="453"/>
      <c r="K481" s="453"/>
      <c r="L481" s="453"/>
      <c r="M481" s="453"/>
      <c r="N481" s="453"/>
      <c r="O481" s="453"/>
      <c r="P481" s="453"/>
      <c r="Q481" s="453"/>
      <c r="R481" s="453"/>
      <c r="S481" s="453"/>
      <c r="T481" s="453"/>
      <c r="U481" s="453"/>
      <c r="V481" s="453"/>
      <c r="W481" s="453"/>
      <c r="X481" s="453"/>
      <c r="Y481" s="453"/>
      <c r="Z481" s="453"/>
      <c r="AB481" s="76" t="e">
        <f>SUM(F481:Z481,F495:Z495)/E470</f>
        <v>#DIV/0!</v>
      </c>
    </row>
    <row r="482" spans="1:28" outlineLevel="1" x14ac:dyDescent="0.25">
      <c r="A482" s="39" t="str">
        <f t="shared" si="248"/>
        <v>XCMG 240</v>
      </c>
      <c r="B482" s="39"/>
      <c r="D482" s="177" t="s">
        <v>60</v>
      </c>
      <c r="E482" s="452" t="s">
        <v>35</v>
      </c>
      <c r="F482" s="30"/>
      <c r="G482" s="454"/>
      <c r="H482" s="454"/>
      <c r="I482" s="454"/>
      <c r="J482" s="454"/>
      <c r="K482" s="454"/>
      <c r="L482" s="454"/>
      <c r="M482" s="454"/>
      <c r="N482" s="454"/>
      <c r="O482" s="454"/>
      <c r="P482" s="454"/>
      <c r="Q482" s="454"/>
      <c r="R482" s="454"/>
      <c r="S482" s="454"/>
      <c r="T482" s="454"/>
      <c r="U482" s="454"/>
      <c r="V482" s="454"/>
      <c r="W482" s="454"/>
      <c r="X482" s="454"/>
      <c r="Y482" s="454"/>
      <c r="Z482" s="454"/>
    </row>
    <row r="483" spans="1:28" outlineLevel="1" x14ac:dyDescent="0.25">
      <c r="A483" s="39" t="str">
        <f t="shared" si="248"/>
        <v>XCMG 240</v>
      </c>
      <c r="B483" s="39"/>
      <c r="D483" s="177" t="s">
        <v>61</v>
      </c>
      <c r="E483" s="452" t="s">
        <v>35</v>
      </c>
      <c r="F483" s="30"/>
      <c r="G483" s="454"/>
      <c r="H483" s="454"/>
      <c r="I483" s="454"/>
      <c r="J483" s="454"/>
      <c r="K483" s="454"/>
      <c r="L483" s="454"/>
      <c r="M483" s="454"/>
      <c r="N483" s="454"/>
      <c r="O483" s="454"/>
      <c r="P483" s="454"/>
      <c r="Q483" s="454"/>
      <c r="R483" s="454"/>
      <c r="S483" s="454"/>
      <c r="T483" s="454"/>
      <c r="U483" s="454"/>
      <c r="V483" s="454"/>
      <c r="W483" s="454"/>
      <c r="X483" s="454"/>
      <c r="Y483" s="454"/>
      <c r="Z483" s="454"/>
    </row>
    <row r="484" spans="1:28" outlineLevel="1" x14ac:dyDescent="0.25">
      <c r="A484" s="39" t="str">
        <f t="shared" si="248"/>
        <v>XCMG 240</v>
      </c>
      <c r="B484" s="39"/>
      <c r="D484" s="177" t="s">
        <v>62</v>
      </c>
      <c r="E484" s="452" t="s">
        <v>35</v>
      </c>
      <c r="F484" s="30"/>
      <c r="G484" s="454"/>
      <c r="H484" s="454"/>
      <c r="I484" s="454"/>
      <c r="J484" s="454"/>
      <c r="K484" s="454"/>
      <c r="L484" s="454"/>
      <c r="M484" s="454"/>
      <c r="N484" s="454"/>
      <c r="O484" s="454"/>
      <c r="P484" s="454"/>
      <c r="Q484" s="454"/>
      <c r="R484" s="454"/>
      <c r="S484" s="454"/>
      <c r="T484" s="454"/>
      <c r="U484" s="454"/>
      <c r="V484" s="454"/>
      <c r="W484" s="454"/>
      <c r="X484" s="454"/>
      <c r="Y484" s="454"/>
      <c r="Z484" s="454"/>
    </row>
    <row r="485" spans="1:28" outlineLevel="1" x14ac:dyDescent="0.25">
      <c r="A485" s="39" t="str">
        <f t="shared" si="248"/>
        <v>XCMG 240</v>
      </c>
      <c r="B485" s="39"/>
      <c r="D485" s="80" t="s">
        <v>63</v>
      </c>
      <c r="E485" s="81"/>
      <c r="F485" s="82"/>
      <c r="G485" s="83" t="e">
        <f>G481/$F509</f>
        <v>#DIV/0!</v>
      </c>
      <c r="H485" s="83" t="e">
        <f t="shared" ref="H485:Z485" si="268">H481/$F509</f>
        <v>#DIV/0!</v>
      </c>
      <c r="I485" s="83" t="e">
        <f t="shared" si="268"/>
        <v>#DIV/0!</v>
      </c>
      <c r="J485" s="83" t="e">
        <f t="shared" si="268"/>
        <v>#DIV/0!</v>
      </c>
      <c r="K485" s="83" t="e">
        <f t="shared" si="268"/>
        <v>#DIV/0!</v>
      </c>
      <c r="L485" s="83" t="e">
        <f t="shared" si="268"/>
        <v>#DIV/0!</v>
      </c>
      <c r="M485" s="83" t="e">
        <f t="shared" si="268"/>
        <v>#DIV/0!</v>
      </c>
      <c r="N485" s="83" t="e">
        <f t="shared" si="268"/>
        <v>#DIV/0!</v>
      </c>
      <c r="O485" s="83" t="e">
        <f t="shared" si="268"/>
        <v>#DIV/0!</v>
      </c>
      <c r="P485" s="83" t="e">
        <f t="shared" si="268"/>
        <v>#DIV/0!</v>
      </c>
      <c r="Q485" s="83" t="e">
        <f t="shared" si="268"/>
        <v>#DIV/0!</v>
      </c>
      <c r="R485" s="83" t="e">
        <f t="shared" si="268"/>
        <v>#DIV/0!</v>
      </c>
      <c r="S485" s="83" t="e">
        <f t="shared" si="268"/>
        <v>#DIV/0!</v>
      </c>
      <c r="T485" s="83" t="e">
        <f t="shared" si="268"/>
        <v>#DIV/0!</v>
      </c>
      <c r="U485" s="83" t="e">
        <f t="shared" si="268"/>
        <v>#DIV/0!</v>
      </c>
      <c r="V485" s="83" t="e">
        <f t="shared" si="268"/>
        <v>#DIV/0!</v>
      </c>
      <c r="W485" s="83" t="e">
        <f t="shared" si="268"/>
        <v>#DIV/0!</v>
      </c>
      <c r="X485" s="83" t="e">
        <f t="shared" si="268"/>
        <v>#DIV/0!</v>
      </c>
      <c r="Y485" s="83" t="e">
        <f t="shared" si="268"/>
        <v>#DIV/0!</v>
      </c>
      <c r="Z485" s="83" t="e">
        <f t="shared" si="268"/>
        <v>#DIV/0!</v>
      </c>
      <c r="AA485" s="84" t="e">
        <f>SUM(F481:Z481)/$F509</f>
        <v>#DIV/0!</v>
      </c>
    </row>
    <row r="486" spans="1:28" outlineLevel="1" x14ac:dyDescent="0.25">
      <c r="A486" s="39" t="str">
        <f t="shared" si="248"/>
        <v>XCMG 240</v>
      </c>
      <c r="B486" s="39"/>
      <c r="D486" s="67" t="s">
        <v>39</v>
      </c>
      <c r="E486" s="68" t="str">
        <f>E480</f>
        <v>тыс. руб.</v>
      </c>
      <c r="F486" s="74"/>
      <c r="G486" s="85">
        <f>G488*G489</f>
        <v>0</v>
      </c>
      <c r="H486" s="85">
        <f t="shared" ref="H486:Z486" si="269">H488*H489</f>
        <v>0</v>
      </c>
      <c r="I486" s="85">
        <f t="shared" si="269"/>
        <v>0</v>
      </c>
      <c r="J486" s="85">
        <f t="shared" si="269"/>
        <v>0</v>
      </c>
      <c r="K486" s="85">
        <f t="shared" si="269"/>
        <v>0</v>
      </c>
      <c r="L486" s="85">
        <f t="shared" si="269"/>
        <v>0</v>
      </c>
      <c r="M486" s="85">
        <f t="shared" si="269"/>
        <v>0</v>
      </c>
      <c r="N486" s="85">
        <f t="shared" si="269"/>
        <v>0</v>
      </c>
      <c r="O486" s="85">
        <f t="shared" si="269"/>
        <v>0</v>
      </c>
      <c r="P486" s="85">
        <f t="shared" si="269"/>
        <v>0</v>
      </c>
      <c r="Q486" s="85">
        <f t="shared" si="269"/>
        <v>0</v>
      </c>
      <c r="R486" s="85">
        <f t="shared" si="269"/>
        <v>0</v>
      </c>
      <c r="S486" s="85">
        <f t="shared" si="269"/>
        <v>0</v>
      </c>
      <c r="T486" s="85">
        <f t="shared" si="269"/>
        <v>0</v>
      </c>
      <c r="U486" s="85">
        <f t="shared" si="269"/>
        <v>0</v>
      </c>
      <c r="V486" s="85">
        <f t="shared" si="269"/>
        <v>0</v>
      </c>
      <c r="W486" s="85">
        <f t="shared" si="269"/>
        <v>0</v>
      </c>
      <c r="X486" s="85">
        <f t="shared" si="269"/>
        <v>0</v>
      </c>
      <c r="Y486" s="85">
        <f t="shared" si="269"/>
        <v>0</v>
      </c>
      <c r="Z486" s="85">
        <f t="shared" si="269"/>
        <v>0</v>
      </c>
    </row>
    <row r="487" spans="1:28" outlineLevel="1" x14ac:dyDescent="0.25">
      <c r="A487" s="39" t="str">
        <f t="shared" si="248"/>
        <v>XCMG 240</v>
      </c>
      <c r="B487" s="39"/>
      <c r="D487" s="31" t="s">
        <v>64</v>
      </c>
      <c r="E487" s="9" t="s">
        <v>65</v>
      </c>
      <c r="F487" s="86">
        <f>SUMIFS('ФОТ, МТР, макро'!$Z$4:$Z$20,'ФОТ, МТР, макро'!$W$4:$W$20,$A487)</f>
        <v>7.4999999999999997E-2</v>
      </c>
      <c r="G487" s="87">
        <f>F487</f>
        <v>7.4999999999999997E-2</v>
      </c>
      <c r="H487" s="87">
        <f t="shared" ref="H487" si="270">G487</f>
        <v>7.4999999999999997E-2</v>
      </c>
      <c r="I487" s="87">
        <f t="shared" ref="I487" si="271">H487</f>
        <v>7.4999999999999997E-2</v>
      </c>
      <c r="J487" s="87">
        <f t="shared" ref="J487" si="272">I487</f>
        <v>7.4999999999999997E-2</v>
      </c>
      <c r="K487" s="87">
        <f t="shared" ref="K487" si="273">J487</f>
        <v>7.4999999999999997E-2</v>
      </c>
      <c r="L487" s="87">
        <f t="shared" ref="L487" si="274">K487</f>
        <v>7.4999999999999997E-2</v>
      </c>
      <c r="M487" s="87">
        <f t="shared" ref="M487" si="275">L487</f>
        <v>7.4999999999999997E-2</v>
      </c>
      <c r="N487" s="87">
        <f t="shared" ref="N487" si="276">M487</f>
        <v>7.4999999999999997E-2</v>
      </c>
      <c r="O487" s="87">
        <f t="shared" ref="O487" si="277">N487</f>
        <v>7.4999999999999997E-2</v>
      </c>
      <c r="P487" s="87">
        <f t="shared" ref="P487" si="278">O487</f>
        <v>7.4999999999999997E-2</v>
      </c>
      <c r="Q487" s="87">
        <f t="shared" ref="Q487" si="279">P487</f>
        <v>7.4999999999999997E-2</v>
      </c>
      <c r="R487" s="87">
        <f t="shared" ref="R487" si="280">Q487</f>
        <v>7.4999999999999997E-2</v>
      </c>
      <c r="S487" s="87">
        <f t="shared" ref="S487" si="281">R487</f>
        <v>7.4999999999999997E-2</v>
      </c>
      <c r="T487" s="87">
        <f t="shared" ref="T487" si="282">S487</f>
        <v>7.4999999999999997E-2</v>
      </c>
      <c r="U487" s="87">
        <f t="shared" ref="U487" si="283">T487</f>
        <v>7.4999999999999997E-2</v>
      </c>
      <c r="V487" s="87">
        <f t="shared" ref="V487" si="284">U487</f>
        <v>7.4999999999999997E-2</v>
      </c>
      <c r="W487" s="87">
        <f t="shared" ref="W487" si="285">V487</f>
        <v>7.4999999999999997E-2</v>
      </c>
      <c r="X487" s="87">
        <f t="shared" ref="X487" si="286">W487</f>
        <v>7.4999999999999997E-2</v>
      </c>
      <c r="Y487" s="87">
        <f t="shared" ref="Y487" si="287">X487</f>
        <v>7.4999999999999997E-2</v>
      </c>
      <c r="Z487" s="87">
        <f t="shared" ref="Z487" si="288">Y487</f>
        <v>7.4999999999999997E-2</v>
      </c>
    </row>
    <row r="488" spans="1:28" outlineLevel="1" x14ac:dyDescent="0.25">
      <c r="A488" s="39" t="str">
        <f t="shared" si="248"/>
        <v>XCMG 240</v>
      </c>
      <c r="B488" s="39"/>
      <c r="D488" s="31" t="s">
        <v>66</v>
      </c>
      <c r="E488" s="9" t="s">
        <v>67</v>
      </c>
      <c r="F488" s="74"/>
      <c r="G488" s="78">
        <f>G478*G487</f>
        <v>0</v>
      </c>
      <c r="H488" s="78">
        <f t="shared" ref="H488:Z488" si="289">H478*H487</f>
        <v>0</v>
      </c>
      <c r="I488" s="78">
        <f t="shared" si="289"/>
        <v>0</v>
      </c>
      <c r="J488" s="78">
        <f t="shared" si="289"/>
        <v>0</v>
      </c>
      <c r="K488" s="78">
        <f t="shared" si="289"/>
        <v>0</v>
      </c>
      <c r="L488" s="78">
        <f t="shared" si="289"/>
        <v>0</v>
      </c>
      <c r="M488" s="78">
        <f t="shared" si="289"/>
        <v>0</v>
      </c>
      <c r="N488" s="78">
        <f t="shared" si="289"/>
        <v>0</v>
      </c>
      <c r="O488" s="78">
        <f t="shared" si="289"/>
        <v>0</v>
      </c>
      <c r="P488" s="78">
        <f t="shared" si="289"/>
        <v>0</v>
      </c>
      <c r="Q488" s="78">
        <f t="shared" si="289"/>
        <v>0</v>
      </c>
      <c r="R488" s="78">
        <f t="shared" si="289"/>
        <v>0</v>
      </c>
      <c r="S488" s="78">
        <f t="shared" si="289"/>
        <v>0</v>
      </c>
      <c r="T488" s="78">
        <f t="shared" si="289"/>
        <v>0</v>
      </c>
      <c r="U488" s="78">
        <f t="shared" si="289"/>
        <v>0</v>
      </c>
      <c r="V488" s="78">
        <f t="shared" si="289"/>
        <v>0</v>
      </c>
      <c r="W488" s="78">
        <f t="shared" si="289"/>
        <v>0</v>
      </c>
      <c r="X488" s="78">
        <f t="shared" si="289"/>
        <v>0</v>
      </c>
      <c r="Y488" s="78">
        <f t="shared" si="289"/>
        <v>0</v>
      </c>
      <c r="Z488" s="78">
        <f t="shared" si="289"/>
        <v>0</v>
      </c>
      <c r="AA488" s="88">
        <f>SUM(F478:Z478)*F487-SUM(F488:Z488)</f>
        <v>0</v>
      </c>
    </row>
    <row r="489" spans="1:28" outlineLevel="1" x14ac:dyDescent="0.25">
      <c r="A489" s="39" t="str">
        <f t="shared" si="248"/>
        <v>XCMG 240</v>
      </c>
      <c r="B489" s="39"/>
      <c r="D489" s="31" t="s">
        <v>68</v>
      </c>
      <c r="E489" s="9" t="s">
        <v>69</v>
      </c>
      <c r="F489" s="78">
        <f>SUMIFS('ФОТ, МТР, макро'!$AA$4:$AA$20,'ФОТ, МТР, макро'!$W$4:$W$20,$A489)</f>
        <v>2985.3815355000002</v>
      </c>
      <c r="G489" s="89">
        <f>F489</f>
        <v>2985.3815355000002</v>
      </c>
      <c r="H489" s="89">
        <f t="shared" ref="H489" si="290">G489</f>
        <v>2985.3815355000002</v>
      </c>
      <c r="I489" s="89">
        <f t="shared" ref="I489" si="291">H489</f>
        <v>2985.3815355000002</v>
      </c>
      <c r="J489" s="89">
        <f t="shared" ref="J489" si="292">I489</f>
        <v>2985.3815355000002</v>
      </c>
      <c r="K489" s="89">
        <f t="shared" ref="K489" si="293">J489</f>
        <v>2985.3815355000002</v>
      </c>
      <c r="L489" s="89">
        <f t="shared" ref="L489" si="294">K489</f>
        <v>2985.3815355000002</v>
      </c>
      <c r="M489" s="89">
        <f t="shared" ref="M489" si="295">L489</f>
        <v>2985.3815355000002</v>
      </c>
      <c r="N489" s="89">
        <f t="shared" ref="N489" si="296">M489</f>
        <v>2985.3815355000002</v>
      </c>
      <c r="O489" s="89">
        <f t="shared" ref="O489" si="297">N489</f>
        <v>2985.3815355000002</v>
      </c>
      <c r="P489" s="89">
        <f t="shared" ref="P489" si="298">O489</f>
        <v>2985.3815355000002</v>
      </c>
      <c r="Q489" s="89">
        <f t="shared" ref="Q489" si="299">P489</f>
        <v>2985.3815355000002</v>
      </c>
      <c r="R489" s="89">
        <f t="shared" ref="R489" si="300">Q489</f>
        <v>2985.3815355000002</v>
      </c>
      <c r="S489" s="89">
        <f t="shared" ref="S489" si="301">R489</f>
        <v>2985.3815355000002</v>
      </c>
      <c r="T489" s="89">
        <f t="shared" ref="T489" si="302">S489</f>
        <v>2985.3815355000002</v>
      </c>
      <c r="U489" s="89">
        <f t="shared" ref="U489" si="303">T489</f>
        <v>2985.3815355000002</v>
      </c>
      <c r="V489" s="89">
        <f t="shared" ref="V489" si="304">U489</f>
        <v>2985.3815355000002</v>
      </c>
      <c r="W489" s="89">
        <f t="shared" ref="W489" si="305">V489</f>
        <v>2985.3815355000002</v>
      </c>
      <c r="X489" s="89">
        <f t="shared" ref="X489" si="306">W489</f>
        <v>2985.3815355000002</v>
      </c>
      <c r="Y489" s="89">
        <f t="shared" ref="Y489" si="307">X489</f>
        <v>2985.3815355000002</v>
      </c>
      <c r="Z489" s="89">
        <f t="shared" ref="Z489" si="308">Y489</f>
        <v>2985.3815355000002</v>
      </c>
    </row>
    <row r="490" spans="1:28" outlineLevel="1" x14ac:dyDescent="0.25">
      <c r="A490" s="39" t="str">
        <f t="shared" si="248"/>
        <v>XCMG 240</v>
      </c>
      <c r="B490" s="39"/>
      <c r="D490" s="67" t="s">
        <v>70</v>
      </c>
      <c r="E490" s="68" t="str">
        <f>E480</f>
        <v>тыс. руб.</v>
      </c>
      <c r="F490" s="89"/>
      <c r="G490" s="85">
        <f>G493*G494</f>
        <v>0</v>
      </c>
      <c r="H490" s="85">
        <f t="shared" ref="H490:Z490" si="309">H493*H494</f>
        <v>0</v>
      </c>
      <c r="I490" s="85">
        <f t="shared" si="309"/>
        <v>0</v>
      </c>
      <c r="J490" s="85">
        <f t="shared" si="309"/>
        <v>0</v>
      </c>
      <c r="K490" s="85">
        <f t="shared" si="309"/>
        <v>0</v>
      </c>
      <c r="L490" s="85">
        <f t="shared" si="309"/>
        <v>0</v>
      </c>
      <c r="M490" s="85">
        <f t="shared" si="309"/>
        <v>0</v>
      </c>
      <c r="N490" s="85">
        <f t="shared" si="309"/>
        <v>0</v>
      </c>
      <c r="O490" s="85">
        <f t="shared" si="309"/>
        <v>0</v>
      </c>
      <c r="P490" s="85">
        <f t="shared" si="309"/>
        <v>0</v>
      </c>
      <c r="Q490" s="85">
        <f t="shared" si="309"/>
        <v>0</v>
      </c>
      <c r="R490" s="85">
        <f t="shared" si="309"/>
        <v>0</v>
      </c>
      <c r="S490" s="85">
        <f t="shared" si="309"/>
        <v>0</v>
      </c>
      <c r="T490" s="85">
        <f t="shared" si="309"/>
        <v>0</v>
      </c>
      <c r="U490" s="85">
        <f t="shared" si="309"/>
        <v>0</v>
      </c>
      <c r="V490" s="85">
        <f t="shared" si="309"/>
        <v>0</v>
      </c>
      <c r="W490" s="85">
        <f t="shared" si="309"/>
        <v>0</v>
      </c>
      <c r="X490" s="85">
        <f t="shared" si="309"/>
        <v>0</v>
      </c>
      <c r="Y490" s="85">
        <f t="shared" si="309"/>
        <v>0</v>
      </c>
      <c r="Z490" s="85">
        <f t="shared" si="309"/>
        <v>0</v>
      </c>
    </row>
    <row r="491" spans="1:28" outlineLevel="1" x14ac:dyDescent="0.25">
      <c r="A491" s="39" t="str">
        <f t="shared" si="248"/>
        <v>XCMG 240</v>
      </c>
      <c r="B491" s="39"/>
      <c r="D491" s="31" t="s">
        <v>64</v>
      </c>
      <c r="E491" s="77" t="str">
        <f>VLOOKUP($A491,'ФОТ, МТР, макро'!$N$4:$Q$20,4,FALSE)</f>
        <v>г/ткм</v>
      </c>
      <c r="F491" s="90">
        <f>IF($E491="г/ткм",SUMIFS('ФОТ, МТР, макро'!$O$4:$O$20,'ФОТ, МТР, макро'!$N$4:$N$20,$A491),SUMIFS('ФОТ, МТР, макро'!$P$4:$P$20,'ФОТ, МТР, макро'!$N$4:$N$20,$A491))</f>
        <v>90</v>
      </c>
      <c r="G491" s="91">
        <f>F491</f>
        <v>90</v>
      </c>
      <c r="H491" s="91">
        <f t="shared" ref="H491" si="310">G491</f>
        <v>90</v>
      </c>
      <c r="I491" s="91">
        <f t="shared" ref="I491" si="311">H491</f>
        <v>90</v>
      </c>
      <c r="J491" s="91">
        <f t="shared" ref="J491" si="312">I491</f>
        <v>90</v>
      </c>
      <c r="K491" s="91">
        <f t="shared" ref="K491" si="313">J491</f>
        <v>90</v>
      </c>
      <c r="L491" s="91">
        <f t="shared" ref="L491" si="314">K491</f>
        <v>90</v>
      </c>
      <c r="M491" s="91">
        <f t="shared" ref="M491" si="315">L491</f>
        <v>90</v>
      </c>
      <c r="N491" s="91">
        <f t="shared" ref="N491" si="316">M491</f>
        <v>90</v>
      </c>
      <c r="O491" s="91">
        <f t="shared" ref="O491" si="317">N491</f>
        <v>90</v>
      </c>
      <c r="P491" s="91">
        <f t="shared" ref="P491" si="318">O491</f>
        <v>90</v>
      </c>
      <c r="Q491" s="91">
        <f t="shared" ref="Q491" si="319">P491</f>
        <v>90</v>
      </c>
      <c r="R491" s="91">
        <f t="shared" ref="R491" si="320">Q491</f>
        <v>90</v>
      </c>
      <c r="S491" s="91">
        <f t="shared" ref="S491" si="321">R491</f>
        <v>90</v>
      </c>
      <c r="T491" s="91">
        <f t="shared" ref="T491" si="322">S491</f>
        <v>90</v>
      </c>
      <c r="U491" s="91">
        <f t="shared" ref="U491" si="323">T491</f>
        <v>90</v>
      </c>
      <c r="V491" s="91">
        <f t="shared" ref="V491" si="324">U491</f>
        <v>90</v>
      </c>
      <c r="W491" s="91">
        <f t="shared" ref="W491" si="325">V491</f>
        <v>90</v>
      </c>
      <c r="X491" s="91">
        <f t="shared" ref="X491" si="326">W491</f>
        <v>90</v>
      </c>
      <c r="Y491" s="91">
        <f t="shared" ref="Y491" si="327">X491</f>
        <v>90</v>
      </c>
      <c r="Z491" s="91">
        <f t="shared" ref="Z491" si="328">Y491</f>
        <v>90</v>
      </c>
    </row>
    <row r="492" spans="1:28" outlineLevel="1" x14ac:dyDescent="0.25">
      <c r="A492" s="39" t="str">
        <f t="shared" si="248"/>
        <v>XCMG 240</v>
      </c>
      <c r="B492" s="39"/>
      <c r="D492" s="93" t="s">
        <v>71</v>
      </c>
      <c r="E492" s="94" t="str">
        <f>IF(E491='ФОТ, МТР, макро'!$O$4,'ФОТ, МТР, макро'!$P$4,'ФОТ, МТР, макро'!$O$4)</f>
        <v>л/час</v>
      </c>
      <c r="F492" s="95"/>
      <c r="G492" s="96" t="e">
        <f>IF($E491="г/ткм",G493*1000/(365*24*G474),G493/G476*1000)</f>
        <v>#DIV/0!</v>
      </c>
      <c r="H492" s="96" t="e">
        <f t="shared" ref="H492:Z492" si="329">IF($E491="г/ткм",H493*1000/(365*24*H474),H493/H476*1000)</f>
        <v>#DIV/0!</v>
      </c>
      <c r="I492" s="96" t="e">
        <f t="shared" si="329"/>
        <v>#DIV/0!</v>
      </c>
      <c r="J492" s="96" t="e">
        <f t="shared" si="329"/>
        <v>#DIV/0!</v>
      </c>
      <c r="K492" s="96" t="e">
        <f t="shared" si="329"/>
        <v>#DIV/0!</v>
      </c>
      <c r="L492" s="96" t="e">
        <f t="shared" si="329"/>
        <v>#DIV/0!</v>
      </c>
      <c r="M492" s="96" t="e">
        <f t="shared" si="329"/>
        <v>#DIV/0!</v>
      </c>
      <c r="N492" s="96" t="e">
        <f t="shared" si="329"/>
        <v>#DIV/0!</v>
      </c>
      <c r="O492" s="96" t="e">
        <f t="shared" si="329"/>
        <v>#DIV/0!</v>
      </c>
      <c r="P492" s="96" t="e">
        <f t="shared" si="329"/>
        <v>#DIV/0!</v>
      </c>
      <c r="Q492" s="96" t="e">
        <f t="shared" si="329"/>
        <v>#DIV/0!</v>
      </c>
      <c r="R492" s="96" t="e">
        <f t="shared" si="329"/>
        <v>#DIV/0!</v>
      </c>
      <c r="S492" s="96" t="e">
        <f t="shared" si="329"/>
        <v>#DIV/0!</v>
      </c>
      <c r="T492" s="96" t="e">
        <f t="shared" si="329"/>
        <v>#DIV/0!</v>
      </c>
      <c r="U492" s="96" t="e">
        <f t="shared" si="329"/>
        <v>#DIV/0!</v>
      </c>
      <c r="V492" s="96" t="e">
        <f t="shared" si="329"/>
        <v>#DIV/0!</v>
      </c>
      <c r="W492" s="96" t="e">
        <f t="shared" si="329"/>
        <v>#DIV/0!</v>
      </c>
      <c r="X492" s="96" t="e">
        <f t="shared" si="329"/>
        <v>#DIV/0!</v>
      </c>
      <c r="Y492" s="96" t="e">
        <f t="shared" si="329"/>
        <v>#DIV/0!</v>
      </c>
      <c r="Z492" s="96" t="e">
        <f t="shared" si="329"/>
        <v>#DIV/0!</v>
      </c>
    </row>
    <row r="493" spans="1:28" outlineLevel="1" x14ac:dyDescent="0.25">
      <c r="A493" s="39" t="str">
        <f t="shared" si="248"/>
        <v>XCMG 240</v>
      </c>
      <c r="B493" s="39"/>
      <c r="D493" s="31" t="s">
        <v>66</v>
      </c>
      <c r="E493" s="9" t="s">
        <v>11</v>
      </c>
      <c r="F493" s="89"/>
      <c r="G493" s="78">
        <f>IF($E491="г/ткм",G476*G491/1000,365*24*G474*G491*0.85/1000)</f>
        <v>0</v>
      </c>
      <c r="H493" s="78">
        <f t="shared" ref="H493:Z493" si="330">IF($E491="г/ткм",H476*H491/1000,365*24*H474*H491*0.85/1000)</f>
        <v>0</v>
      </c>
      <c r="I493" s="78">
        <f t="shared" si="330"/>
        <v>0</v>
      </c>
      <c r="J493" s="78">
        <f t="shared" si="330"/>
        <v>0</v>
      </c>
      <c r="K493" s="78">
        <f t="shared" si="330"/>
        <v>0</v>
      </c>
      <c r="L493" s="78">
        <f t="shared" si="330"/>
        <v>0</v>
      </c>
      <c r="M493" s="78">
        <f t="shared" si="330"/>
        <v>0</v>
      </c>
      <c r="N493" s="78">
        <f t="shared" si="330"/>
        <v>0</v>
      </c>
      <c r="O493" s="78">
        <f t="shared" si="330"/>
        <v>0</v>
      </c>
      <c r="P493" s="78">
        <f t="shared" si="330"/>
        <v>0</v>
      </c>
      <c r="Q493" s="78">
        <f t="shared" si="330"/>
        <v>0</v>
      </c>
      <c r="R493" s="78">
        <f t="shared" si="330"/>
        <v>0</v>
      </c>
      <c r="S493" s="78">
        <f t="shared" si="330"/>
        <v>0</v>
      </c>
      <c r="T493" s="78">
        <f t="shared" si="330"/>
        <v>0</v>
      </c>
      <c r="U493" s="78">
        <f t="shared" si="330"/>
        <v>0</v>
      </c>
      <c r="V493" s="78">
        <f t="shared" si="330"/>
        <v>0</v>
      </c>
      <c r="W493" s="78">
        <f t="shared" si="330"/>
        <v>0</v>
      </c>
      <c r="X493" s="78">
        <f t="shared" si="330"/>
        <v>0</v>
      </c>
      <c r="Y493" s="78">
        <f t="shared" si="330"/>
        <v>0</v>
      </c>
      <c r="Z493" s="78">
        <f t="shared" si="330"/>
        <v>0</v>
      </c>
    </row>
    <row r="494" spans="1:28" outlineLevel="1" x14ac:dyDescent="0.25">
      <c r="A494" s="39" t="str">
        <f t="shared" si="248"/>
        <v>XCMG 240</v>
      </c>
      <c r="B494" s="39"/>
      <c r="D494" s="31" t="s">
        <v>68</v>
      </c>
      <c r="E494" s="9" t="s">
        <v>72</v>
      </c>
      <c r="F494" s="78">
        <f>'ФОТ, МТР, макро'!$G$2</f>
        <v>66.018919487352079</v>
      </c>
      <c r="G494" s="89">
        <f>F494</f>
        <v>66.018919487352079</v>
      </c>
      <c r="H494" s="89">
        <f t="shared" ref="H494" si="331">G494</f>
        <v>66.018919487352079</v>
      </c>
      <c r="I494" s="89">
        <f t="shared" ref="I494" si="332">H494</f>
        <v>66.018919487352079</v>
      </c>
      <c r="J494" s="89">
        <f t="shared" ref="J494" si="333">I494</f>
        <v>66.018919487352079</v>
      </c>
      <c r="K494" s="89">
        <f t="shared" ref="K494" si="334">J494</f>
        <v>66.018919487352079</v>
      </c>
      <c r="L494" s="89">
        <f t="shared" ref="L494" si="335">K494</f>
        <v>66.018919487352079</v>
      </c>
      <c r="M494" s="89">
        <f t="shared" ref="M494" si="336">L494</f>
        <v>66.018919487352079</v>
      </c>
      <c r="N494" s="89">
        <f t="shared" ref="N494" si="337">M494</f>
        <v>66.018919487352079</v>
      </c>
      <c r="O494" s="89">
        <f t="shared" ref="O494" si="338">N494</f>
        <v>66.018919487352079</v>
      </c>
      <c r="P494" s="89">
        <f t="shared" ref="P494" si="339">O494</f>
        <v>66.018919487352079</v>
      </c>
      <c r="Q494" s="89">
        <f t="shared" ref="Q494" si="340">P494</f>
        <v>66.018919487352079</v>
      </c>
      <c r="R494" s="89">
        <f t="shared" ref="R494" si="341">Q494</f>
        <v>66.018919487352079</v>
      </c>
      <c r="S494" s="89">
        <f t="shared" ref="S494" si="342">R494</f>
        <v>66.018919487352079</v>
      </c>
      <c r="T494" s="89">
        <f t="shared" ref="T494" si="343">S494</f>
        <v>66.018919487352079</v>
      </c>
      <c r="U494" s="89">
        <f t="shared" ref="U494" si="344">T494</f>
        <v>66.018919487352079</v>
      </c>
      <c r="V494" s="89">
        <f t="shared" ref="V494" si="345">U494</f>
        <v>66.018919487352079</v>
      </c>
      <c r="W494" s="89">
        <f t="shared" ref="W494" si="346">V494</f>
        <v>66.018919487352079</v>
      </c>
      <c r="X494" s="89">
        <f t="shared" ref="X494" si="347">W494</f>
        <v>66.018919487352079</v>
      </c>
      <c r="Y494" s="89">
        <f t="shared" ref="Y494" si="348">X494</f>
        <v>66.018919487352079</v>
      </c>
      <c r="Z494" s="89">
        <f t="shared" ref="Z494" si="349">Y494</f>
        <v>66.018919487352079</v>
      </c>
      <c r="AB494" s="92"/>
    </row>
    <row r="495" spans="1:28" outlineLevel="1" x14ac:dyDescent="0.25">
      <c r="A495" s="39" t="str">
        <f t="shared" si="248"/>
        <v>XCMG 240</v>
      </c>
      <c r="B495" s="39"/>
      <c r="C495" s="619" t="str">
        <f>C481</f>
        <v>ТО, ТР, ППР</v>
      </c>
      <c r="D495" s="218" t="s">
        <v>73</v>
      </c>
      <c r="E495" s="68" t="str">
        <f>E480</f>
        <v>тыс. руб.</v>
      </c>
      <c r="F495" s="30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8" outlineLevel="1" x14ac:dyDescent="0.25">
      <c r="A496" s="39" t="str">
        <f t="shared" si="248"/>
        <v>XCMG 240</v>
      </c>
      <c r="B496" s="39"/>
      <c r="D496" s="67"/>
      <c r="E496" s="68"/>
      <c r="F496" s="30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8" outlineLevel="1" x14ac:dyDescent="0.25">
      <c r="A497" s="39" t="str">
        <f t="shared" si="248"/>
        <v>XCMG 240</v>
      </c>
      <c r="B497" s="39"/>
      <c r="D497" s="67" t="s">
        <v>74</v>
      </c>
      <c r="E497" s="68" t="str">
        <f>E480</f>
        <v>тыс. руб.</v>
      </c>
      <c r="F497" s="74"/>
      <c r="G497" s="85">
        <f>G498+G499+G500</f>
        <v>0</v>
      </c>
      <c r="H497" s="85">
        <f t="shared" ref="H497:Z497" si="350">H498+H499+H500</f>
        <v>0</v>
      </c>
      <c r="I497" s="85">
        <f t="shared" si="350"/>
        <v>0</v>
      </c>
      <c r="J497" s="85">
        <f t="shared" si="350"/>
        <v>0</v>
      </c>
      <c r="K497" s="85">
        <f t="shared" si="350"/>
        <v>0</v>
      </c>
      <c r="L497" s="85">
        <f t="shared" si="350"/>
        <v>0</v>
      </c>
      <c r="M497" s="85">
        <f t="shared" si="350"/>
        <v>0</v>
      </c>
      <c r="N497" s="85">
        <f t="shared" si="350"/>
        <v>0</v>
      </c>
      <c r="O497" s="85">
        <f t="shared" si="350"/>
        <v>0</v>
      </c>
      <c r="P497" s="85">
        <f t="shared" si="350"/>
        <v>0</v>
      </c>
      <c r="Q497" s="85">
        <f t="shared" si="350"/>
        <v>0</v>
      </c>
      <c r="R497" s="85">
        <f t="shared" si="350"/>
        <v>0</v>
      </c>
      <c r="S497" s="85">
        <f t="shared" si="350"/>
        <v>0</v>
      </c>
      <c r="T497" s="85">
        <f t="shared" si="350"/>
        <v>0</v>
      </c>
      <c r="U497" s="85">
        <f t="shared" si="350"/>
        <v>0</v>
      </c>
      <c r="V497" s="85">
        <f t="shared" si="350"/>
        <v>0</v>
      </c>
      <c r="W497" s="85">
        <f t="shared" si="350"/>
        <v>0</v>
      </c>
      <c r="X497" s="85">
        <f t="shared" si="350"/>
        <v>0</v>
      </c>
      <c r="Y497" s="85">
        <f t="shared" si="350"/>
        <v>0</v>
      </c>
      <c r="Z497" s="85">
        <f t="shared" si="350"/>
        <v>0</v>
      </c>
    </row>
    <row r="498" spans="1:28" outlineLevel="1" x14ac:dyDescent="0.25">
      <c r="A498" s="39" t="str">
        <f t="shared" si="248"/>
        <v>XCMG 240</v>
      </c>
      <c r="B498" s="39"/>
      <c r="D498" s="31" t="s">
        <v>257</v>
      </c>
      <c r="E498" s="9" t="str">
        <f>E497</f>
        <v>тыс. руб.</v>
      </c>
      <c r="F498" s="78">
        <f>'ФОТ, МТР, макро'!$B$4*'ФОТ, МТР, макро'!$B$7</f>
        <v>11107.5</v>
      </c>
      <c r="G498" s="89">
        <f>IF(G475=0,0,$F498)</f>
        <v>0</v>
      </c>
      <c r="H498" s="89">
        <f t="shared" ref="H498:Z498" si="351">IF(H475=0,0,$F498)</f>
        <v>0</v>
      </c>
      <c r="I498" s="89">
        <f t="shared" si="351"/>
        <v>0</v>
      </c>
      <c r="J498" s="89">
        <f t="shared" si="351"/>
        <v>0</v>
      </c>
      <c r="K498" s="89">
        <f t="shared" si="351"/>
        <v>0</v>
      </c>
      <c r="L498" s="89">
        <f t="shared" si="351"/>
        <v>0</v>
      </c>
      <c r="M498" s="89">
        <f t="shared" si="351"/>
        <v>0</v>
      </c>
      <c r="N498" s="89">
        <f t="shared" si="351"/>
        <v>0</v>
      </c>
      <c r="O498" s="89">
        <f t="shared" si="351"/>
        <v>0</v>
      </c>
      <c r="P498" s="89">
        <f t="shared" si="351"/>
        <v>0</v>
      </c>
      <c r="Q498" s="89">
        <f t="shared" si="351"/>
        <v>0</v>
      </c>
      <c r="R498" s="89">
        <f t="shared" si="351"/>
        <v>0</v>
      </c>
      <c r="S498" s="89">
        <f t="shared" si="351"/>
        <v>0</v>
      </c>
      <c r="T498" s="89">
        <f t="shared" si="351"/>
        <v>0</v>
      </c>
      <c r="U498" s="89">
        <f t="shared" si="351"/>
        <v>0</v>
      </c>
      <c r="V498" s="89">
        <f t="shared" si="351"/>
        <v>0</v>
      </c>
      <c r="W498" s="89">
        <f t="shared" si="351"/>
        <v>0</v>
      </c>
      <c r="X498" s="89">
        <f t="shared" si="351"/>
        <v>0</v>
      </c>
      <c r="Y498" s="89">
        <f t="shared" si="351"/>
        <v>0</v>
      </c>
      <c r="Z498" s="89">
        <f t="shared" si="351"/>
        <v>0</v>
      </c>
    </row>
    <row r="499" spans="1:28" outlineLevel="1" x14ac:dyDescent="0.25">
      <c r="A499" s="39" t="str">
        <f t="shared" si="248"/>
        <v>XCMG 240</v>
      </c>
      <c r="B499" s="39"/>
      <c r="D499" s="31" t="s">
        <v>75</v>
      </c>
      <c r="E499" s="9" t="str">
        <f>E497</f>
        <v>тыс. руб.</v>
      </c>
      <c r="F499" s="97">
        <f>'ФОТ, МТР, макро'!$B$5</f>
        <v>0.377</v>
      </c>
      <c r="G499" s="89">
        <f>G498*$F499</f>
        <v>0</v>
      </c>
      <c r="H499" s="89">
        <f t="shared" ref="H499:Z499" si="352">H498*$F499</f>
        <v>0</v>
      </c>
      <c r="I499" s="89">
        <f t="shared" si="352"/>
        <v>0</v>
      </c>
      <c r="J499" s="89">
        <f t="shared" si="352"/>
        <v>0</v>
      </c>
      <c r="K499" s="89">
        <f t="shared" si="352"/>
        <v>0</v>
      </c>
      <c r="L499" s="89">
        <f t="shared" si="352"/>
        <v>0</v>
      </c>
      <c r="M499" s="89">
        <f t="shared" si="352"/>
        <v>0</v>
      </c>
      <c r="N499" s="89">
        <f t="shared" si="352"/>
        <v>0</v>
      </c>
      <c r="O499" s="89">
        <f t="shared" si="352"/>
        <v>0</v>
      </c>
      <c r="P499" s="89">
        <f t="shared" si="352"/>
        <v>0</v>
      </c>
      <c r="Q499" s="89">
        <f t="shared" si="352"/>
        <v>0</v>
      </c>
      <c r="R499" s="89">
        <f t="shared" si="352"/>
        <v>0</v>
      </c>
      <c r="S499" s="89">
        <f t="shared" si="352"/>
        <v>0</v>
      </c>
      <c r="T499" s="89">
        <f t="shared" si="352"/>
        <v>0</v>
      </c>
      <c r="U499" s="89">
        <f t="shared" si="352"/>
        <v>0</v>
      </c>
      <c r="V499" s="89">
        <f t="shared" si="352"/>
        <v>0</v>
      </c>
      <c r="W499" s="89">
        <f t="shared" si="352"/>
        <v>0</v>
      </c>
      <c r="X499" s="89">
        <f t="shared" si="352"/>
        <v>0</v>
      </c>
      <c r="Y499" s="89">
        <f t="shared" si="352"/>
        <v>0</v>
      </c>
      <c r="Z499" s="89">
        <f t="shared" si="352"/>
        <v>0</v>
      </c>
    </row>
    <row r="500" spans="1:28" outlineLevel="1" x14ac:dyDescent="0.25">
      <c r="A500" s="39" t="str">
        <f t="shared" si="248"/>
        <v>XCMG 240</v>
      </c>
      <c r="B500" s="39"/>
      <c r="D500" s="31" t="s">
        <v>76</v>
      </c>
      <c r="E500" s="9"/>
      <c r="F500" s="78">
        <f>'ФОТ, МТР, макро'!$C$13*'ФОТ, МТР, макро'!$B$7</f>
        <v>3180.5687406620973</v>
      </c>
      <c r="G500" s="89">
        <f>IF(G475=0,0,$F500)</f>
        <v>0</v>
      </c>
      <c r="H500" s="89">
        <f t="shared" ref="H500:Z500" si="353">IF(H475=0,0,$F500)</f>
        <v>0</v>
      </c>
      <c r="I500" s="89">
        <f t="shared" si="353"/>
        <v>0</v>
      </c>
      <c r="J500" s="89">
        <f t="shared" si="353"/>
        <v>0</v>
      </c>
      <c r="K500" s="89">
        <f t="shared" si="353"/>
        <v>0</v>
      </c>
      <c r="L500" s="89">
        <f t="shared" si="353"/>
        <v>0</v>
      </c>
      <c r="M500" s="89">
        <f t="shared" si="353"/>
        <v>0</v>
      </c>
      <c r="N500" s="89">
        <f t="shared" si="353"/>
        <v>0</v>
      </c>
      <c r="O500" s="89">
        <f t="shared" si="353"/>
        <v>0</v>
      </c>
      <c r="P500" s="89">
        <f t="shared" si="353"/>
        <v>0</v>
      </c>
      <c r="Q500" s="89">
        <f t="shared" si="353"/>
        <v>0</v>
      </c>
      <c r="R500" s="89">
        <f t="shared" si="353"/>
        <v>0</v>
      </c>
      <c r="S500" s="89">
        <f t="shared" si="353"/>
        <v>0</v>
      </c>
      <c r="T500" s="89">
        <f t="shared" si="353"/>
        <v>0</v>
      </c>
      <c r="U500" s="89">
        <f t="shared" si="353"/>
        <v>0</v>
      </c>
      <c r="V500" s="89">
        <f t="shared" si="353"/>
        <v>0</v>
      </c>
      <c r="W500" s="89">
        <f t="shared" si="353"/>
        <v>0</v>
      </c>
      <c r="X500" s="89">
        <f t="shared" si="353"/>
        <v>0</v>
      </c>
      <c r="Y500" s="89">
        <f t="shared" si="353"/>
        <v>0</v>
      </c>
      <c r="Z500" s="89">
        <f t="shared" si="353"/>
        <v>0</v>
      </c>
    </row>
    <row r="501" spans="1:28" outlineLevel="1" x14ac:dyDescent="0.25">
      <c r="A501" s="39" t="str">
        <f t="shared" si="248"/>
        <v>XCMG 240</v>
      </c>
      <c r="B501" s="39"/>
      <c r="D501" s="98" t="s">
        <v>77</v>
      </c>
      <c r="E501" s="68" t="str">
        <f>E480</f>
        <v>тыс. руб.</v>
      </c>
      <c r="F501" s="74"/>
      <c r="G501" s="85">
        <f>IF(G475=0,0,G502*G503/1000)</f>
        <v>0</v>
      </c>
      <c r="H501" s="85">
        <f t="shared" ref="H501:Z501" si="354">IF(H475=0,0,H502*H503/1000)</f>
        <v>0</v>
      </c>
      <c r="I501" s="85">
        <f t="shared" si="354"/>
        <v>0</v>
      </c>
      <c r="J501" s="85">
        <f t="shared" si="354"/>
        <v>0</v>
      </c>
      <c r="K501" s="85">
        <f t="shared" si="354"/>
        <v>0</v>
      </c>
      <c r="L501" s="85">
        <f t="shared" si="354"/>
        <v>0</v>
      </c>
      <c r="M501" s="85">
        <f t="shared" si="354"/>
        <v>0</v>
      </c>
      <c r="N501" s="85">
        <f t="shared" si="354"/>
        <v>0</v>
      </c>
      <c r="O501" s="85">
        <f t="shared" si="354"/>
        <v>0</v>
      </c>
      <c r="P501" s="85">
        <f t="shared" si="354"/>
        <v>0</v>
      </c>
      <c r="Q501" s="85">
        <f t="shared" si="354"/>
        <v>0</v>
      </c>
      <c r="R501" s="85">
        <f t="shared" si="354"/>
        <v>0</v>
      </c>
      <c r="S501" s="85">
        <f t="shared" si="354"/>
        <v>0</v>
      </c>
      <c r="T501" s="85">
        <f t="shared" si="354"/>
        <v>0</v>
      </c>
      <c r="U501" s="85">
        <f t="shared" si="354"/>
        <v>0</v>
      </c>
      <c r="V501" s="85">
        <f t="shared" si="354"/>
        <v>0</v>
      </c>
      <c r="W501" s="85">
        <f t="shared" si="354"/>
        <v>0</v>
      </c>
      <c r="X501" s="85">
        <f t="shared" si="354"/>
        <v>0</v>
      </c>
      <c r="Y501" s="85">
        <f t="shared" si="354"/>
        <v>0</v>
      </c>
      <c r="Z501" s="85">
        <f t="shared" si="354"/>
        <v>0</v>
      </c>
    </row>
    <row r="502" spans="1:28" outlineLevel="1" x14ac:dyDescent="0.25">
      <c r="A502" s="39" t="str">
        <f t="shared" si="248"/>
        <v>XCMG 240</v>
      </c>
      <c r="B502" s="39"/>
      <c r="D502" s="31" t="s">
        <v>78</v>
      </c>
      <c r="E502" s="9" t="s">
        <v>13</v>
      </c>
      <c r="F502" s="78">
        <f>SUMIFS('ФОТ, МТР, макро'!$AC$4:$AC$20,'ФОТ, МТР, макро'!$W$4:$W$20,$A502)</f>
        <v>0</v>
      </c>
      <c r="G502" s="89">
        <f>F502</f>
        <v>0</v>
      </c>
      <c r="H502" s="89">
        <f t="shared" ref="H502:H503" si="355">G502</f>
        <v>0</v>
      </c>
      <c r="I502" s="89">
        <f t="shared" ref="I502:I503" si="356">H502</f>
        <v>0</v>
      </c>
      <c r="J502" s="89">
        <f t="shared" ref="J502:J503" si="357">I502</f>
        <v>0</v>
      </c>
      <c r="K502" s="89">
        <f t="shared" ref="K502:K503" si="358">J502</f>
        <v>0</v>
      </c>
      <c r="L502" s="89">
        <f t="shared" ref="L502:L503" si="359">K502</f>
        <v>0</v>
      </c>
      <c r="M502" s="89">
        <f t="shared" ref="M502:M503" si="360">L502</f>
        <v>0</v>
      </c>
      <c r="N502" s="89">
        <f t="shared" ref="N502:N503" si="361">M502</f>
        <v>0</v>
      </c>
      <c r="O502" s="89">
        <f t="shared" ref="O502:O503" si="362">N502</f>
        <v>0</v>
      </c>
      <c r="P502" s="89">
        <f t="shared" ref="P502:P503" si="363">O502</f>
        <v>0</v>
      </c>
      <c r="Q502" s="89">
        <f t="shared" ref="Q502:Q503" si="364">P502</f>
        <v>0</v>
      </c>
      <c r="R502" s="89">
        <f t="shared" ref="R502:R503" si="365">Q502</f>
        <v>0</v>
      </c>
      <c r="S502" s="89">
        <f t="shared" ref="S502:S503" si="366">R502</f>
        <v>0</v>
      </c>
      <c r="T502" s="89">
        <f t="shared" ref="T502:T503" si="367">S502</f>
        <v>0</v>
      </c>
      <c r="U502" s="89">
        <f t="shared" ref="U502:U503" si="368">T502</f>
        <v>0</v>
      </c>
      <c r="V502" s="89">
        <f t="shared" ref="V502:V503" si="369">U502</f>
        <v>0</v>
      </c>
      <c r="W502" s="89">
        <f t="shared" ref="W502:W503" si="370">V502</f>
        <v>0</v>
      </c>
      <c r="X502" s="89">
        <f t="shared" ref="X502:X503" si="371">W502</f>
        <v>0</v>
      </c>
      <c r="Y502" s="89">
        <f t="shared" ref="Y502:Y503" si="372">X502</f>
        <v>0</v>
      </c>
      <c r="Z502" s="89">
        <f t="shared" ref="Z502:Z503" si="373">Y502</f>
        <v>0</v>
      </c>
    </row>
    <row r="503" spans="1:28" outlineLevel="1" x14ac:dyDescent="0.25">
      <c r="A503" s="39" t="str">
        <f t="shared" si="248"/>
        <v>XCMG 240</v>
      </c>
      <c r="B503" s="39"/>
      <c r="D503" s="31" t="s">
        <v>79</v>
      </c>
      <c r="E503" s="9" t="s">
        <v>80</v>
      </c>
      <c r="F503" s="78">
        <f>SUMIFS('ФОТ, МТР, макро'!$AD$4:$AD$20,'ФОТ, МТР, макро'!$W$4:$W$20,$A503)</f>
        <v>85</v>
      </c>
      <c r="G503" s="89">
        <f>F503</f>
        <v>85</v>
      </c>
      <c r="H503" s="89">
        <f t="shared" si="355"/>
        <v>85</v>
      </c>
      <c r="I503" s="89">
        <f t="shared" si="356"/>
        <v>85</v>
      </c>
      <c r="J503" s="89">
        <f t="shared" si="357"/>
        <v>85</v>
      </c>
      <c r="K503" s="89">
        <f t="shared" si="358"/>
        <v>85</v>
      </c>
      <c r="L503" s="89">
        <f t="shared" si="359"/>
        <v>85</v>
      </c>
      <c r="M503" s="89">
        <f t="shared" si="360"/>
        <v>85</v>
      </c>
      <c r="N503" s="89">
        <f t="shared" si="361"/>
        <v>85</v>
      </c>
      <c r="O503" s="89">
        <f t="shared" si="362"/>
        <v>85</v>
      </c>
      <c r="P503" s="89">
        <f t="shared" si="363"/>
        <v>85</v>
      </c>
      <c r="Q503" s="89">
        <f t="shared" si="364"/>
        <v>85</v>
      </c>
      <c r="R503" s="89">
        <f t="shared" si="365"/>
        <v>85</v>
      </c>
      <c r="S503" s="89">
        <f t="shared" si="366"/>
        <v>85</v>
      </c>
      <c r="T503" s="89">
        <f t="shared" si="367"/>
        <v>85</v>
      </c>
      <c r="U503" s="89">
        <f t="shared" si="368"/>
        <v>85</v>
      </c>
      <c r="V503" s="89">
        <f t="shared" si="369"/>
        <v>85</v>
      </c>
      <c r="W503" s="89">
        <f t="shared" si="370"/>
        <v>85</v>
      </c>
      <c r="X503" s="89">
        <f t="shared" si="371"/>
        <v>85</v>
      </c>
      <c r="Y503" s="89">
        <f t="shared" si="372"/>
        <v>85</v>
      </c>
      <c r="Z503" s="89">
        <f t="shared" si="373"/>
        <v>85</v>
      </c>
    </row>
    <row r="504" spans="1:28" outlineLevel="1" x14ac:dyDescent="0.25">
      <c r="A504" s="39" t="str">
        <f t="shared" si="248"/>
        <v>XCMG 240</v>
      </c>
      <c r="B504" s="39"/>
      <c r="C504" s="99">
        <f>SUMIFS('ФОТ, МТР, макро'!$AG$4:$AG$20,'ФОТ, МТР, макро'!$W$4:$W$20,$A504)</f>
        <v>14.117647058823531</v>
      </c>
      <c r="D504" s="98" t="s">
        <v>81</v>
      </c>
      <c r="E504" s="68" t="str">
        <f>E480</f>
        <v>тыс. руб.</v>
      </c>
      <c r="F504" s="85"/>
      <c r="G504" s="100">
        <f>IF(G472&lt;=$C505,$F509*$C504%,"ОШИБКА")</f>
        <v>0</v>
      </c>
      <c r="H504" s="75">
        <f>IF(H472&lt;=$C505,$F509*$C504%,$F509-SUM($G504:G504))</f>
        <v>0</v>
      </c>
      <c r="I504" s="75">
        <f>IF(I472&lt;=$C505,$F509*$C504%,$F509-SUM($G504:H504))</f>
        <v>0</v>
      </c>
      <c r="J504" s="75">
        <f>IF(J472&lt;=$C505,$F509*$C504%,$F509-SUM($G504:I504))</f>
        <v>0</v>
      </c>
      <c r="K504" s="75">
        <f>IF(K472&lt;=$C505,$F509*$C504%,$F509-SUM($G504:J504))</f>
        <v>0</v>
      </c>
      <c r="L504" s="75">
        <f>IF(L472&lt;=$C505,$F509*$C504%,$F509-SUM($G504:K504))</f>
        <v>0</v>
      </c>
      <c r="M504" s="75">
        <f>IF(M472&lt;=$C505,$F509*$C504%,$F509-SUM($G504:L504))</f>
        <v>0</v>
      </c>
      <c r="N504" s="75">
        <f>IF(N472&lt;=$C505,$F509*$C504%,$F509-SUM($G504:M504))</f>
        <v>0</v>
      </c>
      <c r="O504" s="75">
        <f>IF(O472&lt;=$C505,$F509*$C504%,$F509-SUM($G504:N504))</f>
        <v>0</v>
      </c>
      <c r="P504" s="75">
        <f>IF(P472&lt;=$C505,$F509*$C504%,$F509-SUM($G504:O504))</f>
        <v>0</v>
      </c>
      <c r="Q504" s="75">
        <f>IF(Q472&lt;=$C505,$F509*$C504%,$F509-SUM($G504:P504))</f>
        <v>0</v>
      </c>
      <c r="R504" s="75">
        <f>IF(R472&lt;=$C505,$F509*$C504%,$F509-SUM($G504:Q504))</f>
        <v>0</v>
      </c>
      <c r="S504" s="75">
        <f>IF(S472&lt;=$C505,$F509*$C504%,$F509-SUM($G504:R504))</f>
        <v>0</v>
      </c>
      <c r="T504" s="75">
        <f>IF(T472&lt;=$C505,$F509*$C504%,$F509-SUM($G504:S504))</f>
        <v>0</v>
      </c>
      <c r="U504" s="75">
        <f>IF(U472&lt;=$C505,$F509*$C504%,$F509-SUM($G504:T504))</f>
        <v>0</v>
      </c>
      <c r="V504" s="75">
        <f>IF(V472&lt;=$C505,$F509*$C504%,$F509-SUM($G504:U504))</f>
        <v>0</v>
      </c>
      <c r="W504" s="75">
        <f>IF(W472&lt;=$C505,$F509*$C504%,$F509-SUM($G504:V504))</f>
        <v>0</v>
      </c>
      <c r="X504" s="75">
        <f>IF(X472&lt;=$C505,$F509*$C504%,$F509-SUM($G504:W504))</f>
        <v>0</v>
      </c>
      <c r="Y504" s="75">
        <f>IF(Y472&lt;=$C505,$F509*$C504%,$F509-SUM($G504:X504))</f>
        <v>0</v>
      </c>
      <c r="Z504" s="75">
        <f>IF(Z472&lt;=$C505,$F509*$C504%,$F509-SUM($G504:Y504))</f>
        <v>0</v>
      </c>
      <c r="AA504" s="88">
        <f>F509-SUM(G504:Z504)</f>
        <v>0</v>
      </c>
    </row>
    <row r="505" spans="1:28" outlineLevel="1" x14ac:dyDescent="0.25">
      <c r="A505" s="39" t="str">
        <f t="shared" si="248"/>
        <v>XCMG 240</v>
      </c>
      <c r="B505" s="39"/>
      <c r="C505" s="99">
        <f>SUMIFS('ФОТ, МТР, макро'!$AF$4:$AF$20,'ФОТ, МТР, макро'!$W$4:$W$20,$A505)/12</f>
        <v>7.083333333333333</v>
      </c>
      <c r="D505" s="98" t="s">
        <v>82</v>
      </c>
      <c r="E505" s="68" t="str">
        <f>E480</f>
        <v>тыс. руб.</v>
      </c>
      <c r="F505" s="69"/>
      <c r="G505" s="69">
        <f>SUM(G481,G486,G490,G495,G497,G501,G504)</f>
        <v>0</v>
      </c>
      <c r="H505" s="69">
        <f>SUM(H481,H486,H490,H495,H497,H501,H504)</f>
        <v>0</v>
      </c>
      <c r="I505" s="69">
        <f>SUM(I481,I486,I490,I495,I497,I501,I504)</f>
        <v>0</v>
      </c>
      <c r="J505" s="69">
        <f t="shared" ref="J505:Z505" si="374">SUM(J481,J486,J490,J495,J497,J501,J504)</f>
        <v>0</v>
      </c>
      <c r="K505" s="69">
        <f t="shared" si="374"/>
        <v>0</v>
      </c>
      <c r="L505" s="69">
        <f t="shared" si="374"/>
        <v>0</v>
      </c>
      <c r="M505" s="69">
        <f t="shared" si="374"/>
        <v>0</v>
      </c>
      <c r="N505" s="69">
        <f t="shared" si="374"/>
        <v>0</v>
      </c>
      <c r="O505" s="69">
        <f t="shared" si="374"/>
        <v>0</v>
      </c>
      <c r="P505" s="69">
        <f t="shared" si="374"/>
        <v>0</v>
      </c>
      <c r="Q505" s="69">
        <f t="shared" si="374"/>
        <v>0</v>
      </c>
      <c r="R505" s="69">
        <f t="shared" si="374"/>
        <v>0</v>
      </c>
      <c r="S505" s="69">
        <f t="shared" si="374"/>
        <v>0</v>
      </c>
      <c r="T505" s="69">
        <f t="shared" si="374"/>
        <v>0</v>
      </c>
      <c r="U505" s="69">
        <f t="shared" si="374"/>
        <v>0</v>
      </c>
      <c r="V505" s="69">
        <f t="shared" si="374"/>
        <v>0</v>
      </c>
      <c r="W505" s="69">
        <f t="shared" si="374"/>
        <v>0</v>
      </c>
      <c r="X505" s="69">
        <f t="shared" si="374"/>
        <v>0</v>
      </c>
      <c r="Y505" s="69">
        <f t="shared" si="374"/>
        <v>0</v>
      </c>
      <c r="Z505" s="69">
        <f t="shared" si="374"/>
        <v>0</v>
      </c>
      <c r="AB505" s="42"/>
    </row>
    <row r="506" spans="1:28" outlineLevel="1" x14ac:dyDescent="0.25">
      <c r="A506" s="39" t="str">
        <f t="shared" si="248"/>
        <v>XCMG 240</v>
      </c>
      <c r="B506" s="39"/>
      <c r="D506" s="98" t="s">
        <v>83</v>
      </c>
      <c r="E506" s="68" t="str">
        <f>E480</f>
        <v>тыс. руб.</v>
      </c>
      <c r="F506" s="69"/>
      <c r="G506" s="69">
        <f>-G505*'ФОТ, МТР, макро'!AK$11</f>
        <v>0</v>
      </c>
      <c r="H506" s="69">
        <f>-H505*'ФОТ, МТР, макро'!AL$11</f>
        <v>0</v>
      </c>
      <c r="I506" s="69">
        <f>-I505*'ФОТ, МТР, макро'!AM$11</f>
        <v>0</v>
      </c>
      <c r="J506" s="69">
        <f>-J505*'ФОТ, МТР, макро'!AN$11</f>
        <v>0</v>
      </c>
      <c r="K506" s="69">
        <f>-K505*'ФОТ, МТР, макро'!AO$11</f>
        <v>0</v>
      </c>
      <c r="L506" s="69">
        <f>-L505*'ФОТ, МТР, макро'!AP$11</f>
        <v>0</v>
      </c>
      <c r="M506" s="69">
        <f>-M505*'ФОТ, МТР, макро'!AQ$11</f>
        <v>0</v>
      </c>
      <c r="N506" s="69">
        <f>-N505*'ФОТ, МТР, макро'!AR$11</f>
        <v>0</v>
      </c>
      <c r="O506" s="69">
        <f>-O505*'ФОТ, МТР, макро'!AS$11</f>
        <v>0</v>
      </c>
      <c r="P506" s="69">
        <f>-P505*'ФОТ, МТР, макро'!AT$11</f>
        <v>0</v>
      </c>
      <c r="Q506" s="69">
        <f>-Q505*'ФОТ, МТР, макро'!AU$11</f>
        <v>0</v>
      </c>
      <c r="R506" s="69">
        <f>-R505*'ФОТ, МТР, макро'!AV$11</f>
        <v>0</v>
      </c>
      <c r="S506" s="69">
        <f>-S505*'ФОТ, МТР, макро'!AW$11</f>
        <v>0</v>
      </c>
      <c r="T506" s="69">
        <f>-T505*'ФОТ, МТР, макро'!AX$11</f>
        <v>0</v>
      </c>
      <c r="U506" s="69">
        <f>-U505*'ФОТ, МТР, макро'!AY$11</f>
        <v>0</v>
      </c>
      <c r="V506" s="69">
        <f>-V505*'ФОТ, МТР, макро'!AZ$11</f>
        <v>0</v>
      </c>
      <c r="W506" s="69">
        <f>-W505*'ФОТ, МТР, макро'!BA$11</f>
        <v>0</v>
      </c>
      <c r="X506" s="69">
        <f>-X505*'ФОТ, МТР, макро'!BB$11</f>
        <v>0</v>
      </c>
      <c r="Y506" s="69">
        <f>-Y505*'ФОТ, МТР, макро'!BC$11</f>
        <v>0</v>
      </c>
      <c r="Z506" s="69">
        <f>-Z505*'ФОТ, МТР, макро'!BD$11</f>
        <v>0</v>
      </c>
    </row>
    <row r="507" spans="1:28" outlineLevel="1" x14ac:dyDescent="0.25">
      <c r="A507" s="39" t="str">
        <f t="shared" si="248"/>
        <v>XCMG 240</v>
      </c>
      <c r="B507" s="39"/>
      <c r="D507" s="101"/>
      <c r="E507" s="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8" outlineLevel="1" x14ac:dyDescent="0.25">
      <c r="A508" s="39" t="str">
        <f t="shared" si="248"/>
        <v>XCMG 240</v>
      </c>
      <c r="B508" s="39"/>
      <c r="D508" s="71" t="s">
        <v>84</v>
      </c>
      <c r="E508" s="72" t="str">
        <f>E480</f>
        <v>тыс. руб.</v>
      </c>
      <c r="F508" s="73">
        <f>F509</f>
        <v>0</v>
      </c>
      <c r="G508" s="73">
        <f t="shared" ref="G508:Z508" si="375">G509</f>
        <v>0</v>
      </c>
      <c r="H508" s="73">
        <f t="shared" si="375"/>
        <v>0</v>
      </c>
      <c r="I508" s="73">
        <f t="shared" si="375"/>
        <v>0</v>
      </c>
      <c r="J508" s="73">
        <f t="shared" si="375"/>
        <v>0</v>
      </c>
      <c r="K508" s="73">
        <f t="shared" si="375"/>
        <v>0</v>
      </c>
      <c r="L508" s="73">
        <f t="shared" si="375"/>
        <v>0</v>
      </c>
      <c r="M508" s="73">
        <f t="shared" si="375"/>
        <v>0</v>
      </c>
      <c r="N508" s="73">
        <f t="shared" si="375"/>
        <v>0</v>
      </c>
      <c r="O508" s="73">
        <f t="shared" si="375"/>
        <v>0</v>
      </c>
      <c r="P508" s="73">
        <f t="shared" si="375"/>
        <v>0</v>
      </c>
      <c r="Q508" s="73">
        <f t="shared" si="375"/>
        <v>0</v>
      </c>
      <c r="R508" s="73">
        <f t="shared" si="375"/>
        <v>0</v>
      </c>
      <c r="S508" s="73">
        <f t="shared" si="375"/>
        <v>0</v>
      </c>
      <c r="T508" s="73">
        <f t="shared" si="375"/>
        <v>0</v>
      </c>
      <c r="U508" s="73">
        <f t="shared" si="375"/>
        <v>0</v>
      </c>
      <c r="V508" s="73">
        <f t="shared" si="375"/>
        <v>0</v>
      </c>
      <c r="W508" s="73">
        <f t="shared" si="375"/>
        <v>0</v>
      </c>
      <c r="X508" s="73">
        <f t="shared" si="375"/>
        <v>0</v>
      </c>
      <c r="Y508" s="73">
        <f t="shared" si="375"/>
        <v>0</v>
      </c>
      <c r="Z508" s="73">
        <f t="shared" si="375"/>
        <v>0</v>
      </c>
    </row>
    <row r="509" spans="1:28" outlineLevel="1" x14ac:dyDescent="0.25">
      <c r="A509" s="39" t="str">
        <f t="shared" si="248"/>
        <v>XCMG 240</v>
      </c>
      <c r="B509" s="39"/>
      <c r="D509" s="101" t="s">
        <v>85</v>
      </c>
      <c r="E509" s="9" t="str">
        <f>E508</f>
        <v>тыс. руб.</v>
      </c>
      <c r="F509" s="78">
        <f>SUMIFS(Свод_1!$D$41:$U$41,Свод_1!$D$23:$U$23,$A509)</f>
        <v>0</v>
      </c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8" outlineLevel="1" x14ac:dyDescent="0.25">
      <c r="A510" s="39" t="str">
        <f t="shared" si="248"/>
        <v>XCMG 240</v>
      </c>
      <c r="B510" s="39"/>
      <c r="D510" s="101"/>
      <c r="E510" s="9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8" outlineLevel="1" x14ac:dyDescent="0.25">
      <c r="A511" s="39" t="str">
        <f t="shared" si="248"/>
        <v>XCMG 240</v>
      </c>
      <c r="B511" s="39"/>
      <c r="D511" s="71" t="s">
        <v>86</v>
      </c>
      <c r="E511" s="72" t="str">
        <f>E480</f>
        <v>тыс. руб.</v>
      </c>
      <c r="F511" s="73">
        <f>F480+F508</f>
        <v>0</v>
      </c>
      <c r="G511" s="73">
        <f t="shared" ref="G511:Z511" si="376">G480+G508</f>
        <v>0</v>
      </c>
      <c r="H511" s="73">
        <f t="shared" si="376"/>
        <v>0</v>
      </c>
      <c r="I511" s="73">
        <f t="shared" si="376"/>
        <v>0</v>
      </c>
      <c r="J511" s="73">
        <f t="shared" si="376"/>
        <v>0</v>
      </c>
      <c r="K511" s="73">
        <f t="shared" si="376"/>
        <v>0</v>
      </c>
      <c r="L511" s="73">
        <f t="shared" si="376"/>
        <v>0</v>
      </c>
      <c r="M511" s="73">
        <f t="shared" si="376"/>
        <v>0</v>
      </c>
      <c r="N511" s="73">
        <f t="shared" si="376"/>
        <v>0</v>
      </c>
      <c r="O511" s="73">
        <f t="shared" si="376"/>
        <v>0</v>
      </c>
      <c r="P511" s="73">
        <f t="shared" si="376"/>
        <v>0</v>
      </c>
      <c r="Q511" s="73">
        <f t="shared" si="376"/>
        <v>0</v>
      </c>
      <c r="R511" s="73">
        <f t="shared" si="376"/>
        <v>0</v>
      </c>
      <c r="S511" s="73">
        <f t="shared" si="376"/>
        <v>0</v>
      </c>
      <c r="T511" s="73">
        <f t="shared" si="376"/>
        <v>0</v>
      </c>
      <c r="U511" s="73">
        <f t="shared" si="376"/>
        <v>0</v>
      </c>
      <c r="V511" s="73">
        <f t="shared" si="376"/>
        <v>0</v>
      </c>
      <c r="W511" s="73">
        <f t="shared" si="376"/>
        <v>0</v>
      </c>
      <c r="X511" s="73">
        <f t="shared" si="376"/>
        <v>0</v>
      </c>
      <c r="Y511" s="73">
        <f t="shared" si="376"/>
        <v>0</v>
      </c>
      <c r="Z511" s="73">
        <f t="shared" si="376"/>
        <v>0</v>
      </c>
    </row>
    <row r="512" spans="1:28" outlineLevel="1" x14ac:dyDescent="0.25">
      <c r="A512" s="39" t="str">
        <f t="shared" si="248"/>
        <v>XCMG 240</v>
      </c>
      <c r="B512" s="39"/>
      <c r="D512" s="67" t="s">
        <v>87</v>
      </c>
      <c r="E512" s="68" t="str">
        <f>E511</f>
        <v>тыс. руб.</v>
      </c>
      <c r="F512" s="102"/>
      <c r="G512" s="69">
        <f>G480*'ФОТ, МТР, макро'!AK$13</f>
        <v>0</v>
      </c>
      <c r="H512" s="69">
        <f>H480*'ФОТ, МТР, макро'!AL$13</f>
        <v>0</v>
      </c>
      <c r="I512" s="69">
        <f>I480*'ФОТ, МТР, макро'!AM$13</f>
        <v>0</v>
      </c>
      <c r="J512" s="69">
        <f>J480*'ФОТ, МТР, макро'!AN$13</f>
        <v>0</v>
      </c>
      <c r="K512" s="69">
        <f>K480*'ФОТ, МТР, макро'!AO$13</f>
        <v>0</v>
      </c>
      <c r="L512" s="69">
        <f>L480*'ФОТ, МТР, макро'!AP$13</f>
        <v>0</v>
      </c>
      <c r="M512" s="69">
        <f>M480*'ФОТ, МТР, макро'!AQ$13</f>
        <v>0</v>
      </c>
      <c r="N512" s="69">
        <f>N480*'ФОТ, МТР, макро'!AR$13</f>
        <v>0</v>
      </c>
      <c r="O512" s="69">
        <f>O480*'ФОТ, МТР, макро'!AS$13</f>
        <v>0</v>
      </c>
      <c r="P512" s="69">
        <f>P480*'ФОТ, МТР, макро'!AT$13</f>
        <v>0</v>
      </c>
      <c r="Q512" s="69">
        <f>Q480*'ФОТ, МТР, макро'!AU$13</f>
        <v>0</v>
      </c>
      <c r="R512" s="69">
        <f>R480*'ФОТ, МТР, макро'!AV$13</f>
        <v>0</v>
      </c>
      <c r="S512" s="69">
        <f>S480*'ФОТ, МТР, макро'!AW$13</f>
        <v>0</v>
      </c>
      <c r="T512" s="69">
        <f>T480*'ФОТ, МТР, макро'!AX$13</f>
        <v>0</v>
      </c>
      <c r="U512" s="69">
        <f>U480*'ФОТ, МТР, макро'!AY$13</f>
        <v>0</v>
      </c>
      <c r="V512" s="69">
        <f>V480*'ФОТ, МТР, макро'!AZ$13</f>
        <v>0</v>
      </c>
      <c r="W512" s="69">
        <f>W480*'ФОТ, МТР, макро'!BA$13</f>
        <v>0</v>
      </c>
      <c r="X512" s="69">
        <f>X480*'ФОТ, МТР, макро'!BB$13</f>
        <v>0</v>
      </c>
      <c r="Y512" s="69">
        <f>Y480*'ФОТ, МТР, макро'!BC$13</f>
        <v>0</v>
      </c>
      <c r="Z512" s="69">
        <f>Z480*'ФОТ, МТР, макро'!BD$13</f>
        <v>0</v>
      </c>
    </row>
    <row r="513" spans="1:26" outlineLevel="1" x14ac:dyDescent="0.25">
      <c r="A513" s="39" t="str">
        <f t="shared" si="248"/>
        <v>XCMG 240</v>
      </c>
      <c r="B513" s="39"/>
      <c r="D513" s="18" t="str">
        <f>D481</f>
        <v>ТО, ТР, ППР</v>
      </c>
      <c r="E513" s="9" t="str">
        <f>E512</f>
        <v>тыс. руб.</v>
      </c>
      <c r="F513" s="103"/>
      <c r="G513" s="74">
        <f>G481*'ФОТ, МТР, макро'!AK$13</f>
        <v>0</v>
      </c>
      <c r="H513" s="74">
        <f>H481*'ФОТ, МТР, макро'!AL$13</f>
        <v>0</v>
      </c>
      <c r="I513" s="74">
        <f>I481*'ФОТ, МТР, макро'!AM$13</f>
        <v>0</v>
      </c>
      <c r="J513" s="74">
        <f>J481*'ФОТ, МТР, макро'!AN$13</f>
        <v>0</v>
      </c>
      <c r="K513" s="74">
        <f>K481*'ФОТ, МТР, макро'!AO$13</f>
        <v>0</v>
      </c>
      <c r="L513" s="74">
        <f>L481*'ФОТ, МТР, макро'!AP$13</f>
        <v>0</v>
      </c>
      <c r="M513" s="74">
        <f>M481*'ФОТ, МТР, макро'!AQ$13</f>
        <v>0</v>
      </c>
      <c r="N513" s="74">
        <f>N481*'ФОТ, МТР, макро'!AR$13</f>
        <v>0</v>
      </c>
      <c r="O513" s="74">
        <f>O481*'ФОТ, МТР, макро'!AS$13</f>
        <v>0</v>
      </c>
      <c r="P513" s="74">
        <f>P481*'ФОТ, МТР, макро'!AT$13</f>
        <v>0</v>
      </c>
      <c r="Q513" s="74">
        <f>Q481*'ФОТ, МТР, макро'!AU$13</f>
        <v>0</v>
      </c>
      <c r="R513" s="74">
        <f>R481*'ФОТ, МТР, макро'!AV$13</f>
        <v>0</v>
      </c>
      <c r="S513" s="74">
        <f>S481*'ФОТ, МТР, макро'!AW$13</f>
        <v>0</v>
      </c>
      <c r="T513" s="74">
        <f>T481*'ФОТ, МТР, макро'!AX$13</f>
        <v>0</v>
      </c>
      <c r="U513" s="74">
        <f>U481*'ФОТ, МТР, макро'!AY$13</f>
        <v>0</v>
      </c>
      <c r="V513" s="74">
        <f>V481*'ФОТ, МТР, макро'!AZ$13</f>
        <v>0</v>
      </c>
      <c r="W513" s="74">
        <f>W481*'ФОТ, МТР, макро'!BA$13</f>
        <v>0</v>
      </c>
      <c r="X513" s="74">
        <f>X481*'ФОТ, МТР, макро'!BB$13</f>
        <v>0</v>
      </c>
      <c r="Y513" s="74">
        <f>Y481*'ФОТ, МТР, макро'!BC$13</f>
        <v>0</v>
      </c>
      <c r="Z513" s="74">
        <f>Z481*'ФОТ, МТР, макро'!BD$13</f>
        <v>0</v>
      </c>
    </row>
    <row r="514" spans="1:26" outlineLevel="1" x14ac:dyDescent="0.25">
      <c r="A514" s="39" t="str">
        <f t="shared" si="248"/>
        <v>XCMG 240</v>
      </c>
      <c r="B514" s="39"/>
      <c r="D514" s="18" t="str">
        <f>D486</f>
        <v>Шины</v>
      </c>
      <c r="E514" s="9" t="str">
        <f t="shared" ref="E514:E519" si="377">E513</f>
        <v>тыс. руб.</v>
      </c>
      <c r="F514" s="103"/>
      <c r="G514" s="74">
        <f>G486*'ФОТ, МТР, макро'!AK$13</f>
        <v>0</v>
      </c>
      <c r="H514" s="74">
        <f>H486*'ФОТ, МТР, макро'!AL$13</f>
        <v>0</v>
      </c>
      <c r="I514" s="74">
        <f>I486*'ФОТ, МТР, макро'!AM$13</f>
        <v>0</v>
      </c>
      <c r="J514" s="74">
        <f>J486*'ФОТ, МТР, макро'!AN$13</f>
        <v>0</v>
      </c>
      <c r="K514" s="74">
        <f>K486*'ФОТ, МТР, макро'!AO$13</f>
        <v>0</v>
      </c>
      <c r="L514" s="74">
        <f>L486*'ФОТ, МТР, макро'!AP$13</f>
        <v>0</v>
      </c>
      <c r="M514" s="74">
        <f>M486*'ФОТ, МТР, макро'!AQ$13</f>
        <v>0</v>
      </c>
      <c r="N514" s="74">
        <f>N486*'ФОТ, МТР, макро'!AR$13</f>
        <v>0</v>
      </c>
      <c r="O514" s="74">
        <f>O486*'ФОТ, МТР, макро'!AS$13</f>
        <v>0</v>
      </c>
      <c r="P514" s="74">
        <f>P486*'ФОТ, МТР, макро'!AT$13</f>
        <v>0</v>
      </c>
      <c r="Q514" s="74">
        <f>Q486*'ФОТ, МТР, макро'!AU$13</f>
        <v>0</v>
      </c>
      <c r="R514" s="74">
        <f>R486*'ФОТ, МТР, макро'!AV$13</f>
        <v>0</v>
      </c>
      <c r="S514" s="74">
        <f>S486*'ФОТ, МТР, макро'!AW$13</f>
        <v>0</v>
      </c>
      <c r="T514" s="74">
        <f>T486*'ФОТ, МТР, макро'!AX$13</f>
        <v>0</v>
      </c>
      <c r="U514" s="74">
        <f>U486*'ФОТ, МТР, макро'!AY$13</f>
        <v>0</v>
      </c>
      <c r="V514" s="74">
        <f>V486*'ФОТ, МТР, макро'!AZ$13</f>
        <v>0</v>
      </c>
      <c r="W514" s="74">
        <f>W486*'ФОТ, МТР, макро'!BA$13</f>
        <v>0</v>
      </c>
      <c r="X514" s="74">
        <f>X486*'ФОТ, МТР, макро'!BB$13</f>
        <v>0</v>
      </c>
      <c r="Y514" s="74">
        <f>Y486*'ФОТ, МТР, макро'!BC$13</f>
        <v>0</v>
      </c>
      <c r="Z514" s="74">
        <f>Z486*'ФОТ, МТР, макро'!BD$13</f>
        <v>0</v>
      </c>
    </row>
    <row r="515" spans="1:26" outlineLevel="1" x14ac:dyDescent="0.25">
      <c r="A515" s="39" t="str">
        <f t="shared" si="248"/>
        <v>XCMG 240</v>
      </c>
      <c r="B515" s="39"/>
      <c r="D515" s="18" t="str">
        <f>D490</f>
        <v>Топливо</v>
      </c>
      <c r="E515" s="9" t="str">
        <f t="shared" si="377"/>
        <v>тыс. руб.</v>
      </c>
      <c r="F515" s="103"/>
      <c r="G515" s="74">
        <f>G490*'ФОТ, МТР, макро'!AK$13</f>
        <v>0</v>
      </c>
      <c r="H515" s="74">
        <f>H490*'ФОТ, МТР, макро'!AL$13</f>
        <v>0</v>
      </c>
      <c r="I515" s="74">
        <f>I490*'ФОТ, МТР, макро'!AM$13</f>
        <v>0</v>
      </c>
      <c r="J515" s="74">
        <f>J490*'ФОТ, МТР, макро'!AN$13</f>
        <v>0</v>
      </c>
      <c r="K515" s="74">
        <f>K490*'ФОТ, МТР, макро'!AO$13</f>
        <v>0</v>
      </c>
      <c r="L515" s="74">
        <f>L490*'ФОТ, МТР, макро'!AP$13</f>
        <v>0</v>
      </c>
      <c r="M515" s="74">
        <f>M490*'ФОТ, МТР, макро'!AQ$13</f>
        <v>0</v>
      </c>
      <c r="N515" s="74">
        <f>N490*'ФОТ, МТР, макро'!AR$13</f>
        <v>0</v>
      </c>
      <c r="O515" s="74">
        <f>O490*'ФОТ, МТР, макро'!AS$13</f>
        <v>0</v>
      </c>
      <c r="P515" s="74">
        <f>P490*'ФОТ, МТР, макро'!AT$13</f>
        <v>0</v>
      </c>
      <c r="Q515" s="74">
        <f>Q490*'ФОТ, МТР, макро'!AU$13</f>
        <v>0</v>
      </c>
      <c r="R515" s="74">
        <f>R490*'ФОТ, МТР, макро'!AV$13</f>
        <v>0</v>
      </c>
      <c r="S515" s="74">
        <f>S490*'ФОТ, МТР, макро'!AW$13</f>
        <v>0</v>
      </c>
      <c r="T515" s="74">
        <f>T490*'ФОТ, МТР, макро'!AX$13</f>
        <v>0</v>
      </c>
      <c r="U515" s="74">
        <f>U490*'ФОТ, МТР, макро'!AY$13</f>
        <v>0</v>
      </c>
      <c r="V515" s="74">
        <f>V490*'ФОТ, МТР, макро'!AZ$13</f>
        <v>0</v>
      </c>
      <c r="W515" s="74">
        <f>W490*'ФОТ, МТР, макро'!BA$13</f>
        <v>0</v>
      </c>
      <c r="X515" s="74">
        <f>X490*'ФОТ, МТР, макро'!BB$13</f>
        <v>0</v>
      </c>
      <c r="Y515" s="74">
        <f>Y490*'ФОТ, МТР, макро'!BC$13</f>
        <v>0</v>
      </c>
      <c r="Z515" s="74">
        <f>Z490*'ФОТ, МТР, макро'!BD$13</f>
        <v>0</v>
      </c>
    </row>
    <row r="516" spans="1:26" outlineLevel="1" x14ac:dyDescent="0.25">
      <c r="A516" s="39" t="str">
        <f t="shared" si="248"/>
        <v>XCMG 240</v>
      </c>
      <c r="B516" s="39"/>
      <c r="D516" s="18" t="str">
        <f>D495</f>
        <v>Смазочные</v>
      </c>
      <c r="E516" s="9" t="str">
        <f t="shared" si="377"/>
        <v>тыс. руб.</v>
      </c>
      <c r="F516" s="103"/>
      <c r="G516" s="74">
        <f>G495*'ФОТ, МТР, макро'!AK$13</f>
        <v>0</v>
      </c>
      <c r="H516" s="74">
        <f>H495*'ФОТ, МТР, макро'!AL$13</f>
        <v>0</v>
      </c>
      <c r="I516" s="74">
        <f>I495*'ФОТ, МТР, макро'!AM$13</f>
        <v>0</v>
      </c>
      <c r="J516" s="74">
        <f>J495*'ФОТ, МТР, макро'!AN$13</f>
        <v>0</v>
      </c>
      <c r="K516" s="74">
        <f>K495*'ФОТ, МТР, макро'!AO$13</f>
        <v>0</v>
      </c>
      <c r="L516" s="74">
        <f>L495*'ФОТ, МТР, макро'!AP$13</f>
        <v>0</v>
      </c>
      <c r="M516" s="74">
        <f>M495*'ФОТ, МТР, макро'!AQ$13</f>
        <v>0</v>
      </c>
      <c r="N516" s="74">
        <f>N495*'ФОТ, МТР, макро'!AR$13</f>
        <v>0</v>
      </c>
      <c r="O516" s="74">
        <f>O495*'ФОТ, МТР, макро'!AS$13</f>
        <v>0</v>
      </c>
      <c r="P516" s="74">
        <f>P495*'ФОТ, МТР, макро'!AT$13</f>
        <v>0</v>
      </c>
      <c r="Q516" s="74">
        <f>Q495*'ФОТ, МТР, макро'!AU$13</f>
        <v>0</v>
      </c>
      <c r="R516" s="74">
        <f>R495*'ФОТ, МТР, макро'!AV$13</f>
        <v>0</v>
      </c>
      <c r="S516" s="74">
        <f>S495*'ФОТ, МТР, макро'!AW$13</f>
        <v>0</v>
      </c>
      <c r="T516" s="74">
        <f>T495*'ФОТ, МТР, макро'!AX$13</f>
        <v>0</v>
      </c>
      <c r="U516" s="74">
        <f>U495*'ФОТ, МТР, макро'!AY$13</f>
        <v>0</v>
      </c>
      <c r="V516" s="74">
        <f>V495*'ФОТ, МТР, макро'!AZ$13</f>
        <v>0</v>
      </c>
      <c r="W516" s="74">
        <f>W495*'ФОТ, МТР, макро'!BA$13</f>
        <v>0</v>
      </c>
      <c r="X516" s="74">
        <f>X495*'ФОТ, МТР, макро'!BB$13</f>
        <v>0</v>
      </c>
      <c r="Y516" s="74">
        <f>Y495*'ФОТ, МТР, макро'!BC$13</f>
        <v>0</v>
      </c>
      <c r="Z516" s="74">
        <f>Z495*'ФОТ, МТР, макро'!BD$13</f>
        <v>0</v>
      </c>
    </row>
    <row r="517" spans="1:26" outlineLevel="1" x14ac:dyDescent="0.25">
      <c r="A517" s="39" t="str">
        <f t="shared" si="248"/>
        <v>XCMG 240</v>
      </c>
      <c r="B517" s="39"/>
      <c r="D517" s="18" t="str">
        <f>D497</f>
        <v>Затраты на персонал</v>
      </c>
      <c r="E517" s="9" t="str">
        <f t="shared" si="377"/>
        <v>тыс. руб.</v>
      </c>
      <c r="F517" s="103"/>
      <c r="G517" s="74">
        <f>G497*'ФОТ, МТР, макро'!AK$13</f>
        <v>0</v>
      </c>
      <c r="H517" s="74">
        <f>H497*'ФОТ, МТР, макро'!AL$13</f>
        <v>0</v>
      </c>
      <c r="I517" s="74">
        <f>I497*'ФОТ, МТР, макро'!AM$13</f>
        <v>0</v>
      </c>
      <c r="J517" s="74">
        <f>J497*'ФОТ, МТР, макро'!AN$13</f>
        <v>0</v>
      </c>
      <c r="K517" s="74">
        <f>K497*'ФОТ, МТР, макро'!AO$13</f>
        <v>0</v>
      </c>
      <c r="L517" s="74">
        <f>L497*'ФОТ, МТР, макро'!AP$13</f>
        <v>0</v>
      </c>
      <c r="M517" s="74">
        <f>M497*'ФОТ, МТР, макро'!AQ$13</f>
        <v>0</v>
      </c>
      <c r="N517" s="74">
        <f>N497*'ФОТ, МТР, макро'!AR$13</f>
        <v>0</v>
      </c>
      <c r="O517" s="74">
        <f>O497*'ФОТ, МТР, макро'!AS$13</f>
        <v>0</v>
      </c>
      <c r="P517" s="74">
        <f>P497*'ФОТ, МТР, макро'!AT$13</f>
        <v>0</v>
      </c>
      <c r="Q517" s="74">
        <f>Q497*'ФОТ, МТР, макро'!AU$13</f>
        <v>0</v>
      </c>
      <c r="R517" s="74">
        <f>R497*'ФОТ, МТР, макро'!AV$13</f>
        <v>0</v>
      </c>
      <c r="S517" s="74">
        <f>S497*'ФОТ, МТР, макро'!AW$13</f>
        <v>0</v>
      </c>
      <c r="T517" s="74">
        <f>T497*'ФОТ, МТР, макро'!AX$13</f>
        <v>0</v>
      </c>
      <c r="U517" s="74">
        <f>U497*'ФОТ, МТР, макро'!AY$13</f>
        <v>0</v>
      </c>
      <c r="V517" s="74">
        <f>V497*'ФОТ, МТР, макро'!AZ$13</f>
        <v>0</v>
      </c>
      <c r="W517" s="74">
        <f>W497*'ФОТ, МТР, макро'!BA$13</f>
        <v>0</v>
      </c>
      <c r="X517" s="74">
        <f>X497*'ФОТ, МТР, макро'!BB$13</f>
        <v>0</v>
      </c>
      <c r="Y517" s="74">
        <f>Y497*'ФОТ, МТР, макро'!BC$13</f>
        <v>0</v>
      </c>
      <c r="Z517" s="74">
        <f>Z497*'ФОТ, МТР, макро'!BD$13</f>
        <v>0</v>
      </c>
    </row>
    <row r="518" spans="1:26" outlineLevel="1" x14ac:dyDescent="0.25">
      <c r="A518" s="39" t="str">
        <f t="shared" si="248"/>
        <v>XCMG 240</v>
      </c>
      <c r="B518" s="39"/>
      <c r="D518" s="18" t="str">
        <f>D501</f>
        <v>Транспортный налог</v>
      </c>
      <c r="E518" s="9" t="str">
        <f t="shared" si="377"/>
        <v>тыс. руб.</v>
      </c>
      <c r="F518" s="103"/>
      <c r="G518" s="74">
        <f>G501*'ФОТ, МТР, макро'!AK$13</f>
        <v>0</v>
      </c>
      <c r="H518" s="74">
        <f>H501*'ФОТ, МТР, макро'!AL$13</f>
        <v>0</v>
      </c>
      <c r="I518" s="74">
        <f>I501*'ФОТ, МТР, макро'!AM$13</f>
        <v>0</v>
      </c>
      <c r="J518" s="74">
        <f>J501*'ФОТ, МТР, макро'!AN$13</f>
        <v>0</v>
      </c>
      <c r="K518" s="74">
        <f>K501*'ФОТ, МТР, макро'!AO$13</f>
        <v>0</v>
      </c>
      <c r="L518" s="74">
        <f>L501*'ФОТ, МТР, макро'!AP$13</f>
        <v>0</v>
      </c>
      <c r="M518" s="74">
        <f>M501*'ФОТ, МТР, макро'!AQ$13</f>
        <v>0</v>
      </c>
      <c r="N518" s="74">
        <f>N501*'ФОТ, МТР, макро'!AR$13</f>
        <v>0</v>
      </c>
      <c r="O518" s="74">
        <f>O501*'ФОТ, МТР, макро'!AS$13</f>
        <v>0</v>
      </c>
      <c r="P518" s="74">
        <f>P501*'ФОТ, МТР, макро'!AT$13</f>
        <v>0</v>
      </c>
      <c r="Q518" s="74">
        <f>Q501*'ФОТ, МТР, макро'!AU$13</f>
        <v>0</v>
      </c>
      <c r="R518" s="74">
        <f>R501*'ФОТ, МТР, макро'!AV$13</f>
        <v>0</v>
      </c>
      <c r="S518" s="74">
        <f>S501*'ФОТ, МТР, макро'!AW$13</f>
        <v>0</v>
      </c>
      <c r="T518" s="74">
        <f>T501*'ФОТ, МТР, макро'!AX$13</f>
        <v>0</v>
      </c>
      <c r="U518" s="74">
        <f>U501*'ФОТ, МТР, макро'!AY$13</f>
        <v>0</v>
      </c>
      <c r="V518" s="74">
        <f>V501*'ФОТ, МТР, макро'!AZ$13</f>
        <v>0</v>
      </c>
      <c r="W518" s="74">
        <f>W501*'ФОТ, МТР, макро'!BA$13</f>
        <v>0</v>
      </c>
      <c r="X518" s="74">
        <f>X501*'ФОТ, МТР, макро'!BB$13</f>
        <v>0</v>
      </c>
      <c r="Y518" s="74">
        <f>Y501*'ФОТ, МТР, макро'!BC$13</f>
        <v>0</v>
      </c>
      <c r="Z518" s="74">
        <f>Z501*'ФОТ, МТР, макро'!BD$13</f>
        <v>0</v>
      </c>
    </row>
    <row r="519" spans="1:26" outlineLevel="1" x14ac:dyDescent="0.25">
      <c r="A519" s="39" t="str">
        <f t="shared" si="248"/>
        <v>XCMG 240</v>
      </c>
      <c r="B519" s="39"/>
      <c r="D519" s="18" t="str">
        <f>D506</f>
        <v>Налог на прибыль</v>
      </c>
      <c r="E519" s="9" t="str">
        <f t="shared" si="377"/>
        <v>тыс. руб.</v>
      </c>
      <c r="F519" s="103"/>
      <c r="G519" s="74">
        <f>G506*'ФОТ, МТР, макро'!AK$13</f>
        <v>0</v>
      </c>
      <c r="H519" s="74">
        <f>H506*'ФОТ, МТР, макро'!AL$13</f>
        <v>0</v>
      </c>
      <c r="I519" s="74">
        <f>I506*'ФОТ, МТР, макро'!AM$13</f>
        <v>0</v>
      </c>
      <c r="J519" s="74">
        <f>J506*'ФОТ, МТР, макро'!AN$13</f>
        <v>0</v>
      </c>
      <c r="K519" s="74">
        <f>K506*'ФОТ, МТР, макро'!AO$13</f>
        <v>0</v>
      </c>
      <c r="L519" s="74">
        <f>L506*'ФОТ, МТР, макро'!AP$13</f>
        <v>0</v>
      </c>
      <c r="M519" s="74">
        <f>M506*'ФОТ, МТР, макро'!AQ$13</f>
        <v>0</v>
      </c>
      <c r="N519" s="74">
        <f>N506*'ФОТ, МТР, макро'!AR$13</f>
        <v>0</v>
      </c>
      <c r="O519" s="74">
        <f>O506*'ФОТ, МТР, макро'!AS$13</f>
        <v>0</v>
      </c>
      <c r="P519" s="74">
        <f>P506*'ФОТ, МТР, макро'!AT$13</f>
        <v>0</v>
      </c>
      <c r="Q519" s="74">
        <f>Q506*'ФОТ, МТР, макро'!AU$13</f>
        <v>0</v>
      </c>
      <c r="R519" s="74">
        <f>R506*'ФОТ, МТР, макро'!AV$13</f>
        <v>0</v>
      </c>
      <c r="S519" s="74">
        <f>S506*'ФОТ, МТР, макро'!AW$13</f>
        <v>0</v>
      </c>
      <c r="T519" s="74">
        <f>T506*'ФОТ, МТР, макро'!AX$13</f>
        <v>0</v>
      </c>
      <c r="U519" s="74">
        <f>U506*'ФОТ, МТР, макро'!AY$13</f>
        <v>0</v>
      </c>
      <c r="V519" s="74">
        <f>V506*'ФОТ, МТР, макро'!AZ$13</f>
        <v>0</v>
      </c>
      <c r="W519" s="74">
        <f>W506*'ФОТ, МТР, макро'!BA$13</f>
        <v>0</v>
      </c>
      <c r="X519" s="74">
        <f>X506*'ФОТ, МТР, макро'!BB$13</f>
        <v>0</v>
      </c>
      <c r="Y519" s="74">
        <f>Y506*'ФОТ, МТР, макро'!BC$13</f>
        <v>0</v>
      </c>
      <c r="Z519" s="74">
        <f>Z506*'ФОТ, МТР, макро'!BD$13</f>
        <v>0</v>
      </c>
    </row>
    <row r="520" spans="1:26" outlineLevel="1" x14ac:dyDescent="0.25">
      <c r="A520" s="39" t="str">
        <f t="shared" si="248"/>
        <v>XCMG 240</v>
      </c>
      <c r="B520" s="39"/>
      <c r="D520" s="104" t="s">
        <v>88</v>
      </c>
      <c r="E520" s="9"/>
      <c r="F520" s="105"/>
      <c r="G520" s="106">
        <f>G512-SUM(G513:G519)</f>
        <v>0</v>
      </c>
      <c r="H520" s="106">
        <f t="shared" ref="H520:I520" si="378">H512-SUM(H513:H519)</f>
        <v>0</v>
      </c>
      <c r="I520" s="106">
        <f t="shared" si="378"/>
        <v>0</v>
      </c>
      <c r="J520" s="106">
        <f t="shared" ref="J520:Z520" si="379">J512-SUM(J513:J519)</f>
        <v>0</v>
      </c>
      <c r="K520" s="106">
        <f t="shared" si="379"/>
        <v>0</v>
      </c>
      <c r="L520" s="106">
        <f t="shared" si="379"/>
        <v>0</v>
      </c>
      <c r="M520" s="106">
        <f t="shared" si="379"/>
        <v>0</v>
      </c>
      <c r="N520" s="106">
        <f t="shared" si="379"/>
        <v>0</v>
      </c>
      <c r="O520" s="106">
        <f t="shared" si="379"/>
        <v>0</v>
      </c>
      <c r="P520" s="106">
        <f t="shared" si="379"/>
        <v>0</v>
      </c>
      <c r="Q520" s="106">
        <f t="shared" si="379"/>
        <v>0</v>
      </c>
      <c r="R520" s="106">
        <f t="shared" si="379"/>
        <v>0</v>
      </c>
      <c r="S520" s="106">
        <f t="shared" si="379"/>
        <v>0</v>
      </c>
      <c r="T520" s="106">
        <f t="shared" si="379"/>
        <v>0</v>
      </c>
      <c r="U520" s="106">
        <f t="shared" si="379"/>
        <v>0</v>
      </c>
      <c r="V520" s="106">
        <f t="shared" si="379"/>
        <v>0</v>
      </c>
      <c r="W520" s="106">
        <f t="shared" si="379"/>
        <v>0</v>
      </c>
      <c r="X520" s="106">
        <f t="shared" si="379"/>
        <v>0</v>
      </c>
      <c r="Y520" s="106">
        <f t="shared" si="379"/>
        <v>0</v>
      </c>
      <c r="Z520" s="106">
        <f t="shared" si="379"/>
        <v>0</v>
      </c>
    </row>
    <row r="521" spans="1:26" ht="27.2" outlineLevel="1" x14ac:dyDescent="0.25">
      <c r="A521" s="39" t="str">
        <f t="shared" si="248"/>
        <v>XCMG 240</v>
      </c>
      <c r="B521" s="39"/>
      <c r="D521" s="107" t="s">
        <v>89</v>
      </c>
      <c r="E521" s="68" t="str">
        <f>E512</f>
        <v>тыс. руб.</v>
      </c>
      <c r="F521" s="69">
        <f>F512</f>
        <v>0</v>
      </c>
      <c r="G521" s="69">
        <f>F521+G512</f>
        <v>0</v>
      </c>
      <c r="H521" s="69">
        <f t="shared" ref="H521:H528" si="380">G521+H512</f>
        <v>0</v>
      </c>
      <c r="I521" s="69">
        <f t="shared" ref="I521:I528" si="381">H521+I512</f>
        <v>0</v>
      </c>
      <c r="J521" s="69">
        <f t="shared" ref="J521:J528" si="382">I521+J512</f>
        <v>0</v>
      </c>
      <c r="K521" s="69">
        <f t="shared" ref="K521:K528" si="383">J521+K512</f>
        <v>0</v>
      </c>
      <c r="L521" s="69">
        <f t="shared" ref="L521:L528" si="384">K521+L512</f>
        <v>0</v>
      </c>
      <c r="M521" s="69">
        <f t="shared" ref="M521:M528" si="385">L521+M512</f>
        <v>0</v>
      </c>
      <c r="N521" s="69">
        <f t="shared" ref="N521:N528" si="386">M521+N512</f>
        <v>0</v>
      </c>
      <c r="O521" s="69">
        <f t="shared" ref="O521:O528" si="387">N521+O512</f>
        <v>0</v>
      </c>
      <c r="P521" s="69">
        <f t="shared" ref="P521:P528" si="388">O521+P512</f>
        <v>0</v>
      </c>
      <c r="Q521" s="69">
        <f t="shared" ref="Q521:Q528" si="389">P521+Q512</f>
        <v>0</v>
      </c>
      <c r="R521" s="69">
        <f t="shared" ref="R521:R528" si="390">Q521+R512</f>
        <v>0</v>
      </c>
      <c r="S521" s="69">
        <f t="shared" ref="S521:S528" si="391">R521+S512</f>
        <v>0</v>
      </c>
      <c r="T521" s="69">
        <f t="shared" ref="T521:T528" si="392">S521+T512</f>
        <v>0</v>
      </c>
      <c r="U521" s="69">
        <f t="shared" ref="U521:U528" si="393">T521+U512</f>
        <v>0</v>
      </c>
      <c r="V521" s="69">
        <f t="shared" ref="V521:V528" si="394">U521+V512</f>
        <v>0</v>
      </c>
      <c r="W521" s="69">
        <f t="shared" ref="W521:W528" si="395">V521+W512</f>
        <v>0</v>
      </c>
      <c r="X521" s="69">
        <f t="shared" ref="X521:X528" si="396">W521+X512</f>
        <v>0</v>
      </c>
      <c r="Y521" s="69">
        <f t="shared" ref="Y521:Y528" si="397">X521+Y512</f>
        <v>0</v>
      </c>
      <c r="Z521" s="69">
        <f t="shared" ref="Z521:Z528" si="398">Y521+Z512</f>
        <v>0</v>
      </c>
    </row>
    <row r="522" spans="1:26" outlineLevel="1" x14ac:dyDescent="0.25">
      <c r="A522" s="39" t="str">
        <f t="shared" si="248"/>
        <v>XCMG 240</v>
      </c>
      <c r="B522" s="39"/>
      <c r="D522" s="101" t="str">
        <f>D513</f>
        <v>ТО, ТР, ППР</v>
      </c>
      <c r="E522" s="9" t="str">
        <f>E513</f>
        <v>тыс. руб.</v>
      </c>
      <c r="F522" s="74">
        <f>F513</f>
        <v>0</v>
      </c>
      <c r="G522" s="74">
        <f>F522+G513</f>
        <v>0</v>
      </c>
      <c r="H522" s="74">
        <f t="shared" si="380"/>
        <v>0</v>
      </c>
      <c r="I522" s="74">
        <f t="shared" si="381"/>
        <v>0</v>
      </c>
      <c r="J522" s="74">
        <f t="shared" si="382"/>
        <v>0</v>
      </c>
      <c r="K522" s="74">
        <f t="shared" si="383"/>
        <v>0</v>
      </c>
      <c r="L522" s="74">
        <f t="shared" si="384"/>
        <v>0</v>
      </c>
      <c r="M522" s="74">
        <f t="shared" si="385"/>
        <v>0</v>
      </c>
      <c r="N522" s="74">
        <f t="shared" si="386"/>
        <v>0</v>
      </c>
      <c r="O522" s="74">
        <f t="shared" si="387"/>
        <v>0</v>
      </c>
      <c r="P522" s="74">
        <f t="shared" si="388"/>
        <v>0</v>
      </c>
      <c r="Q522" s="74">
        <f t="shared" si="389"/>
        <v>0</v>
      </c>
      <c r="R522" s="74">
        <f t="shared" si="390"/>
        <v>0</v>
      </c>
      <c r="S522" s="74">
        <f t="shared" si="391"/>
        <v>0</v>
      </c>
      <c r="T522" s="74">
        <f t="shared" si="392"/>
        <v>0</v>
      </c>
      <c r="U522" s="74">
        <f t="shared" si="393"/>
        <v>0</v>
      </c>
      <c r="V522" s="74">
        <f t="shared" si="394"/>
        <v>0</v>
      </c>
      <c r="W522" s="74">
        <f t="shared" si="395"/>
        <v>0</v>
      </c>
      <c r="X522" s="74">
        <f t="shared" si="396"/>
        <v>0</v>
      </c>
      <c r="Y522" s="74">
        <f t="shared" si="397"/>
        <v>0</v>
      </c>
      <c r="Z522" s="74">
        <f t="shared" si="398"/>
        <v>0</v>
      </c>
    </row>
    <row r="523" spans="1:26" outlineLevel="1" x14ac:dyDescent="0.25">
      <c r="A523" s="39" t="str">
        <f t="shared" si="248"/>
        <v>XCMG 240</v>
      </c>
      <c r="B523" s="39"/>
      <c r="D523" s="101" t="str">
        <f t="shared" ref="D523:F523" si="399">D514</f>
        <v>Шины</v>
      </c>
      <c r="E523" s="9" t="str">
        <f t="shared" si="399"/>
        <v>тыс. руб.</v>
      </c>
      <c r="F523" s="74">
        <f t="shared" si="399"/>
        <v>0</v>
      </c>
      <c r="G523" s="74">
        <f t="shared" ref="G523:G528" si="400">F523+G514</f>
        <v>0</v>
      </c>
      <c r="H523" s="74">
        <f t="shared" si="380"/>
        <v>0</v>
      </c>
      <c r="I523" s="74">
        <f t="shared" si="381"/>
        <v>0</v>
      </c>
      <c r="J523" s="74">
        <f t="shared" si="382"/>
        <v>0</v>
      </c>
      <c r="K523" s="74">
        <f t="shared" si="383"/>
        <v>0</v>
      </c>
      <c r="L523" s="74">
        <f t="shared" si="384"/>
        <v>0</v>
      </c>
      <c r="M523" s="74">
        <f t="shared" si="385"/>
        <v>0</v>
      </c>
      <c r="N523" s="74">
        <f t="shared" si="386"/>
        <v>0</v>
      </c>
      <c r="O523" s="74">
        <f t="shared" si="387"/>
        <v>0</v>
      </c>
      <c r="P523" s="74">
        <f t="shared" si="388"/>
        <v>0</v>
      </c>
      <c r="Q523" s="74">
        <f t="shared" si="389"/>
        <v>0</v>
      </c>
      <c r="R523" s="74">
        <f t="shared" si="390"/>
        <v>0</v>
      </c>
      <c r="S523" s="74">
        <f t="shared" si="391"/>
        <v>0</v>
      </c>
      <c r="T523" s="74">
        <f t="shared" si="392"/>
        <v>0</v>
      </c>
      <c r="U523" s="74">
        <f t="shared" si="393"/>
        <v>0</v>
      </c>
      <c r="V523" s="74">
        <f t="shared" si="394"/>
        <v>0</v>
      </c>
      <c r="W523" s="74">
        <f t="shared" si="395"/>
        <v>0</v>
      </c>
      <c r="X523" s="74">
        <f t="shared" si="396"/>
        <v>0</v>
      </c>
      <c r="Y523" s="74">
        <f t="shared" si="397"/>
        <v>0</v>
      </c>
      <c r="Z523" s="74">
        <f t="shared" si="398"/>
        <v>0</v>
      </c>
    </row>
    <row r="524" spans="1:26" outlineLevel="1" x14ac:dyDescent="0.25">
      <c r="A524" s="39" t="str">
        <f t="shared" si="248"/>
        <v>XCMG 240</v>
      </c>
      <c r="B524" s="39"/>
      <c r="D524" s="101" t="str">
        <f t="shared" ref="D524:F524" si="401">D515</f>
        <v>Топливо</v>
      </c>
      <c r="E524" s="9" t="str">
        <f t="shared" si="401"/>
        <v>тыс. руб.</v>
      </c>
      <c r="F524" s="74">
        <f t="shared" si="401"/>
        <v>0</v>
      </c>
      <c r="G524" s="74">
        <f t="shared" si="400"/>
        <v>0</v>
      </c>
      <c r="H524" s="74">
        <f t="shared" si="380"/>
        <v>0</v>
      </c>
      <c r="I524" s="74">
        <f t="shared" si="381"/>
        <v>0</v>
      </c>
      <c r="J524" s="74">
        <f t="shared" si="382"/>
        <v>0</v>
      </c>
      <c r="K524" s="74">
        <f t="shared" si="383"/>
        <v>0</v>
      </c>
      <c r="L524" s="74">
        <f t="shared" si="384"/>
        <v>0</v>
      </c>
      <c r="M524" s="74">
        <f t="shared" si="385"/>
        <v>0</v>
      </c>
      <c r="N524" s="74">
        <f t="shared" si="386"/>
        <v>0</v>
      </c>
      <c r="O524" s="74">
        <f t="shared" si="387"/>
        <v>0</v>
      </c>
      <c r="P524" s="74">
        <f t="shared" si="388"/>
        <v>0</v>
      </c>
      <c r="Q524" s="74">
        <f t="shared" si="389"/>
        <v>0</v>
      </c>
      <c r="R524" s="74">
        <f t="shared" si="390"/>
        <v>0</v>
      </c>
      <c r="S524" s="74">
        <f t="shared" si="391"/>
        <v>0</v>
      </c>
      <c r="T524" s="74">
        <f t="shared" si="392"/>
        <v>0</v>
      </c>
      <c r="U524" s="74">
        <f t="shared" si="393"/>
        <v>0</v>
      </c>
      <c r="V524" s="74">
        <f t="shared" si="394"/>
        <v>0</v>
      </c>
      <c r="W524" s="74">
        <f t="shared" si="395"/>
        <v>0</v>
      </c>
      <c r="X524" s="74">
        <f t="shared" si="396"/>
        <v>0</v>
      </c>
      <c r="Y524" s="74">
        <f t="shared" si="397"/>
        <v>0</v>
      </c>
      <c r="Z524" s="74">
        <f t="shared" si="398"/>
        <v>0</v>
      </c>
    </row>
    <row r="525" spans="1:26" outlineLevel="1" x14ac:dyDescent="0.25">
      <c r="A525" s="39" t="str">
        <f t="shared" si="248"/>
        <v>XCMG 240</v>
      </c>
      <c r="B525" s="39"/>
      <c r="D525" s="101" t="str">
        <f t="shared" ref="D525:F525" si="402">D516</f>
        <v>Смазочные</v>
      </c>
      <c r="E525" s="9" t="str">
        <f t="shared" si="402"/>
        <v>тыс. руб.</v>
      </c>
      <c r="F525" s="74">
        <f t="shared" si="402"/>
        <v>0</v>
      </c>
      <c r="G525" s="74">
        <f t="shared" si="400"/>
        <v>0</v>
      </c>
      <c r="H525" s="74">
        <f t="shared" si="380"/>
        <v>0</v>
      </c>
      <c r="I525" s="74">
        <f t="shared" si="381"/>
        <v>0</v>
      </c>
      <c r="J525" s="74">
        <f t="shared" si="382"/>
        <v>0</v>
      </c>
      <c r="K525" s="74">
        <f t="shared" si="383"/>
        <v>0</v>
      </c>
      <c r="L525" s="74">
        <f t="shared" si="384"/>
        <v>0</v>
      </c>
      <c r="M525" s="74">
        <f t="shared" si="385"/>
        <v>0</v>
      </c>
      <c r="N525" s="74">
        <f t="shared" si="386"/>
        <v>0</v>
      </c>
      <c r="O525" s="74">
        <f t="shared" si="387"/>
        <v>0</v>
      </c>
      <c r="P525" s="74">
        <f t="shared" si="388"/>
        <v>0</v>
      </c>
      <c r="Q525" s="74">
        <f t="shared" si="389"/>
        <v>0</v>
      </c>
      <c r="R525" s="74">
        <f t="shared" si="390"/>
        <v>0</v>
      </c>
      <c r="S525" s="74">
        <f t="shared" si="391"/>
        <v>0</v>
      </c>
      <c r="T525" s="74">
        <f t="shared" si="392"/>
        <v>0</v>
      </c>
      <c r="U525" s="74">
        <f t="shared" si="393"/>
        <v>0</v>
      </c>
      <c r="V525" s="74">
        <f t="shared" si="394"/>
        <v>0</v>
      </c>
      <c r="W525" s="74">
        <f t="shared" si="395"/>
        <v>0</v>
      </c>
      <c r="X525" s="74">
        <f t="shared" si="396"/>
        <v>0</v>
      </c>
      <c r="Y525" s="74">
        <f t="shared" si="397"/>
        <v>0</v>
      </c>
      <c r="Z525" s="74">
        <f t="shared" si="398"/>
        <v>0</v>
      </c>
    </row>
    <row r="526" spans="1:26" outlineLevel="1" x14ac:dyDescent="0.25">
      <c r="A526" s="39" t="str">
        <f t="shared" si="248"/>
        <v>XCMG 240</v>
      </c>
      <c r="B526" s="39"/>
      <c r="D526" s="101" t="str">
        <f t="shared" ref="D526:F526" si="403">D517</f>
        <v>Затраты на персонал</v>
      </c>
      <c r="E526" s="9" t="str">
        <f t="shared" si="403"/>
        <v>тыс. руб.</v>
      </c>
      <c r="F526" s="74">
        <f t="shared" si="403"/>
        <v>0</v>
      </c>
      <c r="G526" s="74">
        <f t="shared" si="400"/>
        <v>0</v>
      </c>
      <c r="H526" s="74">
        <f t="shared" si="380"/>
        <v>0</v>
      </c>
      <c r="I526" s="74">
        <f t="shared" si="381"/>
        <v>0</v>
      </c>
      <c r="J526" s="74">
        <f t="shared" si="382"/>
        <v>0</v>
      </c>
      <c r="K526" s="74">
        <f t="shared" si="383"/>
        <v>0</v>
      </c>
      <c r="L526" s="74">
        <f t="shared" si="384"/>
        <v>0</v>
      </c>
      <c r="M526" s="74">
        <f t="shared" si="385"/>
        <v>0</v>
      </c>
      <c r="N526" s="74">
        <f t="shared" si="386"/>
        <v>0</v>
      </c>
      <c r="O526" s="74">
        <f t="shared" si="387"/>
        <v>0</v>
      </c>
      <c r="P526" s="74">
        <f t="shared" si="388"/>
        <v>0</v>
      </c>
      <c r="Q526" s="74">
        <f t="shared" si="389"/>
        <v>0</v>
      </c>
      <c r="R526" s="74">
        <f t="shared" si="390"/>
        <v>0</v>
      </c>
      <c r="S526" s="74">
        <f t="shared" si="391"/>
        <v>0</v>
      </c>
      <c r="T526" s="74">
        <f t="shared" si="392"/>
        <v>0</v>
      </c>
      <c r="U526" s="74">
        <f t="shared" si="393"/>
        <v>0</v>
      </c>
      <c r="V526" s="74">
        <f t="shared" si="394"/>
        <v>0</v>
      </c>
      <c r="W526" s="74">
        <f t="shared" si="395"/>
        <v>0</v>
      </c>
      <c r="X526" s="74">
        <f t="shared" si="396"/>
        <v>0</v>
      </c>
      <c r="Y526" s="74">
        <f t="shared" si="397"/>
        <v>0</v>
      </c>
      <c r="Z526" s="74">
        <f t="shared" si="398"/>
        <v>0</v>
      </c>
    </row>
    <row r="527" spans="1:26" outlineLevel="1" x14ac:dyDescent="0.25">
      <c r="A527" s="39" t="str">
        <f t="shared" si="248"/>
        <v>XCMG 240</v>
      </c>
      <c r="B527" s="39"/>
      <c r="D527" s="101" t="str">
        <f t="shared" ref="D527:F527" si="404">D518</f>
        <v>Транспортный налог</v>
      </c>
      <c r="E527" s="9" t="str">
        <f t="shared" si="404"/>
        <v>тыс. руб.</v>
      </c>
      <c r="F527" s="74">
        <f t="shared" si="404"/>
        <v>0</v>
      </c>
      <c r="G527" s="74">
        <f t="shared" si="400"/>
        <v>0</v>
      </c>
      <c r="H527" s="74">
        <f t="shared" si="380"/>
        <v>0</v>
      </c>
      <c r="I527" s="74">
        <f t="shared" si="381"/>
        <v>0</v>
      </c>
      <c r="J527" s="74">
        <f t="shared" si="382"/>
        <v>0</v>
      </c>
      <c r="K527" s="74">
        <f t="shared" si="383"/>
        <v>0</v>
      </c>
      <c r="L527" s="74">
        <f t="shared" si="384"/>
        <v>0</v>
      </c>
      <c r="M527" s="74">
        <f t="shared" si="385"/>
        <v>0</v>
      </c>
      <c r="N527" s="74">
        <f t="shared" si="386"/>
        <v>0</v>
      </c>
      <c r="O527" s="74">
        <f t="shared" si="387"/>
        <v>0</v>
      </c>
      <c r="P527" s="74">
        <f t="shared" si="388"/>
        <v>0</v>
      </c>
      <c r="Q527" s="74">
        <f t="shared" si="389"/>
        <v>0</v>
      </c>
      <c r="R527" s="74">
        <f t="shared" si="390"/>
        <v>0</v>
      </c>
      <c r="S527" s="74">
        <f t="shared" si="391"/>
        <v>0</v>
      </c>
      <c r="T527" s="74">
        <f t="shared" si="392"/>
        <v>0</v>
      </c>
      <c r="U527" s="74">
        <f t="shared" si="393"/>
        <v>0</v>
      </c>
      <c r="V527" s="74">
        <f t="shared" si="394"/>
        <v>0</v>
      </c>
      <c r="W527" s="74">
        <f t="shared" si="395"/>
        <v>0</v>
      </c>
      <c r="X527" s="74">
        <f t="shared" si="396"/>
        <v>0</v>
      </c>
      <c r="Y527" s="74">
        <f t="shared" si="397"/>
        <v>0</v>
      </c>
      <c r="Z527" s="74">
        <f t="shared" si="398"/>
        <v>0</v>
      </c>
    </row>
    <row r="528" spans="1:26" outlineLevel="1" x14ac:dyDescent="0.25">
      <c r="A528" s="39" t="str">
        <f t="shared" si="248"/>
        <v>XCMG 240</v>
      </c>
      <c r="B528" s="39"/>
      <c r="D528" s="101" t="str">
        <f t="shared" ref="D528:F528" si="405">D519</f>
        <v>Налог на прибыль</v>
      </c>
      <c r="E528" s="9" t="str">
        <f t="shared" si="405"/>
        <v>тыс. руб.</v>
      </c>
      <c r="F528" s="74">
        <f t="shared" si="405"/>
        <v>0</v>
      </c>
      <c r="G528" s="74">
        <f t="shared" si="400"/>
        <v>0</v>
      </c>
      <c r="H528" s="74">
        <f t="shared" si="380"/>
        <v>0</v>
      </c>
      <c r="I528" s="74">
        <f t="shared" si="381"/>
        <v>0</v>
      </c>
      <c r="J528" s="74">
        <f t="shared" si="382"/>
        <v>0</v>
      </c>
      <c r="K528" s="74">
        <f t="shared" si="383"/>
        <v>0</v>
      </c>
      <c r="L528" s="74">
        <f t="shared" si="384"/>
        <v>0</v>
      </c>
      <c r="M528" s="74">
        <f t="shared" si="385"/>
        <v>0</v>
      </c>
      <c r="N528" s="74">
        <f t="shared" si="386"/>
        <v>0</v>
      </c>
      <c r="O528" s="74">
        <f t="shared" si="387"/>
        <v>0</v>
      </c>
      <c r="P528" s="74">
        <f t="shared" si="388"/>
        <v>0</v>
      </c>
      <c r="Q528" s="74">
        <f t="shared" si="389"/>
        <v>0</v>
      </c>
      <c r="R528" s="74">
        <f t="shared" si="390"/>
        <v>0</v>
      </c>
      <c r="S528" s="74">
        <f t="shared" si="391"/>
        <v>0</v>
      </c>
      <c r="T528" s="74">
        <f t="shared" si="392"/>
        <v>0</v>
      </c>
      <c r="U528" s="74">
        <f t="shared" si="393"/>
        <v>0</v>
      </c>
      <c r="V528" s="74">
        <f t="shared" si="394"/>
        <v>0</v>
      </c>
      <c r="W528" s="74">
        <f t="shared" si="395"/>
        <v>0</v>
      </c>
      <c r="X528" s="74">
        <f t="shared" si="396"/>
        <v>0</v>
      </c>
      <c r="Y528" s="74">
        <f t="shared" si="397"/>
        <v>0</v>
      </c>
      <c r="Z528" s="74">
        <f t="shared" si="398"/>
        <v>0</v>
      </c>
    </row>
    <row r="529" spans="1:48" outlineLevel="1" x14ac:dyDescent="0.25">
      <c r="A529" s="39" t="str">
        <f t="shared" si="248"/>
        <v>XCMG 240</v>
      </c>
      <c r="B529" s="39"/>
      <c r="D529" s="101"/>
      <c r="E529" s="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48" outlineLevel="1" x14ac:dyDescent="0.25">
      <c r="A530" s="39" t="str">
        <f t="shared" si="248"/>
        <v>XCMG 240</v>
      </c>
      <c r="B530" s="39"/>
      <c r="D530" s="67" t="s">
        <v>90</v>
      </c>
      <c r="E530" s="68" t="str">
        <f>E511</f>
        <v>тыс. руб.</v>
      </c>
      <c r="F530" s="69">
        <f>F508*'ФОТ, МТР, макро'!AJ$13</f>
        <v>0</v>
      </c>
      <c r="G530" s="69">
        <f>G508*'ФОТ, МТР, макро'!AK$13</f>
        <v>0</v>
      </c>
      <c r="H530" s="69">
        <f>H508*'ФОТ, МТР, макро'!AL$13</f>
        <v>0</v>
      </c>
      <c r="I530" s="69">
        <f>I508*'ФОТ, МТР, макро'!AM$13</f>
        <v>0</v>
      </c>
      <c r="J530" s="69">
        <f>J508*'ФОТ, МТР, макро'!AN$13</f>
        <v>0</v>
      </c>
      <c r="K530" s="69">
        <f>K508*'ФОТ, МТР, макро'!AO$13</f>
        <v>0</v>
      </c>
      <c r="L530" s="69">
        <f>L508*'ФОТ, МТР, макро'!AP$13</f>
        <v>0</v>
      </c>
      <c r="M530" s="69">
        <f>M508*'ФОТ, МТР, макро'!AQ$13</f>
        <v>0</v>
      </c>
      <c r="N530" s="69">
        <f>N508*'ФОТ, МТР, макро'!AR$13</f>
        <v>0</v>
      </c>
      <c r="O530" s="69">
        <f>O508*'ФОТ, МТР, макро'!AS$13</f>
        <v>0</v>
      </c>
      <c r="P530" s="69">
        <f>P508*'ФОТ, МТР, макро'!AT$13</f>
        <v>0</v>
      </c>
      <c r="Q530" s="69">
        <f>Q508*'ФОТ, МТР, макро'!AU$13</f>
        <v>0</v>
      </c>
      <c r="R530" s="69">
        <f>R508*'ФОТ, МТР, макро'!AV$13</f>
        <v>0</v>
      </c>
      <c r="S530" s="69">
        <f>S508*'ФОТ, МТР, макро'!AW$13</f>
        <v>0</v>
      </c>
      <c r="T530" s="69">
        <f>T508*'ФОТ, МТР, макро'!AX$13</f>
        <v>0</v>
      </c>
      <c r="U530" s="69">
        <f>U508*'ФОТ, МТР, макро'!AY$13</f>
        <v>0</v>
      </c>
      <c r="V530" s="69">
        <f>V508*'ФОТ, МТР, макро'!AZ$13</f>
        <v>0</v>
      </c>
      <c r="W530" s="69">
        <f>W508*'ФОТ, МТР, макро'!BA$13</f>
        <v>0</v>
      </c>
      <c r="X530" s="69">
        <f>X508*'ФОТ, МТР, макро'!BB$13</f>
        <v>0</v>
      </c>
      <c r="Y530" s="69">
        <f>Y508*'ФОТ, МТР, макро'!BC$13</f>
        <v>0</v>
      </c>
      <c r="Z530" s="69">
        <f>Z508*'ФОТ, МТР, макро'!BD$13</f>
        <v>0</v>
      </c>
    </row>
    <row r="531" spans="1:48" outlineLevel="1" x14ac:dyDescent="0.25">
      <c r="A531" s="39" t="str">
        <f t="shared" si="248"/>
        <v>XCMG 240</v>
      </c>
      <c r="B531" s="39"/>
      <c r="D531" s="101" t="str">
        <f>D509</f>
        <v>Самосвал</v>
      </c>
      <c r="E531" s="9" t="str">
        <f>E530</f>
        <v>тыс. руб.</v>
      </c>
      <c r="F531" s="74">
        <f>F509*'ФОТ, МТР, макро'!AJ$13</f>
        <v>0</v>
      </c>
      <c r="G531" s="74">
        <f>G509*'ФОТ, МТР, макро'!AK$13</f>
        <v>0</v>
      </c>
      <c r="H531" s="74">
        <f>H509*'ФОТ, МТР, макро'!AL$13</f>
        <v>0</v>
      </c>
      <c r="I531" s="74">
        <f>I509*'ФОТ, МТР, макро'!AM$13</f>
        <v>0</v>
      </c>
      <c r="J531" s="74">
        <f>J509*'ФОТ, МТР, макро'!AN$13</f>
        <v>0</v>
      </c>
      <c r="K531" s="74">
        <f>K509*'ФОТ, МТР, макро'!AO$13</f>
        <v>0</v>
      </c>
      <c r="L531" s="74">
        <f>L509*'ФОТ, МТР, макро'!AP$13</f>
        <v>0</v>
      </c>
      <c r="M531" s="74">
        <f>M509*'ФОТ, МТР, макро'!AQ$13</f>
        <v>0</v>
      </c>
      <c r="N531" s="74">
        <f>N509*'ФОТ, МТР, макро'!AR$13</f>
        <v>0</v>
      </c>
      <c r="O531" s="74">
        <f>O509*'ФОТ, МТР, макро'!AS$13</f>
        <v>0</v>
      </c>
      <c r="P531" s="74">
        <f>P509*'ФОТ, МТР, макро'!AT$13</f>
        <v>0</v>
      </c>
      <c r="Q531" s="74">
        <f>Q509*'ФОТ, МТР, макро'!AU$13</f>
        <v>0</v>
      </c>
      <c r="R531" s="74">
        <f>R509*'ФОТ, МТР, макро'!AV$13</f>
        <v>0</v>
      </c>
      <c r="S531" s="74">
        <f>S509*'ФОТ, МТР, макро'!AW$13</f>
        <v>0</v>
      </c>
      <c r="T531" s="74">
        <f>T509*'ФОТ, МТР, макро'!AX$13</f>
        <v>0</v>
      </c>
      <c r="U531" s="74">
        <f>U509*'ФОТ, МТР, макро'!AY$13</f>
        <v>0</v>
      </c>
      <c r="V531" s="74">
        <f>V509*'ФОТ, МТР, макро'!AZ$13</f>
        <v>0</v>
      </c>
      <c r="W531" s="74">
        <f>W509*'ФОТ, МТР, макро'!BA$13</f>
        <v>0</v>
      </c>
      <c r="X531" s="74">
        <f>X509*'ФОТ, МТР, макро'!BB$13</f>
        <v>0</v>
      </c>
      <c r="Y531" s="74">
        <f>Y509*'ФОТ, МТР, макро'!BC$13</f>
        <v>0</v>
      </c>
      <c r="Z531" s="74">
        <f>Z509*'ФОТ, МТР, макро'!BD$13</f>
        <v>0</v>
      </c>
    </row>
    <row r="532" spans="1:48" outlineLevel="1" x14ac:dyDescent="0.25">
      <c r="A532" s="39" t="str">
        <f t="shared" si="248"/>
        <v>XCMG 240</v>
      </c>
      <c r="B532" s="39"/>
      <c r="D532" s="104" t="s">
        <v>88</v>
      </c>
      <c r="E532" s="9"/>
      <c r="F532" s="106">
        <f>F530-F531</f>
        <v>0</v>
      </c>
      <c r="G532" s="106">
        <f t="shared" ref="G532:Z532" si="406">G530-G531</f>
        <v>0</v>
      </c>
      <c r="H532" s="106">
        <f t="shared" si="406"/>
        <v>0</v>
      </c>
      <c r="I532" s="106">
        <f t="shared" si="406"/>
        <v>0</v>
      </c>
      <c r="J532" s="106">
        <f t="shared" si="406"/>
        <v>0</v>
      </c>
      <c r="K532" s="106">
        <f t="shared" si="406"/>
        <v>0</v>
      </c>
      <c r="L532" s="106">
        <f t="shared" si="406"/>
        <v>0</v>
      </c>
      <c r="M532" s="106">
        <f t="shared" si="406"/>
        <v>0</v>
      </c>
      <c r="N532" s="106">
        <f t="shared" si="406"/>
        <v>0</v>
      </c>
      <c r="O532" s="106">
        <f t="shared" si="406"/>
        <v>0</v>
      </c>
      <c r="P532" s="106">
        <f t="shared" si="406"/>
        <v>0</v>
      </c>
      <c r="Q532" s="106">
        <f t="shared" si="406"/>
        <v>0</v>
      </c>
      <c r="R532" s="106">
        <f t="shared" si="406"/>
        <v>0</v>
      </c>
      <c r="S532" s="106">
        <f t="shared" si="406"/>
        <v>0</v>
      </c>
      <c r="T532" s="106">
        <f t="shared" si="406"/>
        <v>0</v>
      </c>
      <c r="U532" s="106">
        <f t="shared" si="406"/>
        <v>0</v>
      </c>
      <c r="V532" s="106">
        <f t="shared" si="406"/>
        <v>0</v>
      </c>
      <c r="W532" s="106">
        <f t="shared" si="406"/>
        <v>0</v>
      </c>
      <c r="X532" s="106">
        <f t="shared" si="406"/>
        <v>0</v>
      </c>
      <c r="Y532" s="106">
        <f t="shared" si="406"/>
        <v>0</v>
      </c>
      <c r="Z532" s="106">
        <f t="shared" si="406"/>
        <v>0</v>
      </c>
    </row>
    <row r="533" spans="1:48" outlineLevel="1" x14ac:dyDescent="0.25">
      <c r="A533" s="39" t="str">
        <f t="shared" si="248"/>
        <v>XCMG 240</v>
      </c>
      <c r="B533" s="39"/>
      <c r="D533" s="107" t="s">
        <v>91</v>
      </c>
      <c r="E533" s="68" t="str">
        <f>E530</f>
        <v>тыс. руб.</v>
      </c>
      <c r="F533" s="69">
        <f>F530</f>
        <v>0</v>
      </c>
      <c r="G533" s="69">
        <f>F533+G530</f>
        <v>0</v>
      </c>
      <c r="H533" s="69">
        <f t="shared" ref="H533:H534" si="407">G533+H530</f>
        <v>0</v>
      </c>
      <c r="I533" s="69">
        <f t="shared" ref="I533:I534" si="408">H533+I530</f>
        <v>0</v>
      </c>
      <c r="J533" s="69">
        <f t="shared" ref="J533:J534" si="409">I533+J530</f>
        <v>0</v>
      </c>
      <c r="K533" s="69">
        <f t="shared" ref="K533:K534" si="410">J533+K530</f>
        <v>0</v>
      </c>
      <c r="L533" s="69">
        <f t="shared" ref="L533:L534" si="411">K533+L530</f>
        <v>0</v>
      </c>
      <c r="M533" s="69">
        <f t="shared" ref="M533:M534" si="412">L533+M530</f>
        <v>0</v>
      </c>
      <c r="N533" s="69">
        <f t="shared" ref="N533:N534" si="413">M533+N530</f>
        <v>0</v>
      </c>
      <c r="O533" s="69">
        <f t="shared" ref="O533:O534" si="414">N533+O530</f>
        <v>0</v>
      </c>
      <c r="P533" s="69">
        <f t="shared" ref="P533:P534" si="415">O533+P530</f>
        <v>0</v>
      </c>
      <c r="Q533" s="69">
        <f t="shared" ref="Q533:Q534" si="416">P533+Q530</f>
        <v>0</v>
      </c>
      <c r="R533" s="69">
        <f t="shared" ref="R533:R534" si="417">Q533+R530</f>
        <v>0</v>
      </c>
      <c r="S533" s="69">
        <f t="shared" ref="S533:S534" si="418">R533+S530</f>
        <v>0</v>
      </c>
      <c r="T533" s="69">
        <f t="shared" ref="T533:T534" si="419">S533+T530</f>
        <v>0</v>
      </c>
      <c r="U533" s="69">
        <f t="shared" ref="U533:U534" si="420">T533+U530</f>
        <v>0</v>
      </c>
      <c r="V533" s="69">
        <f t="shared" ref="V533:V534" si="421">U533+V530</f>
        <v>0</v>
      </c>
      <c r="W533" s="69">
        <f t="shared" ref="W533:W534" si="422">V533+W530</f>
        <v>0</v>
      </c>
      <c r="X533" s="69">
        <f t="shared" ref="X533:X534" si="423">W533+X530</f>
        <v>0</v>
      </c>
      <c r="Y533" s="69">
        <f t="shared" ref="Y533:Y534" si="424">X533+Y530</f>
        <v>0</v>
      </c>
      <c r="Z533" s="69">
        <f t="shared" ref="Z533:Z534" si="425">Y533+Z530</f>
        <v>0</v>
      </c>
    </row>
    <row r="534" spans="1:48" outlineLevel="1" x14ac:dyDescent="0.25">
      <c r="A534" s="39" t="str">
        <f t="shared" si="248"/>
        <v>XCMG 240</v>
      </c>
      <c r="B534" s="39"/>
      <c r="D534" s="101" t="str">
        <f>D531</f>
        <v>Самосвал</v>
      </c>
      <c r="E534" s="9" t="str">
        <f>E531</f>
        <v>тыс. руб.</v>
      </c>
      <c r="F534" s="74">
        <f>F531</f>
        <v>0</v>
      </c>
      <c r="G534" s="74">
        <f>F534+G531</f>
        <v>0</v>
      </c>
      <c r="H534" s="74">
        <f t="shared" si="407"/>
        <v>0</v>
      </c>
      <c r="I534" s="74">
        <f t="shared" si="408"/>
        <v>0</v>
      </c>
      <c r="J534" s="74">
        <f t="shared" si="409"/>
        <v>0</v>
      </c>
      <c r="K534" s="74">
        <f t="shared" si="410"/>
        <v>0</v>
      </c>
      <c r="L534" s="74">
        <f t="shared" si="411"/>
        <v>0</v>
      </c>
      <c r="M534" s="74">
        <f t="shared" si="412"/>
        <v>0</v>
      </c>
      <c r="N534" s="74">
        <f t="shared" si="413"/>
        <v>0</v>
      </c>
      <c r="O534" s="74">
        <f t="shared" si="414"/>
        <v>0</v>
      </c>
      <c r="P534" s="74">
        <f t="shared" si="415"/>
        <v>0</v>
      </c>
      <c r="Q534" s="74">
        <f t="shared" si="416"/>
        <v>0</v>
      </c>
      <c r="R534" s="74">
        <f t="shared" si="417"/>
        <v>0</v>
      </c>
      <c r="S534" s="74">
        <f t="shared" si="418"/>
        <v>0</v>
      </c>
      <c r="T534" s="74">
        <f t="shared" si="419"/>
        <v>0</v>
      </c>
      <c r="U534" s="74">
        <f t="shared" si="420"/>
        <v>0</v>
      </c>
      <c r="V534" s="74">
        <f t="shared" si="421"/>
        <v>0</v>
      </c>
      <c r="W534" s="74">
        <f t="shared" si="422"/>
        <v>0</v>
      </c>
      <c r="X534" s="74">
        <f t="shared" si="423"/>
        <v>0</v>
      </c>
      <c r="Y534" s="74">
        <f t="shared" si="424"/>
        <v>0</v>
      </c>
      <c r="Z534" s="74">
        <f t="shared" si="425"/>
        <v>0</v>
      </c>
    </row>
    <row r="535" spans="1:48" outlineLevel="1" x14ac:dyDescent="0.25">
      <c r="A535" s="39" t="str">
        <f t="shared" si="248"/>
        <v>XCMG 240</v>
      </c>
      <c r="B535" s="39"/>
      <c r="D535" s="101"/>
      <c r="E535" s="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48" outlineLevel="1" x14ac:dyDescent="0.25">
      <c r="A536" s="39" t="str">
        <f t="shared" si="248"/>
        <v>XCMG 240</v>
      </c>
      <c r="B536" s="39"/>
      <c r="D536" s="67" t="s">
        <v>92</v>
      </c>
      <c r="E536" s="68" t="str">
        <f>E511</f>
        <v>тыс. руб.</v>
      </c>
      <c r="F536" s="69">
        <f>F511*'ФОТ, МТР, макро'!AJ$13</f>
        <v>0</v>
      </c>
      <c r="G536" s="69">
        <f>G511*'ФОТ, МТР, макро'!AK$13</f>
        <v>0</v>
      </c>
      <c r="H536" s="69">
        <f>H511*'ФОТ, МТР, макро'!AL$13</f>
        <v>0</v>
      </c>
      <c r="I536" s="69">
        <f>I511*'ФОТ, МТР, макро'!AM$13</f>
        <v>0</v>
      </c>
      <c r="J536" s="69">
        <f>J511*'ФОТ, МТР, макро'!AN$13</f>
        <v>0</v>
      </c>
      <c r="K536" s="69">
        <f>K511*'ФОТ, МТР, макро'!AO$13</f>
        <v>0</v>
      </c>
      <c r="L536" s="69">
        <f>L511*'ФОТ, МТР, макро'!AP$13</f>
        <v>0</v>
      </c>
      <c r="M536" s="69">
        <f>M511*'ФОТ, МТР, макро'!AQ$13</f>
        <v>0</v>
      </c>
      <c r="N536" s="69">
        <f>N511*'ФОТ, МТР, макро'!AR$13</f>
        <v>0</v>
      </c>
      <c r="O536" s="69">
        <f>O511*'ФОТ, МТР, макро'!AS$13</f>
        <v>0</v>
      </c>
      <c r="P536" s="69">
        <f>P511*'ФОТ, МТР, макро'!AT$13</f>
        <v>0</v>
      </c>
      <c r="Q536" s="69">
        <f>Q511*'ФОТ, МТР, макро'!AU$13</f>
        <v>0</v>
      </c>
      <c r="R536" s="69">
        <f>R511*'ФОТ, МТР, макро'!AV$13</f>
        <v>0</v>
      </c>
      <c r="S536" s="69">
        <f>S511*'ФОТ, МТР, макро'!AW$13</f>
        <v>0</v>
      </c>
      <c r="T536" s="69">
        <f>T511*'ФОТ, МТР, макро'!AX$13</f>
        <v>0</v>
      </c>
      <c r="U536" s="69">
        <f>U511*'ФОТ, МТР, макро'!AY$13</f>
        <v>0</v>
      </c>
      <c r="V536" s="69">
        <f>V511*'ФОТ, МТР, макро'!AZ$13</f>
        <v>0</v>
      </c>
      <c r="W536" s="69">
        <f>W511*'ФОТ, МТР, макро'!BA$13</f>
        <v>0</v>
      </c>
      <c r="X536" s="69">
        <f>X511*'ФОТ, МТР, макро'!BB$13</f>
        <v>0</v>
      </c>
      <c r="Y536" s="69">
        <f>Y511*'ФОТ, МТР, макро'!BC$13</f>
        <v>0</v>
      </c>
      <c r="Z536" s="69">
        <f>Z511*'ФОТ, МТР, макро'!BD$13</f>
        <v>0</v>
      </c>
    </row>
    <row r="537" spans="1:48" outlineLevel="1" x14ac:dyDescent="0.25">
      <c r="A537" s="39" t="str">
        <f t="shared" si="248"/>
        <v>XCMG 240</v>
      </c>
      <c r="B537" s="39"/>
      <c r="D537" s="107" t="s">
        <v>93</v>
      </c>
      <c r="E537" s="68" t="str">
        <f>E536</f>
        <v>тыс. руб.</v>
      </c>
      <c r="F537" s="69">
        <f>F536</f>
        <v>0</v>
      </c>
      <c r="G537" s="69">
        <f>F537+G536</f>
        <v>0</v>
      </c>
      <c r="H537" s="69">
        <f t="shared" ref="H537" si="426">G537+H536</f>
        <v>0</v>
      </c>
      <c r="I537" s="69">
        <f t="shared" ref="I537" si="427">H537+I536</f>
        <v>0</v>
      </c>
      <c r="J537" s="69">
        <f t="shared" ref="J537" si="428">I537+J536</f>
        <v>0</v>
      </c>
      <c r="K537" s="69">
        <f t="shared" ref="K537" si="429">J537+K536</f>
        <v>0</v>
      </c>
      <c r="L537" s="69">
        <f t="shared" ref="L537" si="430">K537+L536</f>
        <v>0</v>
      </c>
      <c r="M537" s="69">
        <f t="shared" ref="M537" si="431">L537+M536</f>
        <v>0</v>
      </c>
      <c r="N537" s="69">
        <f t="shared" ref="N537" si="432">M537+N536</f>
        <v>0</v>
      </c>
      <c r="O537" s="69">
        <f t="shared" ref="O537" si="433">N537+O536</f>
        <v>0</v>
      </c>
      <c r="P537" s="69">
        <f t="shared" ref="P537" si="434">O537+P536</f>
        <v>0</v>
      </c>
      <c r="Q537" s="69">
        <f t="shared" ref="Q537" si="435">P537+Q536</f>
        <v>0</v>
      </c>
      <c r="R537" s="69">
        <f t="shared" ref="R537" si="436">Q537+R536</f>
        <v>0</v>
      </c>
      <c r="S537" s="69">
        <f t="shared" ref="S537" si="437">R537+S536</f>
        <v>0</v>
      </c>
      <c r="T537" s="69">
        <f t="shared" ref="T537" si="438">S537+T536</f>
        <v>0</v>
      </c>
      <c r="U537" s="69">
        <f t="shared" ref="U537" si="439">T537+U536</f>
        <v>0</v>
      </c>
      <c r="V537" s="69">
        <f t="shared" ref="V537" si="440">U537+V536</f>
        <v>0</v>
      </c>
      <c r="W537" s="69">
        <f t="shared" ref="W537" si="441">V537+W536</f>
        <v>0</v>
      </c>
      <c r="X537" s="69">
        <f t="shared" ref="X537" si="442">W537+X536</f>
        <v>0</v>
      </c>
      <c r="Y537" s="69">
        <f t="shared" ref="Y537" si="443">X537+Y536</f>
        <v>0</v>
      </c>
      <c r="Z537" s="69">
        <f t="shared" ref="Z537" si="444">Y537+Z536</f>
        <v>0</v>
      </c>
    </row>
    <row r="538" spans="1:48" outlineLevel="1" x14ac:dyDescent="0.25">
      <c r="A538" s="39" t="str">
        <f t="shared" ref="A538:A560" si="445">A537</f>
        <v>XCMG 240</v>
      </c>
      <c r="B538" s="39"/>
      <c r="D538" s="101"/>
      <c r="E538" s="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48" outlineLevel="1" x14ac:dyDescent="0.25">
      <c r="A539" s="39" t="str">
        <f t="shared" si="445"/>
        <v>XCMG 240</v>
      </c>
      <c r="B539" s="39" t="str">
        <f>D539</f>
        <v>Аннуитет операционный</v>
      </c>
      <c r="C539" s="61">
        <f>E470</f>
        <v>0</v>
      </c>
      <c r="D539" s="108" t="s">
        <v>94</v>
      </c>
      <c r="E539" s="109" t="s">
        <v>95</v>
      </c>
      <c r="F539" s="110"/>
      <c r="G539" s="111" t="e">
        <f>G521/'ФОТ, МТР, макро'!AK$14/(G477/G472)</f>
        <v>#DIV/0!</v>
      </c>
      <c r="H539" s="111" t="e">
        <f>H521/'ФОТ, МТР, макро'!AL$14/(H477/H472)</f>
        <v>#DIV/0!</v>
      </c>
      <c r="I539" s="111" t="e">
        <f>I521/'ФОТ, МТР, макро'!AM$14/(I477/I472)</f>
        <v>#DIV/0!</v>
      </c>
      <c r="J539" s="111" t="e">
        <f>J521/'ФОТ, МТР, макро'!AN$14/(J477/J472)</f>
        <v>#DIV/0!</v>
      </c>
      <c r="K539" s="111" t="e">
        <f>K521/'ФОТ, МТР, макро'!AO$14/(K477/K472)</f>
        <v>#DIV/0!</v>
      </c>
      <c r="L539" s="111" t="e">
        <f>L521/'ФОТ, МТР, макро'!AP$14/(L477/L472)</f>
        <v>#DIV/0!</v>
      </c>
      <c r="M539" s="111" t="e">
        <f>M521/'ФОТ, МТР, макро'!AQ$14/(M477/M472)</f>
        <v>#DIV/0!</v>
      </c>
      <c r="N539" s="111" t="e">
        <f>N521/'ФОТ, МТР, макро'!AR$14/(N477/N472)</f>
        <v>#DIV/0!</v>
      </c>
      <c r="O539" s="111" t="e">
        <f>O521/'ФОТ, МТР, макро'!AS$14/(O477/O472)</f>
        <v>#DIV/0!</v>
      </c>
      <c r="P539" s="111" t="e">
        <f>P521/'ФОТ, МТР, макро'!AT$14/(P477/P472)</f>
        <v>#DIV/0!</v>
      </c>
      <c r="Q539" s="111" t="e">
        <f>Q521/'ФОТ, МТР, макро'!AU$14/(Q477/Q472)</f>
        <v>#DIV/0!</v>
      </c>
      <c r="R539" s="111" t="e">
        <f>R521/'ФОТ, МТР, макро'!AV$14/(R477/R472)</f>
        <v>#DIV/0!</v>
      </c>
      <c r="S539" s="111" t="e">
        <f>S521/'ФОТ, МТР, макро'!AW$14/(S477/S472)</f>
        <v>#DIV/0!</v>
      </c>
      <c r="T539" s="111" t="e">
        <f>T521/'ФОТ, МТР, макро'!AX$14/(T477/T472)</f>
        <v>#DIV/0!</v>
      </c>
      <c r="U539" s="111" t="e">
        <f>U521/'ФОТ, МТР, макро'!AY$14/(U477/U472)</f>
        <v>#DIV/0!</v>
      </c>
      <c r="V539" s="111" t="e">
        <f>V521/'ФОТ, МТР, макро'!AZ$14/(V477/V472)</f>
        <v>#DIV/0!</v>
      </c>
      <c r="W539" s="111" t="e">
        <f>W521/'ФОТ, МТР, макро'!BA$14/(W477/W472)</f>
        <v>#DIV/0!</v>
      </c>
      <c r="X539" s="111" t="e">
        <f>X521/'ФОТ, МТР, макро'!BB$14/(X477/X472)</f>
        <v>#DIV/0!</v>
      </c>
      <c r="Y539" s="111" t="e">
        <f>Y521/'ФОТ, МТР, макро'!BC$14/(Y477/Y472)</f>
        <v>#DIV/0!</v>
      </c>
      <c r="Z539" s="111" t="e">
        <f>Z521/'ФОТ, МТР, макро'!BD$14/(Z477/Z472)</f>
        <v>#DIV/0!</v>
      </c>
      <c r="AC539" s="112" t="e" cm="1">
        <f t="array" ref="AC539:AV539">INDEX(G539:Z539,1,$C539)</f>
        <v>#DIV/0!</v>
      </c>
      <c r="AD539" s="2" t="e">
        <v>#DIV/0!</v>
      </c>
      <c r="AE539" s="2" t="e">
        <v>#DIV/0!</v>
      </c>
      <c r="AF539" s="2" t="e">
        <v>#DIV/0!</v>
      </c>
      <c r="AG539" s="2" t="e">
        <v>#DIV/0!</v>
      </c>
      <c r="AH539" s="2" t="e">
        <v>#DIV/0!</v>
      </c>
      <c r="AI539" s="2" t="e">
        <v>#DIV/0!</v>
      </c>
      <c r="AJ539" s="2" t="e">
        <v>#DIV/0!</v>
      </c>
      <c r="AK539" s="2" t="e">
        <v>#DIV/0!</v>
      </c>
      <c r="AL539" s="2" t="e">
        <v>#DIV/0!</v>
      </c>
      <c r="AM539" s="2" t="e">
        <v>#DIV/0!</v>
      </c>
      <c r="AN539" s="2" t="e">
        <v>#DIV/0!</v>
      </c>
      <c r="AO539" s="2" t="e">
        <v>#DIV/0!</v>
      </c>
      <c r="AP539" s="2" t="e">
        <v>#DIV/0!</v>
      </c>
      <c r="AQ539" s="2" t="e">
        <v>#DIV/0!</v>
      </c>
      <c r="AR539" s="2" t="e">
        <v>#DIV/0!</v>
      </c>
      <c r="AS539" s="2" t="e">
        <v>#DIV/0!</v>
      </c>
      <c r="AT539" s="2" t="e">
        <v>#DIV/0!</v>
      </c>
      <c r="AU539" s="2" t="e">
        <v>#DIV/0!</v>
      </c>
      <c r="AV539" s="2" t="e">
        <v>#DIV/0!</v>
      </c>
    </row>
    <row r="540" spans="1:48" outlineLevel="1" x14ac:dyDescent="0.25">
      <c r="A540" s="39" t="str">
        <f t="shared" si="445"/>
        <v>XCMG 240</v>
      </c>
      <c r="B540" s="39" t="str">
        <f t="shared" ref="B540:B549" si="446">D540</f>
        <v>ТО, ТР, ППР</v>
      </c>
      <c r="C540" s="39">
        <f>C539</f>
        <v>0</v>
      </c>
      <c r="D540" s="113" t="str">
        <f>D522</f>
        <v>ТО, ТР, ППР</v>
      </c>
      <c r="E540" s="114" t="str">
        <f>E539</f>
        <v>руб/ткм</v>
      </c>
      <c r="F540" s="115"/>
      <c r="G540" s="116" t="e">
        <f>G522/'ФОТ, МТР, макро'!AK$14/(G477/G472)</f>
        <v>#DIV/0!</v>
      </c>
      <c r="H540" s="116" t="e">
        <f>H522/'ФОТ, МТР, макро'!AL$14/(H477/H472)</f>
        <v>#DIV/0!</v>
      </c>
      <c r="I540" s="116" t="e">
        <f>I522/'ФОТ, МТР, макро'!AM$14/(I477/I472)</f>
        <v>#DIV/0!</v>
      </c>
      <c r="J540" s="116" t="e">
        <f>J522/'ФОТ, МТР, макро'!AN$14/(J477/J472)</f>
        <v>#DIV/0!</v>
      </c>
      <c r="K540" s="116" t="e">
        <f>K522/'ФОТ, МТР, макро'!AO$14/(K477/K472)</f>
        <v>#DIV/0!</v>
      </c>
      <c r="L540" s="116" t="e">
        <f>L522/'ФОТ, МТР, макро'!AP$14/(L477/L472)</f>
        <v>#DIV/0!</v>
      </c>
      <c r="M540" s="116" t="e">
        <f>M522/'ФОТ, МТР, макро'!AQ$14/(M477/M472)</f>
        <v>#DIV/0!</v>
      </c>
      <c r="N540" s="116" t="e">
        <f>N522/'ФОТ, МТР, макро'!AR$14/(N477/N472)</f>
        <v>#DIV/0!</v>
      </c>
      <c r="O540" s="116" t="e">
        <f>O522/'ФОТ, МТР, макро'!AS$14/(O477/O472)</f>
        <v>#DIV/0!</v>
      </c>
      <c r="P540" s="116" t="e">
        <f>P522/'ФОТ, МТР, макро'!AT$14/(P477/P472)</f>
        <v>#DIV/0!</v>
      </c>
      <c r="Q540" s="116" t="e">
        <f>Q522/'ФОТ, МТР, макро'!AU$14/(Q477/Q472)</f>
        <v>#DIV/0!</v>
      </c>
      <c r="R540" s="116" t="e">
        <f>R522/'ФОТ, МТР, макро'!AV$14/(R477/R472)</f>
        <v>#DIV/0!</v>
      </c>
      <c r="S540" s="116" t="e">
        <f>S522/'ФОТ, МТР, макро'!AW$14/(S477/S472)</f>
        <v>#DIV/0!</v>
      </c>
      <c r="T540" s="116" t="e">
        <f>T522/'ФОТ, МТР, макро'!AX$14/(T477/T472)</f>
        <v>#DIV/0!</v>
      </c>
      <c r="U540" s="116" t="e">
        <f>U522/'ФОТ, МТР, макро'!AY$14/(U477/U472)</f>
        <v>#DIV/0!</v>
      </c>
      <c r="V540" s="116" t="e">
        <f>V522/'ФОТ, МТР, макро'!AZ$14/(V477/V472)</f>
        <v>#DIV/0!</v>
      </c>
      <c r="W540" s="116" t="e">
        <f>W522/'ФОТ, МТР, макро'!BA$14/(W477/W472)</f>
        <v>#DIV/0!</v>
      </c>
      <c r="X540" s="116" t="e">
        <f>X522/'ФОТ, МТР, макро'!BB$14/(X477/X472)</f>
        <v>#DIV/0!</v>
      </c>
      <c r="Y540" s="116" t="e">
        <f>Y522/'ФОТ, МТР, макро'!BC$14/(Y477/Y472)</f>
        <v>#DIV/0!</v>
      </c>
      <c r="Z540" s="116" t="e">
        <f>Z522/'ФОТ, МТР, макро'!BD$14/(Z477/Z472)</f>
        <v>#DIV/0!</v>
      </c>
      <c r="AC540" s="117" t="e" cm="1">
        <f t="array" ref="AC540:AV540">INDEX(G540:Z540,1,$C540)</f>
        <v>#DIV/0!</v>
      </c>
      <c r="AD540" s="2" t="e">
        <v>#DIV/0!</v>
      </c>
      <c r="AE540" s="2" t="e">
        <v>#DIV/0!</v>
      </c>
      <c r="AF540" s="2" t="e">
        <v>#DIV/0!</v>
      </c>
      <c r="AG540" s="2" t="e">
        <v>#DIV/0!</v>
      </c>
      <c r="AH540" s="2" t="e">
        <v>#DIV/0!</v>
      </c>
      <c r="AI540" s="2" t="e">
        <v>#DIV/0!</v>
      </c>
      <c r="AJ540" s="2" t="e">
        <v>#DIV/0!</v>
      </c>
      <c r="AK540" s="2" t="e">
        <v>#DIV/0!</v>
      </c>
      <c r="AL540" s="2" t="e">
        <v>#DIV/0!</v>
      </c>
      <c r="AM540" s="2" t="e">
        <v>#DIV/0!</v>
      </c>
      <c r="AN540" s="2" t="e">
        <v>#DIV/0!</v>
      </c>
      <c r="AO540" s="2" t="e">
        <v>#DIV/0!</v>
      </c>
      <c r="AP540" s="2" t="e">
        <v>#DIV/0!</v>
      </c>
      <c r="AQ540" s="2" t="e">
        <v>#DIV/0!</v>
      </c>
      <c r="AR540" s="2" t="e">
        <v>#DIV/0!</v>
      </c>
      <c r="AS540" s="2" t="e">
        <v>#DIV/0!</v>
      </c>
      <c r="AT540" s="2" t="e">
        <v>#DIV/0!</v>
      </c>
      <c r="AU540" s="2" t="e">
        <v>#DIV/0!</v>
      </c>
      <c r="AV540" s="2" t="e">
        <v>#DIV/0!</v>
      </c>
    </row>
    <row r="541" spans="1:48" outlineLevel="1" x14ac:dyDescent="0.25">
      <c r="A541" s="39" t="str">
        <f t="shared" si="445"/>
        <v>XCMG 240</v>
      </c>
      <c r="B541" s="39" t="str">
        <f t="shared" si="446"/>
        <v>Шины</v>
      </c>
      <c r="C541" s="39">
        <f t="shared" ref="C541:C549" si="447">C540</f>
        <v>0</v>
      </c>
      <c r="D541" s="113" t="str">
        <f t="shared" ref="D541:D546" si="448">D523</f>
        <v>Шины</v>
      </c>
      <c r="E541" s="114" t="str">
        <f t="shared" ref="E541:E546" si="449">E540</f>
        <v>руб/ткм</v>
      </c>
      <c r="F541" s="115"/>
      <c r="G541" s="116" t="e">
        <f>G523/'ФОТ, МТР, макро'!AK$14/(G477/G472)</f>
        <v>#DIV/0!</v>
      </c>
      <c r="H541" s="116" t="e">
        <f>H523/'ФОТ, МТР, макро'!AL$14/(H477/H472)</f>
        <v>#DIV/0!</v>
      </c>
      <c r="I541" s="116" t="e">
        <f>I523/'ФОТ, МТР, макро'!AM$14/(I477/I472)</f>
        <v>#DIV/0!</v>
      </c>
      <c r="J541" s="116" t="e">
        <f>J523/'ФОТ, МТР, макро'!AN$14/(J477/J472)</f>
        <v>#DIV/0!</v>
      </c>
      <c r="K541" s="116" t="e">
        <f>K523/'ФОТ, МТР, макро'!AO$14/(K477/K472)</f>
        <v>#DIV/0!</v>
      </c>
      <c r="L541" s="116" t="e">
        <f>L523/'ФОТ, МТР, макро'!AP$14/(L477/L472)</f>
        <v>#DIV/0!</v>
      </c>
      <c r="M541" s="116" t="e">
        <f>M523/'ФОТ, МТР, макро'!AQ$14/(M477/M472)</f>
        <v>#DIV/0!</v>
      </c>
      <c r="N541" s="116" t="e">
        <f>N523/'ФОТ, МТР, макро'!AR$14/(N477/N472)</f>
        <v>#DIV/0!</v>
      </c>
      <c r="O541" s="116" t="e">
        <f>O523/'ФОТ, МТР, макро'!AS$14/(O477/O472)</f>
        <v>#DIV/0!</v>
      </c>
      <c r="P541" s="116" t="e">
        <f>P523/'ФОТ, МТР, макро'!AT$14/(P477/P472)</f>
        <v>#DIV/0!</v>
      </c>
      <c r="Q541" s="116" t="e">
        <f>Q523/'ФОТ, МТР, макро'!AU$14/(Q477/Q472)</f>
        <v>#DIV/0!</v>
      </c>
      <c r="R541" s="116" t="e">
        <f>R523/'ФОТ, МТР, макро'!AV$14/(R477/R472)</f>
        <v>#DIV/0!</v>
      </c>
      <c r="S541" s="116" t="e">
        <f>S523/'ФОТ, МТР, макро'!AW$14/(S477/S472)</f>
        <v>#DIV/0!</v>
      </c>
      <c r="T541" s="116" t="e">
        <f>T523/'ФОТ, МТР, макро'!AX$14/(T477/T472)</f>
        <v>#DIV/0!</v>
      </c>
      <c r="U541" s="116" t="e">
        <f>U523/'ФОТ, МТР, макро'!AY$14/(U477/U472)</f>
        <v>#DIV/0!</v>
      </c>
      <c r="V541" s="116" t="e">
        <f>V523/'ФОТ, МТР, макро'!AZ$14/(V477/V472)</f>
        <v>#DIV/0!</v>
      </c>
      <c r="W541" s="116" t="e">
        <f>W523/'ФОТ, МТР, макро'!BA$14/(W477/W472)</f>
        <v>#DIV/0!</v>
      </c>
      <c r="X541" s="116" t="e">
        <f>X523/'ФОТ, МТР, макро'!BB$14/(X477/X472)</f>
        <v>#DIV/0!</v>
      </c>
      <c r="Y541" s="116" t="e">
        <f>Y523/'ФОТ, МТР, макро'!BC$14/(Y477/Y472)</f>
        <v>#DIV/0!</v>
      </c>
      <c r="Z541" s="116" t="e">
        <f>Z523/'ФОТ, МТР, макро'!BD$14/(Z477/Z472)</f>
        <v>#DIV/0!</v>
      </c>
      <c r="AC541" s="117" t="e" cm="1">
        <f t="array" ref="AC541:AV541">INDEX(G541:Z541,1,$C541)</f>
        <v>#DIV/0!</v>
      </c>
      <c r="AD541" s="2" t="e">
        <v>#DIV/0!</v>
      </c>
      <c r="AE541" s="2" t="e">
        <v>#DIV/0!</v>
      </c>
      <c r="AF541" s="2" t="e">
        <v>#DIV/0!</v>
      </c>
      <c r="AG541" s="2" t="e">
        <v>#DIV/0!</v>
      </c>
      <c r="AH541" s="2" t="e">
        <v>#DIV/0!</v>
      </c>
      <c r="AI541" s="2" t="e">
        <v>#DIV/0!</v>
      </c>
      <c r="AJ541" s="2" t="e">
        <v>#DIV/0!</v>
      </c>
      <c r="AK541" s="2" t="e">
        <v>#DIV/0!</v>
      </c>
      <c r="AL541" s="2" t="e">
        <v>#DIV/0!</v>
      </c>
      <c r="AM541" s="2" t="e">
        <v>#DIV/0!</v>
      </c>
      <c r="AN541" s="2" t="e">
        <v>#DIV/0!</v>
      </c>
      <c r="AO541" s="2" t="e">
        <v>#DIV/0!</v>
      </c>
      <c r="AP541" s="2" t="e">
        <v>#DIV/0!</v>
      </c>
      <c r="AQ541" s="2" t="e">
        <v>#DIV/0!</v>
      </c>
      <c r="AR541" s="2" t="e">
        <v>#DIV/0!</v>
      </c>
      <c r="AS541" s="2" t="e">
        <v>#DIV/0!</v>
      </c>
      <c r="AT541" s="2" t="e">
        <v>#DIV/0!</v>
      </c>
      <c r="AU541" s="2" t="e">
        <v>#DIV/0!</v>
      </c>
      <c r="AV541" s="2" t="e">
        <v>#DIV/0!</v>
      </c>
    </row>
    <row r="542" spans="1:48" outlineLevel="1" x14ac:dyDescent="0.25">
      <c r="A542" s="39" t="str">
        <f t="shared" si="445"/>
        <v>XCMG 240</v>
      </c>
      <c r="B542" s="39" t="str">
        <f t="shared" si="446"/>
        <v>Топливо</v>
      </c>
      <c r="C542" s="39">
        <f t="shared" si="447"/>
        <v>0</v>
      </c>
      <c r="D542" s="113" t="str">
        <f t="shared" si="448"/>
        <v>Топливо</v>
      </c>
      <c r="E542" s="114" t="str">
        <f t="shared" si="449"/>
        <v>руб/ткм</v>
      </c>
      <c r="F542" s="115"/>
      <c r="G542" s="116" t="e">
        <f>G524/'ФОТ, МТР, макро'!AK$14/(G477/G472)</f>
        <v>#DIV/0!</v>
      </c>
      <c r="H542" s="116" t="e">
        <f>H524/'ФОТ, МТР, макро'!AL$14/(H477/H472)</f>
        <v>#DIV/0!</v>
      </c>
      <c r="I542" s="116" t="e">
        <f>I524/'ФОТ, МТР, макро'!AM$14/(I477/I472)</f>
        <v>#DIV/0!</v>
      </c>
      <c r="J542" s="116" t="e">
        <f>J524/'ФОТ, МТР, макро'!AN$14/(J477/J472)</f>
        <v>#DIV/0!</v>
      </c>
      <c r="K542" s="116" t="e">
        <f>K524/'ФОТ, МТР, макро'!AO$14/(K477/K472)</f>
        <v>#DIV/0!</v>
      </c>
      <c r="L542" s="116" t="e">
        <f>L524/'ФОТ, МТР, макро'!AP$14/(L477/L472)</f>
        <v>#DIV/0!</v>
      </c>
      <c r="M542" s="116" t="e">
        <f>M524/'ФОТ, МТР, макро'!AQ$14/(M477/M472)</f>
        <v>#DIV/0!</v>
      </c>
      <c r="N542" s="116" t="e">
        <f>N524/'ФОТ, МТР, макро'!AR$14/(N477/N472)</f>
        <v>#DIV/0!</v>
      </c>
      <c r="O542" s="116" t="e">
        <f>O524/'ФОТ, МТР, макро'!AS$14/(O477/O472)</f>
        <v>#DIV/0!</v>
      </c>
      <c r="P542" s="116" t="e">
        <f>P524/'ФОТ, МТР, макро'!AT$14/(P477/P472)</f>
        <v>#DIV/0!</v>
      </c>
      <c r="Q542" s="116" t="e">
        <f>Q524/'ФОТ, МТР, макро'!AU$14/(Q477/Q472)</f>
        <v>#DIV/0!</v>
      </c>
      <c r="R542" s="116" t="e">
        <f>R524/'ФОТ, МТР, макро'!AV$14/(R477/R472)</f>
        <v>#DIV/0!</v>
      </c>
      <c r="S542" s="116" t="e">
        <f>S524/'ФОТ, МТР, макро'!AW$14/(S477/S472)</f>
        <v>#DIV/0!</v>
      </c>
      <c r="T542" s="116" t="e">
        <f>T524/'ФОТ, МТР, макро'!AX$14/(T477/T472)</f>
        <v>#DIV/0!</v>
      </c>
      <c r="U542" s="116" t="e">
        <f>U524/'ФОТ, МТР, макро'!AY$14/(U477/U472)</f>
        <v>#DIV/0!</v>
      </c>
      <c r="V542" s="116" t="e">
        <f>V524/'ФОТ, МТР, макро'!AZ$14/(V477/V472)</f>
        <v>#DIV/0!</v>
      </c>
      <c r="W542" s="116" t="e">
        <f>W524/'ФОТ, МТР, макро'!BA$14/(W477/W472)</f>
        <v>#DIV/0!</v>
      </c>
      <c r="X542" s="116" t="e">
        <f>X524/'ФОТ, МТР, макро'!BB$14/(X477/X472)</f>
        <v>#DIV/0!</v>
      </c>
      <c r="Y542" s="116" t="e">
        <f>Y524/'ФОТ, МТР, макро'!BC$14/(Y477/Y472)</f>
        <v>#DIV/0!</v>
      </c>
      <c r="Z542" s="116" t="e">
        <f>Z524/'ФОТ, МТР, макро'!BD$14/(Z477/Z472)</f>
        <v>#DIV/0!</v>
      </c>
      <c r="AC542" s="117" t="e" cm="1">
        <f t="array" ref="AC542:AV542">INDEX(G542:Z542,1,$C542)</f>
        <v>#DIV/0!</v>
      </c>
      <c r="AD542" s="2" t="e">
        <v>#DIV/0!</v>
      </c>
      <c r="AE542" s="2" t="e">
        <v>#DIV/0!</v>
      </c>
      <c r="AF542" s="2" t="e">
        <v>#DIV/0!</v>
      </c>
      <c r="AG542" s="2" t="e">
        <v>#DIV/0!</v>
      </c>
      <c r="AH542" s="2" t="e">
        <v>#DIV/0!</v>
      </c>
      <c r="AI542" s="2" t="e">
        <v>#DIV/0!</v>
      </c>
      <c r="AJ542" s="2" t="e">
        <v>#DIV/0!</v>
      </c>
      <c r="AK542" s="2" t="e">
        <v>#DIV/0!</v>
      </c>
      <c r="AL542" s="2" t="e">
        <v>#DIV/0!</v>
      </c>
      <c r="AM542" s="2" t="e">
        <v>#DIV/0!</v>
      </c>
      <c r="AN542" s="2" t="e">
        <v>#DIV/0!</v>
      </c>
      <c r="AO542" s="2" t="e">
        <v>#DIV/0!</v>
      </c>
      <c r="AP542" s="2" t="e">
        <v>#DIV/0!</v>
      </c>
      <c r="AQ542" s="2" t="e">
        <v>#DIV/0!</v>
      </c>
      <c r="AR542" s="2" t="e">
        <v>#DIV/0!</v>
      </c>
      <c r="AS542" s="2" t="e">
        <v>#DIV/0!</v>
      </c>
      <c r="AT542" s="2" t="e">
        <v>#DIV/0!</v>
      </c>
      <c r="AU542" s="2" t="e">
        <v>#DIV/0!</v>
      </c>
      <c r="AV542" s="2" t="e">
        <v>#DIV/0!</v>
      </c>
    </row>
    <row r="543" spans="1:48" outlineLevel="1" x14ac:dyDescent="0.25">
      <c r="A543" s="39" t="str">
        <f t="shared" si="445"/>
        <v>XCMG 240</v>
      </c>
      <c r="B543" s="39" t="str">
        <f t="shared" si="446"/>
        <v>Смазочные</v>
      </c>
      <c r="C543" s="39">
        <f t="shared" si="447"/>
        <v>0</v>
      </c>
      <c r="D543" s="113" t="str">
        <f t="shared" si="448"/>
        <v>Смазочные</v>
      </c>
      <c r="E543" s="114" t="str">
        <f t="shared" si="449"/>
        <v>руб/ткм</v>
      </c>
      <c r="F543" s="115"/>
      <c r="G543" s="116" t="e">
        <f>G525/'ФОТ, МТР, макро'!AK$14/(G477/G472)</f>
        <v>#DIV/0!</v>
      </c>
      <c r="H543" s="116" t="e">
        <f>H525/'ФОТ, МТР, макро'!AL$14/(H477/H472)</f>
        <v>#DIV/0!</v>
      </c>
      <c r="I543" s="116" t="e">
        <f>I525/'ФОТ, МТР, макро'!AM$14/(I477/I472)</f>
        <v>#DIV/0!</v>
      </c>
      <c r="J543" s="116" t="e">
        <f>J525/'ФОТ, МТР, макро'!AN$14/(J477/J472)</f>
        <v>#DIV/0!</v>
      </c>
      <c r="K543" s="116" t="e">
        <f>K525/'ФОТ, МТР, макро'!AO$14/(K477/K472)</f>
        <v>#DIV/0!</v>
      </c>
      <c r="L543" s="116" t="e">
        <f>L525/'ФОТ, МТР, макро'!AP$14/(L477/L472)</f>
        <v>#DIV/0!</v>
      </c>
      <c r="M543" s="116" t="e">
        <f>M525/'ФОТ, МТР, макро'!AQ$14/(M477/M472)</f>
        <v>#DIV/0!</v>
      </c>
      <c r="N543" s="116" t="e">
        <f>N525/'ФОТ, МТР, макро'!AR$14/(N477/N472)</f>
        <v>#DIV/0!</v>
      </c>
      <c r="O543" s="116" t="e">
        <f>O525/'ФОТ, МТР, макро'!AS$14/(O477/O472)</f>
        <v>#DIV/0!</v>
      </c>
      <c r="P543" s="116" t="e">
        <f>P525/'ФОТ, МТР, макро'!AT$14/(P477/P472)</f>
        <v>#DIV/0!</v>
      </c>
      <c r="Q543" s="116" t="e">
        <f>Q525/'ФОТ, МТР, макро'!AU$14/(Q477/Q472)</f>
        <v>#DIV/0!</v>
      </c>
      <c r="R543" s="116" t="e">
        <f>R525/'ФОТ, МТР, макро'!AV$14/(R477/R472)</f>
        <v>#DIV/0!</v>
      </c>
      <c r="S543" s="116" t="e">
        <f>S525/'ФОТ, МТР, макро'!AW$14/(S477/S472)</f>
        <v>#DIV/0!</v>
      </c>
      <c r="T543" s="116" t="e">
        <f>T525/'ФОТ, МТР, макро'!AX$14/(T477/T472)</f>
        <v>#DIV/0!</v>
      </c>
      <c r="U543" s="116" t="e">
        <f>U525/'ФОТ, МТР, макро'!AY$14/(U477/U472)</f>
        <v>#DIV/0!</v>
      </c>
      <c r="V543" s="116" t="e">
        <f>V525/'ФОТ, МТР, макро'!AZ$14/(V477/V472)</f>
        <v>#DIV/0!</v>
      </c>
      <c r="W543" s="116" t="e">
        <f>W525/'ФОТ, МТР, макро'!BA$14/(W477/W472)</f>
        <v>#DIV/0!</v>
      </c>
      <c r="X543" s="116" t="e">
        <f>X525/'ФОТ, МТР, макро'!BB$14/(X477/X472)</f>
        <v>#DIV/0!</v>
      </c>
      <c r="Y543" s="116" t="e">
        <f>Y525/'ФОТ, МТР, макро'!BC$14/(Y477/Y472)</f>
        <v>#DIV/0!</v>
      </c>
      <c r="Z543" s="116" t="e">
        <f>Z525/'ФОТ, МТР, макро'!BD$14/(Z477/Z472)</f>
        <v>#DIV/0!</v>
      </c>
      <c r="AC543" s="117" t="e" cm="1">
        <f t="array" ref="AC543:AV543">INDEX(G543:Z543,1,$C543)</f>
        <v>#DIV/0!</v>
      </c>
      <c r="AD543" s="2" t="e">
        <v>#DIV/0!</v>
      </c>
      <c r="AE543" s="2" t="e">
        <v>#DIV/0!</v>
      </c>
      <c r="AF543" s="2" t="e">
        <v>#DIV/0!</v>
      </c>
      <c r="AG543" s="2" t="e">
        <v>#DIV/0!</v>
      </c>
      <c r="AH543" s="2" t="e">
        <v>#DIV/0!</v>
      </c>
      <c r="AI543" s="2" t="e">
        <v>#DIV/0!</v>
      </c>
      <c r="AJ543" s="2" t="e">
        <v>#DIV/0!</v>
      </c>
      <c r="AK543" s="2" t="e">
        <v>#DIV/0!</v>
      </c>
      <c r="AL543" s="2" t="e">
        <v>#DIV/0!</v>
      </c>
      <c r="AM543" s="2" t="e">
        <v>#DIV/0!</v>
      </c>
      <c r="AN543" s="2" t="e">
        <v>#DIV/0!</v>
      </c>
      <c r="AO543" s="2" t="e">
        <v>#DIV/0!</v>
      </c>
      <c r="AP543" s="2" t="e">
        <v>#DIV/0!</v>
      </c>
      <c r="AQ543" s="2" t="e">
        <v>#DIV/0!</v>
      </c>
      <c r="AR543" s="2" t="e">
        <v>#DIV/0!</v>
      </c>
      <c r="AS543" s="2" t="e">
        <v>#DIV/0!</v>
      </c>
      <c r="AT543" s="2" t="e">
        <v>#DIV/0!</v>
      </c>
      <c r="AU543" s="2" t="e">
        <v>#DIV/0!</v>
      </c>
      <c r="AV543" s="2" t="e">
        <v>#DIV/0!</v>
      </c>
    </row>
    <row r="544" spans="1:48" outlineLevel="1" x14ac:dyDescent="0.25">
      <c r="A544" s="39" t="str">
        <f t="shared" si="445"/>
        <v>XCMG 240</v>
      </c>
      <c r="B544" s="39" t="str">
        <f t="shared" si="446"/>
        <v>Затраты на персонал</v>
      </c>
      <c r="C544" s="39">
        <f t="shared" si="447"/>
        <v>0</v>
      </c>
      <c r="D544" s="113" t="str">
        <f t="shared" si="448"/>
        <v>Затраты на персонал</v>
      </c>
      <c r="E544" s="114" t="str">
        <f t="shared" si="449"/>
        <v>руб/ткм</v>
      </c>
      <c r="F544" s="115"/>
      <c r="G544" s="116" t="e">
        <f>G526/'ФОТ, МТР, макро'!AK$14/(G477/G472)</f>
        <v>#DIV/0!</v>
      </c>
      <c r="H544" s="116" t="e">
        <f>H526/'ФОТ, МТР, макро'!AL$14/(H477/H472)</f>
        <v>#DIV/0!</v>
      </c>
      <c r="I544" s="116" t="e">
        <f>I526/'ФОТ, МТР, макро'!AM$14/(I477/I472)</f>
        <v>#DIV/0!</v>
      </c>
      <c r="J544" s="116" t="e">
        <f>J526/'ФОТ, МТР, макро'!AN$14/(J477/J472)</f>
        <v>#DIV/0!</v>
      </c>
      <c r="K544" s="116" t="e">
        <f>K526/'ФОТ, МТР, макро'!AO$14/(K477/K472)</f>
        <v>#DIV/0!</v>
      </c>
      <c r="L544" s="116" t="e">
        <f>L526/'ФОТ, МТР, макро'!AP$14/(L477/L472)</f>
        <v>#DIV/0!</v>
      </c>
      <c r="M544" s="116" t="e">
        <f>M526/'ФОТ, МТР, макро'!AQ$14/(M477/M472)</f>
        <v>#DIV/0!</v>
      </c>
      <c r="N544" s="116" t="e">
        <f>N526/'ФОТ, МТР, макро'!AR$14/(N477/N472)</f>
        <v>#DIV/0!</v>
      </c>
      <c r="O544" s="116" t="e">
        <f>O526/'ФОТ, МТР, макро'!AS$14/(O477/O472)</f>
        <v>#DIV/0!</v>
      </c>
      <c r="P544" s="116" t="e">
        <f>P526/'ФОТ, МТР, макро'!AT$14/(P477/P472)</f>
        <v>#DIV/0!</v>
      </c>
      <c r="Q544" s="116" t="e">
        <f>Q526/'ФОТ, МТР, макро'!AU$14/(Q477/Q472)</f>
        <v>#DIV/0!</v>
      </c>
      <c r="R544" s="116" t="e">
        <f>R526/'ФОТ, МТР, макро'!AV$14/(R477/R472)</f>
        <v>#DIV/0!</v>
      </c>
      <c r="S544" s="116" t="e">
        <f>S526/'ФОТ, МТР, макро'!AW$14/(S477/S472)</f>
        <v>#DIV/0!</v>
      </c>
      <c r="T544" s="116" t="e">
        <f>T526/'ФОТ, МТР, макро'!AX$14/(T477/T472)</f>
        <v>#DIV/0!</v>
      </c>
      <c r="U544" s="116" t="e">
        <f>U526/'ФОТ, МТР, макро'!AY$14/(U477/U472)</f>
        <v>#DIV/0!</v>
      </c>
      <c r="V544" s="116" t="e">
        <f>V526/'ФОТ, МТР, макро'!AZ$14/(V477/V472)</f>
        <v>#DIV/0!</v>
      </c>
      <c r="W544" s="116" t="e">
        <f>W526/'ФОТ, МТР, макро'!BA$14/(W477/W472)</f>
        <v>#DIV/0!</v>
      </c>
      <c r="X544" s="116" t="e">
        <f>X526/'ФОТ, МТР, макро'!BB$14/(X477/X472)</f>
        <v>#DIV/0!</v>
      </c>
      <c r="Y544" s="116" t="e">
        <f>Y526/'ФОТ, МТР, макро'!BC$14/(Y477/Y472)</f>
        <v>#DIV/0!</v>
      </c>
      <c r="Z544" s="116" t="e">
        <f>Z526/'ФОТ, МТР, макро'!BD$14/(Z477/Z472)</f>
        <v>#DIV/0!</v>
      </c>
      <c r="AC544" s="117" t="e" cm="1">
        <f t="array" ref="AC544:AV544">INDEX(G544:Z544,1,$C544)</f>
        <v>#DIV/0!</v>
      </c>
      <c r="AD544" s="2" t="e">
        <v>#DIV/0!</v>
      </c>
      <c r="AE544" s="2" t="e">
        <v>#DIV/0!</v>
      </c>
      <c r="AF544" s="2" t="e">
        <v>#DIV/0!</v>
      </c>
      <c r="AG544" s="2" t="e">
        <v>#DIV/0!</v>
      </c>
      <c r="AH544" s="2" t="e">
        <v>#DIV/0!</v>
      </c>
      <c r="AI544" s="2" t="e">
        <v>#DIV/0!</v>
      </c>
      <c r="AJ544" s="2" t="e">
        <v>#DIV/0!</v>
      </c>
      <c r="AK544" s="2" t="e">
        <v>#DIV/0!</v>
      </c>
      <c r="AL544" s="2" t="e">
        <v>#DIV/0!</v>
      </c>
      <c r="AM544" s="2" t="e">
        <v>#DIV/0!</v>
      </c>
      <c r="AN544" s="2" t="e">
        <v>#DIV/0!</v>
      </c>
      <c r="AO544" s="2" t="e">
        <v>#DIV/0!</v>
      </c>
      <c r="AP544" s="2" t="e">
        <v>#DIV/0!</v>
      </c>
      <c r="AQ544" s="2" t="e">
        <v>#DIV/0!</v>
      </c>
      <c r="AR544" s="2" t="e">
        <v>#DIV/0!</v>
      </c>
      <c r="AS544" s="2" t="e">
        <v>#DIV/0!</v>
      </c>
      <c r="AT544" s="2" t="e">
        <v>#DIV/0!</v>
      </c>
      <c r="AU544" s="2" t="e">
        <v>#DIV/0!</v>
      </c>
      <c r="AV544" s="2" t="e">
        <v>#DIV/0!</v>
      </c>
    </row>
    <row r="545" spans="1:48" outlineLevel="1" x14ac:dyDescent="0.25">
      <c r="A545" s="39" t="str">
        <f t="shared" si="445"/>
        <v>XCMG 240</v>
      </c>
      <c r="B545" s="39" t="str">
        <f t="shared" si="446"/>
        <v>Транспортный налог</v>
      </c>
      <c r="C545" s="39">
        <f t="shared" si="447"/>
        <v>0</v>
      </c>
      <c r="D545" s="113" t="str">
        <f t="shared" si="448"/>
        <v>Транспортный налог</v>
      </c>
      <c r="E545" s="114" t="str">
        <f t="shared" si="449"/>
        <v>руб/ткм</v>
      </c>
      <c r="F545" s="115"/>
      <c r="G545" s="116" t="e">
        <f>G527/'ФОТ, МТР, макро'!AK$14/(G477/G472)</f>
        <v>#DIV/0!</v>
      </c>
      <c r="H545" s="116" t="e">
        <f>H527/'ФОТ, МТР, макро'!AL$14/(H477/H472)</f>
        <v>#DIV/0!</v>
      </c>
      <c r="I545" s="116" t="e">
        <f>I527/'ФОТ, МТР, макро'!AM$14/(I477/I472)</f>
        <v>#DIV/0!</v>
      </c>
      <c r="J545" s="116" t="e">
        <f>J527/'ФОТ, МТР, макро'!AN$14/(J477/J472)</f>
        <v>#DIV/0!</v>
      </c>
      <c r="K545" s="116" t="e">
        <f>K527/'ФОТ, МТР, макро'!AO$14/(K477/K472)</f>
        <v>#DIV/0!</v>
      </c>
      <c r="L545" s="116" t="e">
        <f>L527/'ФОТ, МТР, макро'!AP$14/(L477/L472)</f>
        <v>#DIV/0!</v>
      </c>
      <c r="M545" s="116" t="e">
        <f>M527/'ФОТ, МТР, макро'!AQ$14/(M477/M472)</f>
        <v>#DIV/0!</v>
      </c>
      <c r="N545" s="116" t="e">
        <f>N527/'ФОТ, МТР, макро'!AR$14/(N477/N472)</f>
        <v>#DIV/0!</v>
      </c>
      <c r="O545" s="116" t="e">
        <f>O527/'ФОТ, МТР, макро'!AS$14/(O477/O472)</f>
        <v>#DIV/0!</v>
      </c>
      <c r="P545" s="116" t="e">
        <f>P527/'ФОТ, МТР, макро'!AT$14/(P477/P472)</f>
        <v>#DIV/0!</v>
      </c>
      <c r="Q545" s="116" t="e">
        <f>Q527/'ФОТ, МТР, макро'!AU$14/(Q477/Q472)</f>
        <v>#DIV/0!</v>
      </c>
      <c r="R545" s="116" t="e">
        <f>R527/'ФОТ, МТР, макро'!AV$14/(R477/R472)</f>
        <v>#DIV/0!</v>
      </c>
      <c r="S545" s="116" t="e">
        <f>S527/'ФОТ, МТР, макро'!AW$14/(S477/S472)</f>
        <v>#DIV/0!</v>
      </c>
      <c r="T545" s="116" t="e">
        <f>T527/'ФОТ, МТР, макро'!AX$14/(T477/T472)</f>
        <v>#DIV/0!</v>
      </c>
      <c r="U545" s="116" t="e">
        <f>U527/'ФОТ, МТР, макро'!AY$14/(U477/U472)</f>
        <v>#DIV/0!</v>
      </c>
      <c r="V545" s="116" t="e">
        <f>V527/'ФОТ, МТР, макро'!AZ$14/(V477/V472)</f>
        <v>#DIV/0!</v>
      </c>
      <c r="W545" s="116" t="e">
        <f>W527/'ФОТ, МТР, макро'!BA$14/(W477/W472)</f>
        <v>#DIV/0!</v>
      </c>
      <c r="X545" s="116" t="e">
        <f>X527/'ФОТ, МТР, макро'!BB$14/(X477/X472)</f>
        <v>#DIV/0!</v>
      </c>
      <c r="Y545" s="116" t="e">
        <f>Y527/'ФОТ, МТР, макро'!BC$14/(Y477/Y472)</f>
        <v>#DIV/0!</v>
      </c>
      <c r="Z545" s="116" t="e">
        <f>Z527/'ФОТ, МТР, макро'!BD$14/(Z477/Z472)</f>
        <v>#DIV/0!</v>
      </c>
      <c r="AC545" s="117" t="e" cm="1">
        <f t="array" ref="AC545:AV545">INDEX(G545:Z545,1,$C545)</f>
        <v>#DIV/0!</v>
      </c>
      <c r="AD545" s="2" t="e">
        <v>#DIV/0!</v>
      </c>
      <c r="AE545" s="2" t="e">
        <v>#DIV/0!</v>
      </c>
      <c r="AF545" s="2" t="e">
        <v>#DIV/0!</v>
      </c>
      <c r="AG545" s="2" t="e">
        <v>#DIV/0!</v>
      </c>
      <c r="AH545" s="2" t="e">
        <v>#DIV/0!</v>
      </c>
      <c r="AI545" s="2" t="e">
        <v>#DIV/0!</v>
      </c>
      <c r="AJ545" s="2" t="e">
        <v>#DIV/0!</v>
      </c>
      <c r="AK545" s="2" t="e">
        <v>#DIV/0!</v>
      </c>
      <c r="AL545" s="2" t="e">
        <v>#DIV/0!</v>
      </c>
      <c r="AM545" s="2" t="e">
        <v>#DIV/0!</v>
      </c>
      <c r="AN545" s="2" t="e">
        <v>#DIV/0!</v>
      </c>
      <c r="AO545" s="2" t="e">
        <v>#DIV/0!</v>
      </c>
      <c r="AP545" s="2" t="e">
        <v>#DIV/0!</v>
      </c>
      <c r="AQ545" s="2" t="e">
        <v>#DIV/0!</v>
      </c>
      <c r="AR545" s="2" t="e">
        <v>#DIV/0!</v>
      </c>
      <c r="AS545" s="2" t="e">
        <v>#DIV/0!</v>
      </c>
      <c r="AT545" s="2" t="e">
        <v>#DIV/0!</v>
      </c>
      <c r="AU545" s="2" t="e">
        <v>#DIV/0!</v>
      </c>
      <c r="AV545" s="2" t="e">
        <v>#DIV/0!</v>
      </c>
    </row>
    <row r="546" spans="1:48" outlineLevel="1" x14ac:dyDescent="0.25">
      <c r="A546" s="39" t="str">
        <f t="shared" si="445"/>
        <v>XCMG 240</v>
      </c>
      <c r="B546" s="39" t="str">
        <f t="shared" si="446"/>
        <v>Налог на прибыль</v>
      </c>
      <c r="C546" s="39">
        <f t="shared" si="447"/>
        <v>0</v>
      </c>
      <c r="D546" s="113" t="str">
        <f t="shared" si="448"/>
        <v>Налог на прибыль</v>
      </c>
      <c r="E546" s="114" t="str">
        <f t="shared" si="449"/>
        <v>руб/ткм</v>
      </c>
      <c r="F546" s="30"/>
      <c r="G546" s="116" t="e">
        <f>G528/'ФОТ, МТР, макро'!AK$14/(G477/G472)</f>
        <v>#DIV/0!</v>
      </c>
      <c r="H546" s="116" t="e">
        <f>H528/'ФОТ, МТР, макро'!AL$14/(H477/H472)</f>
        <v>#DIV/0!</v>
      </c>
      <c r="I546" s="116" t="e">
        <f>I528/'ФОТ, МТР, макро'!AM$14/(I477/I472)</f>
        <v>#DIV/0!</v>
      </c>
      <c r="J546" s="116" t="e">
        <f>J528/'ФОТ, МТР, макро'!AN$14/(J477/J472)</f>
        <v>#DIV/0!</v>
      </c>
      <c r="K546" s="116" t="e">
        <f>K528/'ФОТ, МТР, макро'!AO$14/(K477/K472)</f>
        <v>#DIV/0!</v>
      </c>
      <c r="L546" s="116" t="e">
        <f>L528/'ФОТ, МТР, макро'!AP$14/(L477/L472)</f>
        <v>#DIV/0!</v>
      </c>
      <c r="M546" s="116" t="e">
        <f>M528/'ФОТ, МТР, макро'!AQ$14/(M477/M472)</f>
        <v>#DIV/0!</v>
      </c>
      <c r="N546" s="116" t="e">
        <f>N528/'ФОТ, МТР, макро'!AR$14/(N477/N472)</f>
        <v>#DIV/0!</v>
      </c>
      <c r="O546" s="116" t="e">
        <f>O528/'ФОТ, МТР, макро'!AS$14/(O477/O472)</f>
        <v>#DIV/0!</v>
      </c>
      <c r="P546" s="116" t="e">
        <f>P528/'ФОТ, МТР, макро'!AT$14/(P477/P472)</f>
        <v>#DIV/0!</v>
      </c>
      <c r="Q546" s="116" t="e">
        <f>Q528/'ФОТ, МТР, макро'!AU$14/(Q477/Q472)</f>
        <v>#DIV/0!</v>
      </c>
      <c r="R546" s="116" t="e">
        <f>R528/'ФОТ, МТР, макро'!AV$14/(R477/R472)</f>
        <v>#DIV/0!</v>
      </c>
      <c r="S546" s="116" t="e">
        <f>S528/'ФОТ, МТР, макро'!AW$14/(S477/S472)</f>
        <v>#DIV/0!</v>
      </c>
      <c r="T546" s="116" t="e">
        <f>T528/'ФОТ, МТР, макро'!AX$14/(T477/T472)</f>
        <v>#DIV/0!</v>
      </c>
      <c r="U546" s="116" t="e">
        <f>U528/'ФОТ, МТР, макро'!AY$14/(U477/U472)</f>
        <v>#DIV/0!</v>
      </c>
      <c r="V546" s="116" t="e">
        <f>V528/'ФОТ, МТР, макро'!AZ$14/(V477/V472)</f>
        <v>#DIV/0!</v>
      </c>
      <c r="W546" s="116" t="e">
        <f>W528/'ФОТ, МТР, макро'!BA$14/(W477/W472)</f>
        <v>#DIV/0!</v>
      </c>
      <c r="X546" s="116" t="e">
        <f>X528/'ФОТ, МТР, макро'!BB$14/(X477/X472)</f>
        <v>#DIV/0!</v>
      </c>
      <c r="Y546" s="116" t="e">
        <f>Y528/'ФОТ, МТР, макро'!BC$14/(Y477/Y472)</f>
        <v>#DIV/0!</v>
      </c>
      <c r="Z546" s="116" t="e">
        <f>Z528/'ФОТ, МТР, макро'!BD$14/(Z477/Z472)</f>
        <v>#DIV/0!</v>
      </c>
      <c r="AC546" s="117" t="e" cm="1">
        <f t="array" ref="AC546:AV546">INDEX(G546:Z546,1,$C546)</f>
        <v>#DIV/0!</v>
      </c>
      <c r="AD546" s="2" t="e">
        <v>#DIV/0!</v>
      </c>
      <c r="AE546" s="2" t="e">
        <v>#DIV/0!</v>
      </c>
      <c r="AF546" s="2" t="e">
        <v>#DIV/0!</v>
      </c>
      <c r="AG546" s="2" t="e">
        <v>#DIV/0!</v>
      </c>
      <c r="AH546" s="2" t="e">
        <v>#DIV/0!</v>
      </c>
      <c r="AI546" s="2" t="e">
        <v>#DIV/0!</v>
      </c>
      <c r="AJ546" s="2" t="e">
        <v>#DIV/0!</v>
      </c>
      <c r="AK546" s="2" t="e">
        <v>#DIV/0!</v>
      </c>
      <c r="AL546" s="2" t="e">
        <v>#DIV/0!</v>
      </c>
      <c r="AM546" s="2" t="e">
        <v>#DIV/0!</v>
      </c>
      <c r="AN546" s="2" t="e">
        <v>#DIV/0!</v>
      </c>
      <c r="AO546" s="2" t="e">
        <v>#DIV/0!</v>
      </c>
      <c r="AP546" s="2" t="e">
        <v>#DIV/0!</v>
      </c>
      <c r="AQ546" s="2" t="e">
        <v>#DIV/0!</v>
      </c>
      <c r="AR546" s="2" t="e">
        <v>#DIV/0!</v>
      </c>
      <c r="AS546" s="2" t="e">
        <v>#DIV/0!</v>
      </c>
      <c r="AT546" s="2" t="e">
        <v>#DIV/0!</v>
      </c>
      <c r="AU546" s="2" t="e">
        <v>#DIV/0!</v>
      </c>
      <c r="AV546" s="2" t="e">
        <v>#DIV/0!</v>
      </c>
    </row>
    <row r="547" spans="1:48" outlineLevel="1" x14ac:dyDescent="0.25">
      <c r="A547" s="39" t="str">
        <f t="shared" si="445"/>
        <v>XCMG 240</v>
      </c>
      <c r="B547" s="39" t="str">
        <f t="shared" si="446"/>
        <v>Аннуитет инвестиционный</v>
      </c>
      <c r="C547" s="39">
        <f t="shared" si="447"/>
        <v>0</v>
      </c>
      <c r="D547" s="108" t="s">
        <v>96</v>
      </c>
      <c r="E547" s="118" t="str">
        <f>E539</f>
        <v>руб/ткм</v>
      </c>
      <c r="F547" s="119"/>
      <c r="G547" s="111" t="e">
        <f>G533/'ФОТ, МТР, макро'!AK$14/(G477/G472)</f>
        <v>#DIV/0!</v>
      </c>
      <c r="H547" s="111" t="e">
        <f>H533/'ФОТ, МТР, макро'!AL$14/(H477/H472)</f>
        <v>#DIV/0!</v>
      </c>
      <c r="I547" s="111" t="e">
        <f>I533/'ФОТ, МТР, макро'!AM$14/(I477/I472)</f>
        <v>#DIV/0!</v>
      </c>
      <c r="J547" s="111" t="e">
        <f>J533/'ФОТ, МТР, макро'!AN$14/(J477/J472)</f>
        <v>#DIV/0!</v>
      </c>
      <c r="K547" s="111" t="e">
        <f>K533/'ФОТ, МТР, макро'!AO$14/(K477/K472)</f>
        <v>#DIV/0!</v>
      </c>
      <c r="L547" s="111" t="e">
        <f>L533/'ФОТ, МТР, макро'!AP$14/(L477/L472)</f>
        <v>#DIV/0!</v>
      </c>
      <c r="M547" s="111" t="e">
        <f>M533/'ФОТ, МТР, макро'!AQ$14/(M477/M472)</f>
        <v>#DIV/0!</v>
      </c>
      <c r="N547" s="111" t="e">
        <f>N533/'ФОТ, МТР, макро'!AR$14/(N477/N472)</f>
        <v>#DIV/0!</v>
      </c>
      <c r="O547" s="111" t="e">
        <f>O533/'ФОТ, МТР, макро'!AS$14/(O477/O472)</f>
        <v>#DIV/0!</v>
      </c>
      <c r="P547" s="111" t="e">
        <f>P533/'ФОТ, МТР, макро'!AT$14/(P477/P472)</f>
        <v>#DIV/0!</v>
      </c>
      <c r="Q547" s="111" t="e">
        <f>Q533/'ФОТ, МТР, макро'!AU$14/(Q477/Q472)</f>
        <v>#DIV/0!</v>
      </c>
      <c r="R547" s="111" t="e">
        <f>R533/'ФОТ, МТР, макро'!AV$14/(R477/R472)</f>
        <v>#DIV/0!</v>
      </c>
      <c r="S547" s="111" t="e">
        <f>S533/'ФОТ, МТР, макро'!AW$14/(S477/S472)</f>
        <v>#DIV/0!</v>
      </c>
      <c r="T547" s="111" t="e">
        <f>T533/'ФОТ, МТР, макро'!AX$14/(T477/T472)</f>
        <v>#DIV/0!</v>
      </c>
      <c r="U547" s="111" t="e">
        <f>U533/'ФОТ, МТР, макро'!AY$14/(U477/U472)</f>
        <v>#DIV/0!</v>
      </c>
      <c r="V547" s="111" t="e">
        <f>V533/'ФОТ, МТР, макро'!AZ$14/(V477/V472)</f>
        <v>#DIV/0!</v>
      </c>
      <c r="W547" s="111" t="e">
        <f>W533/'ФОТ, МТР, макро'!BA$14/(W477/W472)</f>
        <v>#DIV/0!</v>
      </c>
      <c r="X547" s="111" t="e">
        <f>X533/'ФОТ, МТР, макро'!BB$14/(X477/X472)</f>
        <v>#DIV/0!</v>
      </c>
      <c r="Y547" s="111" t="e">
        <f>Y533/'ФОТ, МТР, макро'!BC$14/(Y477/Y472)</f>
        <v>#DIV/0!</v>
      </c>
      <c r="Z547" s="111" t="e">
        <f>Z533/'ФОТ, МТР, макро'!BD$14/(Z477/Z472)</f>
        <v>#DIV/0!</v>
      </c>
      <c r="AC547" s="112" t="e" cm="1">
        <f t="array" ref="AC547:AV547">INDEX(G547:Z547,1,$C547)</f>
        <v>#DIV/0!</v>
      </c>
      <c r="AD547" s="2" t="e">
        <v>#DIV/0!</v>
      </c>
      <c r="AE547" s="2" t="e">
        <v>#DIV/0!</v>
      </c>
      <c r="AF547" s="2" t="e">
        <v>#DIV/0!</v>
      </c>
      <c r="AG547" s="2" t="e">
        <v>#DIV/0!</v>
      </c>
      <c r="AH547" s="2" t="e">
        <v>#DIV/0!</v>
      </c>
      <c r="AI547" s="2" t="e">
        <v>#DIV/0!</v>
      </c>
      <c r="AJ547" s="2" t="e">
        <v>#DIV/0!</v>
      </c>
      <c r="AK547" s="2" t="e">
        <v>#DIV/0!</v>
      </c>
      <c r="AL547" s="2" t="e">
        <v>#DIV/0!</v>
      </c>
      <c r="AM547" s="2" t="e">
        <v>#DIV/0!</v>
      </c>
      <c r="AN547" s="2" t="e">
        <v>#DIV/0!</v>
      </c>
      <c r="AO547" s="2" t="e">
        <v>#DIV/0!</v>
      </c>
      <c r="AP547" s="2" t="e">
        <v>#DIV/0!</v>
      </c>
      <c r="AQ547" s="2" t="e">
        <v>#DIV/0!</v>
      </c>
      <c r="AR547" s="2" t="e">
        <v>#DIV/0!</v>
      </c>
      <c r="AS547" s="2" t="e">
        <v>#DIV/0!</v>
      </c>
      <c r="AT547" s="2" t="e">
        <v>#DIV/0!</v>
      </c>
      <c r="AU547" s="2" t="e">
        <v>#DIV/0!</v>
      </c>
      <c r="AV547" s="2" t="e">
        <v>#DIV/0!</v>
      </c>
    </row>
    <row r="548" spans="1:48" outlineLevel="1" x14ac:dyDescent="0.25">
      <c r="A548" s="39" t="str">
        <f t="shared" si="445"/>
        <v>XCMG 240</v>
      </c>
      <c r="B548" s="39" t="str">
        <f t="shared" si="446"/>
        <v>Самосвал</v>
      </c>
      <c r="C548" s="39">
        <f t="shared" si="447"/>
        <v>0</v>
      </c>
      <c r="D548" s="101" t="str">
        <f>D534</f>
        <v>Самосвал</v>
      </c>
      <c r="E548" s="9" t="str">
        <f>E547</f>
        <v>руб/ткм</v>
      </c>
      <c r="F548" s="30"/>
      <c r="G548" s="120" t="e">
        <f>G534/'ФОТ, МТР, макро'!AK$14/(G477/G472)</f>
        <v>#DIV/0!</v>
      </c>
      <c r="H548" s="120" t="e">
        <f>H534/'ФОТ, МТР, макро'!AL$14/(H477/H472)</f>
        <v>#DIV/0!</v>
      </c>
      <c r="I548" s="120" t="e">
        <f>I534/'ФОТ, МТР, макро'!AM$14/(I477/I472)</f>
        <v>#DIV/0!</v>
      </c>
      <c r="J548" s="120" t="e">
        <f>J534/'ФОТ, МТР, макро'!AN$14/(J477/J472)</f>
        <v>#DIV/0!</v>
      </c>
      <c r="K548" s="120" t="e">
        <f>K534/'ФОТ, МТР, макро'!AO$14/(K477/K472)</f>
        <v>#DIV/0!</v>
      </c>
      <c r="L548" s="120" t="e">
        <f>L534/'ФОТ, МТР, макро'!AP$14/(L477/L472)</f>
        <v>#DIV/0!</v>
      </c>
      <c r="M548" s="120" t="e">
        <f>M534/'ФОТ, МТР, макро'!AQ$14/(M477/M472)</f>
        <v>#DIV/0!</v>
      </c>
      <c r="N548" s="120" t="e">
        <f>N534/'ФОТ, МТР, макро'!AR$14/(N477/N472)</f>
        <v>#DIV/0!</v>
      </c>
      <c r="O548" s="120" t="e">
        <f>O534/'ФОТ, МТР, макро'!AS$14/(O477/O472)</f>
        <v>#DIV/0!</v>
      </c>
      <c r="P548" s="120" t="e">
        <f>P534/'ФОТ, МТР, макро'!AT$14/(P477/P472)</f>
        <v>#DIV/0!</v>
      </c>
      <c r="Q548" s="120" t="e">
        <f>Q534/'ФОТ, МТР, макро'!AU$14/(Q477/Q472)</f>
        <v>#DIV/0!</v>
      </c>
      <c r="R548" s="120" t="e">
        <f>R534/'ФОТ, МТР, макро'!AV$14/(R477/R472)</f>
        <v>#DIV/0!</v>
      </c>
      <c r="S548" s="120" t="e">
        <f>S534/'ФОТ, МТР, макро'!AW$14/(S477/S472)</f>
        <v>#DIV/0!</v>
      </c>
      <c r="T548" s="120" t="e">
        <f>T534/'ФОТ, МТР, макро'!AX$14/(T477/T472)</f>
        <v>#DIV/0!</v>
      </c>
      <c r="U548" s="120" t="e">
        <f>U534/'ФОТ, МТР, макро'!AY$14/(U477/U472)</f>
        <v>#DIV/0!</v>
      </c>
      <c r="V548" s="120" t="e">
        <f>V534/'ФОТ, МТР, макро'!AZ$14/(V477/V472)</f>
        <v>#DIV/0!</v>
      </c>
      <c r="W548" s="120" t="e">
        <f>W534/'ФОТ, МТР, макро'!BA$14/(W477/W472)</f>
        <v>#DIV/0!</v>
      </c>
      <c r="X548" s="120" t="e">
        <f>X534/'ФОТ, МТР, макро'!BB$14/(X477/X472)</f>
        <v>#DIV/0!</v>
      </c>
      <c r="Y548" s="120" t="e">
        <f>Y534/'ФОТ, МТР, макро'!BC$14/(Y477/Y472)</f>
        <v>#DIV/0!</v>
      </c>
      <c r="Z548" s="120" t="e">
        <f>Z534/'ФОТ, МТР, макро'!BD$14/(Z477/Z472)</f>
        <v>#DIV/0!</v>
      </c>
      <c r="AC548" s="117" t="e" cm="1">
        <f t="array" ref="AC548:AV548">INDEX(G548:Z548,1,$C548)</f>
        <v>#DIV/0!</v>
      </c>
      <c r="AD548" s="2" t="e">
        <v>#DIV/0!</v>
      </c>
      <c r="AE548" s="2" t="e">
        <v>#DIV/0!</v>
      </c>
      <c r="AF548" s="2" t="e">
        <v>#DIV/0!</v>
      </c>
      <c r="AG548" s="2" t="e">
        <v>#DIV/0!</v>
      </c>
      <c r="AH548" s="2" t="e">
        <v>#DIV/0!</v>
      </c>
      <c r="AI548" s="2" t="e">
        <v>#DIV/0!</v>
      </c>
      <c r="AJ548" s="2" t="e">
        <v>#DIV/0!</v>
      </c>
      <c r="AK548" s="2" t="e">
        <v>#DIV/0!</v>
      </c>
      <c r="AL548" s="2" t="e">
        <v>#DIV/0!</v>
      </c>
      <c r="AM548" s="2" t="e">
        <v>#DIV/0!</v>
      </c>
      <c r="AN548" s="2" t="e">
        <v>#DIV/0!</v>
      </c>
      <c r="AO548" s="2" t="e">
        <v>#DIV/0!</v>
      </c>
      <c r="AP548" s="2" t="e">
        <v>#DIV/0!</v>
      </c>
      <c r="AQ548" s="2" t="e">
        <v>#DIV/0!</v>
      </c>
      <c r="AR548" s="2" t="e">
        <v>#DIV/0!</v>
      </c>
      <c r="AS548" s="2" t="e">
        <v>#DIV/0!</v>
      </c>
      <c r="AT548" s="2" t="e">
        <v>#DIV/0!</v>
      </c>
      <c r="AU548" s="2" t="e">
        <v>#DIV/0!</v>
      </c>
      <c r="AV548" s="2" t="e">
        <v>#DIV/0!</v>
      </c>
    </row>
    <row r="549" spans="1:48" outlineLevel="1" x14ac:dyDescent="0.25">
      <c r="A549" s="39" t="str">
        <f t="shared" si="445"/>
        <v>XCMG 240</v>
      </c>
      <c r="B549" s="39" t="str">
        <f t="shared" si="446"/>
        <v>Аннуитет общий</v>
      </c>
      <c r="C549" s="39">
        <f t="shared" si="447"/>
        <v>0</v>
      </c>
      <c r="D549" s="108" t="s">
        <v>97</v>
      </c>
      <c r="E549" s="118" t="str">
        <f>E539</f>
        <v>руб/ткм</v>
      </c>
      <c r="F549" s="119"/>
      <c r="G549" s="111" t="e">
        <f>G537/'ФОТ, МТР, макро'!AK$14/(G477/G472)</f>
        <v>#DIV/0!</v>
      </c>
      <c r="H549" s="111" t="e">
        <f>H537/'ФОТ, МТР, макро'!AL$14/(H477/H472)</f>
        <v>#DIV/0!</v>
      </c>
      <c r="I549" s="111" t="e">
        <f>I537/'ФОТ, МТР, макро'!AM$14/(I477/I472)</f>
        <v>#DIV/0!</v>
      </c>
      <c r="J549" s="111" t="e">
        <f>J537/'ФОТ, МТР, макро'!AN$14/(J477/J472)</f>
        <v>#DIV/0!</v>
      </c>
      <c r="K549" s="111" t="e">
        <f>K537/'ФОТ, МТР, макро'!AO$14/(K477/K472)</f>
        <v>#DIV/0!</v>
      </c>
      <c r="L549" s="111" t="e">
        <f>L537/'ФОТ, МТР, макро'!AP$14/(L477/L472)</f>
        <v>#DIV/0!</v>
      </c>
      <c r="M549" s="111" t="e">
        <f>M537/'ФОТ, МТР, макро'!AQ$14/(M477/M472)</f>
        <v>#DIV/0!</v>
      </c>
      <c r="N549" s="111" t="e">
        <f>N537/'ФОТ, МТР, макро'!AR$14/(N477/N472)</f>
        <v>#DIV/0!</v>
      </c>
      <c r="O549" s="111" t="e">
        <f>O537/'ФОТ, МТР, макро'!AS$14/(O477/O472)</f>
        <v>#DIV/0!</v>
      </c>
      <c r="P549" s="111" t="e">
        <f>P537/'ФОТ, МТР, макро'!AT$14/(P477/P472)</f>
        <v>#DIV/0!</v>
      </c>
      <c r="Q549" s="111" t="e">
        <f>Q537/'ФОТ, МТР, макро'!AU$14/(Q477/Q472)</f>
        <v>#DIV/0!</v>
      </c>
      <c r="R549" s="111" t="e">
        <f>R537/'ФОТ, МТР, макро'!AV$14/(R477/R472)</f>
        <v>#DIV/0!</v>
      </c>
      <c r="S549" s="111" t="e">
        <f>S537/'ФОТ, МТР, макро'!AW$14/(S477/S472)</f>
        <v>#DIV/0!</v>
      </c>
      <c r="T549" s="111" t="e">
        <f>T537/'ФОТ, МТР, макро'!AX$14/(T477/T472)</f>
        <v>#DIV/0!</v>
      </c>
      <c r="U549" s="111" t="e">
        <f>U537/'ФОТ, МТР, макро'!AY$14/(U477/U472)</f>
        <v>#DIV/0!</v>
      </c>
      <c r="V549" s="111" t="e">
        <f>V537/'ФОТ, МТР, макро'!AZ$14/(V477/V472)</f>
        <v>#DIV/0!</v>
      </c>
      <c r="W549" s="111" t="e">
        <f>W537/'ФОТ, МТР, макро'!BA$14/(W477/W472)</f>
        <v>#DIV/0!</v>
      </c>
      <c r="X549" s="111" t="e">
        <f>X537/'ФОТ, МТР, макро'!BB$14/(X477/X472)</f>
        <v>#DIV/0!</v>
      </c>
      <c r="Y549" s="111" t="e">
        <f>Y537/'ФОТ, МТР, макро'!BC$14/(Y477/Y472)</f>
        <v>#DIV/0!</v>
      </c>
      <c r="Z549" s="111" t="e">
        <f>Z537/'ФОТ, МТР, макро'!BD$14/(Z477/Z472)</f>
        <v>#DIV/0!</v>
      </c>
      <c r="AC549" s="112" t="e" cm="1">
        <f t="array" ref="AC549:AV549">INDEX(G549:Z549,1,$C549)</f>
        <v>#DIV/0!</v>
      </c>
      <c r="AD549" s="2" t="e">
        <v>#DIV/0!</v>
      </c>
      <c r="AE549" s="2" t="e">
        <v>#DIV/0!</v>
      </c>
      <c r="AF549" s="2" t="e">
        <v>#DIV/0!</v>
      </c>
      <c r="AG549" s="2" t="e">
        <v>#DIV/0!</v>
      </c>
      <c r="AH549" s="2" t="e">
        <v>#DIV/0!</v>
      </c>
      <c r="AI549" s="2" t="e">
        <v>#DIV/0!</v>
      </c>
      <c r="AJ549" s="2" t="e">
        <v>#DIV/0!</v>
      </c>
      <c r="AK549" s="2" t="e">
        <v>#DIV/0!</v>
      </c>
      <c r="AL549" s="2" t="e">
        <v>#DIV/0!</v>
      </c>
      <c r="AM549" s="2" t="e">
        <v>#DIV/0!</v>
      </c>
      <c r="AN549" s="2" t="e">
        <v>#DIV/0!</v>
      </c>
      <c r="AO549" s="2" t="e">
        <v>#DIV/0!</v>
      </c>
      <c r="AP549" s="2" t="e">
        <v>#DIV/0!</v>
      </c>
      <c r="AQ549" s="2" t="e">
        <v>#DIV/0!</v>
      </c>
      <c r="AR549" s="2" t="e">
        <v>#DIV/0!</v>
      </c>
      <c r="AS549" s="2" t="e">
        <v>#DIV/0!</v>
      </c>
      <c r="AT549" s="2" t="e">
        <v>#DIV/0!</v>
      </c>
      <c r="AU549" s="2" t="e">
        <v>#DIV/0!</v>
      </c>
      <c r="AV549" s="2" t="e">
        <v>#DIV/0!</v>
      </c>
    </row>
    <row r="550" spans="1:48" outlineLevel="1" x14ac:dyDescent="0.25">
      <c r="A550" s="39" t="str">
        <f t="shared" si="445"/>
        <v>XCMG 240</v>
      </c>
      <c r="B550" s="39"/>
      <c r="D550" s="121"/>
      <c r="E550" s="1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48" outlineLevel="1" x14ac:dyDescent="0.25">
      <c r="A551" s="39" t="str">
        <f t="shared" si="445"/>
        <v>XCMG 240</v>
      </c>
      <c r="B551" s="39"/>
      <c r="D551" s="123" t="s">
        <v>88</v>
      </c>
      <c r="E551" s="124"/>
      <c r="F551" s="125"/>
      <c r="G551" s="126" t="e">
        <f>G549-G539-G547+G539-SUM(G540:G546)+G547-G548</f>
        <v>#DIV/0!</v>
      </c>
      <c r="H551" s="126" t="e">
        <f t="shared" ref="H551:I551" si="450">H549-H539-H547+H539-SUM(H540:H546)+H547-H548</f>
        <v>#DIV/0!</v>
      </c>
      <c r="I551" s="126" t="e">
        <f t="shared" si="450"/>
        <v>#DIV/0!</v>
      </c>
      <c r="J551" s="126" t="e">
        <f t="shared" ref="J551:Z551" si="451">J549-J539-J547+J539-SUM(J540:J546)+J547-J548</f>
        <v>#DIV/0!</v>
      </c>
      <c r="K551" s="126" t="e">
        <f t="shared" si="451"/>
        <v>#DIV/0!</v>
      </c>
      <c r="L551" s="126" t="e">
        <f t="shared" si="451"/>
        <v>#DIV/0!</v>
      </c>
      <c r="M551" s="126" t="e">
        <f t="shared" si="451"/>
        <v>#DIV/0!</v>
      </c>
      <c r="N551" s="126" t="e">
        <f t="shared" si="451"/>
        <v>#DIV/0!</v>
      </c>
      <c r="O551" s="126" t="e">
        <f t="shared" si="451"/>
        <v>#DIV/0!</v>
      </c>
      <c r="P551" s="126" t="e">
        <f t="shared" si="451"/>
        <v>#DIV/0!</v>
      </c>
      <c r="Q551" s="126" t="e">
        <f t="shared" si="451"/>
        <v>#DIV/0!</v>
      </c>
      <c r="R551" s="126" t="e">
        <f t="shared" si="451"/>
        <v>#DIV/0!</v>
      </c>
      <c r="S551" s="126" t="e">
        <f t="shared" si="451"/>
        <v>#DIV/0!</v>
      </c>
      <c r="T551" s="126" t="e">
        <f t="shared" si="451"/>
        <v>#DIV/0!</v>
      </c>
      <c r="U551" s="126" t="e">
        <f t="shared" si="451"/>
        <v>#DIV/0!</v>
      </c>
      <c r="V551" s="126" t="e">
        <f t="shared" si="451"/>
        <v>#DIV/0!</v>
      </c>
      <c r="W551" s="126" t="e">
        <f t="shared" si="451"/>
        <v>#DIV/0!</v>
      </c>
      <c r="X551" s="126" t="e">
        <f t="shared" si="451"/>
        <v>#DIV/0!</v>
      </c>
      <c r="Y551" s="126" t="e">
        <f t="shared" si="451"/>
        <v>#DIV/0!</v>
      </c>
      <c r="Z551" s="126" t="e">
        <f t="shared" si="451"/>
        <v>#DIV/0!</v>
      </c>
    </row>
    <row r="552" spans="1:48" outlineLevel="1" x14ac:dyDescent="0.25">
      <c r="A552" s="39" t="str">
        <f t="shared" si="445"/>
        <v>XCMG 240</v>
      </c>
      <c r="B552" s="39"/>
      <c r="D552" s="125"/>
      <c r="E552" s="124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48" outlineLevel="1" x14ac:dyDescent="0.25">
      <c r="A553" s="39" t="str">
        <f t="shared" si="445"/>
        <v>XCMG 240</v>
      </c>
      <c r="B553" s="39"/>
      <c r="D553" s="127" t="s">
        <v>98</v>
      </c>
      <c r="E553" s="128" t="str">
        <f>E549</f>
        <v>руб/ткм</v>
      </c>
      <c r="F553" s="129"/>
      <c r="G553" s="130" t="e">
        <f>SUM(G554:G559)</f>
        <v>#DIV/0!</v>
      </c>
      <c r="H553" s="130" t="e">
        <f t="shared" ref="H553:Z553" si="452">SUM(H554:H559)</f>
        <v>#DIV/0!</v>
      </c>
      <c r="I553" s="130" t="e">
        <f t="shared" si="452"/>
        <v>#DIV/0!</v>
      </c>
      <c r="J553" s="130" t="e">
        <f t="shared" si="452"/>
        <v>#DIV/0!</v>
      </c>
      <c r="K553" s="130" t="e">
        <f t="shared" si="452"/>
        <v>#DIV/0!</v>
      </c>
      <c r="L553" s="130" t="e">
        <f t="shared" si="452"/>
        <v>#DIV/0!</v>
      </c>
      <c r="M553" s="130" t="e">
        <f t="shared" si="452"/>
        <v>#DIV/0!</v>
      </c>
      <c r="N553" s="130" t="e">
        <f t="shared" si="452"/>
        <v>#DIV/0!</v>
      </c>
      <c r="O553" s="130" t="e">
        <f t="shared" si="452"/>
        <v>#DIV/0!</v>
      </c>
      <c r="P553" s="130" t="e">
        <f t="shared" si="452"/>
        <v>#DIV/0!</v>
      </c>
      <c r="Q553" s="130" t="e">
        <f t="shared" si="452"/>
        <v>#DIV/0!</v>
      </c>
      <c r="R553" s="130" t="e">
        <f t="shared" si="452"/>
        <v>#DIV/0!</v>
      </c>
      <c r="S553" s="130" t="e">
        <f t="shared" si="452"/>
        <v>#DIV/0!</v>
      </c>
      <c r="T553" s="130" t="e">
        <f t="shared" si="452"/>
        <v>#DIV/0!</v>
      </c>
      <c r="U553" s="130" t="e">
        <f t="shared" si="452"/>
        <v>#DIV/0!</v>
      </c>
      <c r="V553" s="130" t="e">
        <f t="shared" si="452"/>
        <v>#DIV/0!</v>
      </c>
      <c r="W553" s="130" t="e">
        <f t="shared" si="452"/>
        <v>#DIV/0!</v>
      </c>
      <c r="X553" s="130" t="e">
        <f t="shared" si="452"/>
        <v>#DIV/0!</v>
      </c>
      <c r="Y553" s="130" t="e">
        <f t="shared" si="452"/>
        <v>#DIV/0!</v>
      </c>
      <c r="Z553" s="130" t="e">
        <f t="shared" si="452"/>
        <v>#DIV/0!</v>
      </c>
    </row>
    <row r="554" spans="1:48" outlineLevel="1" x14ac:dyDescent="0.25">
      <c r="A554" s="39" t="str">
        <f t="shared" si="445"/>
        <v>XCMG 240</v>
      </c>
      <c r="B554" s="39"/>
      <c r="D554" s="113" t="str">
        <f>D540</f>
        <v>ТО, ТР, ППР</v>
      </c>
      <c r="E554" s="114" t="str">
        <f>E553</f>
        <v>руб/ткм</v>
      </c>
      <c r="F554" s="115"/>
      <c r="G554" s="116" t="e">
        <f>G481/G476</f>
        <v>#DIV/0!</v>
      </c>
      <c r="H554" s="116" t="e">
        <f t="shared" ref="H554:Z554" si="453">H481/H476</f>
        <v>#DIV/0!</v>
      </c>
      <c r="I554" s="116" t="e">
        <f t="shared" si="453"/>
        <v>#DIV/0!</v>
      </c>
      <c r="J554" s="116" t="e">
        <f t="shared" si="453"/>
        <v>#DIV/0!</v>
      </c>
      <c r="K554" s="116" t="e">
        <f t="shared" si="453"/>
        <v>#DIV/0!</v>
      </c>
      <c r="L554" s="116" t="e">
        <f t="shared" si="453"/>
        <v>#DIV/0!</v>
      </c>
      <c r="M554" s="116" t="e">
        <f t="shared" si="453"/>
        <v>#DIV/0!</v>
      </c>
      <c r="N554" s="116" t="e">
        <f t="shared" si="453"/>
        <v>#DIV/0!</v>
      </c>
      <c r="O554" s="116" t="e">
        <f t="shared" si="453"/>
        <v>#DIV/0!</v>
      </c>
      <c r="P554" s="116" t="e">
        <f t="shared" si="453"/>
        <v>#DIV/0!</v>
      </c>
      <c r="Q554" s="116" t="e">
        <f t="shared" si="453"/>
        <v>#DIV/0!</v>
      </c>
      <c r="R554" s="116" t="e">
        <f t="shared" si="453"/>
        <v>#DIV/0!</v>
      </c>
      <c r="S554" s="116" t="e">
        <f t="shared" si="453"/>
        <v>#DIV/0!</v>
      </c>
      <c r="T554" s="116" t="e">
        <f t="shared" si="453"/>
        <v>#DIV/0!</v>
      </c>
      <c r="U554" s="116" t="e">
        <f t="shared" si="453"/>
        <v>#DIV/0!</v>
      </c>
      <c r="V554" s="116" t="e">
        <f t="shared" si="453"/>
        <v>#DIV/0!</v>
      </c>
      <c r="W554" s="116" t="e">
        <f t="shared" si="453"/>
        <v>#DIV/0!</v>
      </c>
      <c r="X554" s="116" t="e">
        <f t="shared" si="453"/>
        <v>#DIV/0!</v>
      </c>
      <c r="Y554" s="116" t="e">
        <f t="shared" si="453"/>
        <v>#DIV/0!</v>
      </c>
      <c r="Z554" s="116" t="e">
        <f t="shared" si="453"/>
        <v>#DIV/0!</v>
      </c>
    </row>
    <row r="555" spans="1:48" outlineLevel="1" x14ac:dyDescent="0.25">
      <c r="A555" s="39" t="str">
        <f t="shared" si="445"/>
        <v>XCMG 240</v>
      </c>
      <c r="B555" s="39"/>
      <c r="D555" s="113" t="str">
        <f t="shared" ref="D555:D559" si="454">D541</f>
        <v>Шины</v>
      </c>
      <c r="E555" s="114" t="str">
        <f t="shared" ref="E555:E559" si="455">E554</f>
        <v>руб/ткм</v>
      </c>
      <c r="F555" s="115"/>
      <c r="G555" s="116" t="e">
        <f>G486/G476</f>
        <v>#DIV/0!</v>
      </c>
      <c r="H555" s="116" t="e">
        <f t="shared" ref="H555:Z555" si="456">H486/H476</f>
        <v>#DIV/0!</v>
      </c>
      <c r="I555" s="116" t="e">
        <f t="shared" si="456"/>
        <v>#DIV/0!</v>
      </c>
      <c r="J555" s="116" t="e">
        <f t="shared" si="456"/>
        <v>#DIV/0!</v>
      </c>
      <c r="K555" s="116" t="e">
        <f t="shared" si="456"/>
        <v>#DIV/0!</v>
      </c>
      <c r="L555" s="116" t="e">
        <f t="shared" si="456"/>
        <v>#DIV/0!</v>
      </c>
      <c r="M555" s="116" t="e">
        <f t="shared" si="456"/>
        <v>#DIV/0!</v>
      </c>
      <c r="N555" s="116" t="e">
        <f t="shared" si="456"/>
        <v>#DIV/0!</v>
      </c>
      <c r="O555" s="116" t="e">
        <f t="shared" si="456"/>
        <v>#DIV/0!</v>
      </c>
      <c r="P555" s="116" t="e">
        <f t="shared" si="456"/>
        <v>#DIV/0!</v>
      </c>
      <c r="Q555" s="116" t="e">
        <f t="shared" si="456"/>
        <v>#DIV/0!</v>
      </c>
      <c r="R555" s="116" t="e">
        <f t="shared" si="456"/>
        <v>#DIV/0!</v>
      </c>
      <c r="S555" s="116" t="e">
        <f t="shared" si="456"/>
        <v>#DIV/0!</v>
      </c>
      <c r="T555" s="116" t="e">
        <f t="shared" si="456"/>
        <v>#DIV/0!</v>
      </c>
      <c r="U555" s="116" t="e">
        <f t="shared" si="456"/>
        <v>#DIV/0!</v>
      </c>
      <c r="V555" s="116" t="e">
        <f t="shared" si="456"/>
        <v>#DIV/0!</v>
      </c>
      <c r="W555" s="116" t="e">
        <f t="shared" si="456"/>
        <v>#DIV/0!</v>
      </c>
      <c r="X555" s="116" t="e">
        <f t="shared" si="456"/>
        <v>#DIV/0!</v>
      </c>
      <c r="Y555" s="116" t="e">
        <f t="shared" si="456"/>
        <v>#DIV/0!</v>
      </c>
      <c r="Z555" s="116" t="e">
        <f t="shared" si="456"/>
        <v>#DIV/0!</v>
      </c>
    </row>
    <row r="556" spans="1:48" outlineLevel="1" x14ac:dyDescent="0.25">
      <c r="A556" s="39" t="str">
        <f t="shared" si="445"/>
        <v>XCMG 240</v>
      </c>
      <c r="B556" s="39"/>
      <c r="D556" s="113" t="str">
        <f t="shared" si="454"/>
        <v>Топливо</v>
      </c>
      <c r="E556" s="114" t="str">
        <f t="shared" si="455"/>
        <v>руб/ткм</v>
      </c>
      <c r="F556" s="115"/>
      <c r="G556" s="116" t="e">
        <f>G490/G476</f>
        <v>#DIV/0!</v>
      </c>
      <c r="H556" s="116" t="e">
        <f t="shared" ref="H556:Z556" si="457">H490/H476</f>
        <v>#DIV/0!</v>
      </c>
      <c r="I556" s="116" t="e">
        <f t="shared" si="457"/>
        <v>#DIV/0!</v>
      </c>
      <c r="J556" s="116" t="e">
        <f t="shared" si="457"/>
        <v>#DIV/0!</v>
      </c>
      <c r="K556" s="116" t="e">
        <f t="shared" si="457"/>
        <v>#DIV/0!</v>
      </c>
      <c r="L556" s="116" t="e">
        <f t="shared" si="457"/>
        <v>#DIV/0!</v>
      </c>
      <c r="M556" s="116" t="e">
        <f t="shared" si="457"/>
        <v>#DIV/0!</v>
      </c>
      <c r="N556" s="116" t="e">
        <f t="shared" si="457"/>
        <v>#DIV/0!</v>
      </c>
      <c r="O556" s="116" t="e">
        <f t="shared" si="457"/>
        <v>#DIV/0!</v>
      </c>
      <c r="P556" s="116" t="e">
        <f t="shared" si="457"/>
        <v>#DIV/0!</v>
      </c>
      <c r="Q556" s="116" t="e">
        <f t="shared" si="457"/>
        <v>#DIV/0!</v>
      </c>
      <c r="R556" s="116" t="e">
        <f t="shared" si="457"/>
        <v>#DIV/0!</v>
      </c>
      <c r="S556" s="116" t="e">
        <f t="shared" si="457"/>
        <v>#DIV/0!</v>
      </c>
      <c r="T556" s="116" t="e">
        <f t="shared" si="457"/>
        <v>#DIV/0!</v>
      </c>
      <c r="U556" s="116" t="e">
        <f t="shared" si="457"/>
        <v>#DIV/0!</v>
      </c>
      <c r="V556" s="116" t="e">
        <f t="shared" si="457"/>
        <v>#DIV/0!</v>
      </c>
      <c r="W556" s="116" t="e">
        <f t="shared" si="457"/>
        <v>#DIV/0!</v>
      </c>
      <c r="X556" s="116" t="e">
        <f t="shared" si="457"/>
        <v>#DIV/0!</v>
      </c>
      <c r="Y556" s="116" t="e">
        <f t="shared" si="457"/>
        <v>#DIV/0!</v>
      </c>
      <c r="Z556" s="116" t="e">
        <f t="shared" si="457"/>
        <v>#DIV/0!</v>
      </c>
    </row>
    <row r="557" spans="1:48" outlineLevel="1" x14ac:dyDescent="0.25">
      <c r="A557" s="39" t="str">
        <f t="shared" si="445"/>
        <v>XCMG 240</v>
      </c>
      <c r="B557" s="39"/>
      <c r="D557" s="113" t="str">
        <f t="shared" si="454"/>
        <v>Смазочные</v>
      </c>
      <c r="E557" s="114" t="str">
        <f t="shared" si="455"/>
        <v>руб/ткм</v>
      </c>
      <c r="F557" s="115"/>
      <c r="G557" s="116" t="e">
        <f>G495/G476</f>
        <v>#DIV/0!</v>
      </c>
      <c r="H557" s="116" t="e">
        <f t="shared" ref="H557:Z557" si="458">H495/H476</f>
        <v>#DIV/0!</v>
      </c>
      <c r="I557" s="116" t="e">
        <f t="shared" si="458"/>
        <v>#DIV/0!</v>
      </c>
      <c r="J557" s="116" t="e">
        <f t="shared" si="458"/>
        <v>#DIV/0!</v>
      </c>
      <c r="K557" s="116" t="e">
        <f t="shared" si="458"/>
        <v>#DIV/0!</v>
      </c>
      <c r="L557" s="116" t="e">
        <f t="shared" si="458"/>
        <v>#DIV/0!</v>
      </c>
      <c r="M557" s="116" t="e">
        <f t="shared" si="458"/>
        <v>#DIV/0!</v>
      </c>
      <c r="N557" s="116" t="e">
        <f t="shared" si="458"/>
        <v>#DIV/0!</v>
      </c>
      <c r="O557" s="116" t="e">
        <f t="shared" si="458"/>
        <v>#DIV/0!</v>
      </c>
      <c r="P557" s="116" t="e">
        <f t="shared" si="458"/>
        <v>#DIV/0!</v>
      </c>
      <c r="Q557" s="116" t="e">
        <f t="shared" si="458"/>
        <v>#DIV/0!</v>
      </c>
      <c r="R557" s="116" t="e">
        <f t="shared" si="458"/>
        <v>#DIV/0!</v>
      </c>
      <c r="S557" s="116" t="e">
        <f t="shared" si="458"/>
        <v>#DIV/0!</v>
      </c>
      <c r="T557" s="116" t="e">
        <f t="shared" si="458"/>
        <v>#DIV/0!</v>
      </c>
      <c r="U557" s="116" t="e">
        <f t="shared" si="458"/>
        <v>#DIV/0!</v>
      </c>
      <c r="V557" s="116" t="e">
        <f t="shared" si="458"/>
        <v>#DIV/0!</v>
      </c>
      <c r="W557" s="116" t="e">
        <f t="shared" si="458"/>
        <v>#DIV/0!</v>
      </c>
      <c r="X557" s="116" t="e">
        <f t="shared" si="458"/>
        <v>#DIV/0!</v>
      </c>
      <c r="Y557" s="116" t="e">
        <f t="shared" si="458"/>
        <v>#DIV/0!</v>
      </c>
      <c r="Z557" s="116" t="e">
        <f t="shared" si="458"/>
        <v>#DIV/0!</v>
      </c>
    </row>
    <row r="558" spans="1:48" outlineLevel="1" x14ac:dyDescent="0.25">
      <c r="A558" s="39" t="str">
        <f t="shared" si="445"/>
        <v>XCMG 240</v>
      </c>
      <c r="B558" s="39"/>
      <c r="D558" s="113" t="str">
        <f t="shared" si="454"/>
        <v>Затраты на персонал</v>
      </c>
      <c r="E558" s="114" t="str">
        <f t="shared" si="455"/>
        <v>руб/ткм</v>
      </c>
      <c r="F558" s="115"/>
      <c r="G558" s="116" t="e">
        <f>G497/G476</f>
        <v>#DIV/0!</v>
      </c>
      <c r="H558" s="116" t="e">
        <f t="shared" ref="H558:Z558" si="459">H497/H476</f>
        <v>#DIV/0!</v>
      </c>
      <c r="I558" s="116" t="e">
        <f t="shared" si="459"/>
        <v>#DIV/0!</v>
      </c>
      <c r="J558" s="116" t="e">
        <f t="shared" si="459"/>
        <v>#DIV/0!</v>
      </c>
      <c r="K558" s="116" t="e">
        <f t="shared" si="459"/>
        <v>#DIV/0!</v>
      </c>
      <c r="L558" s="116" t="e">
        <f t="shared" si="459"/>
        <v>#DIV/0!</v>
      </c>
      <c r="M558" s="116" t="e">
        <f t="shared" si="459"/>
        <v>#DIV/0!</v>
      </c>
      <c r="N558" s="116" t="e">
        <f t="shared" si="459"/>
        <v>#DIV/0!</v>
      </c>
      <c r="O558" s="116" t="e">
        <f t="shared" si="459"/>
        <v>#DIV/0!</v>
      </c>
      <c r="P558" s="116" t="e">
        <f t="shared" si="459"/>
        <v>#DIV/0!</v>
      </c>
      <c r="Q558" s="116" t="e">
        <f t="shared" si="459"/>
        <v>#DIV/0!</v>
      </c>
      <c r="R558" s="116" t="e">
        <f t="shared" si="459"/>
        <v>#DIV/0!</v>
      </c>
      <c r="S558" s="116" t="e">
        <f t="shared" si="459"/>
        <v>#DIV/0!</v>
      </c>
      <c r="T558" s="116" t="e">
        <f t="shared" si="459"/>
        <v>#DIV/0!</v>
      </c>
      <c r="U558" s="116" t="e">
        <f t="shared" si="459"/>
        <v>#DIV/0!</v>
      </c>
      <c r="V558" s="116" t="e">
        <f t="shared" si="459"/>
        <v>#DIV/0!</v>
      </c>
      <c r="W558" s="116" t="e">
        <f t="shared" si="459"/>
        <v>#DIV/0!</v>
      </c>
      <c r="X558" s="116" t="e">
        <f t="shared" si="459"/>
        <v>#DIV/0!</v>
      </c>
      <c r="Y558" s="116" t="e">
        <f t="shared" si="459"/>
        <v>#DIV/0!</v>
      </c>
      <c r="Z558" s="116" t="e">
        <f t="shared" si="459"/>
        <v>#DIV/0!</v>
      </c>
    </row>
    <row r="559" spans="1:48" outlineLevel="1" x14ac:dyDescent="0.25">
      <c r="A559" s="39" t="str">
        <f t="shared" si="445"/>
        <v>XCMG 240</v>
      </c>
      <c r="B559" s="39"/>
      <c r="D559" s="113" t="str">
        <f t="shared" si="454"/>
        <v>Транспортный налог</v>
      </c>
      <c r="E559" s="114" t="str">
        <f t="shared" si="455"/>
        <v>руб/ткм</v>
      </c>
      <c r="F559" s="115"/>
      <c r="G559" s="116" t="e">
        <f>G501/G476</f>
        <v>#DIV/0!</v>
      </c>
      <c r="H559" s="116" t="e">
        <f t="shared" ref="H559:Z559" si="460">H501/H476</f>
        <v>#DIV/0!</v>
      </c>
      <c r="I559" s="116" t="e">
        <f t="shared" si="460"/>
        <v>#DIV/0!</v>
      </c>
      <c r="J559" s="116" t="e">
        <f t="shared" si="460"/>
        <v>#DIV/0!</v>
      </c>
      <c r="K559" s="116" t="e">
        <f t="shared" si="460"/>
        <v>#DIV/0!</v>
      </c>
      <c r="L559" s="116" t="e">
        <f t="shared" si="460"/>
        <v>#DIV/0!</v>
      </c>
      <c r="M559" s="116" t="e">
        <f t="shared" si="460"/>
        <v>#DIV/0!</v>
      </c>
      <c r="N559" s="116" t="e">
        <f t="shared" si="460"/>
        <v>#DIV/0!</v>
      </c>
      <c r="O559" s="116" t="e">
        <f t="shared" si="460"/>
        <v>#DIV/0!</v>
      </c>
      <c r="P559" s="116" t="e">
        <f t="shared" si="460"/>
        <v>#DIV/0!</v>
      </c>
      <c r="Q559" s="116" t="e">
        <f t="shared" si="460"/>
        <v>#DIV/0!</v>
      </c>
      <c r="R559" s="116" t="e">
        <f t="shared" si="460"/>
        <v>#DIV/0!</v>
      </c>
      <c r="S559" s="116" t="e">
        <f t="shared" si="460"/>
        <v>#DIV/0!</v>
      </c>
      <c r="T559" s="116" t="e">
        <f t="shared" si="460"/>
        <v>#DIV/0!</v>
      </c>
      <c r="U559" s="116" t="e">
        <f t="shared" si="460"/>
        <v>#DIV/0!</v>
      </c>
      <c r="V559" s="116" t="e">
        <f t="shared" si="460"/>
        <v>#DIV/0!</v>
      </c>
      <c r="W559" s="116" t="e">
        <f t="shared" si="460"/>
        <v>#DIV/0!</v>
      </c>
      <c r="X559" s="116" t="e">
        <f t="shared" si="460"/>
        <v>#DIV/0!</v>
      </c>
      <c r="Y559" s="116" t="e">
        <f t="shared" si="460"/>
        <v>#DIV/0!</v>
      </c>
      <c r="Z559" s="116" t="e">
        <f t="shared" si="460"/>
        <v>#DIV/0!</v>
      </c>
    </row>
    <row r="560" spans="1:48" outlineLevel="1" x14ac:dyDescent="0.25">
      <c r="A560" s="39" t="str">
        <f t="shared" si="445"/>
        <v>XCMG 240</v>
      </c>
      <c r="B560" s="39"/>
      <c r="D560" s="121"/>
      <c r="E560" s="12"/>
      <c r="F560" s="122"/>
      <c r="G560" s="131" t="e">
        <f>G553-(G480-G506)/G476</f>
        <v>#DIV/0!</v>
      </c>
      <c r="H560" s="131" t="e">
        <f t="shared" ref="H560:Z560" si="461">H553-(H480-H506)/H476</f>
        <v>#DIV/0!</v>
      </c>
      <c r="I560" s="131" t="e">
        <f t="shared" si="461"/>
        <v>#DIV/0!</v>
      </c>
      <c r="J560" s="131" t="e">
        <f t="shared" si="461"/>
        <v>#DIV/0!</v>
      </c>
      <c r="K560" s="131" t="e">
        <f t="shared" si="461"/>
        <v>#DIV/0!</v>
      </c>
      <c r="L560" s="131" t="e">
        <f t="shared" si="461"/>
        <v>#DIV/0!</v>
      </c>
      <c r="M560" s="131" t="e">
        <f t="shared" si="461"/>
        <v>#DIV/0!</v>
      </c>
      <c r="N560" s="131" t="e">
        <f t="shared" si="461"/>
        <v>#DIV/0!</v>
      </c>
      <c r="O560" s="131" t="e">
        <f t="shared" si="461"/>
        <v>#DIV/0!</v>
      </c>
      <c r="P560" s="131" t="e">
        <f t="shared" si="461"/>
        <v>#DIV/0!</v>
      </c>
      <c r="Q560" s="131" t="e">
        <f t="shared" si="461"/>
        <v>#DIV/0!</v>
      </c>
      <c r="R560" s="131" t="e">
        <f t="shared" si="461"/>
        <v>#DIV/0!</v>
      </c>
      <c r="S560" s="131" t="e">
        <f t="shared" si="461"/>
        <v>#DIV/0!</v>
      </c>
      <c r="T560" s="131" t="e">
        <f t="shared" si="461"/>
        <v>#DIV/0!</v>
      </c>
      <c r="U560" s="131" t="e">
        <f t="shared" si="461"/>
        <v>#DIV/0!</v>
      </c>
      <c r="V560" s="131" t="e">
        <f t="shared" si="461"/>
        <v>#DIV/0!</v>
      </c>
      <c r="W560" s="131" t="e">
        <f t="shared" si="461"/>
        <v>#DIV/0!</v>
      </c>
      <c r="X560" s="131" t="e">
        <f t="shared" si="461"/>
        <v>#DIV/0!</v>
      </c>
      <c r="Y560" s="131" t="e">
        <f t="shared" si="461"/>
        <v>#DIV/0!</v>
      </c>
      <c r="Z560" s="131" t="e">
        <f t="shared" si="461"/>
        <v>#DIV/0!</v>
      </c>
    </row>
    <row r="561" spans="1:28" outlineLevel="1" x14ac:dyDescent="0.25">
      <c r="A561" s="2" t="s">
        <v>45</v>
      </c>
    </row>
    <row r="562" spans="1:28" x14ac:dyDescent="0.25">
      <c r="A562" s="2" t="s">
        <v>45</v>
      </c>
    </row>
    <row r="563" spans="1:28" ht="14.3" x14ac:dyDescent="0.25">
      <c r="A563" s="2" t="s">
        <v>45</v>
      </c>
      <c r="C563" s="57">
        <f>SUM(F613:Z613,F625:Z625,F644:Z644,AA597)</f>
        <v>7.9936057773011271E-15</v>
      </c>
      <c r="D563" s="58" t="str">
        <f>Свод_1!L23</f>
        <v>БелАЗ 7531 (БТЛ)</v>
      </c>
      <c r="E563" s="59">
        <f>SUMIFS(Производительность_1!$Y$55:$Y$71,Производительность_1!$C$55:$C$71,$D563)</f>
        <v>10</v>
      </c>
      <c r="F563" s="60" t="str">
        <f>$F$2</f>
        <v>лет</v>
      </c>
    </row>
    <row r="564" spans="1:28" outlineLevel="1" x14ac:dyDescent="0.25">
      <c r="A564" s="2" t="s">
        <v>45</v>
      </c>
    </row>
    <row r="565" spans="1:28" outlineLevel="1" x14ac:dyDescent="0.25">
      <c r="A565" s="61" t="str">
        <f>D563</f>
        <v>БелАЗ 7531 (БТЛ)</v>
      </c>
      <c r="D565" s="62" t="str">
        <f>D$1</f>
        <v>Показатель</v>
      </c>
      <c r="E565" s="62" t="str">
        <f t="shared" ref="E565:Z565" si="462">E$1</f>
        <v>Ед. изм.</v>
      </c>
      <c r="F565" s="62">
        <f t="shared" si="462"/>
        <v>0</v>
      </c>
      <c r="G565" s="62">
        <f t="shared" si="462"/>
        <v>1</v>
      </c>
      <c r="H565" s="62">
        <f t="shared" si="462"/>
        <v>2</v>
      </c>
      <c r="I565" s="62">
        <f t="shared" si="462"/>
        <v>3</v>
      </c>
      <c r="J565" s="62">
        <f t="shared" si="462"/>
        <v>4</v>
      </c>
      <c r="K565" s="62">
        <f t="shared" si="462"/>
        <v>5</v>
      </c>
      <c r="L565" s="62">
        <f t="shared" si="462"/>
        <v>6</v>
      </c>
      <c r="M565" s="62">
        <f t="shared" si="462"/>
        <v>7</v>
      </c>
      <c r="N565" s="62">
        <f t="shared" si="462"/>
        <v>8</v>
      </c>
      <c r="O565" s="62">
        <f t="shared" si="462"/>
        <v>9</v>
      </c>
      <c r="P565" s="62">
        <f t="shared" si="462"/>
        <v>10</v>
      </c>
      <c r="Q565" s="62">
        <f t="shared" si="462"/>
        <v>11</v>
      </c>
      <c r="R565" s="62">
        <f t="shared" si="462"/>
        <v>12</v>
      </c>
      <c r="S565" s="62">
        <f t="shared" si="462"/>
        <v>13</v>
      </c>
      <c r="T565" s="62">
        <f t="shared" si="462"/>
        <v>14</v>
      </c>
      <c r="U565" s="62">
        <f t="shared" si="462"/>
        <v>15</v>
      </c>
      <c r="V565" s="62">
        <f t="shared" si="462"/>
        <v>16</v>
      </c>
      <c r="W565" s="62">
        <f t="shared" si="462"/>
        <v>17</v>
      </c>
      <c r="X565" s="62">
        <f t="shared" si="462"/>
        <v>18</v>
      </c>
      <c r="Y565" s="62">
        <f t="shared" si="462"/>
        <v>19</v>
      </c>
      <c r="Z565" s="62">
        <f t="shared" si="462"/>
        <v>20</v>
      </c>
    </row>
    <row r="566" spans="1:28" outlineLevel="1" x14ac:dyDescent="0.25">
      <c r="A566" s="39" t="str">
        <f>A565</f>
        <v>БелАЗ 7531 (БТЛ)</v>
      </c>
      <c r="B566" s="39"/>
      <c r="D566" s="63" t="s">
        <v>50</v>
      </c>
      <c r="E566" s="64" t="s">
        <v>51</v>
      </c>
      <c r="F566" s="65"/>
      <c r="G566" s="66">
        <f>SUMIFS(Производительность_1!E$55:E$71,Производительность_1!$C$55:$C$71,$A566)</f>
        <v>0.92956036751648907</v>
      </c>
      <c r="H566" s="66">
        <f>SUMIFS(Производительность_1!F$55:F$71,Производительность_1!$C$55:$C$71,$A566)</f>
        <v>0.90792065417300871</v>
      </c>
      <c r="I566" s="66">
        <f>SUMIFS(Производительность_1!G$55:G$71,Производительность_1!$C$55:$C$71,$A566)</f>
        <v>0.8994118599906985</v>
      </c>
      <c r="J566" s="66">
        <f>SUMIFS(Производительность_1!H$55:H$71,Производительность_1!$C$55:$C$71,$A566)</f>
        <v>0.88050753900304413</v>
      </c>
      <c r="K566" s="66">
        <f>SUMIFS(Производительность_1!I$55:I$71,Производительность_1!$C$55:$C$71,$A566)</f>
        <v>0.9011506135844749</v>
      </c>
      <c r="L566" s="66">
        <f>SUMIFS(Производительность_1!J$55:J$71,Производительность_1!$C$55:$C$71,$A566)</f>
        <v>0.87025999122695752</v>
      </c>
      <c r="M566" s="66">
        <f>SUMIFS(Производительность_1!K$55:K$71,Производительность_1!$C$55:$C$71,$A566)</f>
        <v>0.85058935026636229</v>
      </c>
      <c r="N566" s="66">
        <f>SUMIFS(Производительность_1!L$55:L$71,Производительность_1!$C$55:$C$71,$A566)</f>
        <v>0.89171695046930488</v>
      </c>
      <c r="O566" s="66">
        <f>SUMIFS(Производительность_1!M$55:M$71,Производительность_1!$C$55:$C$71,$A566)</f>
        <v>0.85775576325469305</v>
      </c>
      <c r="P566" s="66">
        <f>SUMIFS(Производительность_1!N$55:N$71,Производительность_1!$C$55:$C$71,$A566)</f>
        <v>0.85228053917216307</v>
      </c>
      <c r="Q566" s="66">
        <f>SUMIFS(Производительность_1!O$55:O$71,Производительность_1!$C$55:$C$71,$A566)</f>
        <v>0</v>
      </c>
      <c r="R566" s="66">
        <f>SUMIFS(Производительность_1!P$55:P$71,Производительность_1!$C$55:$C$71,$A566)</f>
        <v>0</v>
      </c>
      <c r="S566" s="66">
        <f>SUMIFS(Производительность_1!Q$55:Q$71,Производительность_1!$C$55:$C$71,$A566)</f>
        <v>0</v>
      </c>
      <c r="T566" s="66">
        <f>SUMIFS(Производительность_1!R$55:R$71,Производительность_1!$C$55:$C$71,$A566)</f>
        <v>0</v>
      </c>
      <c r="U566" s="66">
        <f>SUMIFS(Производительность_1!S$55:S$71,Производительность_1!$C$55:$C$71,$A566)</f>
        <v>0</v>
      </c>
      <c r="V566" s="66">
        <f>SUMIFS(Производительность_1!T$55:T$71,Производительность_1!$C$55:$C$71,$A566)</f>
        <v>0</v>
      </c>
      <c r="W566" s="66">
        <f>SUMIFS(Производительность_1!U$55:U$71,Производительность_1!$C$55:$C$71,$A566)</f>
        <v>0</v>
      </c>
      <c r="X566" s="66">
        <f>SUMIFS(Производительность_1!V$55:V$71,Производительность_1!$C$55:$C$71,$A566)</f>
        <v>0</v>
      </c>
      <c r="Y566" s="66">
        <f>SUMIFS(Производительность_1!W$55:W$71,Производительность_1!$C$55:$C$71,$A566)</f>
        <v>0</v>
      </c>
      <c r="Z566" s="66">
        <f>SUMIFS(Производительность_1!X$55:X$71,Производительность_1!$C$55:$C$71,$A566)</f>
        <v>0</v>
      </c>
    </row>
    <row r="567" spans="1:28" outlineLevel="1" x14ac:dyDescent="0.25">
      <c r="A567" s="39" t="str">
        <f t="shared" ref="A567:A630" si="463">A566</f>
        <v>БелАЗ 7531 (БТЛ)</v>
      </c>
      <c r="B567" s="39"/>
      <c r="D567" s="63" t="s">
        <v>52</v>
      </c>
      <c r="E567" s="64" t="str">
        <f>E566</f>
        <v>%</v>
      </c>
      <c r="F567" s="65"/>
      <c r="G567" s="66">
        <f>SUMIFS(Производительность_1!E$119:E$135,Производительность_1!$C$119:$C$135,$A567)</f>
        <v>0.7973818358313729</v>
      </c>
      <c r="H567" s="66">
        <f>SUMIFS(Производительность_1!F$119:F$135,Производительность_1!$C$119:$C$135,$A567)</f>
        <v>0.77881917443178073</v>
      </c>
      <c r="I567" s="66">
        <f>SUMIFS(Производительность_1!G$119:G$135,Производительность_1!$C$119:$C$135,$A567)</f>
        <v>0.77766380908227173</v>
      </c>
      <c r="J567" s="66">
        <f>SUMIFS(Производительность_1!H$119:H$135,Производительность_1!$C$119:$C$135,$A567)</f>
        <v>0.76131845394372011</v>
      </c>
      <c r="K567" s="66">
        <f>SUMIFS(Производительность_1!I$119:I$135,Производительность_1!$C$119:$C$135,$A567)</f>
        <v>0.77916719791106226</v>
      </c>
      <c r="L567" s="66">
        <f>SUMIFS(Производительность_1!J$119:J$135,Производительность_1!$C$119:$C$135,$A567)</f>
        <v>0.75245805595276372</v>
      </c>
      <c r="M567" s="66">
        <f>SUMIFS(Производительность_1!K$119:K$135,Производительность_1!$C$119:$C$135,$A567)</f>
        <v>0.73545011303252628</v>
      </c>
      <c r="N567" s="66">
        <f>SUMIFS(Производительность_1!L$119:L$135,Производительность_1!$C$119:$C$135,$A567)</f>
        <v>0.77101051383996499</v>
      </c>
      <c r="O567" s="66">
        <f>SUMIFS(Производительность_1!M$119:M$135,Производительность_1!$C$119:$C$135,$A567)</f>
        <v>0.74164645118401518</v>
      </c>
      <c r="P567" s="66">
        <f>SUMIFS(Производительность_1!N$119:N$135,Производительность_1!$C$119:$C$135,$A567)</f>
        <v>0.73691237572314316</v>
      </c>
      <c r="Q567" s="66">
        <f>SUMIFS(Производительность_1!O$119:O$135,Производительность_1!$C$119:$C$135,$A567)</f>
        <v>0</v>
      </c>
      <c r="R567" s="66">
        <f>SUMIFS(Производительность_1!P$119:P$135,Производительность_1!$C$119:$C$135,$A567)</f>
        <v>0</v>
      </c>
      <c r="S567" s="66">
        <f>SUMIFS(Производительность_1!Q$119:Q$135,Производительность_1!$C$119:$C$135,$A567)</f>
        <v>0</v>
      </c>
      <c r="T567" s="66">
        <f>SUMIFS(Производительность_1!R$119:R$135,Производительность_1!$C$119:$C$135,$A567)</f>
        <v>0</v>
      </c>
      <c r="U567" s="66">
        <f>SUMIFS(Производительность_1!S$119:S$135,Производительность_1!$C$119:$C$135,$A567)</f>
        <v>0</v>
      </c>
      <c r="V567" s="66">
        <f>SUMIFS(Производительность_1!T$119:T$135,Производительность_1!$C$119:$C$135,$A567)</f>
        <v>0</v>
      </c>
      <c r="W567" s="66">
        <f>SUMIFS(Производительность_1!U$119:U$135,Производительность_1!$C$119:$C$135,$A567)</f>
        <v>0</v>
      </c>
      <c r="X567" s="66">
        <f>SUMIFS(Производительность_1!V$119:V$135,Производительность_1!$C$119:$C$135,$A567)</f>
        <v>0</v>
      </c>
      <c r="Y567" s="66">
        <f>SUMIFS(Производительность_1!W$119:W$135,Производительность_1!$C$119:$C$135,$A567)</f>
        <v>0</v>
      </c>
      <c r="Z567" s="66">
        <f>SUMIFS(Производительность_1!X$119:X$135,Производительность_1!$C$119:$C$135,$A567)</f>
        <v>0</v>
      </c>
    </row>
    <row r="568" spans="1:28" outlineLevel="1" x14ac:dyDescent="0.25">
      <c r="A568" s="39" t="str">
        <f t="shared" si="463"/>
        <v>БелАЗ 7531 (БТЛ)</v>
      </c>
      <c r="B568" s="39"/>
      <c r="D568" s="67" t="s">
        <v>53</v>
      </c>
      <c r="E568" s="68" t="s">
        <v>23</v>
      </c>
      <c r="F568" s="69"/>
      <c r="G568" s="69">
        <f>SUMIFS(Производительность_1!E$247:E$263,Производительность_1!$C$247:$C$263,$A568)</f>
        <v>3865.1109843195336</v>
      </c>
      <c r="H568" s="69">
        <f>SUMIFS(Производительность_1!F$247:F$263,Производительность_1!$C$247:$C$263,$A568)</f>
        <v>3522.8687954849784</v>
      </c>
      <c r="I568" s="69">
        <f>SUMIFS(Производительность_1!G$247:G$263,Производительность_1!$C$247:$C$263,$A568)</f>
        <v>3093.8892822905568</v>
      </c>
      <c r="J568" s="69">
        <f>SUMIFS(Производительность_1!H$247:H$263,Производительность_1!$C$247:$C$263,$A568)</f>
        <v>3106.7084523959902</v>
      </c>
      <c r="K568" s="69">
        <f>SUMIFS(Производительность_1!I$247:I$263,Производительность_1!$C$247:$C$263,$A568)</f>
        <v>2735.4748888428385</v>
      </c>
      <c r="L568" s="69">
        <f>SUMIFS(Производительность_1!J$247:J$263,Производительность_1!$C$247:$C$263,$A568)</f>
        <v>2427.8382765724932</v>
      </c>
      <c r="M568" s="69">
        <f>SUMIFS(Производительность_1!K$247:K$263,Производительность_1!$C$247:$C$263,$A568)</f>
        <v>2744.043358891287</v>
      </c>
      <c r="N568" s="69">
        <f>SUMIFS(Производительность_1!L$247:L$263,Производительность_1!$C$247:$C$263,$A568)</f>
        <v>2826.2220743947755</v>
      </c>
      <c r="O568" s="69">
        <f>SUMIFS(Производительность_1!M$247:M$263,Производительность_1!$C$247:$C$263,$A568)</f>
        <v>2383.3393882164701</v>
      </c>
      <c r="P568" s="69">
        <f>SUMIFS(Производительность_1!N$247:N$263,Производительность_1!$C$247:$C$263,$A568)</f>
        <v>2577.1915948487945</v>
      </c>
      <c r="Q568" s="69">
        <f>SUMIFS(Производительность_1!O$247:O$263,Производительность_1!$C$247:$C$263,$A568)</f>
        <v>0</v>
      </c>
      <c r="R568" s="69">
        <f>SUMIFS(Производительность_1!P$247:P$263,Производительность_1!$C$247:$C$263,$A568)</f>
        <v>0</v>
      </c>
      <c r="S568" s="69">
        <f>SUMIFS(Производительность_1!Q$247:Q$263,Производительность_1!$C$247:$C$263,$A568)</f>
        <v>0</v>
      </c>
      <c r="T568" s="69">
        <f>SUMIFS(Производительность_1!R$247:R$263,Производительность_1!$C$247:$C$263,$A568)</f>
        <v>0</v>
      </c>
      <c r="U568" s="69">
        <f>SUMIFS(Производительность_1!S$247:S$263,Производительность_1!$C$247:$C$263,$A568)</f>
        <v>0</v>
      </c>
      <c r="V568" s="69">
        <f>SUMIFS(Производительность_1!T$247:T$263,Производительность_1!$C$247:$C$263,$A568)</f>
        <v>0</v>
      </c>
      <c r="W568" s="69">
        <f>SUMIFS(Производительность_1!U$247:U$263,Производительность_1!$C$247:$C$263,$A568)</f>
        <v>0</v>
      </c>
      <c r="X568" s="69">
        <f>SUMIFS(Производительность_1!V$247:V$263,Производительность_1!$C$247:$C$263,$A568)</f>
        <v>0</v>
      </c>
      <c r="Y568" s="69">
        <f>SUMIFS(Производительность_1!W$247:W$263,Производительность_1!$C$247:$C$263,$A568)</f>
        <v>0</v>
      </c>
      <c r="Z568" s="69">
        <f>SUMIFS(Производительность_1!X$247:X$263,Производительность_1!$C$247:$C$263,$A568)</f>
        <v>0</v>
      </c>
    </row>
    <row r="569" spans="1:28" outlineLevel="1" x14ac:dyDescent="0.25">
      <c r="A569" s="39" t="str">
        <f t="shared" si="463"/>
        <v>БелАЗ 7531 (БТЛ)</v>
      </c>
      <c r="B569" s="39"/>
      <c r="D569" s="67" t="s">
        <v>54</v>
      </c>
      <c r="E569" s="68" t="s">
        <v>24</v>
      </c>
      <c r="F569" s="69"/>
      <c r="G569" s="69">
        <f>SUMIFS(Производительность_1!E$263:E$279,Производительность_1!$C$263:$C$279,$A569)</f>
        <v>11748.329929545243</v>
      </c>
      <c r="H569" s="69">
        <f>SUMIFS(Производительность_1!F$263:F$279,Производительность_1!$C$263:$C$279,$A569)</f>
        <v>11871.444429808935</v>
      </c>
      <c r="I569" s="69">
        <f>SUMIFS(Производительность_1!G$263:G$279,Производительность_1!$C$263:$C$279,$A569)</f>
        <v>12520.058427235517</v>
      </c>
      <c r="J569" s="69">
        <f>SUMIFS(Производительность_1!H$263:H$279,Производительность_1!$C$263:$C$279,$A569)</f>
        <v>12134.512190547917</v>
      </c>
      <c r="K569" s="69">
        <f>SUMIFS(Производительность_1!I$263:I$279,Производительность_1!$C$263:$C$279,$A569)</f>
        <v>13117.165014226643</v>
      </c>
      <c r="L569" s="69">
        <f>SUMIFS(Производительность_1!J$263:J$279,Производительность_1!$C$263:$C$279,$A569)</f>
        <v>13003.762278877713</v>
      </c>
      <c r="M569" s="69">
        <f>SUMIFS(Производительность_1!K$263:K$279,Производительность_1!$C$263:$C$279,$A569)</f>
        <v>12126.420904765628</v>
      </c>
      <c r="N569" s="69">
        <f>SUMIFS(Производительность_1!L$263:L$279,Производительность_1!$C$263:$C$279,$A569)</f>
        <v>12792.153846735544</v>
      </c>
      <c r="O569" s="69">
        <f>SUMIFS(Производительность_1!M$263:M$279,Производительность_1!$C$263:$C$279,$A569)</f>
        <v>12832.03561342626</v>
      </c>
      <c r="P569" s="69">
        <f>SUMIFS(Производительность_1!N$263:N$279,Производительность_1!$C$263:$C$279,$A569)</f>
        <v>12421.43337231493</v>
      </c>
      <c r="Q569" s="69">
        <f>SUMIFS(Производительность_1!O$263:O$279,Производительность_1!$C$263:$C$279,$A569)</f>
        <v>0</v>
      </c>
      <c r="R569" s="69">
        <f>SUMIFS(Производительность_1!P$263:P$279,Производительность_1!$C$263:$C$279,$A569)</f>
        <v>0</v>
      </c>
      <c r="S569" s="69">
        <f>SUMIFS(Производительность_1!Q$263:Q$279,Производительность_1!$C$263:$C$279,$A569)</f>
        <v>0</v>
      </c>
      <c r="T569" s="69">
        <f>SUMIFS(Производительность_1!R$263:R$279,Производительность_1!$C$263:$C$279,$A569)</f>
        <v>0</v>
      </c>
      <c r="U569" s="69">
        <f>SUMIFS(Производительность_1!S$263:S$279,Производительность_1!$C$263:$C$279,$A569)</f>
        <v>0</v>
      </c>
      <c r="V569" s="69">
        <f>SUMIFS(Производительность_1!T$263:T$279,Производительность_1!$C$263:$C$279,$A569)</f>
        <v>0</v>
      </c>
      <c r="W569" s="69">
        <f>SUMIFS(Производительность_1!U$263:U$279,Производительность_1!$C$263:$C$279,$A569)</f>
        <v>0</v>
      </c>
      <c r="X569" s="69">
        <f>SUMIFS(Производительность_1!V$263:V$279,Производительность_1!$C$263:$C$279,$A569)</f>
        <v>0</v>
      </c>
      <c r="Y569" s="69">
        <f>SUMIFS(Производительность_1!W$263:W$279,Производительность_1!$C$263:$C$279,$A569)</f>
        <v>0</v>
      </c>
      <c r="Z569" s="69">
        <f>SUMIFS(Производительность_1!X$263:X$279,Производительность_1!$C$263:$C$279,$A569)</f>
        <v>0</v>
      </c>
    </row>
    <row r="570" spans="1:28" outlineLevel="1" x14ac:dyDescent="0.25">
      <c r="A570" s="39" t="str">
        <f t="shared" si="463"/>
        <v>БелАЗ 7531 (БТЛ)</v>
      </c>
      <c r="B570" s="39"/>
      <c r="D570" s="70" t="s">
        <v>55</v>
      </c>
      <c r="E570" s="64" t="str">
        <f>E569</f>
        <v>тыс. ткм</v>
      </c>
      <c r="F570" s="65"/>
      <c r="G570" s="65">
        <f>G569</f>
        <v>11748.329929545243</v>
      </c>
      <c r="H570" s="65">
        <f>G570+H569</f>
        <v>23619.774359354178</v>
      </c>
      <c r="I570" s="65">
        <f t="shared" ref="I570" si="464">H570+I569</f>
        <v>36139.832786589694</v>
      </c>
      <c r="J570" s="65">
        <f t="shared" ref="J570" si="465">I570+J569</f>
        <v>48274.344977137611</v>
      </c>
      <c r="K570" s="65">
        <f t="shared" ref="K570" si="466">J570+K569</f>
        <v>61391.509991364255</v>
      </c>
      <c r="L570" s="65">
        <f t="shared" ref="L570" si="467">K570+L569</f>
        <v>74395.272270241971</v>
      </c>
      <c r="M570" s="65">
        <f t="shared" ref="M570" si="468">L570+M569</f>
        <v>86521.693175007604</v>
      </c>
      <c r="N570" s="65">
        <f t="shared" ref="N570" si="469">M570+N569</f>
        <v>99313.847021743146</v>
      </c>
      <c r="O570" s="65">
        <f t="shared" ref="O570" si="470">N570+O569</f>
        <v>112145.8826351694</v>
      </c>
      <c r="P570" s="65">
        <f t="shared" ref="P570" si="471">O570+P569</f>
        <v>124567.31600748433</v>
      </c>
      <c r="Q570" s="65">
        <f t="shared" ref="Q570" si="472">P570+Q569</f>
        <v>124567.31600748433</v>
      </c>
      <c r="R570" s="65">
        <f t="shared" ref="R570" si="473">Q570+R569</f>
        <v>124567.31600748433</v>
      </c>
      <c r="S570" s="65">
        <f t="shared" ref="S570" si="474">R570+S569</f>
        <v>124567.31600748433</v>
      </c>
      <c r="T570" s="65">
        <f t="shared" ref="T570" si="475">S570+T569</f>
        <v>124567.31600748433</v>
      </c>
      <c r="U570" s="65">
        <f t="shared" ref="U570" si="476">T570+U569</f>
        <v>124567.31600748433</v>
      </c>
      <c r="V570" s="65">
        <f t="shared" ref="V570" si="477">U570+V569</f>
        <v>124567.31600748433</v>
      </c>
      <c r="W570" s="65">
        <f t="shared" ref="W570" si="478">V570+W569</f>
        <v>124567.31600748433</v>
      </c>
      <c r="X570" s="65">
        <f t="shared" ref="X570" si="479">W570+X569</f>
        <v>124567.31600748433</v>
      </c>
      <c r="Y570" s="65">
        <f t="shared" ref="Y570" si="480">X570+Y569</f>
        <v>124567.31600748433</v>
      </c>
      <c r="Z570" s="65">
        <f t="shared" ref="Z570" si="481">Y570+Z569</f>
        <v>124567.31600748433</v>
      </c>
    </row>
    <row r="571" spans="1:28" outlineLevel="1" x14ac:dyDescent="0.25">
      <c r="A571" s="39" t="str">
        <f t="shared" si="463"/>
        <v>БелАЗ 7531 (БТЛ)</v>
      </c>
      <c r="B571" s="39"/>
      <c r="D571" s="63" t="s">
        <v>56</v>
      </c>
      <c r="E571" s="64" t="s">
        <v>57</v>
      </c>
      <c r="F571" s="65"/>
      <c r="G571" s="65">
        <f>SUMIFS(Производительность_1!E$279:E$295,Производительность_1!$C$279:$C$295,$A571)/1000</f>
        <v>103.4011558030239</v>
      </c>
      <c r="H571" s="65">
        <f>SUMIFS(Производительность_1!F$279:F$295,Производительность_1!$C$279:$C$295,$A571)/1000</f>
        <v>104.48472952794651</v>
      </c>
      <c r="I571" s="65">
        <f>SUMIFS(Производительность_1!G$279:G$295,Производительность_1!$C$279:$C$295,$A571)/1000</f>
        <v>110.19340790233093</v>
      </c>
      <c r="J571" s="65">
        <f>SUMIFS(Производительность_1!H$279:H$295,Производительность_1!$C$279:$C$295,$A571)/1000</f>
        <v>106.80008078876841</v>
      </c>
      <c r="K571" s="65">
        <f>SUMIFS(Производительность_1!I$279:I$295,Производительность_1!$C$279:$C$295,$A571)/1000</f>
        <v>115.44875156417437</v>
      </c>
      <c r="L571" s="65">
        <f>SUMIFS(Производительность_1!J$279:J$295,Производительность_1!$C$279:$C$295,$A571)/1000</f>
        <v>114.45065447491791</v>
      </c>
      <c r="M571" s="65">
        <f>SUMIFS(Производительность_1!K$279:K$295,Производительность_1!$C$279:$C$295,$A571)/1000</f>
        <v>106.72886655603585</v>
      </c>
      <c r="N571" s="65">
        <f>SUMIFS(Производительность_1!L$279:L$295,Производительность_1!$C$279:$C$295,$A571)/1000</f>
        <v>112.58821474157847</v>
      </c>
      <c r="O571" s="65">
        <f>SUMIFS(Производительность_1!M$279:M$295,Производительность_1!$C$279:$C$295,$A571)/1000</f>
        <v>112.93922810228736</v>
      </c>
      <c r="P571" s="65">
        <f>SUMIFS(Производительность_1!N$279:N$295,Производительность_1!$C$279:$C$295,$A571)/1000</f>
        <v>109.32537434087304</v>
      </c>
      <c r="Q571" s="65">
        <f>SUMIFS(Производительность_1!O$279:O$295,Производительность_1!$C$279:$C$295,$A571)/1000</f>
        <v>0</v>
      </c>
      <c r="R571" s="65">
        <f>SUMIFS(Производительность_1!P$279:P$295,Производительность_1!$C$279:$C$295,$A571)/1000</f>
        <v>0</v>
      </c>
      <c r="S571" s="65">
        <f>SUMIFS(Производительность_1!Q$279:Q$295,Производительность_1!$C$279:$C$295,$A571)/1000</f>
        <v>0</v>
      </c>
      <c r="T571" s="65">
        <f>SUMIFS(Производительность_1!R$279:R$295,Производительность_1!$C$279:$C$295,$A571)/1000</f>
        <v>0</v>
      </c>
      <c r="U571" s="65">
        <f>SUMIFS(Производительность_1!S$279:S$295,Производительность_1!$C$279:$C$295,$A571)/1000</f>
        <v>0</v>
      </c>
      <c r="V571" s="65">
        <f>SUMIFS(Производительность_1!T$279:T$295,Производительность_1!$C$279:$C$295,$A571)/1000</f>
        <v>0</v>
      </c>
      <c r="W571" s="65">
        <f>SUMIFS(Производительность_1!U$279:U$295,Производительность_1!$C$279:$C$295,$A571)/1000</f>
        <v>0</v>
      </c>
      <c r="X571" s="65">
        <f>SUMIFS(Производительность_1!V$279:V$295,Производительность_1!$C$279:$C$295,$A571)/1000</f>
        <v>0</v>
      </c>
      <c r="Y571" s="65">
        <f>SUMIFS(Производительность_1!W$279:W$295,Производительность_1!$C$279:$C$295,$A571)/1000</f>
        <v>0</v>
      </c>
      <c r="Z571" s="65">
        <f>SUMIFS(Производительность_1!X$279:X$295,Производительность_1!$C$279:$C$295,$A571)/1000</f>
        <v>0</v>
      </c>
    </row>
    <row r="572" spans="1:28" outlineLevel="1" x14ac:dyDescent="0.25">
      <c r="A572" s="39" t="str">
        <f t="shared" si="463"/>
        <v>БелАЗ 7531 (БТЛ)</v>
      </c>
      <c r="B572" s="39"/>
      <c r="D572" s="31"/>
      <c r="E572" s="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8" outlineLevel="1" x14ac:dyDescent="0.25">
      <c r="A573" s="39" t="str">
        <f t="shared" si="463"/>
        <v>БелАЗ 7531 (БТЛ)</v>
      </c>
      <c r="B573" s="39"/>
      <c r="D573" s="71" t="s">
        <v>58</v>
      </c>
      <c r="E573" s="72" t="s">
        <v>33</v>
      </c>
      <c r="F573" s="73">
        <f>F598+F599-F597</f>
        <v>0</v>
      </c>
      <c r="G573" s="73">
        <f t="shared" ref="G573:Z573" si="482">G598+G599-G597</f>
        <v>90205.416996400803</v>
      </c>
      <c r="H573" s="73">
        <f t="shared" si="482"/>
        <v>96424.417641902794</v>
      </c>
      <c r="I573" s="73">
        <f t="shared" si="482"/>
        <v>128788.98851218462</v>
      </c>
      <c r="J573" s="73">
        <f t="shared" si="482"/>
        <v>147476.1956341021</v>
      </c>
      <c r="K573" s="73">
        <f t="shared" si="482"/>
        <v>114503.67798356645</v>
      </c>
      <c r="L573" s="73">
        <f t="shared" si="482"/>
        <v>133064.44291200832</v>
      </c>
      <c r="M573" s="73">
        <f t="shared" si="482"/>
        <v>105950.42845825956</v>
      </c>
      <c r="N573" s="73">
        <f t="shared" si="482"/>
        <v>155471.26894601254</v>
      </c>
      <c r="O573" s="73">
        <f t="shared" si="482"/>
        <v>143959.34156378993</v>
      </c>
      <c r="P573" s="73">
        <f t="shared" si="482"/>
        <v>108456.70613799436</v>
      </c>
      <c r="Q573" s="73">
        <f t="shared" si="482"/>
        <v>0</v>
      </c>
      <c r="R573" s="73">
        <f t="shared" si="482"/>
        <v>0</v>
      </c>
      <c r="S573" s="73">
        <f t="shared" si="482"/>
        <v>0</v>
      </c>
      <c r="T573" s="73">
        <f t="shared" si="482"/>
        <v>0</v>
      </c>
      <c r="U573" s="73">
        <f t="shared" si="482"/>
        <v>0</v>
      </c>
      <c r="V573" s="73">
        <f t="shared" si="482"/>
        <v>0</v>
      </c>
      <c r="W573" s="73">
        <f t="shared" si="482"/>
        <v>0</v>
      </c>
      <c r="X573" s="73">
        <f t="shared" si="482"/>
        <v>0</v>
      </c>
      <c r="Y573" s="73">
        <f t="shared" si="482"/>
        <v>0</v>
      </c>
      <c r="Z573" s="73">
        <f t="shared" si="482"/>
        <v>0</v>
      </c>
    </row>
    <row r="574" spans="1:28" outlineLevel="1" x14ac:dyDescent="0.25">
      <c r="A574" s="39" t="str">
        <f t="shared" si="463"/>
        <v>БелАЗ 7531 (БТЛ)</v>
      </c>
      <c r="B574" s="39"/>
      <c r="C574" s="619" t="str">
        <f>D574</f>
        <v>ТО, ТР, ППР</v>
      </c>
      <c r="D574" s="430" t="s">
        <v>59</v>
      </c>
      <c r="E574" s="68" t="str">
        <f>E573</f>
        <v>тыс. руб.</v>
      </c>
      <c r="F574" s="74"/>
      <c r="G574" s="455">
        <f>(G575+G576+G577)*'ФОТ, МТР, макро'!AK$7</f>
        <v>12300.91350929597</v>
      </c>
      <c r="H574" s="455">
        <f>(H575+H576+H577)*'ФОТ, МТР, макро'!AL$7</f>
        <v>19657.300786528282</v>
      </c>
      <c r="I574" s="455">
        <f>(I575+I576+I577)*'ФОТ, МТР, макро'!AM$7</f>
        <v>57880.893854600516</v>
      </c>
      <c r="J574" s="455">
        <f>(J575+J576+J577)*'ФОТ, МТР, макро'!AN$7</f>
        <v>85727.144108879336</v>
      </c>
      <c r="K574" s="455">
        <f>(K575+K576+K577)*'ФОТ, МТР, макро'!AO$7</f>
        <v>34296.077689273741</v>
      </c>
      <c r="L574" s="455">
        <f>(L575+L576+L577)*'ФОТ, МТР, макро'!AP$7</f>
        <v>59905.572896913713</v>
      </c>
      <c r="M574" s="455">
        <f>(M575+M576+M577)*'ФОТ, МТР, макро'!AQ$7</f>
        <v>30420.944591970081</v>
      </c>
      <c r="N574" s="455">
        <f>(N575+N576+N577)*'ФОТ, МТР, макро'!AR$7</f>
        <v>91389.467710894634</v>
      </c>
      <c r="O574" s="455">
        <f>(O575+O576+O577)*'ФОТ, МТР, макро'!AS$7</f>
        <v>75737.148115459175</v>
      </c>
      <c r="P574" s="455">
        <f>(P575+P576+P577)*'ФОТ, МТР, макро'!AT$7</f>
        <v>31520.689083515779</v>
      </c>
      <c r="Q574" s="455"/>
      <c r="R574" s="455"/>
      <c r="S574" s="455"/>
      <c r="T574" s="455"/>
      <c r="U574" s="455"/>
      <c r="V574" s="455"/>
      <c r="W574" s="455"/>
      <c r="X574" s="455"/>
      <c r="Y574" s="455"/>
      <c r="Z574" s="455"/>
      <c r="AB574" s="76">
        <f>SUM(F574:Z574,F588:Z588)/E563</f>
        <v>49883.615234733123</v>
      </c>
    </row>
    <row r="575" spans="1:28" outlineLevel="1" x14ac:dyDescent="0.25">
      <c r="A575" s="39" t="str">
        <f t="shared" si="463"/>
        <v>БелАЗ 7531 (БТЛ)</v>
      </c>
      <c r="B575" s="39"/>
      <c r="D575" s="427" t="s">
        <v>60</v>
      </c>
      <c r="E575" s="428" t="s">
        <v>35</v>
      </c>
      <c r="F575" s="30"/>
      <c r="G575" s="456">
        <f>БелАЗ_Б_1!E19</f>
        <v>49.599955737568621</v>
      </c>
      <c r="H575" s="456">
        <f>БелАЗ_Б_1!F19</f>
        <v>41.134557139529406</v>
      </c>
      <c r="I575" s="456">
        <f>БелАЗ_Б_1!G19</f>
        <v>41.134557139529406</v>
      </c>
      <c r="J575" s="456">
        <f>БелАЗ_Б_1!H19</f>
        <v>41.134557139529406</v>
      </c>
      <c r="K575" s="456">
        <f>БелАЗ_Б_1!I19</f>
        <v>41.134557139529406</v>
      </c>
      <c r="L575" s="456">
        <f>БелАЗ_Б_1!J19</f>
        <v>41.134557139529406</v>
      </c>
      <c r="M575" s="456">
        <f>БелАЗ_Б_1!K19</f>
        <v>41.134557139529406</v>
      </c>
      <c r="N575" s="456">
        <f>БелАЗ_Б_1!L19</f>
        <v>41.134557139529406</v>
      </c>
      <c r="O575" s="456">
        <f>БелАЗ_Б_1!M19</f>
        <v>41.134557139529406</v>
      </c>
      <c r="P575" s="456">
        <f>БелАЗ_Б_1!N19</f>
        <v>41.134557139529406</v>
      </c>
      <c r="Q575" s="456"/>
      <c r="R575" s="456"/>
      <c r="S575" s="456"/>
      <c r="T575" s="456"/>
      <c r="U575" s="456"/>
      <c r="V575" s="456"/>
      <c r="W575" s="456"/>
      <c r="X575" s="456"/>
      <c r="Y575" s="456"/>
      <c r="Z575" s="456"/>
    </row>
    <row r="576" spans="1:28" outlineLevel="1" x14ac:dyDescent="0.25">
      <c r="A576" s="39" t="str">
        <f t="shared" si="463"/>
        <v>БелАЗ 7531 (БТЛ)</v>
      </c>
      <c r="B576" s="39"/>
      <c r="D576" s="427" t="s">
        <v>61</v>
      </c>
      <c r="E576" s="428" t="s">
        <v>35</v>
      </c>
      <c r="F576" s="30"/>
      <c r="G576" s="456">
        <f>БелАЗ_Б_1!E20+БелАЗ_Б_1!E21</f>
        <v>15.01122</v>
      </c>
      <c r="H576" s="456">
        <f>БелАЗ_Б_1!F20+БелАЗ_Б_1!F21</f>
        <v>77.064600000000013</v>
      </c>
      <c r="I576" s="456">
        <f>БелАЗ_Б_1!G20+БелАЗ_Б_1!G21</f>
        <v>461.64887117999996</v>
      </c>
      <c r="J576" s="456">
        <f>БелАЗ_Б_1!H20+БелАЗ_Б_1!H21</f>
        <v>742.39280929999995</v>
      </c>
      <c r="K576" s="456">
        <f>БелАЗ_Б_1!I20+БелАЗ_Б_1!I21</f>
        <v>218.54595970000003</v>
      </c>
      <c r="L576" s="456">
        <f>БелАЗ_Б_1!J20+БелАЗ_Б_1!J21</f>
        <v>442.35690237999995</v>
      </c>
      <c r="M576" s="456">
        <f>БелАЗ_Б_1!K20+БелАЗ_Б_1!K21</f>
        <v>151.99239879999999</v>
      </c>
      <c r="N576" s="456">
        <f>БелАЗ_Б_1!L20+БелАЗ_Б_1!L21</f>
        <v>785.82923047647057</v>
      </c>
      <c r="O576" s="456">
        <f>БелАЗ_Б_1!M20+БелАЗ_Б_1!M21</f>
        <v>572.21106208000003</v>
      </c>
      <c r="P576" s="456">
        <f>БелАЗ_Б_1!N20+БелАЗ_Б_1!N21</f>
        <v>90.365774999999999</v>
      </c>
      <c r="Q576" s="456"/>
      <c r="R576" s="456"/>
      <c r="S576" s="456"/>
      <c r="T576" s="456"/>
      <c r="U576" s="456"/>
      <c r="V576" s="456"/>
      <c r="W576" s="456"/>
      <c r="X576" s="456"/>
      <c r="Y576" s="456"/>
      <c r="Z576" s="456"/>
    </row>
    <row r="577" spans="1:28" outlineLevel="1" x14ac:dyDescent="0.25">
      <c r="A577" s="39" t="str">
        <f t="shared" si="463"/>
        <v>БелАЗ 7531 (БТЛ)</v>
      </c>
      <c r="B577" s="39"/>
      <c r="D577" s="427" t="s">
        <v>62</v>
      </c>
      <c r="E577" s="428" t="s">
        <v>35</v>
      </c>
      <c r="F577" s="30"/>
      <c r="G577" s="456">
        <f>БелАЗ_Б_1!E22+БелАЗ_Б_1!E23</f>
        <v>66.182122499999977</v>
      </c>
      <c r="H577" s="456">
        <f>БелАЗ_Б_1!F22+БелАЗ_Б_1!F23</f>
        <v>90.813222499999995</v>
      </c>
      <c r="I577" s="456">
        <f>БелАЗ_Б_1!G22+БелАЗ_Б_1!G23</f>
        <v>112.6532225</v>
      </c>
      <c r="J577" s="456">
        <f>БелАЗ_Б_1!H22+БелАЗ_Б_1!H23</f>
        <v>127.9932225</v>
      </c>
      <c r="K577" s="456">
        <f>БелАЗ_Б_1!I22+БелАЗ_Б_1!I23</f>
        <v>104.98322249999998</v>
      </c>
      <c r="L577" s="456">
        <f>БелАЗ_Б_1!J22+БелАЗ_Б_1!J23</f>
        <v>153.47322249999999</v>
      </c>
      <c r="M577" s="456">
        <f>БелАЗ_Б_1!K22+БелАЗ_Б_1!K23</f>
        <v>130.33322249999998</v>
      </c>
      <c r="N577" s="456">
        <f>БелАЗ_Б_1!L22+БелАЗ_Б_1!L23</f>
        <v>144.76322249999998</v>
      </c>
      <c r="O577" s="456">
        <f>БелАЗ_Б_1!M22+БелАЗ_Б_1!M23</f>
        <v>191.95322249999998</v>
      </c>
      <c r="P577" s="456">
        <f>БелАЗ_Б_1!N22+БелАЗ_Б_1!N23</f>
        <v>203.65322249999997</v>
      </c>
      <c r="Q577" s="456"/>
      <c r="R577" s="456"/>
      <c r="S577" s="456"/>
      <c r="T577" s="456"/>
      <c r="U577" s="456"/>
      <c r="V577" s="456"/>
      <c r="W577" s="456"/>
      <c r="X577" s="456"/>
      <c r="Y577" s="456"/>
      <c r="Z577" s="456"/>
    </row>
    <row r="578" spans="1:28" outlineLevel="1" x14ac:dyDescent="0.25">
      <c r="A578" s="39" t="str">
        <f t="shared" si="463"/>
        <v>БелАЗ 7531 (БТЛ)</v>
      </c>
      <c r="B578" s="39"/>
      <c r="D578" s="80" t="s">
        <v>63</v>
      </c>
      <c r="E578" s="81"/>
      <c r="F578" s="82"/>
      <c r="G578" s="83" t="e">
        <f>G574/$F602</f>
        <v>#DIV/0!</v>
      </c>
      <c r="H578" s="83" t="e">
        <f t="shared" ref="H578:Z578" si="483">H574/$F602</f>
        <v>#DIV/0!</v>
      </c>
      <c r="I578" s="83" t="e">
        <f t="shared" si="483"/>
        <v>#DIV/0!</v>
      </c>
      <c r="J578" s="83" t="e">
        <f t="shared" si="483"/>
        <v>#DIV/0!</v>
      </c>
      <c r="K578" s="83" t="e">
        <f t="shared" si="483"/>
        <v>#DIV/0!</v>
      </c>
      <c r="L578" s="83" t="e">
        <f t="shared" si="483"/>
        <v>#DIV/0!</v>
      </c>
      <c r="M578" s="83" t="e">
        <f t="shared" si="483"/>
        <v>#DIV/0!</v>
      </c>
      <c r="N578" s="83" t="e">
        <f t="shared" si="483"/>
        <v>#DIV/0!</v>
      </c>
      <c r="O578" s="83" t="e">
        <f t="shared" si="483"/>
        <v>#DIV/0!</v>
      </c>
      <c r="P578" s="83" t="e">
        <f t="shared" si="483"/>
        <v>#DIV/0!</v>
      </c>
      <c r="Q578" s="83" t="e">
        <f t="shared" si="483"/>
        <v>#DIV/0!</v>
      </c>
      <c r="R578" s="83" t="e">
        <f t="shared" si="483"/>
        <v>#DIV/0!</v>
      </c>
      <c r="S578" s="83" t="e">
        <f t="shared" si="483"/>
        <v>#DIV/0!</v>
      </c>
      <c r="T578" s="83" t="e">
        <f t="shared" si="483"/>
        <v>#DIV/0!</v>
      </c>
      <c r="U578" s="83" t="e">
        <f t="shared" si="483"/>
        <v>#DIV/0!</v>
      </c>
      <c r="V578" s="83" t="e">
        <f t="shared" si="483"/>
        <v>#DIV/0!</v>
      </c>
      <c r="W578" s="83" t="e">
        <f t="shared" si="483"/>
        <v>#DIV/0!</v>
      </c>
      <c r="X578" s="83" t="e">
        <f t="shared" si="483"/>
        <v>#DIV/0!</v>
      </c>
      <c r="Y578" s="83" t="e">
        <f t="shared" si="483"/>
        <v>#DIV/0!</v>
      </c>
      <c r="Z578" s="83" t="e">
        <f t="shared" si="483"/>
        <v>#DIV/0!</v>
      </c>
      <c r="AA578" s="84" t="e">
        <f>SUM(F574:Z574)/$F602</f>
        <v>#DIV/0!</v>
      </c>
    </row>
    <row r="579" spans="1:28" outlineLevel="1" x14ac:dyDescent="0.25">
      <c r="A579" s="39" t="str">
        <f t="shared" si="463"/>
        <v>БелАЗ 7531 (БТЛ)</v>
      </c>
      <c r="B579" s="39"/>
      <c r="D579" s="67" t="s">
        <v>39</v>
      </c>
      <c r="E579" s="68" t="str">
        <f>E573</f>
        <v>тыс. руб.</v>
      </c>
      <c r="F579" s="74"/>
      <c r="G579" s="85">
        <f>G581*G582</f>
        <v>19476.820282921679</v>
      </c>
      <c r="H579" s="85">
        <f t="shared" ref="H579:Z579" si="484">H581*H582</f>
        <v>19680.924101101595</v>
      </c>
      <c r="I579" s="85">
        <f t="shared" si="484"/>
        <v>20756.220618702373</v>
      </c>
      <c r="J579" s="85">
        <f t="shared" si="484"/>
        <v>20117.047663247944</v>
      </c>
      <c r="K579" s="85">
        <f t="shared" si="484"/>
        <v>21746.126226930817</v>
      </c>
      <c r="L579" s="85">
        <f t="shared" si="484"/>
        <v>21558.122935464831</v>
      </c>
      <c r="M579" s="85">
        <f t="shared" si="484"/>
        <v>20103.633627382034</v>
      </c>
      <c r="N579" s="85">
        <f t="shared" si="484"/>
        <v>21207.310570822345</v>
      </c>
      <c r="O579" s="85">
        <f t="shared" si="484"/>
        <v>21273.428053652569</v>
      </c>
      <c r="P579" s="85">
        <f t="shared" si="484"/>
        <v>20592.716317954844</v>
      </c>
      <c r="Q579" s="85">
        <f t="shared" si="484"/>
        <v>0</v>
      </c>
      <c r="R579" s="85">
        <f t="shared" si="484"/>
        <v>0</v>
      </c>
      <c r="S579" s="85">
        <f t="shared" si="484"/>
        <v>0</v>
      </c>
      <c r="T579" s="85">
        <f t="shared" si="484"/>
        <v>0</v>
      </c>
      <c r="U579" s="85">
        <f t="shared" si="484"/>
        <v>0</v>
      </c>
      <c r="V579" s="85">
        <f t="shared" si="484"/>
        <v>0</v>
      </c>
      <c r="W579" s="85">
        <f t="shared" si="484"/>
        <v>0</v>
      </c>
      <c r="X579" s="85">
        <f t="shared" si="484"/>
        <v>0</v>
      </c>
      <c r="Y579" s="85">
        <f t="shared" si="484"/>
        <v>0</v>
      </c>
      <c r="Z579" s="85">
        <f t="shared" si="484"/>
        <v>0</v>
      </c>
    </row>
    <row r="580" spans="1:28" outlineLevel="1" x14ac:dyDescent="0.25">
      <c r="A580" s="39" t="str">
        <f t="shared" si="463"/>
        <v>БелАЗ 7531 (БТЛ)</v>
      </c>
      <c r="B580" s="39"/>
      <c r="D580" s="31" t="s">
        <v>64</v>
      </c>
      <c r="E580" s="9" t="s">
        <v>65</v>
      </c>
      <c r="F580" s="86">
        <f>SUMIFS('ФОТ, МТР, макро'!$Z$4:$Z$20,'ФОТ, МТР, макро'!$W$4:$W$20,$A580)</f>
        <v>7.4999999999999997E-2</v>
      </c>
      <c r="G580" s="87">
        <f>F580</f>
        <v>7.4999999999999997E-2</v>
      </c>
      <c r="H580" s="87">
        <f t="shared" ref="H580" si="485">G580</f>
        <v>7.4999999999999997E-2</v>
      </c>
      <c r="I580" s="87">
        <f t="shared" ref="I580" si="486">H580</f>
        <v>7.4999999999999997E-2</v>
      </c>
      <c r="J580" s="87">
        <f t="shared" ref="J580" si="487">I580</f>
        <v>7.4999999999999997E-2</v>
      </c>
      <c r="K580" s="87">
        <f t="shared" ref="K580" si="488">J580</f>
        <v>7.4999999999999997E-2</v>
      </c>
      <c r="L580" s="87">
        <f t="shared" ref="L580" si="489">K580</f>
        <v>7.4999999999999997E-2</v>
      </c>
      <c r="M580" s="87">
        <f t="shared" ref="M580" si="490">L580</f>
        <v>7.4999999999999997E-2</v>
      </c>
      <c r="N580" s="87">
        <f t="shared" ref="N580" si="491">M580</f>
        <v>7.4999999999999997E-2</v>
      </c>
      <c r="O580" s="87">
        <f t="shared" ref="O580" si="492">N580</f>
        <v>7.4999999999999997E-2</v>
      </c>
      <c r="P580" s="87">
        <f t="shared" ref="P580" si="493">O580</f>
        <v>7.4999999999999997E-2</v>
      </c>
      <c r="Q580" s="87">
        <f t="shared" ref="Q580" si="494">P580</f>
        <v>7.4999999999999997E-2</v>
      </c>
      <c r="R580" s="87">
        <f t="shared" ref="R580" si="495">Q580</f>
        <v>7.4999999999999997E-2</v>
      </c>
      <c r="S580" s="87">
        <f t="shared" ref="S580" si="496">R580</f>
        <v>7.4999999999999997E-2</v>
      </c>
      <c r="T580" s="87">
        <f t="shared" ref="T580" si="497">S580</f>
        <v>7.4999999999999997E-2</v>
      </c>
      <c r="U580" s="87">
        <f t="shared" ref="U580" si="498">T580</f>
        <v>7.4999999999999997E-2</v>
      </c>
      <c r="V580" s="87">
        <f t="shared" ref="V580" si="499">U580</f>
        <v>7.4999999999999997E-2</v>
      </c>
      <c r="W580" s="87">
        <f t="shared" ref="W580" si="500">V580</f>
        <v>7.4999999999999997E-2</v>
      </c>
      <c r="X580" s="87">
        <f t="shared" ref="X580" si="501">W580</f>
        <v>7.4999999999999997E-2</v>
      </c>
      <c r="Y580" s="87">
        <f t="shared" ref="Y580" si="502">X580</f>
        <v>7.4999999999999997E-2</v>
      </c>
      <c r="Z580" s="87">
        <f t="shared" ref="Z580" si="503">Y580</f>
        <v>7.4999999999999997E-2</v>
      </c>
    </row>
    <row r="581" spans="1:28" outlineLevel="1" x14ac:dyDescent="0.25">
      <c r="A581" s="39" t="str">
        <f t="shared" si="463"/>
        <v>БелАЗ 7531 (БТЛ)</v>
      </c>
      <c r="B581" s="39"/>
      <c r="D581" s="31" t="s">
        <v>66</v>
      </c>
      <c r="E581" s="9" t="s">
        <v>67</v>
      </c>
      <c r="F581" s="74"/>
      <c r="G581" s="78">
        <f>G571*G580</f>
        <v>7.7550866852267921</v>
      </c>
      <c r="H581" s="78">
        <f t="shared" ref="H581:Z581" si="504">H571*H580</f>
        <v>7.8363547145959878</v>
      </c>
      <c r="I581" s="78">
        <f t="shared" si="504"/>
        <v>8.2645055926748192</v>
      </c>
      <c r="J581" s="78">
        <f t="shared" si="504"/>
        <v>8.0100060591576305</v>
      </c>
      <c r="K581" s="78">
        <f t="shared" si="504"/>
        <v>8.6586563673130783</v>
      </c>
      <c r="L581" s="78">
        <f t="shared" si="504"/>
        <v>8.5837990856188426</v>
      </c>
      <c r="M581" s="78">
        <f t="shared" si="504"/>
        <v>8.004664991702688</v>
      </c>
      <c r="N581" s="78">
        <f t="shared" si="504"/>
        <v>8.4441161056183844</v>
      </c>
      <c r="O581" s="78">
        <f t="shared" si="504"/>
        <v>8.4704421076715519</v>
      </c>
      <c r="P581" s="78">
        <f t="shared" si="504"/>
        <v>8.1994030755654776</v>
      </c>
      <c r="Q581" s="78">
        <f t="shared" si="504"/>
        <v>0</v>
      </c>
      <c r="R581" s="78">
        <f t="shared" si="504"/>
        <v>0</v>
      </c>
      <c r="S581" s="78">
        <f t="shared" si="504"/>
        <v>0</v>
      </c>
      <c r="T581" s="78">
        <f t="shared" si="504"/>
        <v>0</v>
      </c>
      <c r="U581" s="78">
        <f t="shared" si="504"/>
        <v>0</v>
      </c>
      <c r="V581" s="78">
        <f t="shared" si="504"/>
        <v>0</v>
      </c>
      <c r="W581" s="78">
        <f t="shared" si="504"/>
        <v>0</v>
      </c>
      <c r="X581" s="78">
        <f t="shared" si="504"/>
        <v>0</v>
      </c>
      <c r="Y581" s="78">
        <f t="shared" si="504"/>
        <v>0</v>
      </c>
      <c r="Z581" s="78">
        <f t="shared" si="504"/>
        <v>0</v>
      </c>
      <c r="AA581" s="88">
        <f>SUM(F571:Z571)*F580-SUM(F581:Z581)</f>
        <v>0</v>
      </c>
    </row>
    <row r="582" spans="1:28" outlineLevel="1" x14ac:dyDescent="0.25">
      <c r="A582" s="39" t="str">
        <f t="shared" si="463"/>
        <v>БелАЗ 7531 (БТЛ)</v>
      </c>
      <c r="B582" s="39"/>
      <c r="D582" s="31" t="s">
        <v>68</v>
      </c>
      <c r="E582" s="9" t="s">
        <v>69</v>
      </c>
      <c r="F582" s="78">
        <f>SUMIFS('ФОТ, МТР, макро'!$AA$4:$AA$20,'ФОТ, МТР, макро'!$W$4:$W$20,$A582)</f>
        <v>2511.4896936000005</v>
      </c>
      <c r="G582" s="89">
        <f>F582</f>
        <v>2511.4896936000005</v>
      </c>
      <c r="H582" s="89">
        <f t="shared" ref="H582" si="505">G582</f>
        <v>2511.4896936000005</v>
      </c>
      <c r="I582" s="89">
        <f t="shared" ref="I582" si="506">H582</f>
        <v>2511.4896936000005</v>
      </c>
      <c r="J582" s="89">
        <f t="shared" ref="J582" si="507">I582</f>
        <v>2511.4896936000005</v>
      </c>
      <c r="K582" s="89">
        <f t="shared" ref="K582" si="508">J582</f>
        <v>2511.4896936000005</v>
      </c>
      <c r="L582" s="89">
        <f t="shared" ref="L582" si="509">K582</f>
        <v>2511.4896936000005</v>
      </c>
      <c r="M582" s="89">
        <f t="shared" ref="M582" si="510">L582</f>
        <v>2511.4896936000005</v>
      </c>
      <c r="N582" s="89">
        <f t="shared" ref="N582" si="511">M582</f>
        <v>2511.4896936000005</v>
      </c>
      <c r="O582" s="89">
        <f t="shared" ref="O582" si="512">N582</f>
        <v>2511.4896936000005</v>
      </c>
      <c r="P582" s="89">
        <f t="shared" ref="P582" si="513">O582</f>
        <v>2511.4896936000005</v>
      </c>
      <c r="Q582" s="89">
        <f t="shared" ref="Q582" si="514">P582</f>
        <v>2511.4896936000005</v>
      </c>
      <c r="R582" s="89">
        <f t="shared" ref="R582" si="515">Q582</f>
        <v>2511.4896936000005</v>
      </c>
      <c r="S582" s="89">
        <f t="shared" ref="S582" si="516">R582</f>
        <v>2511.4896936000005</v>
      </c>
      <c r="T582" s="89">
        <f t="shared" ref="T582" si="517">S582</f>
        <v>2511.4896936000005</v>
      </c>
      <c r="U582" s="89">
        <f t="shared" ref="U582" si="518">T582</f>
        <v>2511.4896936000005</v>
      </c>
      <c r="V582" s="89">
        <f t="shared" ref="V582" si="519">U582</f>
        <v>2511.4896936000005</v>
      </c>
      <c r="W582" s="89">
        <f t="shared" ref="W582" si="520">V582</f>
        <v>2511.4896936000005</v>
      </c>
      <c r="X582" s="89">
        <f t="shared" ref="X582" si="521">W582</f>
        <v>2511.4896936000005</v>
      </c>
      <c r="Y582" s="89">
        <f t="shared" ref="Y582" si="522">X582</f>
        <v>2511.4896936000005</v>
      </c>
      <c r="Z582" s="89">
        <f t="shared" ref="Z582" si="523">Y582</f>
        <v>2511.4896936000005</v>
      </c>
    </row>
    <row r="583" spans="1:28" outlineLevel="1" x14ac:dyDescent="0.25">
      <c r="A583" s="39" t="str">
        <f t="shared" si="463"/>
        <v>БелАЗ 7531 (БТЛ)</v>
      </c>
      <c r="B583" s="39"/>
      <c r="D583" s="67" t="s">
        <v>70</v>
      </c>
      <c r="E583" s="68" t="str">
        <f>E573</f>
        <v>тыс. руб.</v>
      </c>
      <c r="F583" s="89"/>
      <c r="G583" s="85">
        <f>G586*G587</f>
        <v>69805.08429565464</v>
      </c>
      <c r="H583" s="85">
        <f t="shared" ref="H583:Z583" si="524">H586*H587</f>
        <v>70536.594060911739</v>
      </c>
      <c r="I583" s="85">
        <f t="shared" si="524"/>
        <v>74390.465635614499</v>
      </c>
      <c r="J583" s="85">
        <f t="shared" si="524"/>
        <v>72099.664499346778</v>
      </c>
      <c r="K583" s="85">
        <f t="shared" si="524"/>
        <v>77938.295487888608</v>
      </c>
      <c r="L583" s="85">
        <f t="shared" si="524"/>
        <v>77264.490142970448</v>
      </c>
      <c r="M583" s="85">
        <f t="shared" si="524"/>
        <v>72051.588484331864</v>
      </c>
      <c r="N583" s="85">
        <f t="shared" si="524"/>
        <v>76007.175738970953</v>
      </c>
      <c r="O583" s="85">
        <f t="shared" si="524"/>
        <v>76244.141341946059</v>
      </c>
      <c r="P583" s="85">
        <f t="shared" si="524"/>
        <v>73804.464875193094</v>
      </c>
      <c r="Q583" s="85">
        <f t="shared" si="524"/>
        <v>0</v>
      </c>
      <c r="R583" s="85">
        <f t="shared" si="524"/>
        <v>0</v>
      </c>
      <c r="S583" s="85">
        <f t="shared" si="524"/>
        <v>0</v>
      </c>
      <c r="T583" s="85">
        <f t="shared" si="524"/>
        <v>0</v>
      </c>
      <c r="U583" s="85">
        <f t="shared" si="524"/>
        <v>0</v>
      </c>
      <c r="V583" s="85">
        <f t="shared" si="524"/>
        <v>0</v>
      </c>
      <c r="W583" s="85">
        <f t="shared" si="524"/>
        <v>0</v>
      </c>
      <c r="X583" s="85">
        <f t="shared" si="524"/>
        <v>0</v>
      </c>
      <c r="Y583" s="85">
        <f t="shared" si="524"/>
        <v>0</v>
      </c>
      <c r="Z583" s="85">
        <f t="shared" si="524"/>
        <v>0</v>
      </c>
    </row>
    <row r="584" spans="1:28" outlineLevel="1" x14ac:dyDescent="0.25">
      <c r="A584" s="39" t="str">
        <f t="shared" si="463"/>
        <v>БелАЗ 7531 (БТЛ)</v>
      </c>
      <c r="B584" s="39"/>
      <c r="D584" s="31" t="s">
        <v>64</v>
      </c>
      <c r="E584" s="77" t="str">
        <f>VLOOKUP($A584,'ФОТ, МТР, макро'!$N$4:$Q$20,4,FALSE)</f>
        <v>г/ткм</v>
      </c>
      <c r="F584" s="90">
        <f>IF($E584="г/ткм",SUMIFS('ФОТ, МТР, макро'!$O$4:$O$20,'ФОТ, МТР, макро'!$N$4:$N$20,$A584),SUMIFS('ФОТ, МТР, макро'!$P$4:$P$20,'ФОТ, МТР, макро'!$N$4:$N$20,$A584))</f>
        <v>90</v>
      </c>
      <c r="G584" s="91">
        <f>F584</f>
        <v>90</v>
      </c>
      <c r="H584" s="91">
        <f t="shared" ref="H584" si="525">G584</f>
        <v>90</v>
      </c>
      <c r="I584" s="91">
        <f t="shared" ref="I584" si="526">H584</f>
        <v>90</v>
      </c>
      <c r="J584" s="91">
        <f t="shared" ref="J584" si="527">I584</f>
        <v>90</v>
      </c>
      <c r="K584" s="91">
        <f t="shared" ref="K584" si="528">J584</f>
        <v>90</v>
      </c>
      <c r="L584" s="91">
        <f t="shared" ref="L584" si="529">K584</f>
        <v>90</v>
      </c>
      <c r="M584" s="91">
        <f t="shared" ref="M584" si="530">L584</f>
        <v>90</v>
      </c>
      <c r="N584" s="91">
        <f t="shared" ref="N584" si="531">M584</f>
        <v>90</v>
      </c>
      <c r="O584" s="91">
        <f t="shared" ref="O584" si="532">N584</f>
        <v>90</v>
      </c>
      <c r="P584" s="91">
        <f t="shared" ref="P584" si="533">O584</f>
        <v>90</v>
      </c>
      <c r="Q584" s="91">
        <f t="shared" ref="Q584" si="534">P584</f>
        <v>90</v>
      </c>
      <c r="R584" s="91">
        <f t="shared" ref="R584" si="535">Q584</f>
        <v>90</v>
      </c>
      <c r="S584" s="91">
        <f t="shared" ref="S584" si="536">R584</f>
        <v>90</v>
      </c>
      <c r="T584" s="91">
        <f t="shared" ref="T584" si="537">S584</f>
        <v>90</v>
      </c>
      <c r="U584" s="91">
        <f t="shared" ref="U584" si="538">T584</f>
        <v>90</v>
      </c>
      <c r="V584" s="91">
        <f t="shared" ref="V584" si="539">U584</f>
        <v>90</v>
      </c>
      <c r="W584" s="91">
        <f t="shared" ref="W584" si="540">V584</f>
        <v>90</v>
      </c>
      <c r="X584" s="91">
        <f t="shared" ref="X584" si="541">W584</f>
        <v>90</v>
      </c>
      <c r="Y584" s="91">
        <f t="shared" ref="Y584" si="542">X584</f>
        <v>90</v>
      </c>
      <c r="Z584" s="91">
        <f t="shared" ref="Z584" si="543">Y584</f>
        <v>90</v>
      </c>
    </row>
    <row r="585" spans="1:28" outlineLevel="1" x14ac:dyDescent="0.25">
      <c r="A585" s="39" t="str">
        <f t="shared" si="463"/>
        <v>БелАЗ 7531 (БТЛ)</v>
      </c>
      <c r="B585" s="39"/>
      <c r="D585" s="93" t="s">
        <v>71</v>
      </c>
      <c r="E585" s="94" t="str">
        <f>IF(E584='ФОТ, МТР, макро'!$O$4,'ФОТ, МТР, макро'!$P$4,'ФОТ, МТР, макро'!$O$4)</f>
        <v>л/час</v>
      </c>
      <c r="F585" s="95"/>
      <c r="G585" s="96">
        <f>IF($E584="г/ткм",G586*1000/(365*24*G567),G586/G569*1000)</f>
        <v>151.37292373640241</v>
      </c>
      <c r="H585" s="96">
        <f t="shared" ref="H585:Z585" si="544">IF($E584="г/ткм",H586*1000/(365*24*H567),H586/H569*1000)</f>
        <v>156.60489473155312</v>
      </c>
      <c r="I585" s="96">
        <f t="shared" si="544"/>
        <v>165.40661371128567</v>
      </c>
      <c r="J585" s="96">
        <f t="shared" si="544"/>
        <v>163.75492429941363</v>
      </c>
      <c r="K585" s="96">
        <f t="shared" si="544"/>
        <v>172.96081552596789</v>
      </c>
      <c r="L585" s="96">
        <f t="shared" si="544"/>
        <v>177.55182010320163</v>
      </c>
      <c r="M585" s="96">
        <f t="shared" si="544"/>
        <v>169.40172275062568</v>
      </c>
      <c r="N585" s="96">
        <f t="shared" si="544"/>
        <v>170.45972239319178</v>
      </c>
      <c r="O585" s="96">
        <f t="shared" si="544"/>
        <v>177.76122587689844</v>
      </c>
      <c r="P585" s="96">
        <f t="shared" si="544"/>
        <v>173.17861710313605</v>
      </c>
      <c r="Q585" s="96" t="e">
        <f t="shared" si="544"/>
        <v>#DIV/0!</v>
      </c>
      <c r="R585" s="96" t="e">
        <f t="shared" si="544"/>
        <v>#DIV/0!</v>
      </c>
      <c r="S585" s="96" t="e">
        <f t="shared" si="544"/>
        <v>#DIV/0!</v>
      </c>
      <c r="T585" s="96" t="e">
        <f t="shared" si="544"/>
        <v>#DIV/0!</v>
      </c>
      <c r="U585" s="96" t="e">
        <f t="shared" si="544"/>
        <v>#DIV/0!</v>
      </c>
      <c r="V585" s="96" t="e">
        <f t="shared" si="544"/>
        <v>#DIV/0!</v>
      </c>
      <c r="W585" s="96" t="e">
        <f t="shared" si="544"/>
        <v>#DIV/0!</v>
      </c>
      <c r="X585" s="96" t="e">
        <f t="shared" si="544"/>
        <v>#DIV/0!</v>
      </c>
      <c r="Y585" s="96" t="e">
        <f t="shared" si="544"/>
        <v>#DIV/0!</v>
      </c>
      <c r="Z585" s="96" t="e">
        <f t="shared" si="544"/>
        <v>#DIV/0!</v>
      </c>
    </row>
    <row r="586" spans="1:28" outlineLevel="1" x14ac:dyDescent="0.25">
      <c r="A586" s="39" t="str">
        <f t="shared" si="463"/>
        <v>БелАЗ 7531 (БТЛ)</v>
      </c>
      <c r="B586" s="39"/>
      <c r="D586" s="31" t="s">
        <v>66</v>
      </c>
      <c r="E586" s="9" t="s">
        <v>11</v>
      </c>
      <c r="F586" s="89"/>
      <c r="G586" s="78">
        <f>IF($E584="г/ткм",G569*G584/1000,365*24*G567*G584*0.85/1000)</f>
        <v>1057.3496936590718</v>
      </c>
      <c r="H586" s="78">
        <f t="shared" ref="H586:Z586" si="545">IF($E584="г/ткм",H569*H584/1000,365*24*H567*H584*0.85/1000)</f>
        <v>1068.4299986828041</v>
      </c>
      <c r="I586" s="78">
        <f t="shared" si="545"/>
        <v>1126.8052584511966</v>
      </c>
      <c r="J586" s="78">
        <f t="shared" si="545"/>
        <v>1092.1060971493125</v>
      </c>
      <c r="K586" s="78">
        <f t="shared" si="545"/>
        <v>1180.5448512803978</v>
      </c>
      <c r="L586" s="78">
        <f t="shared" si="545"/>
        <v>1170.3386050989943</v>
      </c>
      <c r="M586" s="78">
        <f t="shared" si="545"/>
        <v>1091.3778814289064</v>
      </c>
      <c r="N586" s="78">
        <f t="shared" si="545"/>
        <v>1151.2938462061989</v>
      </c>
      <c r="O586" s="78">
        <f t="shared" si="545"/>
        <v>1154.8832052083635</v>
      </c>
      <c r="P586" s="78">
        <f t="shared" si="545"/>
        <v>1117.9290035083438</v>
      </c>
      <c r="Q586" s="78">
        <f t="shared" si="545"/>
        <v>0</v>
      </c>
      <c r="R586" s="78">
        <f t="shared" si="545"/>
        <v>0</v>
      </c>
      <c r="S586" s="78">
        <f t="shared" si="545"/>
        <v>0</v>
      </c>
      <c r="T586" s="78">
        <f t="shared" si="545"/>
        <v>0</v>
      </c>
      <c r="U586" s="78">
        <f t="shared" si="545"/>
        <v>0</v>
      </c>
      <c r="V586" s="78">
        <f t="shared" si="545"/>
        <v>0</v>
      </c>
      <c r="W586" s="78">
        <f t="shared" si="545"/>
        <v>0</v>
      </c>
      <c r="X586" s="78">
        <f t="shared" si="545"/>
        <v>0</v>
      </c>
      <c r="Y586" s="78">
        <f t="shared" si="545"/>
        <v>0</v>
      </c>
      <c r="Z586" s="78">
        <f t="shared" si="545"/>
        <v>0</v>
      </c>
    </row>
    <row r="587" spans="1:28" outlineLevel="1" x14ac:dyDescent="0.25">
      <c r="A587" s="39" t="str">
        <f t="shared" si="463"/>
        <v>БелАЗ 7531 (БТЛ)</v>
      </c>
      <c r="B587" s="39"/>
      <c r="D587" s="31" t="s">
        <v>68</v>
      </c>
      <c r="E587" s="9" t="s">
        <v>72</v>
      </c>
      <c r="F587" s="78">
        <f>'ФОТ, МТР, макро'!$G$2</f>
        <v>66.018919487352079</v>
      </c>
      <c r="G587" s="89">
        <f>F587</f>
        <v>66.018919487352079</v>
      </c>
      <c r="H587" s="89">
        <f t="shared" ref="H587" si="546">G587</f>
        <v>66.018919487352079</v>
      </c>
      <c r="I587" s="89">
        <f t="shared" ref="I587" si="547">H587</f>
        <v>66.018919487352079</v>
      </c>
      <c r="J587" s="89">
        <f t="shared" ref="J587" si="548">I587</f>
        <v>66.018919487352079</v>
      </c>
      <c r="K587" s="89">
        <f t="shared" ref="K587" si="549">J587</f>
        <v>66.018919487352079</v>
      </c>
      <c r="L587" s="89">
        <f t="shared" ref="L587" si="550">K587</f>
        <v>66.018919487352079</v>
      </c>
      <c r="M587" s="89">
        <f t="shared" ref="M587" si="551">L587</f>
        <v>66.018919487352079</v>
      </c>
      <c r="N587" s="89">
        <f t="shared" ref="N587" si="552">M587</f>
        <v>66.018919487352079</v>
      </c>
      <c r="O587" s="89">
        <f t="shared" ref="O587" si="553">N587</f>
        <v>66.018919487352079</v>
      </c>
      <c r="P587" s="89">
        <f t="shared" ref="P587" si="554">O587</f>
        <v>66.018919487352079</v>
      </c>
      <c r="Q587" s="89">
        <f t="shared" ref="Q587" si="555">P587</f>
        <v>66.018919487352079</v>
      </c>
      <c r="R587" s="89">
        <f t="shared" ref="R587" si="556">Q587</f>
        <v>66.018919487352079</v>
      </c>
      <c r="S587" s="89">
        <f t="shared" ref="S587" si="557">R587</f>
        <v>66.018919487352079</v>
      </c>
      <c r="T587" s="89">
        <f t="shared" ref="T587" si="558">S587</f>
        <v>66.018919487352079</v>
      </c>
      <c r="U587" s="89">
        <f t="shared" ref="U587" si="559">T587</f>
        <v>66.018919487352079</v>
      </c>
      <c r="V587" s="89">
        <f t="shared" ref="V587" si="560">U587</f>
        <v>66.018919487352079</v>
      </c>
      <c r="W587" s="89">
        <f t="shared" ref="W587" si="561">V587</f>
        <v>66.018919487352079</v>
      </c>
      <c r="X587" s="89">
        <f t="shared" ref="X587" si="562">W587</f>
        <v>66.018919487352079</v>
      </c>
      <c r="Y587" s="89">
        <f t="shared" ref="Y587" si="563">X587</f>
        <v>66.018919487352079</v>
      </c>
      <c r="Z587" s="89">
        <f t="shared" ref="Z587" si="564">Y587</f>
        <v>66.018919487352079</v>
      </c>
      <c r="AB587" s="92"/>
    </row>
    <row r="588" spans="1:28" outlineLevel="1" x14ac:dyDescent="0.25">
      <c r="A588" s="39" t="str">
        <f t="shared" si="463"/>
        <v>БелАЗ 7531 (БТЛ)</v>
      </c>
      <c r="B588" s="39"/>
      <c r="C588" s="619" t="str">
        <f>C574</f>
        <v>ТО, ТР, ППР</v>
      </c>
      <c r="D588" s="218" t="s">
        <v>73</v>
      </c>
      <c r="E588" s="68" t="str">
        <f>E573</f>
        <v>тыс. руб.</v>
      </c>
      <c r="F588" s="30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8" outlineLevel="1" x14ac:dyDescent="0.25">
      <c r="A589" s="39" t="str">
        <f t="shared" si="463"/>
        <v>БелАЗ 7531 (БТЛ)</v>
      </c>
      <c r="B589" s="39"/>
      <c r="D589" s="67"/>
      <c r="E589" s="68"/>
      <c r="F589" s="30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8" outlineLevel="1" x14ac:dyDescent="0.25">
      <c r="A590" s="39" t="str">
        <f t="shared" si="463"/>
        <v>БелАЗ 7531 (БТЛ)</v>
      </c>
      <c r="B590" s="39"/>
      <c r="D590" s="67" t="s">
        <v>74</v>
      </c>
      <c r="E590" s="68" t="str">
        <f>E573</f>
        <v>тыс. руб.</v>
      </c>
      <c r="F590" s="74"/>
      <c r="G590" s="85">
        <f>G591+G592+G593</f>
        <v>18475.596240662097</v>
      </c>
      <c r="H590" s="85">
        <f t="shared" ref="H590:Z590" si="565">H591+H592+H593</f>
        <v>18475.596240662097</v>
      </c>
      <c r="I590" s="85">
        <f t="shared" si="565"/>
        <v>18475.596240662097</v>
      </c>
      <c r="J590" s="85">
        <f t="shared" si="565"/>
        <v>18475.596240662097</v>
      </c>
      <c r="K590" s="85">
        <f t="shared" si="565"/>
        <v>18475.596240662097</v>
      </c>
      <c r="L590" s="85">
        <f t="shared" si="565"/>
        <v>18475.596240662097</v>
      </c>
      <c r="M590" s="85">
        <f t="shared" si="565"/>
        <v>18475.596240662097</v>
      </c>
      <c r="N590" s="85">
        <f t="shared" si="565"/>
        <v>18475.596240662097</v>
      </c>
      <c r="O590" s="85">
        <f t="shared" si="565"/>
        <v>18475.596240662097</v>
      </c>
      <c r="P590" s="85">
        <f t="shared" si="565"/>
        <v>18475.596240662097</v>
      </c>
      <c r="Q590" s="85">
        <f t="shared" si="565"/>
        <v>0</v>
      </c>
      <c r="R590" s="85">
        <f t="shared" si="565"/>
        <v>0</v>
      </c>
      <c r="S590" s="85">
        <f t="shared" si="565"/>
        <v>0</v>
      </c>
      <c r="T590" s="85">
        <f t="shared" si="565"/>
        <v>0</v>
      </c>
      <c r="U590" s="85">
        <f t="shared" si="565"/>
        <v>0</v>
      </c>
      <c r="V590" s="85">
        <f t="shared" si="565"/>
        <v>0</v>
      </c>
      <c r="W590" s="85">
        <f t="shared" si="565"/>
        <v>0</v>
      </c>
      <c r="X590" s="85">
        <f t="shared" si="565"/>
        <v>0</v>
      </c>
      <c r="Y590" s="85">
        <f t="shared" si="565"/>
        <v>0</v>
      </c>
      <c r="Z590" s="85">
        <f t="shared" si="565"/>
        <v>0</v>
      </c>
    </row>
    <row r="591" spans="1:28" outlineLevel="1" x14ac:dyDescent="0.25">
      <c r="A591" s="39" t="str">
        <f t="shared" si="463"/>
        <v>БелАЗ 7531 (БТЛ)</v>
      </c>
      <c r="B591" s="39"/>
      <c r="D591" s="31" t="s">
        <v>257</v>
      </c>
      <c r="E591" s="9" t="str">
        <f>E590</f>
        <v>тыс. руб.</v>
      </c>
      <c r="F591" s="78">
        <f>'ФОТ, МТР, макро'!$B$4*'ФОТ, МТР, макро'!$B$7</f>
        <v>11107.5</v>
      </c>
      <c r="G591" s="89">
        <f>IF(G568=0,0,$F591)</f>
        <v>11107.5</v>
      </c>
      <c r="H591" s="89">
        <f t="shared" ref="H591:Z591" si="566">IF(H568=0,0,$F591)</f>
        <v>11107.5</v>
      </c>
      <c r="I591" s="89">
        <f t="shared" si="566"/>
        <v>11107.5</v>
      </c>
      <c r="J591" s="89">
        <f t="shared" si="566"/>
        <v>11107.5</v>
      </c>
      <c r="K591" s="89">
        <f t="shared" si="566"/>
        <v>11107.5</v>
      </c>
      <c r="L591" s="89">
        <f t="shared" si="566"/>
        <v>11107.5</v>
      </c>
      <c r="M591" s="89">
        <f t="shared" si="566"/>
        <v>11107.5</v>
      </c>
      <c r="N591" s="89">
        <f t="shared" si="566"/>
        <v>11107.5</v>
      </c>
      <c r="O591" s="89">
        <f t="shared" si="566"/>
        <v>11107.5</v>
      </c>
      <c r="P591" s="89">
        <f t="shared" si="566"/>
        <v>11107.5</v>
      </c>
      <c r="Q591" s="89">
        <f t="shared" si="566"/>
        <v>0</v>
      </c>
      <c r="R591" s="89">
        <f t="shared" si="566"/>
        <v>0</v>
      </c>
      <c r="S591" s="89">
        <f t="shared" si="566"/>
        <v>0</v>
      </c>
      <c r="T591" s="89">
        <f t="shared" si="566"/>
        <v>0</v>
      </c>
      <c r="U591" s="89">
        <f t="shared" si="566"/>
        <v>0</v>
      </c>
      <c r="V591" s="89">
        <f t="shared" si="566"/>
        <v>0</v>
      </c>
      <c r="W591" s="89">
        <f t="shared" si="566"/>
        <v>0</v>
      </c>
      <c r="X591" s="89">
        <f t="shared" si="566"/>
        <v>0</v>
      </c>
      <c r="Y591" s="89">
        <f t="shared" si="566"/>
        <v>0</v>
      </c>
      <c r="Z591" s="89">
        <f t="shared" si="566"/>
        <v>0</v>
      </c>
    </row>
    <row r="592" spans="1:28" outlineLevel="1" x14ac:dyDescent="0.25">
      <c r="A592" s="39" t="str">
        <f t="shared" si="463"/>
        <v>БелАЗ 7531 (БТЛ)</v>
      </c>
      <c r="B592" s="39"/>
      <c r="D592" s="31" t="s">
        <v>75</v>
      </c>
      <c r="E592" s="9" t="str">
        <f>E590</f>
        <v>тыс. руб.</v>
      </c>
      <c r="F592" s="97">
        <f>'ФОТ, МТР, макро'!$B$5</f>
        <v>0.377</v>
      </c>
      <c r="G592" s="89">
        <f>G591*$F592</f>
        <v>4187.5275000000001</v>
      </c>
      <c r="H592" s="89">
        <f t="shared" ref="H592:Z592" si="567">H591*$F592</f>
        <v>4187.5275000000001</v>
      </c>
      <c r="I592" s="89">
        <f t="shared" si="567"/>
        <v>4187.5275000000001</v>
      </c>
      <c r="J592" s="89">
        <f t="shared" si="567"/>
        <v>4187.5275000000001</v>
      </c>
      <c r="K592" s="89">
        <f t="shared" si="567"/>
        <v>4187.5275000000001</v>
      </c>
      <c r="L592" s="89">
        <f t="shared" si="567"/>
        <v>4187.5275000000001</v>
      </c>
      <c r="M592" s="89">
        <f t="shared" si="567"/>
        <v>4187.5275000000001</v>
      </c>
      <c r="N592" s="89">
        <f t="shared" si="567"/>
        <v>4187.5275000000001</v>
      </c>
      <c r="O592" s="89">
        <f t="shared" si="567"/>
        <v>4187.5275000000001</v>
      </c>
      <c r="P592" s="89">
        <f t="shared" si="567"/>
        <v>4187.5275000000001</v>
      </c>
      <c r="Q592" s="89">
        <f t="shared" si="567"/>
        <v>0</v>
      </c>
      <c r="R592" s="89">
        <f t="shared" si="567"/>
        <v>0</v>
      </c>
      <c r="S592" s="89">
        <f t="shared" si="567"/>
        <v>0</v>
      </c>
      <c r="T592" s="89">
        <f t="shared" si="567"/>
        <v>0</v>
      </c>
      <c r="U592" s="89">
        <f t="shared" si="567"/>
        <v>0</v>
      </c>
      <c r="V592" s="89">
        <f t="shared" si="567"/>
        <v>0</v>
      </c>
      <c r="W592" s="89">
        <f t="shared" si="567"/>
        <v>0</v>
      </c>
      <c r="X592" s="89">
        <f t="shared" si="567"/>
        <v>0</v>
      </c>
      <c r="Y592" s="89">
        <f t="shared" si="567"/>
        <v>0</v>
      </c>
      <c r="Z592" s="89">
        <f t="shared" si="567"/>
        <v>0</v>
      </c>
    </row>
    <row r="593" spans="1:28" outlineLevel="1" x14ac:dyDescent="0.25">
      <c r="A593" s="39" t="str">
        <f t="shared" si="463"/>
        <v>БелАЗ 7531 (БТЛ)</v>
      </c>
      <c r="B593" s="39"/>
      <c r="D593" s="31" t="s">
        <v>76</v>
      </c>
      <c r="E593" s="9"/>
      <c r="F593" s="78">
        <f>'ФОТ, МТР, макро'!$C$13*'ФОТ, МТР, макро'!$B$7</f>
        <v>3180.5687406620973</v>
      </c>
      <c r="G593" s="89">
        <f>IF(G568=0,0,$F593)</f>
        <v>3180.5687406620973</v>
      </c>
      <c r="H593" s="89">
        <f t="shared" ref="H593:Z593" si="568">IF(H568=0,0,$F593)</f>
        <v>3180.5687406620973</v>
      </c>
      <c r="I593" s="89">
        <f t="shared" si="568"/>
        <v>3180.5687406620973</v>
      </c>
      <c r="J593" s="89">
        <f t="shared" si="568"/>
        <v>3180.5687406620973</v>
      </c>
      <c r="K593" s="89">
        <f t="shared" si="568"/>
        <v>3180.5687406620973</v>
      </c>
      <c r="L593" s="89">
        <f t="shared" si="568"/>
        <v>3180.5687406620973</v>
      </c>
      <c r="M593" s="89">
        <f t="shared" si="568"/>
        <v>3180.5687406620973</v>
      </c>
      <c r="N593" s="89">
        <f t="shared" si="568"/>
        <v>3180.5687406620973</v>
      </c>
      <c r="O593" s="89">
        <f t="shared" si="568"/>
        <v>3180.5687406620973</v>
      </c>
      <c r="P593" s="89">
        <f t="shared" si="568"/>
        <v>3180.5687406620973</v>
      </c>
      <c r="Q593" s="89">
        <f t="shared" si="568"/>
        <v>0</v>
      </c>
      <c r="R593" s="89">
        <f t="shared" si="568"/>
        <v>0</v>
      </c>
      <c r="S593" s="89">
        <f t="shared" si="568"/>
        <v>0</v>
      </c>
      <c r="T593" s="89">
        <f t="shared" si="568"/>
        <v>0</v>
      </c>
      <c r="U593" s="89">
        <f t="shared" si="568"/>
        <v>0</v>
      </c>
      <c r="V593" s="89">
        <f t="shared" si="568"/>
        <v>0</v>
      </c>
      <c r="W593" s="89">
        <f t="shared" si="568"/>
        <v>0</v>
      </c>
      <c r="X593" s="89">
        <f t="shared" si="568"/>
        <v>0</v>
      </c>
      <c r="Y593" s="89">
        <f t="shared" si="568"/>
        <v>0</v>
      </c>
      <c r="Z593" s="89">
        <f t="shared" si="568"/>
        <v>0</v>
      </c>
    </row>
    <row r="594" spans="1:28" outlineLevel="1" x14ac:dyDescent="0.25">
      <c r="A594" s="39" t="str">
        <f t="shared" si="463"/>
        <v>БелАЗ 7531 (БТЛ)</v>
      </c>
      <c r="B594" s="39"/>
      <c r="D594" s="98" t="s">
        <v>77</v>
      </c>
      <c r="E594" s="68" t="str">
        <f>E573</f>
        <v>тыс. руб.</v>
      </c>
      <c r="F594" s="74"/>
      <c r="G594" s="85">
        <f>IF(G568=0,0,G595*G596/1000)</f>
        <v>215.47499999999999</v>
      </c>
      <c r="H594" s="85">
        <f t="shared" ref="H594:Z594" si="569">IF(H568=0,0,H595*H596/1000)</f>
        <v>215.47499999999999</v>
      </c>
      <c r="I594" s="85">
        <f t="shared" si="569"/>
        <v>215.47499999999999</v>
      </c>
      <c r="J594" s="85">
        <f t="shared" si="569"/>
        <v>215.47499999999999</v>
      </c>
      <c r="K594" s="85">
        <f t="shared" si="569"/>
        <v>215.47499999999999</v>
      </c>
      <c r="L594" s="85">
        <f t="shared" si="569"/>
        <v>215.47499999999999</v>
      </c>
      <c r="M594" s="85">
        <f t="shared" si="569"/>
        <v>215.47499999999999</v>
      </c>
      <c r="N594" s="85">
        <f t="shared" si="569"/>
        <v>215.47499999999999</v>
      </c>
      <c r="O594" s="85">
        <f t="shared" si="569"/>
        <v>215.47499999999999</v>
      </c>
      <c r="P594" s="85">
        <f t="shared" si="569"/>
        <v>215.47499999999999</v>
      </c>
      <c r="Q594" s="85">
        <f t="shared" si="569"/>
        <v>0</v>
      </c>
      <c r="R594" s="85">
        <f t="shared" si="569"/>
        <v>0</v>
      </c>
      <c r="S594" s="85">
        <f t="shared" si="569"/>
        <v>0</v>
      </c>
      <c r="T594" s="85">
        <f t="shared" si="569"/>
        <v>0</v>
      </c>
      <c r="U594" s="85">
        <f t="shared" si="569"/>
        <v>0</v>
      </c>
      <c r="V594" s="85">
        <f t="shared" si="569"/>
        <v>0</v>
      </c>
      <c r="W594" s="85">
        <f t="shared" si="569"/>
        <v>0</v>
      </c>
      <c r="X594" s="85">
        <f t="shared" si="569"/>
        <v>0</v>
      </c>
      <c r="Y594" s="85">
        <f t="shared" si="569"/>
        <v>0</v>
      </c>
      <c r="Z594" s="85">
        <f t="shared" si="569"/>
        <v>0</v>
      </c>
    </row>
    <row r="595" spans="1:28" outlineLevel="1" x14ac:dyDescent="0.25">
      <c r="A595" s="39" t="str">
        <f t="shared" si="463"/>
        <v>БелАЗ 7531 (БТЛ)</v>
      </c>
      <c r="B595" s="39"/>
      <c r="D595" s="31" t="s">
        <v>78</v>
      </c>
      <c r="E595" s="9" t="s">
        <v>13</v>
      </c>
      <c r="F595" s="78">
        <f>SUMIFS('ФОТ, МТР, макро'!$AC$4:$AC$20,'ФОТ, МТР, макро'!$W$4:$W$20,$A595)</f>
        <v>2535</v>
      </c>
      <c r="G595" s="89">
        <f>F595</f>
        <v>2535</v>
      </c>
      <c r="H595" s="89">
        <f t="shared" ref="H595:H596" si="570">G595</f>
        <v>2535</v>
      </c>
      <c r="I595" s="89">
        <f t="shared" ref="I595:I596" si="571">H595</f>
        <v>2535</v>
      </c>
      <c r="J595" s="89">
        <f t="shared" ref="J595:J596" si="572">I595</f>
        <v>2535</v>
      </c>
      <c r="K595" s="89">
        <f t="shared" ref="K595:K596" si="573">J595</f>
        <v>2535</v>
      </c>
      <c r="L595" s="89">
        <f t="shared" ref="L595:L596" si="574">K595</f>
        <v>2535</v>
      </c>
      <c r="M595" s="89">
        <f t="shared" ref="M595:M596" si="575">L595</f>
        <v>2535</v>
      </c>
      <c r="N595" s="89">
        <f t="shared" ref="N595:N596" si="576">M595</f>
        <v>2535</v>
      </c>
      <c r="O595" s="89">
        <f t="shared" ref="O595:O596" si="577">N595</f>
        <v>2535</v>
      </c>
      <c r="P595" s="89">
        <f t="shared" ref="P595:P596" si="578">O595</f>
        <v>2535</v>
      </c>
      <c r="Q595" s="89">
        <f t="shared" ref="Q595:Q596" si="579">P595</f>
        <v>2535</v>
      </c>
      <c r="R595" s="89">
        <f t="shared" ref="R595:R596" si="580">Q595</f>
        <v>2535</v>
      </c>
      <c r="S595" s="89">
        <f t="shared" ref="S595:S596" si="581">R595</f>
        <v>2535</v>
      </c>
      <c r="T595" s="89">
        <f t="shared" ref="T595:T596" si="582">S595</f>
        <v>2535</v>
      </c>
      <c r="U595" s="89">
        <f t="shared" ref="U595:U596" si="583">T595</f>
        <v>2535</v>
      </c>
      <c r="V595" s="89">
        <f t="shared" ref="V595:V596" si="584">U595</f>
        <v>2535</v>
      </c>
      <c r="W595" s="89">
        <f t="shared" ref="W595:W596" si="585">V595</f>
        <v>2535</v>
      </c>
      <c r="X595" s="89">
        <f t="shared" ref="X595:X596" si="586">W595</f>
        <v>2535</v>
      </c>
      <c r="Y595" s="89">
        <f t="shared" ref="Y595:Y596" si="587">X595</f>
        <v>2535</v>
      </c>
      <c r="Z595" s="89">
        <f t="shared" ref="Z595:Z596" si="588">Y595</f>
        <v>2535</v>
      </c>
    </row>
    <row r="596" spans="1:28" outlineLevel="1" x14ac:dyDescent="0.25">
      <c r="A596" s="39" t="str">
        <f t="shared" si="463"/>
        <v>БелАЗ 7531 (БТЛ)</v>
      </c>
      <c r="B596" s="39"/>
      <c r="D596" s="31" t="s">
        <v>79</v>
      </c>
      <c r="E596" s="9" t="s">
        <v>80</v>
      </c>
      <c r="F596" s="78">
        <f>SUMIFS('ФОТ, МТР, макро'!$AD$4:$AD$20,'ФОТ, МТР, макро'!$W$4:$W$20,$A596)</f>
        <v>85</v>
      </c>
      <c r="G596" s="89">
        <f>F596</f>
        <v>85</v>
      </c>
      <c r="H596" s="89">
        <f t="shared" si="570"/>
        <v>85</v>
      </c>
      <c r="I596" s="89">
        <f t="shared" si="571"/>
        <v>85</v>
      </c>
      <c r="J596" s="89">
        <f t="shared" si="572"/>
        <v>85</v>
      </c>
      <c r="K596" s="89">
        <f t="shared" si="573"/>
        <v>85</v>
      </c>
      <c r="L596" s="89">
        <f t="shared" si="574"/>
        <v>85</v>
      </c>
      <c r="M596" s="89">
        <f t="shared" si="575"/>
        <v>85</v>
      </c>
      <c r="N596" s="89">
        <f t="shared" si="576"/>
        <v>85</v>
      </c>
      <c r="O596" s="89">
        <f t="shared" si="577"/>
        <v>85</v>
      </c>
      <c r="P596" s="89">
        <f t="shared" si="578"/>
        <v>85</v>
      </c>
      <c r="Q596" s="89">
        <f t="shared" si="579"/>
        <v>85</v>
      </c>
      <c r="R596" s="89">
        <f t="shared" si="580"/>
        <v>85</v>
      </c>
      <c r="S596" s="89">
        <f t="shared" si="581"/>
        <v>85</v>
      </c>
      <c r="T596" s="89">
        <f t="shared" si="582"/>
        <v>85</v>
      </c>
      <c r="U596" s="89">
        <f t="shared" si="583"/>
        <v>85</v>
      </c>
      <c r="V596" s="89">
        <f t="shared" si="584"/>
        <v>85</v>
      </c>
      <c r="W596" s="89">
        <f t="shared" si="585"/>
        <v>85</v>
      </c>
      <c r="X596" s="89">
        <f t="shared" si="586"/>
        <v>85</v>
      </c>
      <c r="Y596" s="89">
        <f t="shared" si="587"/>
        <v>85</v>
      </c>
      <c r="Z596" s="89">
        <f t="shared" si="588"/>
        <v>85</v>
      </c>
    </row>
    <row r="597" spans="1:28" outlineLevel="1" x14ac:dyDescent="0.25">
      <c r="A597" s="39" t="str">
        <f t="shared" si="463"/>
        <v>БелАЗ 7531 (БТЛ)</v>
      </c>
      <c r="B597" s="39"/>
      <c r="C597" s="99">
        <f>SUMIFS('ФОТ, МТР, макро'!$AG$4:$AG$20,'ФОТ, МТР, макро'!$W$4:$W$20,$A597)</f>
        <v>14.117647058823531</v>
      </c>
      <c r="D597" s="98" t="s">
        <v>81</v>
      </c>
      <c r="E597" s="68" t="str">
        <f>E573</f>
        <v>тыс. руб.</v>
      </c>
      <c r="F597" s="85"/>
      <c r="G597" s="100">
        <f>IF(G565&lt;=$C598,$F602*$C597%,"ОШИБКА")</f>
        <v>0</v>
      </c>
      <c r="H597" s="75">
        <f>IF(H565&lt;=$C598,$F602*$C597%,$F602-SUM($G597:G597))</f>
        <v>0</v>
      </c>
      <c r="I597" s="75">
        <f>IF(I565&lt;=$C598,$F602*$C597%,$F602-SUM($G597:H597))</f>
        <v>0</v>
      </c>
      <c r="J597" s="75">
        <f>IF(J565&lt;=$C598,$F602*$C597%,$F602-SUM($G597:I597))</f>
        <v>0</v>
      </c>
      <c r="K597" s="75">
        <f>IF(K565&lt;=$C598,$F602*$C597%,$F602-SUM($G597:J597))</f>
        <v>0</v>
      </c>
      <c r="L597" s="75">
        <f>IF(L565&lt;=$C598,$F602*$C597%,$F602-SUM($G597:K597))</f>
        <v>0</v>
      </c>
      <c r="M597" s="75">
        <f>IF(M565&lt;=$C598,$F602*$C597%,$F602-SUM($G597:L597))</f>
        <v>0</v>
      </c>
      <c r="N597" s="75">
        <f>IF(N565&lt;=$C598,$F602*$C597%,$F602-SUM($G597:M597))</f>
        <v>0</v>
      </c>
      <c r="O597" s="75">
        <f>IF(O565&lt;=$C598,$F602*$C597%,$F602-SUM($G597:N597))</f>
        <v>0</v>
      </c>
      <c r="P597" s="75">
        <f>IF(P565&lt;=$C598,$F602*$C597%,$F602-SUM($G597:O597))</f>
        <v>0</v>
      </c>
      <c r="Q597" s="75">
        <f>IF(Q565&lt;=$C598,$F602*$C597%,$F602-SUM($G597:P597))</f>
        <v>0</v>
      </c>
      <c r="R597" s="75">
        <f>IF(R565&lt;=$C598,$F602*$C597%,$F602-SUM($G597:Q597))</f>
        <v>0</v>
      </c>
      <c r="S597" s="75">
        <f>IF(S565&lt;=$C598,$F602*$C597%,$F602-SUM($G597:R597))</f>
        <v>0</v>
      </c>
      <c r="T597" s="75">
        <f>IF(T565&lt;=$C598,$F602*$C597%,$F602-SUM($G597:S597))</f>
        <v>0</v>
      </c>
      <c r="U597" s="75">
        <f>IF(U565&lt;=$C598,$F602*$C597%,$F602-SUM($G597:T597))</f>
        <v>0</v>
      </c>
      <c r="V597" s="75">
        <f>IF(V565&lt;=$C598,$F602*$C597%,$F602-SUM($G597:U597))</f>
        <v>0</v>
      </c>
      <c r="W597" s="75">
        <f>IF(W565&lt;=$C598,$F602*$C597%,$F602-SUM($G597:V597))</f>
        <v>0</v>
      </c>
      <c r="X597" s="75">
        <f>IF(X565&lt;=$C598,$F602*$C597%,$F602-SUM($G597:W597))</f>
        <v>0</v>
      </c>
      <c r="Y597" s="75">
        <f>IF(Y565&lt;=$C598,$F602*$C597%,$F602-SUM($G597:X597))</f>
        <v>0</v>
      </c>
      <c r="Z597" s="75">
        <f>IF(Z565&lt;=$C598,$F602*$C597%,$F602-SUM($G597:Y597))</f>
        <v>0</v>
      </c>
      <c r="AA597" s="88">
        <f>F602-SUM(G597:Z597)</f>
        <v>0</v>
      </c>
    </row>
    <row r="598" spans="1:28" outlineLevel="1" x14ac:dyDescent="0.25">
      <c r="A598" s="39" t="str">
        <f t="shared" si="463"/>
        <v>БелАЗ 7531 (БТЛ)</v>
      </c>
      <c r="B598" s="39"/>
      <c r="C598" s="99">
        <f>SUMIFS('ФОТ, МТР, макро'!$AF$4:$AF$20,'ФОТ, МТР, макро'!$W$4:$W$20,$A598)/12</f>
        <v>7.083333333333333</v>
      </c>
      <c r="D598" s="98" t="s">
        <v>82</v>
      </c>
      <c r="E598" s="68" t="str">
        <f>E573</f>
        <v>тыс. руб.</v>
      </c>
      <c r="F598" s="69"/>
      <c r="G598" s="69">
        <f>SUM(G574,G579,G583,G588,G590,G594,G597)</f>
        <v>120273.88932853439</v>
      </c>
      <c r="H598" s="69">
        <f>SUM(H574,H579,H583,H588,H590,H594,H597)</f>
        <v>128565.89018920372</v>
      </c>
      <c r="I598" s="69">
        <f>SUM(I574,I579,I583,I588,I590,I594,I597)</f>
        <v>171718.65134957948</v>
      </c>
      <c r="J598" s="69">
        <f t="shared" ref="J598:Z598" si="589">SUM(J574,J579,J583,J588,J590,J594,J597)</f>
        <v>196634.92751213614</v>
      </c>
      <c r="K598" s="69">
        <f t="shared" si="589"/>
        <v>152671.57064475527</v>
      </c>
      <c r="L598" s="69">
        <f t="shared" si="589"/>
        <v>177419.25721601109</v>
      </c>
      <c r="M598" s="69">
        <f t="shared" si="589"/>
        <v>141267.23794434607</v>
      </c>
      <c r="N598" s="69">
        <f t="shared" si="589"/>
        <v>207295.02526135003</v>
      </c>
      <c r="O598" s="69">
        <f t="shared" si="589"/>
        <v>191945.7887517199</v>
      </c>
      <c r="P598" s="69">
        <f t="shared" si="589"/>
        <v>144608.94151732582</v>
      </c>
      <c r="Q598" s="69">
        <f t="shared" si="589"/>
        <v>0</v>
      </c>
      <c r="R598" s="69">
        <f t="shared" si="589"/>
        <v>0</v>
      </c>
      <c r="S598" s="69">
        <f t="shared" si="589"/>
        <v>0</v>
      </c>
      <c r="T598" s="69">
        <f t="shared" si="589"/>
        <v>0</v>
      </c>
      <c r="U598" s="69">
        <f t="shared" si="589"/>
        <v>0</v>
      </c>
      <c r="V598" s="69">
        <f t="shared" si="589"/>
        <v>0</v>
      </c>
      <c r="W598" s="69">
        <f t="shared" si="589"/>
        <v>0</v>
      </c>
      <c r="X598" s="69">
        <f t="shared" si="589"/>
        <v>0</v>
      </c>
      <c r="Y598" s="69">
        <f t="shared" si="589"/>
        <v>0</v>
      </c>
      <c r="Z598" s="69">
        <f t="shared" si="589"/>
        <v>0</v>
      </c>
      <c r="AB598" s="42"/>
    </row>
    <row r="599" spans="1:28" outlineLevel="1" x14ac:dyDescent="0.25">
      <c r="A599" s="39" t="str">
        <f t="shared" si="463"/>
        <v>БелАЗ 7531 (БТЛ)</v>
      </c>
      <c r="B599" s="39"/>
      <c r="D599" s="98" t="s">
        <v>83</v>
      </c>
      <c r="E599" s="68" t="str">
        <f>E573</f>
        <v>тыс. руб.</v>
      </c>
      <c r="F599" s="69"/>
      <c r="G599" s="69">
        <f>-G598*'ФОТ, МТР, макро'!AK$11</f>
        <v>-30068.472332133599</v>
      </c>
      <c r="H599" s="69">
        <f>-H598*'ФОТ, МТР, макро'!AL$11</f>
        <v>-32141.472547300931</v>
      </c>
      <c r="I599" s="69">
        <f>-I598*'ФОТ, МТР, макро'!AM$11</f>
        <v>-42929.66283739487</v>
      </c>
      <c r="J599" s="69">
        <f>-J598*'ФОТ, МТР, макро'!AN$11</f>
        <v>-49158.731878034036</v>
      </c>
      <c r="K599" s="69">
        <f>-K598*'ФОТ, МТР, макро'!AO$11</f>
        <v>-38167.892661188816</v>
      </c>
      <c r="L599" s="69">
        <f>-L598*'ФОТ, МТР, макро'!AP$11</f>
        <v>-44354.814304002772</v>
      </c>
      <c r="M599" s="69">
        <f>-M598*'ФОТ, МТР, макро'!AQ$11</f>
        <v>-35316.809486086517</v>
      </c>
      <c r="N599" s="69">
        <f>-N598*'ФОТ, МТР, макро'!AR$11</f>
        <v>-51823.756315337509</v>
      </c>
      <c r="O599" s="69">
        <f>-O598*'ФОТ, МТР, макро'!AS$11</f>
        <v>-47986.447187929974</v>
      </c>
      <c r="P599" s="69">
        <f>-P598*'ФОТ, МТР, макро'!AT$11</f>
        <v>-36152.235379331454</v>
      </c>
      <c r="Q599" s="69">
        <f>-Q598*'ФОТ, МТР, макро'!AU$11</f>
        <v>0</v>
      </c>
      <c r="R599" s="69">
        <f>-R598*'ФОТ, МТР, макро'!AV$11</f>
        <v>0</v>
      </c>
      <c r="S599" s="69">
        <f>-S598*'ФОТ, МТР, макро'!AW$11</f>
        <v>0</v>
      </c>
      <c r="T599" s="69">
        <f>-T598*'ФОТ, МТР, макро'!AX$11</f>
        <v>0</v>
      </c>
      <c r="U599" s="69">
        <f>-U598*'ФОТ, МТР, макро'!AY$11</f>
        <v>0</v>
      </c>
      <c r="V599" s="69">
        <f>-V598*'ФОТ, МТР, макро'!AZ$11</f>
        <v>0</v>
      </c>
      <c r="W599" s="69">
        <f>-W598*'ФОТ, МТР, макро'!BA$11</f>
        <v>0</v>
      </c>
      <c r="X599" s="69">
        <f>-X598*'ФОТ, МТР, макро'!BB$11</f>
        <v>0</v>
      </c>
      <c r="Y599" s="69">
        <f>-Y598*'ФОТ, МТР, макро'!BC$11</f>
        <v>0</v>
      </c>
      <c r="Z599" s="69">
        <f>-Z598*'ФОТ, МТР, макро'!BD$11</f>
        <v>0</v>
      </c>
    </row>
    <row r="600" spans="1:28" outlineLevel="1" x14ac:dyDescent="0.25">
      <c r="A600" s="39" t="str">
        <f t="shared" si="463"/>
        <v>БелАЗ 7531 (БТЛ)</v>
      </c>
      <c r="B600" s="39"/>
      <c r="D600" s="101"/>
      <c r="E600" s="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8" outlineLevel="1" x14ac:dyDescent="0.25">
      <c r="A601" s="39" t="str">
        <f t="shared" si="463"/>
        <v>БелАЗ 7531 (БТЛ)</v>
      </c>
      <c r="B601" s="39"/>
      <c r="D601" s="71" t="s">
        <v>84</v>
      </c>
      <c r="E601" s="72" t="str">
        <f>E573</f>
        <v>тыс. руб.</v>
      </c>
      <c r="F601" s="73">
        <f>F602</f>
        <v>0</v>
      </c>
      <c r="G601" s="73">
        <f t="shared" ref="G601:Z601" si="590">G602</f>
        <v>0</v>
      </c>
      <c r="H601" s="73">
        <f t="shared" si="590"/>
        <v>0</v>
      </c>
      <c r="I601" s="73">
        <f t="shared" si="590"/>
        <v>0</v>
      </c>
      <c r="J601" s="73">
        <f t="shared" si="590"/>
        <v>0</v>
      </c>
      <c r="K601" s="73">
        <f t="shared" si="590"/>
        <v>0</v>
      </c>
      <c r="L601" s="73">
        <f t="shared" si="590"/>
        <v>0</v>
      </c>
      <c r="M601" s="73">
        <f t="shared" si="590"/>
        <v>0</v>
      </c>
      <c r="N601" s="73">
        <f t="shared" si="590"/>
        <v>0</v>
      </c>
      <c r="O601" s="73">
        <f t="shared" si="590"/>
        <v>0</v>
      </c>
      <c r="P601" s="73">
        <f t="shared" si="590"/>
        <v>0</v>
      </c>
      <c r="Q601" s="73">
        <f t="shared" si="590"/>
        <v>0</v>
      </c>
      <c r="R601" s="73">
        <f t="shared" si="590"/>
        <v>0</v>
      </c>
      <c r="S601" s="73">
        <f t="shared" si="590"/>
        <v>0</v>
      </c>
      <c r="T601" s="73">
        <f t="shared" si="590"/>
        <v>0</v>
      </c>
      <c r="U601" s="73">
        <f t="shared" si="590"/>
        <v>0</v>
      </c>
      <c r="V601" s="73">
        <f t="shared" si="590"/>
        <v>0</v>
      </c>
      <c r="W601" s="73">
        <f t="shared" si="590"/>
        <v>0</v>
      </c>
      <c r="X601" s="73">
        <f t="shared" si="590"/>
        <v>0</v>
      </c>
      <c r="Y601" s="73">
        <f t="shared" si="590"/>
        <v>0</v>
      </c>
      <c r="Z601" s="73">
        <f t="shared" si="590"/>
        <v>0</v>
      </c>
    </row>
    <row r="602" spans="1:28" outlineLevel="1" x14ac:dyDescent="0.25">
      <c r="A602" s="39" t="str">
        <f t="shared" si="463"/>
        <v>БелАЗ 7531 (БТЛ)</v>
      </c>
      <c r="B602" s="39"/>
      <c r="D602" s="101" t="s">
        <v>85</v>
      </c>
      <c r="E602" s="9" t="str">
        <f>E601</f>
        <v>тыс. руб.</v>
      </c>
      <c r="F602" s="78">
        <f>SUMIFS(Свод_1!$D$41:$U$41,Свод_1!$D$23:$U$23,$A602)</f>
        <v>0</v>
      </c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8" outlineLevel="1" x14ac:dyDescent="0.25">
      <c r="A603" s="39" t="str">
        <f t="shared" si="463"/>
        <v>БелАЗ 7531 (БТЛ)</v>
      </c>
      <c r="B603" s="39"/>
      <c r="D603" s="101"/>
      <c r="E603" s="9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8" outlineLevel="1" x14ac:dyDescent="0.25">
      <c r="A604" s="39" t="str">
        <f t="shared" si="463"/>
        <v>БелАЗ 7531 (БТЛ)</v>
      </c>
      <c r="B604" s="39"/>
      <c r="D604" s="71" t="s">
        <v>86</v>
      </c>
      <c r="E604" s="72" t="str">
        <f>E573</f>
        <v>тыс. руб.</v>
      </c>
      <c r="F604" s="73">
        <f>F573+F601</f>
        <v>0</v>
      </c>
      <c r="G604" s="73">
        <f t="shared" ref="G604:Z604" si="591">G573+G601</f>
        <v>90205.416996400803</v>
      </c>
      <c r="H604" s="73">
        <f t="shared" si="591"/>
        <v>96424.417641902794</v>
      </c>
      <c r="I604" s="73">
        <f t="shared" si="591"/>
        <v>128788.98851218462</v>
      </c>
      <c r="J604" s="73">
        <f t="shared" si="591"/>
        <v>147476.1956341021</v>
      </c>
      <c r="K604" s="73">
        <f t="shared" si="591"/>
        <v>114503.67798356645</v>
      </c>
      <c r="L604" s="73">
        <f t="shared" si="591"/>
        <v>133064.44291200832</v>
      </c>
      <c r="M604" s="73">
        <f t="shared" si="591"/>
        <v>105950.42845825956</v>
      </c>
      <c r="N604" s="73">
        <f t="shared" si="591"/>
        <v>155471.26894601254</v>
      </c>
      <c r="O604" s="73">
        <f t="shared" si="591"/>
        <v>143959.34156378993</v>
      </c>
      <c r="P604" s="73">
        <f t="shared" si="591"/>
        <v>108456.70613799436</v>
      </c>
      <c r="Q604" s="73">
        <f t="shared" si="591"/>
        <v>0</v>
      </c>
      <c r="R604" s="73">
        <f t="shared" si="591"/>
        <v>0</v>
      </c>
      <c r="S604" s="73">
        <f t="shared" si="591"/>
        <v>0</v>
      </c>
      <c r="T604" s="73">
        <f t="shared" si="591"/>
        <v>0</v>
      </c>
      <c r="U604" s="73">
        <f t="shared" si="591"/>
        <v>0</v>
      </c>
      <c r="V604" s="73">
        <f t="shared" si="591"/>
        <v>0</v>
      </c>
      <c r="W604" s="73">
        <f t="shared" si="591"/>
        <v>0</v>
      </c>
      <c r="X604" s="73">
        <f t="shared" si="591"/>
        <v>0</v>
      </c>
      <c r="Y604" s="73">
        <f t="shared" si="591"/>
        <v>0</v>
      </c>
      <c r="Z604" s="73">
        <f t="shared" si="591"/>
        <v>0</v>
      </c>
    </row>
    <row r="605" spans="1:28" outlineLevel="1" x14ac:dyDescent="0.25">
      <c r="A605" s="39" t="str">
        <f t="shared" si="463"/>
        <v>БелАЗ 7531 (БТЛ)</v>
      </c>
      <c r="B605" s="39"/>
      <c r="D605" s="67" t="s">
        <v>87</v>
      </c>
      <c r="E605" s="68" t="str">
        <f>E604</f>
        <v>тыс. руб.</v>
      </c>
      <c r="F605" s="102"/>
      <c r="G605" s="69">
        <f>G573*'ФОТ, МТР, макро'!AK$13</f>
        <v>80540.550889643564</v>
      </c>
      <c r="H605" s="69">
        <f>H573*'ФОТ, МТР, макро'!AL$13</f>
        <v>76868.95539054749</v>
      </c>
      <c r="I605" s="69">
        <f>I573*'ФОТ, МТР, макро'!AM$13</f>
        <v>91669.458158841298</v>
      </c>
      <c r="J605" s="69">
        <f>J573*'ФОТ, МТР, макро'!AN$13</f>
        <v>93723.788459839503</v>
      </c>
      <c r="K605" s="69">
        <f>K573*'ФОТ, МТР, макро'!AO$13</f>
        <v>64972.461966430099</v>
      </c>
      <c r="L605" s="69">
        <f>L573*'ФОТ, МТР, макро'!AP$13</f>
        <v>67414.587901346356</v>
      </c>
      <c r="M605" s="69">
        <f>M573*'ФОТ, МТР, макро'!AQ$13</f>
        <v>47926.593177701376</v>
      </c>
      <c r="N605" s="69">
        <f>N573*'ФОТ, МТР, макро'!AR$13</f>
        <v>62792.237959964186</v>
      </c>
      <c r="O605" s="69">
        <f>O573*'ФОТ, МТР, макро'!AS$13</f>
        <v>51913.181757650025</v>
      </c>
      <c r="P605" s="69">
        <f>P573*'ФОТ, МТР, макро'!AT$13</f>
        <v>34920.156705216046</v>
      </c>
      <c r="Q605" s="69">
        <f>Q573*'ФОТ, МТР, макро'!AU$13</f>
        <v>0</v>
      </c>
      <c r="R605" s="69">
        <f>R573*'ФОТ, МТР, макро'!AV$13</f>
        <v>0</v>
      </c>
      <c r="S605" s="69">
        <f>S573*'ФОТ, МТР, макро'!AW$13</f>
        <v>0</v>
      </c>
      <c r="T605" s="69">
        <f>T573*'ФОТ, МТР, макро'!AX$13</f>
        <v>0</v>
      </c>
      <c r="U605" s="69">
        <f>U573*'ФОТ, МТР, макро'!AY$13</f>
        <v>0</v>
      </c>
      <c r="V605" s="69">
        <f>V573*'ФОТ, МТР, макро'!AZ$13</f>
        <v>0</v>
      </c>
      <c r="W605" s="69">
        <f>W573*'ФОТ, МТР, макро'!BA$13</f>
        <v>0</v>
      </c>
      <c r="X605" s="69">
        <f>X573*'ФОТ, МТР, макро'!BB$13</f>
        <v>0</v>
      </c>
      <c r="Y605" s="69">
        <f>Y573*'ФОТ, МТР, макро'!BC$13</f>
        <v>0</v>
      </c>
      <c r="Z605" s="69">
        <f>Z573*'ФОТ, МТР, макро'!BD$13</f>
        <v>0</v>
      </c>
    </row>
    <row r="606" spans="1:28" outlineLevel="1" x14ac:dyDescent="0.25">
      <c r="A606" s="39" t="str">
        <f t="shared" si="463"/>
        <v>БелАЗ 7531 (БТЛ)</v>
      </c>
      <c r="B606" s="39"/>
      <c r="D606" s="18" t="str">
        <f>D574</f>
        <v>ТО, ТР, ППР</v>
      </c>
      <c r="E606" s="9" t="str">
        <f>E605</f>
        <v>тыс. руб.</v>
      </c>
      <c r="F606" s="103"/>
      <c r="G606" s="74">
        <f>G574*'ФОТ, МТР, макро'!AK$13</f>
        <v>10982.958490442828</v>
      </c>
      <c r="H606" s="74">
        <f>H574*'ФОТ, МТР, макро'!AL$13</f>
        <v>15670.679836199201</v>
      </c>
      <c r="I606" s="74">
        <f>I574*'ФОТ, МТР, макро'!AM$13</f>
        <v>41198.476971489283</v>
      </c>
      <c r="J606" s="74">
        <f>J574*'ФОТ, МТР, макро'!AN$13</f>
        <v>54481.149891209032</v>
      </c>
      <c r="K606" s="74">
        <f>K574*'ФОТ, МТР, макро'!AO$13</f>
        <v>19460.5155267054</v>
      </c>
      <c r="L606" s="74">
        <f>L574*'ФОТ, МТР, макро'!AP$13</f>
        <v>30350.027561533108</v>
      </c>
      <c r="M606" s="74">
        <f>M574*'ФОТ, МТР, макро'!AQ$13</f>
        <v>13760.890415984777</v>
      </c>
      <c r="N606" s="74">
        <f>N574*'ФОТ, МТР, макро'!AR$13</f>
        <v>36910.673222392448</v>
      </c>
      <c r="O606" s="74">
        <f>O574*'ФОТ, МТР, макро'!AS$13</f>
        <v>27311.574873949321</v>
      </c>
      <c r="P606" s="74">
        <f>P574*'ФОТ, МТР, макро'!AT$13</f>
        <v>10148.818283788594</v>
      </c>
      <c r="Q606" s="74">
        <f>Q574*'ФОТ, МТР, макро'!AU$13</f>
        <v>0</v>
      </c>
      <c r="R606" s="74">
        <f>R574*'ФОТ, МТР, макро'!AV$13</f>
        <v>0</v>
      </c>
      <c r="S606" s="74">
        <f>S574*'ФОТ, МТР, макро'!AW$13</f>
        <v>0</v>
      </c>
      <c r="T606" s="74">
        <f>T574*'ФОТ, МТР, макро'!AX$13</f>
        <v>0</v>
      </c>
      <c r="U606" s="74">
        <f>U574*'ФОТ, МТР, макро'!AY$13</f>
        <v>0</v>
      </c>
      <c r="V606" s="74">
        <f>V574*'ФОТ, МТР, макро'!AZ$13</f>
        <v>0</v>
      </c>
      <c r="W606" s="74">
        <f>W574*'ФОТ, МТР, макро'!BA$13</f>
        <v>0</v>
      </c>
      <c r="X606" s="74">
        <f>X574*'ФОТ, МТР, макро'!BB$13</f>
        <v>0</v>
      </c>
      <c r="Y606" s="74">
        <f>Y574*'ФОТ, МТР, макро'!BC$13</f>
        <v>0</v>
      </c>
      <c r="Z606" s="74">
        <f>Z574*'ФОТ, МТР, макро'!BD$13</f>
        <v>0</v>
      </c>
    </row>
    <row r="607" spans="1:28" outlineLevel="1" x14ac:dyDescent="0.25">
      <c r="A607" s="39" t="str">
        <f t="shared" si="463"/>
        <v>БелАЗ 7531 (БТЛ)</v>
      </c>
      <c r="B607" s="39"/>
      <c r="D607" s="18" t="str">
        <f>D579</f>
        <v>Шины</v>
      </c>
      <c r="E607" s="9" t="str">
        <f t="shared" ref="E607:E612" si="592">E606</f>
        <v>тыс. руб.</v>
      </c>
      <c r="F607" s="103"/>
      <c r="G607" s="74">
        <f>G579*'ФОТ, МТР, макро'!AK$13</f>
        <v>17390.018109751498</v>
      </c>
      <c r="H607" s="74">
        <f>H579*'ФОТ, МТР, макро'!AL$13</f>
        <v>15689.512197944507</v>
      </c>
      <c r="I607" s="74">
        <f>I579*'ФОТ, МТР, макро'!AM$13</f>
        <v>14773.867855649803</v>
      </c>
      <c r="J607" s="74">
        <f>J579*'ФОТ, МТР, макро'!AN$13</f>
        <v>12784.747474125732</v>
      </c>
      <c r="K607" s="74">
        <f>K579*'ФОТ, МТР, макро'!AO$13</f>
        <v>12339.336029007118</v>
      </c>
      <c r="L607" s="74">
        <f>L579*'ФОТ, МТР, макро'!AP$13</f>
        <v>10922.015993273058</v>
      </c>
      <c r="M607" s="74">
        <f>M579*'ФОТ, МТР, макро'!AQ$13</f>
        <v>9093.8628967666482</v>
      </c>
      <c r="N607" s="74">
        <f>N579*'ФОТ, МТР, макро'!AR$13</f>
        <v>8565.2770501047253</v>
      </c>
      <c r="O607" s="74">
        <f>O579*'ФОТ, МТР, макро'!AS$13</f>
        <v>7671.4114218714876</v>
      </c>
      <c r="P607" s="74">
        <f>P579*'ФОТ, МТР, макро'!AT$13</f>
        <v>6630.3035230859614</v>
      </c>
      <c r="Q607" s="74">
        <f>Q579*'ФОТ, МТР, макро'!AU$13</f>
        <v>0</v>
      </c>
      <c r="R607" s="74">
        <f>R579*'ФОТ, МТР, макро'!AV$13</f>
        <v>0</v>
      </c>
      <c r="S607" s="74">
        <f>S579*'ФОТ, МТР, макро'!AW$13</f>
        <v>0</v>
      </c>
      <c r="T607" s="74">
        <f>T579*'ФОТ, МТР, макро'!AX$13</f>
        <v>0</v>
      </c>
      <c r="U607" s="74">
        <f>U579*'ФОТ, МТР, макро'!AY$13</f>
        <v>0</v>
      </c>
      <c r="V607" s="74">
        <f>V579*'ФОТ, МТР, макро'!AZ$13</f>
        <v>0</v>
      </c>
      <c r="W607" s="74">
        <f>W579*'ФОТ, МТР, макро'!BA$13</f>
        <v>0</v>
      </c>
      <c r="X607" s="74">
        <f>X579*'ФОТ, МТР, макро'!BB$13</f>
        <v>0</v>
      </c>
      <c r="Y607" s="74">
        <f>Y579*'ФОТ, МТР, макро'!BC$13</f>
        <v>0</v>
      </c>
      <c r="Z607" s="74">
        <f>Z579*'ФОТ, МТР, макро'!BD$13</f>
        <v>0</v>
      </c>
    </row>
    <row r="608" spans="1:28" outlineLevel="1" x14ac:dyDescent="0.25">
      <c r="A608" s="39" t="str">
        <f t="shared" si="463"/>
        <v>БелАЗ 7531 (БТЛ)</v>
      </c>
      <c r="B608" s="39"/>
      <c r="D608" s="18" t="str">
        <f>D583</f>
        <v>Топливо</v>
      </c>
      <c r="E608" s="9" t="str">
        <f t="shared" si="592"/>
        <v>тыс. руб.</v>
      </c>
      <c r="F608" s="103"/>
      <c r="G608" s="74">
        <f>G583*'ФОТ, МТР, макро'!AK$13</f>
        <v>62325.968121120211</v>
      </c>
      <c r="H608" s="74">
        <f>H583*'ФОТ, МТР, макро'!AL$13</f>
        <v>56231.340928660495</v>
      </c>
      <c r="I608" s="74">
        <f>I583*'ФОТ, МТР, макро'!AM$13</f>
        <v>52949.664065072713</v>
      </c>
      <c r="J608" s="74">
        <f>J583*'ФОТ, МТР, макро'!AN$13</f>
        <v>45820.640236257881</v>
      </c>
      <c r="K608" s="74">
        <f>K583*'ФОТ, МТР, макро'!AO$13</f>
        <v>44224.281948759723</v>
      </c>
      <c r="L608" s="74">
        <f>L583*'ФОТ, МТР, макро'!AP$13</f>
        <v>39144.595268327161</v>
      </c>
      <c r="M608" s="74">
        <f>M583*'ФОТ, МТР, макро'!AQ$13</f>
        <v>32592.479514664265</v>
      </c>
      <c r="N608" s="74">
        <f>N583*'ФОТ, МТР, макро'!AR$13</f>
        <v>30698.023487050777</v>
      </c>
      <c r="O608" s="74">
        <f>O583*'ФОТ, МТР, макро'!AS$13</f>
        <v>27494.401714018248</v>
      </c>
      <c r="P608" s="74">
        <f>P583*'ФОТ, МТР, макро'!AT$13</f>
        <v>23763.062430710259</v>
      </c>
      <c r="Q608" s="74">
        <f>Q583*'ФОТ, МТР, макро'!AU$13</f>
        <v>0</v>
      </c>
      <c r="R608" s="74">
        <f>R583*'ФОТ, МТР, макро'!AV$13</f>
        <v>0</v>
      </c>
      <c r="S608" s="74">
        <f>S583*'ФОТ, МТР, макро'!AW$13</f>
        <v>0</v>
      </c>
      <c r="T608" s="74">
        <f>T583*'ФОТ, МТР, макро'!AX$13</f>
        <v>0</v>
      </c>
      <c r="U608" s="74">
        <f>U583*'ФОТ, МТР, макро'!AY$13</f>
        <v>0</v>
      </c>
      <c r="V608" s="74">
        <f>V583*'ФОТ, МТР, макро'!AZ$13</f>
        <v>0</v>
      </c>
      <c r="W608" s="74">
        <f>W583*'ФОТ, МТР, макро'!BA$13</f>
        <v>0</v>
      </c>
      <c r="X608" s="74">
        <f>X583*'ФОТ, МТР, макро'!BB$13</f>
        <v>0</v>
      </c>
      <c r="Y608" s="74">
        <f>Y583*'ФОТ, МТР, макро'!BC$13</f>
        <v>0</v>
      </c>
      <c r="Z608" s="74">
        <f>Z583*'ФОТ, МТР, макро'!BD$13</f>
        <v>0</v>
      </c>
    </row>
    <row r="609" spans="1:26" outlineLevel="1" x14ac:dyDescent="0.25">
      <c r="A609" s="39" t="str">
        <f t="shared" si="463"/>
        <v>БелАЗ 7531 (БТЛ)</v>
      </c>
      <c r="B609" s="39"/>
      <c r="D609" s="18" t="str">
        <f>D588</f>
        <v>Смазочные</v>
      </c>
      <c r="E609" s="9" t="str">
        <f t="shared" si="592"/>
        <v>тыс. руб.</v>
      </c>
      <c r="F609" s="103"/>
      <c r="G609" s="74">
        <f>G588*'ФОТ, МТР, макро'!AK$13</f>
        <v>0</v>
      </c>
      <c r="H609" s="74">
        <f>H588*'ФОТ, МТР, макро'!AL$13</f>
        <v>0</v>
      </c>
      <c r="I609" s="74">
        <f>I588*'ФОТ, МТР, макро'!AM$13</f>
        <v>0</v>
      </c>
      <c r="J609" s="74">
        <f>J588*'ФОТ, МТР, макро'!AN$13</f>
        <v>0</v>
      </c>
      <c r="K609" s="74">
        <f>K588*'ФОТ, МТР, макро'!AO$13</f>
        <v>0</v>
      </c>
      <c r="L609" s="74">
        <f>L588*'ФОТ, МТР, макро'!AP$13</f>
        <v>0</v>
      </c>
      <c r="M609" s="74">
        <f>M588*'ФОТ, МТР, макро'!AQ$13</f>
        <v>0</v>
      </c>
      <c r="N609" s="74">
        <f>N588*'ФОТ, МТР, макро'!AR$13</f>
        <v>0</v>
      </c>
      <c r="O609" s="74">
        <f>O588*'ФОТ, МТР, макро'!AS$13</f>
        <v>0</v>
      </c>
      <c r="P609" s="74">
        <f>P588*'ФОТ, МТР, макро'!AT$13</f>
        <v>0</v>
      </c>
      <c r="Q609" s="74">
        <f>Q588*'ФОТ, МТР, макро'!AU$13</f>
        <v>0</v>
      </c>
      <c r="R609" s="74">
        <f>R588*'ФОТ, МТР, макро'!AV$13</f>
        <v>0</v>
      </c>
      <c r="S609" s="74">
        <f>S588*'ФОТ, МТР, макро'!AW$13</f>
        <v>0</v>
      </c>
      <c r="T609" s="74">
        <f>T588*'ФОТ, МТР, макро'!AX$13</f>
        <v>0</v>
      </c>
      <c r="U609" s="74">
        <f>U588*'ФОТ, МТР, макро'!AY$13</f>
        <v>0</v>
      </c>
      <c r="V609" s="74">
        <f>V588*'ФОТ, МТР, макро'!AZ$13</f>
        <v>0</v>
      </c>
      <c r="W609" s="74">
        <f>W588*'ФОТ, МТР, макро'!BA$13</f>
        <v>0</v>
      </c>
      <c r="X609" s="74">
        <f>X588*'ФОТ, МТР, макро'!BB$13</f>
        <v>0</v>
      </c>
      <c r="Y609" s="74">
        <f>Y588*'ФОТ, МТР, макро'!BC$13</f>
        <v>0</v>
      </c>
      <c r="Z609" s="74">
        <f>Z588*'ФОТ, МТР, макро'!BD$13</f>
        <v>0</v>
      </c>
    </row>
    <row r="610" spans="1:26" outlineLevel="1" x14ac:dyDescent="0.25">
      <c r="A610" s="39" t="str">
        <f t="shared" si="463"/>
        <v>БелАЗ 7531 (БТЛ)</v>
      </c>
      <c r="B610" s="39"/>
      <c r="D610" s="18" t="str">
        <f>D590</f>
        <v>Затраты на персонал</v>
      </c>
      <c r="E610" s="9" t="str">
        <f t="shared" si="592"/>
        <v>тыс. руб.</v>
      </c>
      <c r="F610" s="103"/>
      <c r="G610" s="74">
        <f>G590*'ФОТ, МТР, макро'!AK$13</f>
        <v>16496.068072019727</v>
      </c>
      <c r="H610" s="74">
        <f>H590*'ФОТ, МТР, макро'!AL$13</f>
        <v>14728.632207160468</v>
      </c>
      <c r="I610" s="74">
        <f>I590*'ФОТ, МТР, макро'!AM$13</f>
        <v>13150.56447067899</v>
      </c>
      <c r="J610" s="74">
        <f>J590*'ФОТ, МТР, макро'!AN$13</f>
        <v>11741.575420249097</v>
      </c>
      <c r="K610" s="74">
        <f>K590*'ФОТ, МТР, макро'!AO$13</f>
        <v>10483.549482365264</v>
      </c>
      <c r="L610" s="74">
        <f>L590*'ФОТ, МТР, макро'!AP$13</f>
        <v>9360.3120378261283</v>
      </c>
      <c r="M610" s="74">
        <f>M590*'ФОТ, МТР, макро'!AQ$13</f>
        <v>8357.4214623447569</v>
      </c>
      <c r="N610" s="74">
        <f>N590*'ФОТ, МТР, макро'!AR$13</f>
        <v>7461.9834485221045</v>
      </c>
      <c r="O610" s="74">
        <f>O590*'ФОТ, МТР, макро'!AS$13</f>
        <v>6662.4852218947353</v>
      </c>
      <c r="P610" s="74">
        <f>P590*'ФОТ, МТР, макро'!AT$13</f>
        <v>5948.6475195488702</v>
      </c>
      <c r="Q610" s="74">
        <f>Q590*'ФОТ, МТР, макро'!AU$13</f>
        <v>0</v>
      </c>
      <c r="R610" s="74">
        <f>R590*'ФОТ, МТР, макро'!AV$13</f>
        <v>0</v>
      </c>
      <c r="S610" s="74">
        <f>S590*'ФОТ, МТР, макро'!AW$13</f>
        <v>0</v>
      </c>
      <c r="T610" s="74">
        <f>T590*'ФОТ, МТР, макро'!AX$13</f>
        <v>0</v>
      </c>
      <c r="U610" s="74">
        <f>U590*'ФОТ, МТР, макро'!AY$13</f>
        <v>0</v>
      </c>
      <c r="V610" s="74">
        <f>V590*'ФОТ, МТР, макро'!AZ$13</f>
        <v>0</v>
      </c>
      <c r="W610" s="74">
        <f>W590*'ФОТ, МТР, макро'!BA$13</f>
        <v>0</v>
      </c>
      <c r="X610" s="74">
        <f>X590*'ФОТ, МТР, макро'!BB$13</f>
        <v>0</v>
      </c>
      <c r="Y610" s="74">
        <f>Y590*'ФОТ, МТР, макро'!BC$13</f>
        <v>0</v>
      </c>
      <c r="Z610" s="74">
        <f>Z590*'ФОТ, МТР, макро'!BD$13</f>
        <v>0</v>
      </c>
    </row>
    <row r="611" spans="1:26" outlineLevel="1" x14ac:dyDescent="0.25">
      <c r="A611" s="39" t="str">
        <f t="shared" si="463"/>
        <v>БелАЗ 7531 (БТЛ)</v>
      </c>
      <c r="B611" s="39"/>
      <c r="D611" s="18" t="str">
        <f>D594</f>
        <v>Транспортный налог</v>
      </c>
      <c r="E611" s="9" t="str">
        <f t="shared" si="592"/>
        <v>тыс. руб.</v>
      </c>
      <c r="F611" s="103"/>
      <c r="G611" s="74">
        <f>G594*'ФОТ, МТР, макро'!AK$13</f>
        <v>192.38839285714283</v>
      </c>
      <c r="H611" s="74">
        <f>H594*'ФОТ, МТР, макро'!AL$13</f>
        <v>171.77535076530609</v>
      </c>
      <c r="I611" s="74">
        <f>I594*'ФОТ, МТР, макро'!AM$13</f>
        <v>153.3708488975947</v>
      </c>
      <c r="J611" s="74">
        <f>J594*'ФОТ, МТР, макро'!AN$13</f>
        <v>136.93825794428099</v>
      </c>
      <c r="K611" s="74">
        <f>K594*'ФОТ, МТР, макро'!AO$13</f>
        <v>122.26630173596516</v>
      </c>
      <c r="L611" s="74">
        <f>L594*'ФОТ, МТР, макро'!AP$13</f>
        <v>109.16634083568317</v>
      </c>
      <c r="M611" s="74">
        <f>M594*'ФОТ, МТР, макро'!AQ$13</f>
        <v>97.469947174717106</v>
      </c>
      <c r="N611" s="74">
        <f>N594*'ФОТ, МТР, макро'!AR$13</f>
        <v>87.026738548854553</v>
      </c>
      <c r="O611" s="74">
        <f>O594*'ФОТ, МТР, макро'!AS$13</f>
        <v>77.702445132905837</v>
      </c>
      <c r="P611" s="74">
        <f>P594*'ФОТ, МТР, макро'!AT$13</f>
        <v>69.377183154380219</v>
      </c>
      <c r="Q611" s="74">
        <f>Q594*'ФОТ, МТР, макро'!AU$13</f>
        <v>0</v>
      </c>
      <c r="R611" s="74">
        <f>R594*'ФОТ, МТР, макро'!AV$13</f>
        <v>0</v>
      </c>
      <c r="S611" s="74">
        <f>S594*'ФОТ, МТР, макро'!AW$13</f>
        <v>0</v>
      </c>
      <c r="T611" s="74">
        <f>T594*'ФОТ, МТР, макро'!AX$13</f>
        <v>0</v>
      </c>
      <c r="U611" s="74">
        <f>U594*'ФОТ, МТР, макро'!AY$13</f>
        <v>0</v>
      </c>
      <c r="V611" s="74">
        <f>V594*'ФОТ, МТР, макро'!AZ$13</f>
        <v>0</v>
      </c>
      <c r="W611" s="74">
        <f>W594*'ФОТ, МТР, макро'!BA$13</f>
        <v>0</v>
      </c>
      <c r="X611" s="74">
        <f>X594*'ФОТ, МТР, макро'!BB$13</f>
        <v>0</v>
      </c>
      <c r="Y611" s="74">
        <f>Y594*'ФОТ, МТР, макро'!BC$13</f>
        <v>0</v>
      </c>
      <c r="Z611" s="74">
        <f>Z594*'ФОТ, МТР, макро'!BD$13</f>
        <v>0</v>
      </c>
    </row>
    <row r="612" spans="1:26" outlineLevel="1" x14ac:dyDescent="0.25">
      <c r="A612" s="39" t="str">
        <f t="shared" si="463"/>
        <v>БелАЗ 7531 (БТЛ)</v>
      </c>
      <c r="B612" s="39"/>
      <c r="D612" s="18" t="str">
        <f>D599</f>
        <v>Налог на прибыль</v>
      </c>
      <c r="E612" s="9" t="str">
        <f t="shared" si="592"/>
        <v>тыс. руб.</v>
      </c>
      <c r="F612" s="103"/>
      <c r="G612" s="74">
        <f>G599*'ФОТ, МТР, макро'!AK$13</f>
        <v>-26846.850296547855</v>
      </c>
      <c r="H612" s="74">
        <f>H599*'ФОТ, МТР, макро'!AL$13</f>
        <v>-25622.985130182497</v>
      </c>
      <c r="I612" s="74">
        <f>I599*'ФОТ, МТР, макро'!AM$13</f>
        <v>-30556.486052947097</v>
      </c>
      <c r="J612" s="74">
        <f>J599*'ФОТ, МТР, макро'!AN$13</f>
        <v>-31241.262819946503</v>
      </c>
      <c r="K612" s="74">
        <f>K599*'ФОТ, МТР, макро'!AO$13</f>
        <v>-21657.487322143366</v>
      </c>
      <c r="L612" s="74">
        <f>L599*'ФОТ, МТР, макро'!AP$13</f>
        <v>-22471.529300448783</v>
      </c>
      <c r="M612" s="74">
        <f>M599*'ФОТ, МТР, макро'!AQ$13</f>
        <v>-15975.53105923379</v>
      </c>
      <c r="N612" s="74">
        <f>N599*'ФОТ, МТР, макро'!AR$13</f>
        <v>-20930.745986654729</v>
      </c>
      <c r="O612" s="74">
        <f>O599*'ФОТ, МТР, макро'!AS$13</f>
        <v>-17304.393919216673</v>
      </c>
      <c r="P612" s="74">
        <f>P599*'ФОТ, МТР, макро'!AT$13</f>
        <v>-11640.052235072017</v>
      </c>
      <c r="Q612" s="74">
        <f>Q599*'ФОТ, МТР, макро'!AU$13</f>
        <v>0</v>
      </c>
      <c r="R612" s="74">
        <f>R599*'ФОТ, МТР, макро'!AV$13</f>
        <v>0</v>
      </c>
      <c r="S612" s="74">
        <f>S599*'ФОТ, МТР, макро'!AW$13</f>
        <v>0</v>
      </c>
      <c r="T612" s="74">
        <f>T599*'ФОТ, МТР, макро'!AX$13</f>
        <v>0</v>
      </c>
      <c r="U612" s="74">
        <f>U599*'ФОТ, МТР, макро'!AY$13</f>
        <v>0</v>
      </c>
      <c r="V612" s="74">
        <f>V599*'ФОТ, МТР, макро'!AZ$13</f>
        <v>0</v>
      </c>
      <c r="W612" s="74">
        <f>W599*'ФОТ, МТР, макро'!BA$13</f>
        <v>0</v>
      </c>
      <c r="X612" s="74">
        <f>X599*'ФОТ, МТР, макро'!BB$13</f>
        <v>0</v>
      </c>
      <c r="Y612" s="74">
        <f>Y599*'ФОТ, МТР, макро'!BC$13</f>
        <v>0</v>
      </c>
      <c r="Z612" s="74">
        <f>Z599*'ФОТ, МТР, макро'!BD$13</f>
        <v>0</v>
      </c>
    </row>
    <row r="613" spans="1:26" outlineLevel="1" x14ac:dyDescent="0.25">
      <c r="A613" s="39" t="str">
        <f t="shared" si="463"/>
        <v>БелАЗ 7531 (БТЛ)</v>
      </c>
      <c r="B613" s="39"/>
      <c r="D613" s="104" t="s">
        <v>88</v>
      </c>
      <c r="E613" s="9"/>
      <c r="F613" s="105"/>
      <c r="G613" s="106">
        <f>G605-SUM(G606:G612)</f>
        <v>0</v>
      </c>
      <c r="H613" s="106">
        <f t="shared" ref="H613:I613" si="593">H605-SUM(H606:H612)</f>
        <v>0</v>
      </c>
      <c r="I613" s="106">
        <f t="shared" si="593"/>
        <v>0</v>
      </c>
      <c r="J613" s="106">
        <f t="shared" ref="J613:Z613" si="594">J605-SUM(J606:J612)</f>
        <v>0</v>
      </c>
      <c r="K613" s="106">
        <f t="shared" si="594"/>
        <v>0</v>
      </c>
      <c r="L613" s="106">
        <f t="shared" si="594"/>
        <v>0</v>
      </c>
      <c r="M613" s="106">
        <f t="shared" si="594"/>
        <v>0</v>
      </c>
      <c r="N613" s="106">
        <f t="shared" si="594"/>
        <v>0</v>
      </c>
      <c r="O613" s="106">
        <f t="shared" si="594"/>
        <v>0</v>
      </c>
      <c r="P613" s="106">
        <f t="shared" si="594"/>
        <v>0</v>
      </c>
      <c r="Q613" s="106">
        <f t="shared" si="594"/>
        <v>0</v>
      </c>
      <c r="R613" s="106">
        <f t="shared" si="594"/>
        <v>0</v>
      </c>
      <c r="S613" s="106">
        <f t="shared" si="594"/>
        <v>0</v>
      </c>
      <c r="T613" s="106">
        <f t="shared" si="594"/>
        <v>0</v>
      </c>
      <c r="U613" s="106">
        <f t="shared" si="594"/>
        <v>0</v>
      </c>
      <c r="V613" s="106">
        <f t="shared" si="594"/>
        <v>0</v>
      </c>
      <c r="W613" s="106">
        <f t="shared" si="594"/>
        <v>0</v>
      </c>
      <c r="X613" s="106">
        <f t="shared" si="594"/>
        <v>0</v>
      </c>
      <c r="Y613" s="106">
        <f t="shared" si="594"/>
        <v>0</v>
      </c>
      <c r="Z613" s="106">
        <f t="shared" si="594"/>
        <v>0</v>
      </c>
    </row>
    <row r="614" spans="1:26" ht="27.2" outlineLevel="1" x14ac:dyDescent="0.25">
      <c r="A614" s="39" t="str">
        <f t="shared" si="463"/>
        <v>БелАЗ 7531 (БТЛ)</v>
      </c>
      <c r="B614" s="39"/>
      <c r="D614" s="107" t="s">
        <v>89</v>
      </c>
      <c r="E614" s="68" t="str">
        <f>E605</f>
        <v>тыс. руб.</v>
      </c>
      <c r="F614" s="69">
        <f>F605</f>
        <v>0</v>
      </c>
      <c r="G614" s="69">
        <f>F614+G605</f>
        <v>80540.550889643564</v>
      </c>
      <c r="H614" s="69">
        <f t="shared" ref="H614:H621" si="595">G614+H605</f>
        <v>157409.50628019107</v>
      </c>
      <c r="I614" s="69">
        <f t="shared" ref="I614:I621" si="596">H614+I605</f>
        <v>249078.96443903237</v>
      </c>
      <c r="J614" s="69">
        <f t="shared" ref="J614:J621" si="597">I614+J605</f>
        <v>342802.7528988719</v>
      </c>
      <c r="K614" s="69">
        <f t="shared" ref="K614:K621" si="598">J614+K605</f>
        <v>407775.21486530197</v>
      </c>
      <c r="L614" s="69">
        <f t="shared" ref="L614:L621" si="599">K614+L605</f>
        <v>475189.80276664835</v>
      </c>
      <c r="M614" s="69">
        <f t="shared" ref="M614:M621" si="600">L614+M605</f>
        <v>523116.3959443497</v>
      </c>
      <c r="N614" s="69">
        <f t="shared" ref="N614:N621" si="601">M614+N605</f>
        <v>585908.6339043139</v>
      </c>
      <c r="O614" s="69">
        <f t="shared" ref="O614:O621" si="602">N614+O605</f>
        <v>637821.81566196389</v>
      </c>
      <c r="P614" s="69">
        <f t="shared" ref="P614:P621" si="603">O614+P605</f>
        <v>672741.97236717993</v>
      </c>
      <c r="Q614" s="69">
        <f t="shared" ref="Q614:Q621" si="604">P614+Q605</f>
        <v>672741.97236717993</v>
      </c>
      <c r="R614" s="69">
        <f t="shared" ref="R614:R621" si="605">Q614+R605</f>
        <v>672741.97236717993</v>
      </c>
      <c r="S614" s="69">
        <f t="shared" ref="S614:S621" si="606">R614+S605</f>
        <v>672741.97236717993</v>
      </c>
      <c r="T614" s="69">
        <f t="shared" ref="T614:T621" si="607">S614+T605</f>
        <v>672741.97236717993</v>
      </c>
      <c r="U614" s="69">
        <f t="shared" ref="U614:U621" si="608">T614+U605</f>
        <v>672741.97236717993</v>
      </c>
      <c r="V614" s="69">
        <f t="shared" ref="V614:V621" si="609">U614+V605</f>
        <v>672741.97236717993</v>
      </c>
      <c r="W614" s="69">
        <f t="shared" ref="W614:W621" si="610">V614+W605</f>
        <v>672741.97236717993</v>
      </c>
      <c r="X614" s="69">
        <f t="shared" ref="X614:X621" si="611">W614+X605</f>
        <v>672741.97236717993</v>
      </c>
      <c r="Y614" s="69">
        <f t="shared" ref="Y614:Y621" si="612">X614+Y605</f>
        <v>672741.97236717993</v>
      </c>
      <c r="Z614" s="69">
        <f t="shared" ref="Z614:Z621" si="613">Y614+Z605</f>
        <v>672741.97236717993</v>
      </c>
    </row>
    <row r="615" spans="1:26" outlineLevel="1" x14ac:dyDescent="0.25">
      <c r="A615" s="39" t="str">
        <f t="shared" si="463"/>
        <v>БелАЗ 7531 (БТЛ)</v>
      </c>
      <c r="B615" s="39"/>
      <c r="D615" s="101" t="str">
        <f>D606</f>
        <v>ТО, ТР, ППР</v>
      </c>
      <c r="E615" s="9" t="str">
        <f>E606</f>
        <v>тыс. руб.</v>
      </c>
      <c r="F615" s="74">
        <f>F606</f>
        <v>0</v>
      </c>
      <c r="G615" s="74">
        <f>F615+G606</f>
        <v>10982.958490442828</v>
      </c>
      <c r="H615" s="74">
        <f t="shared" si="595"/>
        <v>26653.638326642031</v>
      </c>
      <c r="I615" s="74">
        <f t="shared" si="596"/>
        <v>67852.115298131306</v>
      </c>
      <c r="J615" s="74">
        <f t="shared" si="597"/>
        <v>122333.26518934034</v>
      </c>
      <c r="K615" s="74">
        <f t="shared" si="598"/>
        <v>141793.78071604573</v>
      </c>
      <c r="L615" s="74">
        <f t="shared" si="599"/>
        <v>172143.80827757885</v>
      </c>
      <c r="M615" s="74">
        <f t="shared" si="600"/>
        <v>185904.69869356364</v>
      </c>
      <c r="N615" s="74">
        <f t="shared" si="601"/>
        <v>222815.37191595609</v>
      </c>
      <c r="O615" s="74">
        <f t="shared" si="602"/>
        <v>250126.9467899054</v>
      </c>
      <c r="P615" s="74">
        <f t="shared" si="603"/>
        <v>260275.765073694</v>
      </c>
      <c r="Q615" s="74">
        <f t="shared" si="604"/>
        <v>260275.765073694</v>
      </c>
      <c r="R615" s="74">
        <f t="shared" si="605"/>
        <v>260275.765073694</v>
      </c>
      <c r="S615" s="74">
        <f t="shared" si="606"/>
        <v>260275.765073694</v>
      </c>
      <c r="T615" s="74">
        <f t="shared" si="607"/>
        <v>260275.765073694</v>
      </c>
      <c r="U615" s="74">
        <f t="shared" si="608"/>
        <v>260275.765073694</v>
      </c>
      <c r="V615" s="74">
        <f t="shared" si="609"/>
        <v>260275.765073694</v>
      </c>
      <c r="W615" s="74">
        <f t="shared" si="610"/>
        <v>260275.765073694</v>
      </c>
      <c r="X615" s="74">
        <f t="shared" si="611"/>
        <v>260275.765073694</v>
      </c>
      <c r="Y615" s="74">
        <f t="shared" si="612"/>
        <v>260275.765073694</v>
      </c>
      <c r="Z615" s="74">
        <f t="shared" si="613"/>
        <v>260275.765073694</v>
      </c>
    </row>
    <row r="616" spans="1:26" outlineLevel="1" x14ac:dyDescent="0.25">
      <c r="A616" s="39" t="str">
        <f t="shared" si="463"/>
        <v>БелАЗ 7531 (БТЛ)</v>
      </c>
      <c r="B616" s="39"/>
      <c r="D616" s="101" t="str">
        <f t="shared" ref="D616:F616" si="614">D607</f>
        <v>Шины</v>
      </c>
      <c r="E616" s="9" t="str">
        <f t="shared" si="614"/>
        <v>тыс. руб.</v>
      </c>
      <c r="F616" s="74">
        <f t="shared" si="614"/>
        <v>0</v>
      </c>
      <c r="G616" s="74">
        <f t="shared" ref="G616:G621" si="615">F616+G607</f>
        <v>17390.018109751498</v>
      </c>
      <c r="H616" s="74">
        <f t="shared" si="595"/>
        <v>33079.530307696004</v>
      </c>
      <c r="I616" s="74">
        <f t="shared" si="596"/>
        <v>47853.39816334581</v>
      </c>
      <c r="J616" s="74">
        <f t="shared" si="597"/>
        <v>60638.145637471542</v>
      </c>
      <c r="K616" s="74">
        <f t="shared" si="598"/>
        <v>72977.481666478663</v>
      </c>
      <c r="L616" s="74">
        <f t="shared" si="599"/>
        <v>83899.497659751723</v>
      </c>
      <c r="M616" s="74">
        <f t="shared" si="600"/>
        <v>92993.360556518368</v>
      </c>
      <c r="N616" s="74">
        <f t="shared" si="601"/>
        <v>101558.63760662309</v>
      </c>
      <c r="O616" s="74">
        <f t="shared" si="602"/>
        <v>109230.04902849457</v>
      </c>
      <c r="P616" s="74">
        <f t="shared" si="603"/>
        <v>115860.35255158054</v>
      </c>
      <c r="Q616" s="74">
        <f t="shared" si="604"/>
        <v>115860.35255158054</v>
      </c>
      <c r="R616" s="74">
        <f t="shared" si="605"/>
        <v>115860.35255158054</v>
      </c>
      <c r="S616" s="74">
        <f t="shared" si="606"/>
        <v>115860.35255158054</v>
      </c>
      <c r="T616" s="74">
        <f t="shared" si="607"/>
        <v>115860.35255158054</v>
      </c>
      <c r="U616" s="74">
        <f t="shared" si="608"/>
        <v>115860.35255158054</v>
      </c>
      <c r="V616" s="74">
        <f t="shared" si="609"/>
        <v>115860.35255158054</v>
      </c>
      <c r="W616" s="74">
        <f t="shared" si="610"/>
        <v>115860.35255158054</v>
      </c>
      <c r="X616" s="74">
        <f t="shared" si="611"/>
        <v>115860.35255158054</v>
      </c>
      <c r="Y616" s="74">
        <f t="shared" si="612"/>
        <v>115860.35255158054</v>
      </c>
      <c r="Z616" s="74">
        <f t="shared" si="613"/>
        <v>115860.35255158054</v>
      </c>
    </row>
    <row r="617" spans="1:26" outlineLevel="1" x14ac:dyDescent="0.25">
      <c r="A617" s="39" t="str">
        <f t="shared" si="463"/>
        <v>БелАЗ 7531 (БТЛ)</v>
      </c>
      <c r="B617" s="39"/>
      <c r="D617" s="101" t="str">
        <f t="shared" ref="D617:F617" si="616">D608</f>
        <v>Топливо</v>
      </c>
      <c r="E617" s="9" t="str">
        <f t="shared" si="616"/>
        <v>тыс. руб.</v>
      </c>
      <c r="F617" s="74">
        <f t="shared" si="616"/>
        <v>0</v>
      </c>
      <c r="G617" s="74">
        <f t="shared" si="615"/>
        <v>62325.968121120211</v>
      </c>
      <c r="H617" s="74">
        <f t="shared" si="595"/>
        <v>118557.30904978071</v>
      </c>
      <c r="I617" s="74">
        <f t="shared" si="596"/>
        <v>171506.97311485343</v>
      </c>
      <c r="J617" s="74">
        <f t="shared" si="597"/>
        <v>217327.6133511113</v>
      </c>
      <c r="K617" s="74">
        <f t="shared" si="598"/>
        <v>261551.89529987102</v>
      </c>
      <c r="L617" s="74">
        <f t="shared" si="599"/>
        <v>300696.49056819815</v>
      </c>
      <c r="M617" s="74">
        <f t="shared" si="600"/>
        <v>333288.97008286242</v>
      </c>
      <c r="N617" s="74">
        <f t="shared" si="601"/>
        <v>363986.9935699132</v>
      </c>
      <c r="O617" s="74">
        <f t="shared" si="602"/>
        <v>391481.39528393146</v>
      </c>
      <c r="P617" s="74">
        <f t="shared" si="603"/>
        <v>415244.4577146417</v>
      </c>
      <c r="Q617" s="74">
        <f t="shared" si="604"/>
        <v>415244.4577146417</v>
      </c>
      <c r="R617" s="74">
        <f t="shared" si="605"/>
        <v>415244.4577146417</v>
      </c>
      <c r="S617" s="74">
        <f t="shared" si="606"/>
        <v>415244.4577146417</v>
      </c>
      <c r="T617" s="74">
        <f t="shared" si="607"/>
        <v>415244.4577146417</v>
      </c>
      <c r="U617" s="74">
        <f t="shared" si="608"/>
        <v>415244.4577146417</v>
      </c>
      <c r="V617" s="74">
        <f t="shared" si="609"/>
        <v>415244.4577146417</v>
      </c>
      <c r="W617" s="74">
        <f t="shared" si="610"/>
        <v>415244.4577146417</v>
      </c>
      <c r="X617" s="74">
        <f t="shared" si="611"/>
        <v>415244.4577146417</v>
      </c>
      <c r="Y617" s="74">
        <f t="shared" si="612"/>
        <v>415244.4577146417</v>
      </c>
      <c r="Z617" s="74">
        <f t="shared" si="613"/>
        <v>415244.4577146417</v>
      </c>
    </row>
    <row r="618" spans="1:26" outlineLevel="1" x14ac:dyDescent="0.25">
      <c r="A618" s="39" t="str">
        <f t="shared" si="463"/>
        <v>БелАЗ 7531 (БТЛ)</v>
      </c>
      <c r="B618" s="39"/>
      <c r="D618" s="101" t="str">
        <f t="shared" ref="D618:F618" si="617">D609</f>
        <v>Смазочные</v>
      </c>
      <c r="E618" s="9" t="str">
        <f t="shared" si="617"/>
        <v>тыс. руб.</v>
      </c>
      <c r="F618" s="74">
        <f t="shared" si="617"/>
        <v>0</v>
      </c>
      <c r="G618" s="74">
        <f t="shared" si="615"/>
        <v>0</v>
      </c>
      <c r="H618" s="74">
        <f t="shared" si="595"/>
        <v>0</v>
      </c>
      <c r="I618" s="74">
        <f t="shared" si="596"/>
        <v>0</v>
      </c>
      <c r="J618" s="74">
        <f t="shared" si="597"/>
        <v>0</v>
      </c>
      <c r="K618" s="74">
        <f t="shared" si="598"/>
        <v>0</v>
      </c>
      <c r="L618" s="74">
        <f t="shared" si="599"/>
        <v>0</v>
      </c>
      <c r="M618" s="74">
        <f t="shared" si="600"/>
        <v>0</v>
      </c>
      <c r="N618" s="74">
        <f t="shared" si="601"/>
        <v>0</v>
      </c>
      <c r="O618" s="74">
        <f t="shared" si="602"/>
        <v>0</v>
      </c>
      <c r="P618" s="74">
        <f t="shared" si="603"/>
        <v>0</v>
      </c>
      <c r="Q618" s="74">
        <f t="shared" si="604"/>
        <v>0</v>
      </c>
      <c r="R618" s="74">
        <f t="shared" si="605"/>
        <v>0</v>
      </c>
      <c r="S618" s="74">
        <f t="shared" si="606"/>
        <v>0</v>
      </c>
      <c r="T618" s="74">
        <f t="shared" si="607"/>
        <v>0</v>
      </c>
      <c r="U618" s="74">
        <f t="shared" si="608"/>
        <v>0</v>
      </c>
      <c r="V618" s="74">
        <f t="shared" si="609"/>
        <v>0</v>
      </c>
      <c r="W618" s="74">
        <f t="shared" si="610"/>
        <v>0</v>
      </c>
      <c r="X618" s="74">
        <f t="shared" si="611"/>
        <v>0</v>
      </c>
      <c r="Y618" s="74">
        <f t="shared" si="612"/>
        <v>0</v>
      </c>
      <c r="Z618" s="74">
        <f t="shared" si="613"/>
        <v>0</v>
      </c>
    </row>
    <row r="619" spans="1:26" outlineLevel="1" x14ac:dyDescent="0.25">
      <c r="A619" s="39" t="str">
        <f t="shared" si="463"/>
        <v>БелАЗ 7531 (БТЛ)</v>
      </c>
      <c r="B619" s="39"/>
      <c r="D619" s="101" t="str">
        <f t="shared" ref="D619:F619" si="618">D610</f>
        <v>Затраты на персонал</v>
      </c>
      <c r="E619" s="9" t="str">
        <f t="shared" si="618"/>
        <v>тыс. руб.</v>
      </c>
      <c r="F619" s="74">
        <f t="shared" si="618"/>
        <v>0</v>
      </c>
      <c r="G619" s="74">
        <f t="shared" si="615"/>
        <v>16496.068072019727</v>
      </c>
      <c r="H619" s="74">
        <f t="shared" si="595"/>
        <v>31224.700279180193</v>
      </c>
      <c r="I619" s="74">
        <f t="shared" si="596"/>
        <v>44375.264749859183</v>
      </c>
      <c r="J619" s="74">
        <f t="shared" si="597"/>
        <v>56116.840170108277</v>
      </c>
      <c r="K619" s="74">
        <f t="shared" si="598"/>
        <v>66600.389652473546</v>
      </c>
      <c r="L619" s="74">
        <f t="shared" si="599"/>
        <v>75960.701690299669</v>
      </c>
      <c r="M619" s="74">
        <f t="shared" si="600"/>
        <v>84318.123152644432</v>
      </c>
      <c r="N619" s="74">
        <f t="shared" si="601"/>
        <v>91780.106601166539</v>
      </c>
      <c r="O619" s="74">
        <f t="shared" si="602"/>
        <v>98442.591823061273</v>
      </c>
      <c r="P619" s="74">
        <f t="shared" si="603"/>
        <v>104391.23934261015</v>
      </c>
      <c r="Q619" s="74">
        <f t="shared" si="604"/>
        <v>104391.23934261015</v>
      </c>
      <c r="R619" s="74">
        <f t="shared" si="605"/>
        <v>104391.23934261015</v>
      </c>
      <c r="S619" s="74">
        <f t="shared" si="606"/>
        <v>104391.23934261015</v>
      </c>
      <c r="T619" s="74">
        <f t="shared" si="607"/>
        <v>104391.23934261015</v>
      </c>
      <c r="U619" s="74">
        <f t="shared" si="608"/>
        <v>104391.23934261015</v>
      </c>
      <c r="V619" s="74">
        <f t="shared" si="609"/>
        <v>104391.23934261015</v>
      </c>
      <c r="W619" s="74">
        <f t="shared" si="610"/>
        <v>104391.23934261015</v>
      </c>
      <c r="X619" s="74">
        <f t="shared" si="611"/>
        <v>104391.23934261015</v>
      </c>
      <c r="Y619" s="74">
        <f t="shared" si="612"/>
        <v>104391.23934261015</v>
      </c>
      <c r="Z619" s="74">
        <f t="shared" si="613"/>
        <v>104391.23934261015</v>
      </c>
    </row>
    <row r="620" spans="1:26" outlineLevel="1" x14ac:dyDescent="0.25">
      <c r="A620" s="39" t="str">
        <f t="shared" si="463"/>
        <v>БелАЗ 7531 (БТЛ)</v>
      </c>
      <c r="B620" s="39"/>
      <c r="D620" s="101" t="str">
        <f t="shared" ref="D620:F620" si="619">D611</f>
        <v>Транспортный налог</v>
      </c>
      <c r="E620" s="9" t="str">
        <f t="shared" si="619"/>
        <v>тыс. руб.</v>
      </c>
      <c r="F620" s="74">
        <f t="shared" si="619"/>
        <v>0</v>
      </c>
      <c r="G620" s="74">
        <f t="shared" si="615"/>
        <v>192.38839285714283</v>
      </c>
      <c r="H620" s="74">
        <f t="shared" si="595"/>
        <v>364.16374362244892</v>
      </c>
      <c r="I620" s="74">
        <f t="shared" si="596"/>
        <v>517.53459252004359</v>
      </c>
      <c r="J620" s="74">
        <f t="shared" si="597"/>
        <v>654.47285046432455</v>
      </c>
      <c r="K620" s="74">
        <f t="shared" si="598"/>
        <v>776.73915220028971</v>
      </c>
      <c r="L620" s="74">
        <f t="shared" si="599"/>
        <v>885.90549303597288</v>
      </c>
      <c r="M620" s="74">
        <f t="shared" si="600"/>
        <v>983.37544021068993</v>
      </c>
      <c r="N620" s="74">
        <f t="shared" si="601"/>
        <v>1070.4021787595445</v>
      </c>
      <c r="O620" s="74">
        <f t="shared" si="602"/>
        <v>1148.1046238924505</v>
      </c>
      <c r="P620" s="74">
        <f t="shared" si="603"/>
        <v>1217.4818070468307</v>
      </c>
      <c r="Q620" s="74">
        <f t="shared" si="604"/>
        <v>1217.4818070468307</v>
      </c>
      <c r="R620" s="74">
        <f t="shared" si="605"/>
        <v>1217.4818070468307</v>
      </c>
      <c r="S620" s="74">
        <f t="shared" si="606"/>
        <v>1217.4818070468307</v>
      </c>
      <c r="T620" s="74">
        <f t="shared" si="607"/>
        <v>1217.4818070468307</v>
      </c>
      <c r="U620" s="74">
        <f t="shared" si="608"/>
        <v>1217.4818070468307</v>
      </c>
      <c r="V620" s="74">
        <f t="shared" si="609"/>
        <v>1217.4818070468307</v>
      </c>
      <c r="W620" s="74">
        <f t="shared" si="610"/>
        <v>1217.4818070468307</v>
      </c>
      <c r="X620" s="74">
        <f t="shared" si="611"/>
        <v>1217.4818070468307</v>
      </c>
      <c r="Y620" s="74">
        <f t="shared" si="612"/>
        <v>1217.4818070468307</v>
      </c>
      <c r="Z620" s="74">
        <f t="shared" si="613"/>
        <v>1217.4818070468307</v>
      </c>
    </row>
    <row r="621" spans="1:26" outlineLevel="1" x14ac:dyDescent="0.25">
      <c r="A621" s="39" t="str">
        <f t="shared" si="463"/>
        <v>БелАЗ 7531 (БТЛ)</v>
      </c>
      <c r="B621" s="39"/>
      <c r="D621" s="101" t="str">
        <f t="shared" ref="D621:F621" si="620">D612</f>
        <v>Налог на прибыль</v>
      </c>
      <c r="E621" s="9" t="str">
        <f t="shared" si="620"/>
        <v>тыс. руб.</v>
      </c>
      <c r="F621" s="74">
        <f t="shared" si="620"/>
        <v>0</v>
      </c>
      <c r="G621" s="74">
        <f t="shared" si="615"/>
        <v>-26846.850296547855</v>
      </c>
      <c r="H621" s="74">
        <f t="shared" si="595"/>
        <v>-52469.835426730351</v>
      </c>
      <c r="I621" s="74">
        <f t="shared" si="596"/>
        <v>-83026.321479677455</v>
      </c>
      <c r="J621" s="74">
        <f t="shared" si="597"/>
        <v>-114267.58429962397</v>
      </c>
      <c r="K621" s="74">
        <f t="shared" si="598"/>
        <v>-135925.07162176733</v>
      </c>
      <c r="L621" s="74">
        <f t="shared" si="599"/>
        <v>-158396.60092221611</v>
      </c>
      <c r="M621" s="74">
        <f t="shared" si="600"/>
        <v>-174372.1319814499</v>
      </c>
      <c r="N621" s="74">
        <f t="shared" si="601"/>
        <v>-195302.87796810461</v>
      </c>
      <c r="O621" s="74">
        <f t="shared" si="602"/>
        <v>-212607.27188732129</v>
      </c>
      <c r="P621" s="74">
        <f t="shared" si="603"/>
        <v>-224247.3241223933</v>
      </c>
      <c r="Q621" s="74">
        <f t="shared" si="604"/>
        <v>-224247.3241223933</v>
      </c>
      <c r="R621" s="74">
        <f t="shared" si="605"/>
        <v>-224247.3241223933</v>
      </c>
      <c r="S621" s="74">
        <f t="shared" si="606"/>
        <v>-224247.3241223933</v>
      </c>
      <c r="T621" s="74">
        <f t="shared" si="607"/>
        <v>-224247.3241223933</v>
      </c>
      <c r="U621" s="74">
        <f t="shared" si="608"/>
        <v>-224247.3241223933</v>
      </c>
      <c r="V621" s="74">
        <f t="shared" si="609"/>
        <v>-224247.3241223933</v>
      </c>
      <c r="W621" s="74">
        <f t="shared" si="610"/>
        <v>-224247.3241223933</v>
      </c>
      <c r="X621" s="74">
        <f t="shared" si="611"/>
        <v>-224247.3241223933</v>
      </c>
      <c r="Y621" s="74">
        <f t="shared" si="612"/>
        <v>-224247.3241223933</v>
      </c>
      <c r="Z621" s="74">
        <f t="shared" si="613"/>
        <v>-224247.3241223933</v>
      </c>
    </row>
    <row r="622" spans="1:26" outlineLevel="1" x14ac:dyDescent="0.25">
      <c r="A622" s="39" t="str">
        <f t="shared" si="463"/>
        <v>БелАЗ 7531 (БТЛ)</v>
      </c>
      <c r="B622" s="39"/>
      <c r="D622" s="101"/>
      <c r="E622" s="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outlineLevel="1" x14ac:dyDescent="0.25">
      <c r="A623" s="39" t="str">
        <f t="shared" si="463"/>
        <v>БелАЗ 7531 (БТЛ)</v>
      </c>
      <c r="B623" s="39"/>
      <c r="D623" s="67" t="s">
        <v>90</v>
      </c>
      <c r="E623" s="68" t="str">
        <f>E604</f>
        <v>тыс. руб.</v>
      </c>
      <c r="F623" s="69">
        <f>F601*'ФОТ, МТР, макро'!AJ$13</f>
        <v>0</v>
      </c>
      <c r="G623" s="69">
        <f>G601*'ФОТ, МТР, макро'!AK$13</f>
        <v>0</v>
      </c>
      <c r="H623" s="69">
        <f>H601*'ФОТ, МТР, макро'!AL$13</f>
        <v>0</v>
      </c>
      <c r="I623" s="69">
        <f>I601*'ФОТ, МТР, макро'!AM$13</f>
        <v>0</v>
      </c>
      <c r="J623" s="69">
        <f>J601*'ФОТ, МТР, макро'!AN$13</f>
        <v>0</v>
      </c>
      <c r="K623" s="69">
        <f>K601*'ФОТ, МТР, макро'!AO$13</f>
        <v>0</v>
      </c>
      <c r="L623" s="69">
        <f>L601*'ФОТ, МТР, макро'!AP$13</f>
        <v>0</v>
      </c>
      <c r="M623" s="69">
        <f>M601*'ФОТ, МТР, макро'!AQ$13</f>
        <v>0</v>
      </c>
      <c r="N623" s="69">
        <f>N601*'ФОТ, МТР, макро'!AR$13</f>
        <v>0</v>
      </c>
      <c r="O623" s="69">
        <f>O601*'ФОТ, МТР, макро'!AS$13</f>
        <v>0</v>
      </c>
      <c r="P623" s="69">
        <f>P601*'ФОТ, МТР, макро'!AT$13</f>
        <v>0</v>
      </c>
      <c r="Q623" s="69">
        <f>Q601*'ФОТ, МТР, макро'!AU$13</f>
        <v>0</v>
      </c>
      <c r="R623" s="69">
        <f>R601*'ФОТ, МТР, макро'!AV$13</f>
        <v>0</v>
      </c>
      <c r="S623" s="69">
        <f>S601*'ФОТ, МТР, макро'!AW$13</f>
        <v>0</v>
      </c>
      <c r="T623" s="69">
        <f>T601*'ФОТ, МТР, макро'!AX$13</f>
        <v>0</v>
      </c>
      <c r="U623" s="69">
        <f>U601*'ФОТ, МТР, макро'!AY$13</f>
        <v>0</v>
      </c>
      <c r="V623" s="69">
        <f>V601*'ФОТ, МТР, макро'!AZ$13</f>
        <v>0</v>
      </c>
      <c r="W623" s="69">
        <f>W601*'ФОТ, МТР, макро'!BA$13</f>
        <v>0</v>
      </c>
      <c r="X623" s="69">
        <f>X601*'ФОТ, МТР, макро'!BB$13</f>
        <v>0</v>
      </c>
      <c r="Y623" s="69">
        <f>Y601*'ФОТ, МТР, макро'!BC$13</f>
        <v>0</v>
      </c>
      <c r="Z623" s="69">
        <f>Z601*'ФОТ, МТР, макро'!BD$13</f>
        <v>0</v>
      </c>
    </row>
    <row r="624" spans="1:26" outlineLevel="1" x14ac:dyDescent="0.25">
      <c r="A624" s="39" t="str">
        <f t="shared" si="463"/>
        <v>БелАЗ 7531 (БТЛ)</v>
      </c>
      <c r="B624" s="39"/>
      <c r="D624" s="101" t="str">
        <f>D602</f>
        <v>Самосвал</v>
      </c>
      <c r="E624" s="9" t="str">
        <f>E623</f>
        <v>тыс. руб.</v>
      </c>
      <c r="F624" s="74">
        <f>F602*'ФОТ, МТР, макро'!AJ$13</f>
        <v>0</v>
      </c>
      <c r="G624" s="74">
        <f>G602*'ФОТ, МТР, макро'!AK$13</f>
        <v>0</v>
      </c>
      <c r="H624" s="74">
        <f>H602*'ФОТ, МТР, макро'!AL$13</f>
        <v>0</v>
      </c>
      <c r="I624" s="74">
        <f>I602*'ФОТ, МТР, макро'!AM$13</f>
        <v>0</v>
      </c>
      <c r="J624" s="74">
        <f>J602*'ФОТ, МТР, макро'!AN$13</f>
        <v>0</v>
      </c>
      <c r="K624" s="74">
        <f>K602*'ФОТ, МТР, макро'!AO$13</f>
        <v>0</v>
      </c>
      <c r="L624" s="74">
        <f>L602*'ФОТ, МТР, макро'!AP$13</f>
        <v>0</v>
      </c>
      <c r="M624" s="74">
        <f>M602*'ФОТ, МТР, макро'!AQ$13</f>
        <v>0</v>
      </c>
      <c r="N624" s="74">
        <f>N602*'ФОТ, МТР, макро'!AR$13</f>
        <v>0</v>
      </c>
      <c r="O624" s="74">
        <f>O602*'ФОТ, МТР, макро'!AS$13</f>
        <v>0</v>
      </c>
      <c r="P624" s="74">
        <f>P602*'ФОТ, МТР, макро'!AT$13</f>
        <v>0</v>
      </c>
      <c r="Q624" s="74">
        <f>Q602*'ФОТ, МТР, макро'!AU$13</f>
        <v>0</v>
      </c>
      <c r="R624" s="74">
        <f>R602*'ФОТ, МТР, макро'!AV$13</f>
        <v>0</v>
      </c>
      <c r="S624" s="74">
        <f>S602*'ФОТ, МТР, макро'!AW$13</f>
        <v>0</v>
      </c>
      <c r="T624" s="74">
        <f>T602*'ФОТ, МТР, макро'!AX$13</f>
        <v>0</v>
      </c>
      <c r="U624" s="74">
        <f>U602*'ФОТ, МТР, макро'!AY$13</f>
        <v>0</v>
      </c>
      <c r="V624" s="74">
        <f>V602*'ФОТ, МТР, макро'!AZ$13</f>
        <v>0</v>
      </c>
      <c r="W624" s="74">
        <f>W602*'ФОТ, МТР, макро'!BA$13</f>
        <v>0</v>
      </c>
      <c r="X624" s="74">
        <f>X602*'ФОТ, МТР, макро'!BB$13</f>
        <v>0</v>
      </c>
      <c r="Y624" s="74">
        <f>Y602*'ФОТ, МТР, макро'!BC$13</f>
        <v>0</v>
      </c>
      <c r="Z624" s="74">
        <f>Z602*'ФОТ, МТР, макро'!BD$13</f>
        <v>0</v>
      </c>
    </row>
    <row r="625" spans="1:29" outlineLevel="1" x14ac:dyDescent="0.25">
      <c r="A625" s="39" t="str">
        <f t="shared" si="463"/>
        <v>БелАЗ 7531 (БТЛ)</v>
      </c>
      <c r="B625" s="39"/>
      <c r="D625" s="104" t="s">
        <v>88</v>
      </c>
      <c r="E625" s="9"/>
      <c r="F625" s="106">
        <f>F623-F624</f>
        <v>0</v>
      </c>
      <c r="G625" s="106">
        <f t="shared" ref="G625:Z625" si="621">G623-G624</f>
        <v>0</v>
      </c>
      <c r="H625" s="106">
        <f t="shared" si="621"/>
        <v>0</v>
      </c>
      <c r="I625" s="106">
        <f t="shared" si="621"/>
        <v>0</v>
      </c>
      <c r="J625" s="106">
        <f t="shared" si="621"/>
        <v>0</v>
      </c>
      <c r="K625" s="106">
        <f t="shared" si="621"/>
        <v>0</v>
      </c>
      <c r="L625" s="106">
        <f t="shared" si="621"/>
        <v>0</v>
      </c>
      <c r="M625" s="106">
        <f t="shared" si="621"/>
        <v>0</v>
      </c>
      <c r="N625" s="106">
        <f t="shared" si="621"/>
        <v>0</v>
      </c>
      <c r="O625" s="106">
        <f t="shared" si="621"/>
        <v>0</v>
      </c>
      <c r="P625" s="106">
        <f t="shared" si="621"/>
        <v>0</v>
      </c>
      <c r="Q625" s="106">
        <f t="shared" si="621"/>
        <v>0</v>
      </c>
      <c r="R625" s="106">
        <f t="shared" si="621"/>
        <v>0</v>
      </c>
      <c r="S625" s="106">
        <f t="shared" si="621"/>
        <v>0</v>
      </c>
      <c r="T625" s="106">
        <f t="shared" si="621"/>
        <v>0</v>
      </c>
      <c r="U625" s="106">
        <f t="shared" si="621"/>
        <v>0</v>
      </c>
      <c r="V625" s="106">
        <f t="shared" si="621"/>
        <v>0</v>
      </c>
      <c r="W625" s="106">
        <f t="shared" si="621"/>
        <v>0</v>
      </c>
      <c r="X625" s="106">
        <f t="shared" si="621"/>
        <v>0</v>
      </c>
      <c r="Y625" s="106">
        <f t="shared" si="621"/>
        <v>0</v>
      </c>
      <c r="Z625" s="106">
        <f t="shared" si="621"/>
        <v>0</v>
      </c>
    </row>
    <row r="626" spans="1:29" outlineLevel="1" x14ac:dyDescent="0.25">
      <c r="A626" s="39" t="str">
        <f t="shared" si="463"/>
        <v>БелАЗ 7531 (БТЛ)</v>
      </c>
      <c r="B626" s="39"/>
      <c r="D626" s="107" t="s">
        <v>91</v>
      </c>
      <c r="E626" s="68" t="str">
        <f>E623</f>
        <v>тыс. руб.</v>
      </c>
      <c r="F626" s="69">
        <f>F623</f>
        <v>0</v>
      </c>
      <c r="G626" s="69">
        <f>F626+G623</f>
        <v>0</v>
      </c>
      <c r="H626" s="69">
        <f t="shared" ref="H626:H627" si="622">G626+H623</f>
        <v>0</v>
      </c>
      <c r="I626" s="69">
        <f t="shared" ref="I626:I627" si="623">H626+I623</f>
        <v>0</v>
      </c>
      <c r="J626" s="69">
        <f t="shared" ref="J626:J627" si="624">I626+J623</f>
        <v>0</v>
      </c>
      <c r="K626" s="69">
        <f t="shared" ref="K626:K627" si="625">J626+K623</f>
        <v>0</v>
      </c>
      <c r="L626" s="69">
        <f t="shared" ref="L626:L627" si="626">K626+L623</f>
        <v>0</v>
      </c>
      <c r="M626" s="69">
        <f t="shared" ref="M626:M627" si="627">L626+M623</f>
        <v>0</v>
      </c>
      <c r="N626" s="69">
        <f t="shared" ref="N626:N627" si="628">M626+N623</f>
        <v>0</v>
      </c>
      <c r="O626" s="69">
        <f t="shared" ref="O626:O627" si="629">N626+O623</f>
        <v>0</v>
      </c>
      <c r="P626" s="69">
        <f t="shared" ref="P626:P627" si="630">O626+P623</f>
        <v>0</v>
      </c>
      <c r="Q626" s="69">
        <f t="shared" ref="Q626:Q627" si="631">P626+Q623</f>
        <v>0</v>
      </c>
      <c r="R626" s="69">
        <f t="shared" ref="R626:R627" si="632">Q626+R623</f>
        <v>0</v>
      </c>
      <c r="S626" s="69">
        <f t="shared" ref="S626:S627" si="633">R626+S623</f>
        <v>0</v>
      </c>
      <c r="T626" s="69">
        <f t="shared" ref="T626:T627" si="634">S626+T623</f>
        <v>0</v>
      </c>
      <c r="U626" s="69">
        <f t="shared" ref="U626:U627" si="635">T626+U623</f>
        <v>0</v>
      </c>
      <c r="V626" s="69">
        <f t="shared" ref="V626:V627" si="636">U626+V623</f>
        <v>0</v>
      </c>
      <c r="W626" s="69">
        <f t="shared" ref="W626:W627" si="637">V626+W623</f>
        <v>0</v>
      </c>
      <c r="X626" s="69">
        <f t="shared" ref="X626:X627" si="638">W626+X623</f>
        <v>0</v>
      </c>
      <c r="Y626" s="69">
        <f t="shared" ref="Y626:Y627" si="639">X626+Y623</f>
        <v>0</v>
      </c>
      <c r="Z626" s="69">
        <f t="shared" ref="Z626:Z627" si="640">Y626+Z623</f>
        <v>0</v>
      </c>
    </row>
    <row r="627" spans="1:29" outlineLevel="1" x14ac:dyDescent="0.25">
      <c r="A627" s="39" t="str">
        <f t="shared" si="463"/>
        <v>БелАЗ 7531 (БТЛ)</v>
      </c>
      <c r="B627" s="39"/>
      <c r="D627" s="101" t="str">
        <f>D624</f>
        <v>Самосвал</v>
      </c>
      <c r="E627" s="9" t="str">
        <f>E624</f>
        <v>тыс. руб.</v>
      </c>
      <c r="F627" s="74">
        <f>F624</f>
        <v>0</v>
      </c>
      <c r="G627" s="74">
        <f>F627+G624</f>
        <v>0</v>
      </c>
      <c r="H627" s="74">
        <f t="shared" si="622"/>
        <v>0</v>
      </c>
      <c r="I627" s="74">
        <f t="shared" si="623"/>
        <v>0</v>
      </c>
      <c r="J627" s="74">
        <f t="shared" si="624"/>
        <v>0</v>
      </c>
      <c r="K627" s="74">
        <f t="shared" si="625"/>
        <v>0</v>
      </c>
      <c r="L627" s="74">
        <f t="shared" si="626"/>
        <v>0</v>
      </c>
      <c r="M627" s="74">
        <f t="shared" si="627"/>
        <v>0</v>
      </c>
      <c r="N627" s="74">
        <f t="shared" si="628"/>
        <v>0</v>
      </c>
      <c r="O627" s="74">
        <f t="shared" si="629"/>
        <v>0</v>
      </c>
      <c r="P627" s="74">
        <f t="shared" si="630"/>
        <v>0</v>
      </c>
      <c r="Q627" s="74">
        <f t="shared" si="631"/>
        <v>0</v>
      </c>
      <c r="R627" s="74">
        <f t="shared" si="632"/>
        <v>0</v>
      </c>
      <c r="S627" s="74">
        <f t="shared" si="633"/>
        <v>0</v>
      </c>
      <c r="T627" s="74">
        <f t="shared" si="634"/>
        <v>0</v>
      </c>
      <c r="U627" s="74">
        <f t="shared" si="635"/>
        <v>0</v>
      </c>
      <c r="V627" s="74">
        <f t="shared" si="636"/>
        <v>0</v>
      </c>
      <c r="W627" s="74">
        <f t="shared" si="637"/>
        <v>0</v>
      </c>
      <c r="X627" s="74">
        <f t="shared" si="638"/>
        <v>0</v>
      </c>
      <c r="Y627" s="74">
        <f t="shared" si="639"/>
        <v>0</v>
      </c>
      <c r="Z627" s="74">
        <f t="shared" si="640"/>
        <v>0</v>
      </c>
    </row>
    <row r="628" spans="1:29" outlineLevel="1" x14ac:dyDescent="0.25">
      <c r="A628" s="39" t="str">
        <f t="shared" si="463"/>
        <v>БелАЗ 7531 (БТЛ)</v>
      </c>
      <c r="B628" s="39"/>
      <c r="D628" s="101"/>
      <c r="E628" s="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9" outlineLevel="1" x14ac:dyDescent="0.25">
      <c r="A629" s="39" t="str">
        <f t="shared" si="463"/>
        <v>БелАЗ 7531 (БТЛ)</v>
      </c>
      <c r="B629" s="39"/>
      <c r="D629" s="67" t="s">
        <v>92</v>
      </c>
      <c r="E629" s="68" t="str">
        <f>E604</f>
        <v>тыс. руб.</v>
      </c>
      <c r="F629" s="69">
        <f>F604*'ФОТ, МТР, макро'!AJ$13</f>
        <v>0</v>
      </c>
      <c r="G629" s="69">
        <f>G604*'ФОТ, МТР, макро'!AK$13</f>
        <v>80540.550889643564</v>
      </c>
      <c r="H629" s="69">
        <f>H604*'ФОТ, МТР, макро'!AL$13</f>
        <v>76868.95539054749</v>
      </c>
      <c r="I629" s="69">
        <f>I604*'ФОТ, МТР, макро'!AM$13</f>
        <v>91669.458158841298</v>
      </c>
      <c r="J629" s="69">
        <f>J604*'ФОТ, МТР, макро'!AN$13</f>
        <v>93723.788459839503</v>
      </c>
      <c r="K629" s="69">
        <f>K604*'ФОТ, МТР, макро'!AO$13</f>
        <v>64972.461966430099</v>
      </c>
      <c r="L629" s="69">
        <f>L604*'ФОТ, МТР, макро'!AP$13</f>
        <v>67414.587901346356</v>
      </c>
      <c r="M629" s="69">
        <f>M604*'ФОТ, МТР, макро'!AQ$13</f>
        <v>47926.593177701376</v>
      </c>
      <c r="N629" s="69">
        <f>N604*'ФОТ, МТР, макро'!AR$13</f>
        <v>62792.237959964186</v>
      </c>
      <c r="O629" s="69">
        <f>O604*'ФОТ, МТР, макро'!AS$13</f>
        <v>51913.181757650025</v>
      </c>
      <c r="P629" s="69">
        <f>P604*'ФОТ, МТР, макро'!AT$13</f>
        <v>34920.156705216046</v>
      </c>
      <c r="Q629" s="69">
        <f>Q604*'ФОТ, МТР, макро'!AU$13</f>
        <v>0</v>
      </c>
      <c r="R629" s="69">
        <f>R604*'ФОТ, МТР, макро'!AV$13</f>
        <v>0</v>
      </c>
      <c r="S629" s="69">
        <f>S604*'ФОТ, МТР, макро'!AW$13</f>
        <v>0</v>
      </c>
      <c r="T629" s="69">
        <f>T604*'ФОТ, МТР, макро'!AX$13</f>
        <v>0</v>
      </c>
      <c r="U629" s="69">
        <f>U604*'ФОТ, МТР, макро'!AY$13</f>
        <v>0</v>
      </c>
      <c r="V629" s="69">
        <f>V604*'ФОТ, МТР, макро'!AZ$13</f>
        <v>0</v>
      </c>
      <c r="W629" s="69">
        <f>W604*'ФОТ, МТР, макро'!BA$13</f>
        <v>0</v>
      </c>
      <c r="X629" s="69">
        <f>X604*'ФОТ, МТР, макро'!BB$13</f>
        <v>0</v>
      </c>
      <c r="Y629" s="69">
        <f>Y604*'ФОТ, МТР, макро'!BC$13</f>
        <v>0</v>
      </c>
      <c r="Z629" s="69">
        <f>Z604*'ФОТ, МТР, макро'!BD$13</f>
        <v>0</v>
      </c>
    </row>
    <row r="630" spans="1:29" outlineLevel="1" x14ac:dyDescent="0.25">
      <c r="A630" s="39" t="str">
        <f t="shared" si="463"/>
        <v>БелАЗ 7531 (БТЛ)</v>
      </c>
      <c r="B630" s="39"/>
      <c r="D630" s="107" t="s">
        <v>93</v>
      </c>
      <c r="E630" s="68" t="str">
        <f>E629</f>
        <v>тыс. руб.</v>
      </c>
      <c r="F630" s="69">
        <f>F629</f>
        <v>0</v>
      </c>
      <c r="G630" s="69">
        <f>F630+G629</f>
        <v>80540.550889643564</v>
      </c>
      <c r="H630" s="69">
        <f t="shared" ref="H630" si="641">G630+H629</f>
        <v>157409.50628019107</v>
      </c>
      <c r="I630" s="69">
        <f t="shared" ref="I630" si="642">H630+I629</f>
        <v>249078.96443903237</v>
      </c>
      <c r="J630" s="69">
        <f t="shared" ref="J630" si="643">I630+J629</f>
        <v>342802.7528988719</v>
      </c>
      <c r="K630" s="69">
        <f t="shared" ref="K630" si="644">J630+K629</f>
        <v>407775.21486530197</v>
      </c>
      <c r="L630" s="69">
        <f t="shared" ref="L630" si="645">K630+L629</f>
        <v>475189.80276664835</v>
      </c>
      <c r="M630" s="69">
        <f t="shared" ref="M630" si="646">L630+M629</f>
        <v>523116.3959443497</v>
      </c>
      <c r="N630" s="69">
        <f t="shared" ref="N630" si="647">M630+N629</f>
        <v>585908.6339043139</v>
      </c>
      <c r="O630" s="69">
        <f t="shared" ref="O630" si="648">N630+O629</f>
        <v>637821.81566196389</v>
      </c>
      <c r="P630" s="69">
        <f t="shared" ref="P630" si="649">O630+P629</f>
        <v>672741.97236717993</v>
      </c>
      <c r="Q630" s="69">
        <f t="shared" ref="Q630" si="650">P630+Q629</f>
        <v>672741.97236717993</v>
      </c>
      <c r="R630" s="69">
        <f t="shared" ref="R630" si="651">Q630+R629</f>
        <v>672741.97236717993</v>
      </c>
      <c r="S630" s="69">
        <f t="shared" ref="S630" si="652">R630+S629</f>
        <v>672741.97236717993</v>
      </c>
      <c r="T630" s="69">
        <f t="shared" ref="T630" si="653">S630+T629</f>
        <v>672741.97236717993</v>
      </c>
      <c r="U630" s="69">
        <f t="shared" ref="U630" si="654">T630+U629</f>
        <v>672741.97236717993</v>
      </c>
      <c r="V630" s="69">
        <f t="shared" ref="V630" si="655">U630+V629</f>
        <v>672741.97236717993</v>
      </c>
      <c r="W630" s="69">
        <f t="shared" ref="W630" si="656">V630+W629</f>
        <v>672741.97236717993</v>
      </c>
      <c r="X630" s="69">
        <f t="shared" ref="X630" si="657">W630+X629</f>
        <v>672741.97236717993</v>
      </c>
      <c r="Y630" s="69">
        <f t="shared" ref="Y630" si="658">X630+Y629</f>
        <v>672741.97236717993</v>
      </c>
      <c r="Z630" s="69">
        <f t="shared" ref="Z630" si="659">Y630+Z629</f>
        <v>672741.97236717993</v>
      </c>
    </row>
    <row r="631" spans="1:29" outlineLevel="1" x14ac:dyDescent="0.25">
      <c r="A631" s="39" t="str">
        <f t="shared" ref="A631:A653" si="660">A630</f>
        <v>БелАЗ 7531 (БТЛ)</v>
      </c>
      <c r="B631" s="39"/>
      <c r="D631" s="101"/>
      <c r="E631" s="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9" outlineLevel="1" x14ac:dyDescent="0.25">
      <c r="A632" s="39" t="str">
        <f t="shared" si="660"/>
        <v>БелАЗ 7531 (БТЛ)</v>
      </c>
      <c r="B632" s="39" t="str">
        <f>D632</f>
        <v>Аннуитет операционный</v>
      </c>
      <c r="C632" s="61">
        <f>E563</f>
        <v>10</v>
      </c>
      <c r="D632" s="108" t="s">
        <v>94</v>
      </c>
      <c r="E632" s="109" t="s">
        <v>95</v>
      </c>
      <c r="F632" s="110"/>
      <c r="G632" s="111">
        <f>G614/'ФОТ, МТР, макро'!AK$14/(G570/G565)</f>
        <v>7.6781480889081983</v>
      </c>
      <c r="H632" s="111">
        <f>H614/'ФОТ, МТР, макро'!AL$14/(H570/H565)</f>
        <v>7.8865196974275626</v>
      </c>
      <c r="I632" s="111">
        <f>I614/'ФОТ, МТР, макро'!AM$14/(I570/I565)</f>
        <v>8.6085433932740738</v>
      </c>
      <c r="J632" s="111">
        <f>J614/'ФОТ, МТР, макро'!AN$14/(J570/J565)</f>
        <v>9.3517557757147962</v>
      </c>
      <c r="K632" s="111">
        <f>K614/'ФОТ, МТР, макро'!AO$14/(K570/K565)</f>
        <v>9.2130665187987226</v>
      </c>
      <c r="L632" s="111">
        <f>L614/'ФОТ, МТР, макро'!AP$14/(L570/L565)</f>
        <v>9.3214295187577818</v>
      </c>
      <c r="M632" s="111">
        <f>M614/'ФОТ, МТР, макро'!AQ$14/(M570/M565)</f>
        <v>9.2736114216188259</v>
      </c>
      <c r="N632" s="111">
        <f>N614/'ФОТ, МТР, макро'!AR$14/(N570/N565)</f>
        <v>9.5007958168168472</v>
      </c>
      <c r="O632" s="111">
        <f>O614/'ФОТ, МТР, макро'!AS$14/(O570/O565)</f>
        <v>9.6066942542684099</v>
      </c>
      <c r="P632" s="111">
        <f>P614/'ФОТ, МТР, макро'!AT$14/(P570/P565)</f>
        <v>9.5582597017259801</v>
      </c>
      <c r="Q632" s="111">
        <f>Q614/'ФОТ, МТР, макро'!AU$14/(Q570/Q565)</f>
        <v>10.005041963272465</v>
      </c>
      <c r="R632" s="111">
        <f>R614/'ФОТ, МТР, макро'!AV$14/(R570/R565)</f>
        <v>10.46232541578599</v>
      </c>
      <c r="S632" s="111">
        <f>S614/'ФОТ, МТР, макро'!AW$14/(S570/S565)</f>
        <v>10.92981390649298</v>
      </c>
      <c r="T632" s="111">
        <f>T614/'ФОТ, МТР, макро'!AX$14/(T570/T565)</f>
        <v>11.407196695434049</v>
      </c>
      <c r="U632" s="111">
        <f>U614/'ФОТ, МТР, макро'!AY$14/(U570/U565)</f>
        <v>11.894150697410049</v>
      </c>
      <c r="V632" s="111">
        <f>V614/'ФОТ, МТР, макро'!AZ$14/(V570/V565)</f>
        <v>12.390342717980712</v>
      </c>
      <c r="W632" s="111">
        <f>W614/'ФОТ, МТР, макро'!BA$14/(W570/W565)</f>
        <v>12.895431656608805</v>
      </c>
      <c r="X632" s="111">
        <f>X614/'ФОТ, МТР, макро'!BB$14/(X570/X565)</f>
        <v>13.409070652385285</v>
      </c>
      <c r="Y632" s="111">
        <f>Y614/'ФОТ, МТР, макро'!BC$14/(Y570/Y565)</f>
        <v>13.930909150445846</v>
      </c>
      <c r="Z632" s="111">
        <f>Z614/'ФОТ, МТР, макро'!BD$14/(Z570/Z565)</f>
        <v>14.460594870099278</v>
      </c>
      <c r="AC632" s="112" cm="1">
        <f t="array" ref="AC632">INDEX(G632:Z632,1,$C632)</f>
        <v>9.5582597017259801</v>
      </c>
    </row>
    <row r="633" spans="1:29" outlineLevel="1" x14ac:dyDescent="0.25">
      <c r="A633" s="39" t="str">
        <f t="shared" si="660"/>
        <v>БелАЗ 7531 (БТЛ)</v>
      </c>
      <c r="B633" s="39" t="str">
        <f t="shared" ref="B633:B642" si="661">D633</f>
        <v>ТО, ТР, ППР</v>
      </c>
      <c r="C633" s="39">
        <f>C632</f>
        <v>10</v>
      </c>
      <c r="D633" s="113" t="str">
        <f>D615</f>
        <v>ТО, ТР, ППР</v>
      </c>
      <c r="E633" s="114" t="str">
        <f>E632</f>
        <v>руб/ткм</v>
      </c>
      <c r="F633" s="115"/>
      <c r="G633" s="116">
        <f>G615/'ФОТ, МТР, макро'!AK$14/(G570/G565)</f>
        <v>1.0470350750331809</v>
      </c>
      <c r="H633" s="116">
        <f>H615/'ФОТ, МТР, макро'!AL$14/(H570/H565)</f>
        <v>1.335398659449486</v>
      </c>
      <c r="I633" s="116">
        <f>I615/'ФОТ, МТР, макро'!AM$14/(I570/I565)</f>
        <v>2.3450710909486392</v>
      </c>
      <c r="J633" s="116">
        <f>J615/'ФОТ, МТР, макро'!AN$14/(J570/J565)</f>
        <v>3.3372859745789638</v>
      </c>
      <c r="K633" s="116">
        <f>K615/'ФОТ, МТР, макро'!AO$14/(K570/K565)</f>
        <v>3.203616811581866</v>
      </c>
      <c r="L633" s="116">
        <f>L615/'ФОТ, МТР, макро'!AP$14/(L570/L565)</f>
        <v>3.3768114690331181</v>
      </c>
      <c r="M633" s="116">
        <f>M615/'ФОТ, МТР, макро'!AQ$14/(M570/M565)</f>
        <v>3.2956488278770024</v>
      </c>
      <c r="N633" s="116">
        <f>N615/'ФОТ, МТР, макро'!AR$14/(N570/N565)</f>
        <v>3.6130605198887125</v>
      </c>
      <c r="O633" s="116">
        <f>O615/'ФОТ, МТР, макро'!AS$14/(O570/O565)</f>
        <v>3.7673422946037682</v>
      </c>
      <c r="P633" s="116">
        <f>P615/'ФОТ, МТР, макро'!AT$14/(P570/P565)</f>
        <v>3.6979755371677108</v>
      </c>
      <c r="Q633" s="116">
        <f>Q615/'ФОТ, МТР, макро'!AU$14/(Q570/Q565)</f>
        <v>3.870830212097816</v>
      </c>
      <c r="R633" s="116">
        <f>R615/'ФОТ, МТР, макро'!AV$14/(R570/R565)</f>
        <v>4.0477476713128286</v>
      </c>
      <c r="S633" s="116">
        <f>S615/'ФОТ, МТР, макро'!AW$14/(S570/S565)</f>
        <v>4.2286133368721917</v>
      </c>
      <c r="T633" s="116">
        <f>T615/'ФОТ, МТР, макро'!AX$14/(T570/T565)</f>
        <v>4.4133069872288759</v>
      </c>
      <c r="U633" s="116">
        <f>U615/'ФОТ, МТР, макро'!AY$14/(U570/U565)</f>
        <v>4.6017036246113072</v>
      </c>
      <c r="V633" s="116">
        <f>V615/'ФОТ, МТР, макро'!AZ$14/(V570/V565)</f>
        <v>4.7936743401042952</v>
      </c>
      <c r="W633" s="116">
        <f>W615/'ФОТ, МТР, макро'!BA$14/(W570/W565)</f>
        <v>4.9890871660189768</v>
      </c>
      <c r="X633" s="116">
        <f>X615/'ФОТ, МТР, макро'!BB$14/(X570/X565)</f>
        <v>5.1878079060480236</v>
      </c>
      <c r="Y633" s="116">
        <f>Y615/'ФОТ, МТР, макро'!BC$14/(Y570/Y565)</f>
        <v>5.3897009347373181</v>
      </c>
      <c r="Z633" s="116">
        <f>Z615/'ФОТ, МТР, макро'!BD$14/(Z570/Z565)</f>
        <v>5.5946299589311019</v>
      </c>
      <c r="AC633" s="117" cm="1">
        <f t="array" ref="AC633">INDEX(G633:Z633,1,$C633)</f>
        <v>3.6979755371677108</v>
      </c>
    </row>
    <row r="634" spans="1:29" outlineLevel="1" x14ac:dyDescent="0.25">
      <c r="A634" s="39" t="str">
        <f t="shared" si="660"/>
        <v>БелАЗ 7531 (БТЛ)</v>
      </c>
      <c r="B634" s="39" t="str">
        <f t="shared" si="661"/>
        <v>Шины</v>
      </c>
      <c r="C634" s="39">
        <f t="shared" ref="C634:C642" si="662">C633</f>
        <v>10</v>
      </c>
      <c r="D634" s="113" t="str">
        <f t="shared" ref="D634:D639" si="663">D616</f>
        <v>Шины</v>
      </c>
      <c r="E634" s="114" t="str">
        <f t="shared" ref="E634:E639" si="664">E633</f>
        <v>руб/ткм</v>
      </c>
      <c r="F634" s="115"/>
      <c r="G634" s="116">
        <f>G616/'ФОТ, МТР, макро'!AK$14/(G570/G565)</f>
        <v>1.657837360690771</v>
      </c>
      <c r="H634" s="116">
        <f>H616/'ФОТ, МТР, макро'!AL$14/(H570/H565)</f>
        <v>1.6573482346671136</v>
      </c>
      <c r="I634" s="116">
        <f>I616/'ФОТ, МТР, макро'!AM$14/(I570/I565)</f>
        <v>1.6538853673675751</v>
      </c>
      <c r="J634" s="116">
        <f>J616/'ФОТ, МТР, макро'!AN$14/(J570/J565)</f>
        <v>1.6542257140541348</v>
      </c>
      <c r="K634" s="116">
        <f>K616/'ФОТ, МТР, макро'!AO$14/(K570/K565)</f>
        <v>1.6488162312409658</v>
      </c>
      <c r="L634" s="116">
        <f>L616/'ФОТ, МТР, макро'!AP$14/(L570/L565)</f>
        <v>1.6457913228382286</v>
      </c>
      <c r="M634" s="116">
        <f>M616/'ФОТ, МТР, макро'!AQ$14/(M570/M565)</f>
        <v>1.6485514452951475</v>
      </c>
      <c r="N634" s="116">
        <f>N616/'ФОТ, МТР, макро'!AR$14/(N570/N565)</f>
        <v>1.6468231111477369</v>
      </c>
      <c r="O634" s="116">
        <f>O616/'ФОТ, МТР, макро'!AS$14/(O570/O565)</f>
        <v>1.6451925265466776</v>
      </c>
      <c r="P634" s="116">
        <f>P616/'ФОТ, МТР, макро'!AT$14/(P570/P565)</f>
        <v>1.646133858609776</v>
      </c>
      <c r="Q634" s="116">
        <f>Q616/'ФОТ, МТР, макро'!AU$14/(Q570/Q565)</f>
        <v>1.7230791845486713</v>
      </c>
      <c r="R634" s="116">
        <f>R616/'ФОТ, МТР, макро'!AV$14/(R570/R565)</f>
        <v>1.8018330369919737</v>
      </c>
      <c r="S634" s="116">
        <f>S616/'ФОТ, МТР, макро'!AW$14/(S570/S565)</f>
        <v>1.8823444121876276</v>
      </c>
      <c r="T634" s="116">
        <f>T616/'ФОТ, МТР, макро'!AX$14/(T570/T565)</f>
        <v>1.964559794162607</v>
      </c>
      <c r="U634" s="116">
        <f>U616/'ФОТ, МТР, макро'!AY$14/(U570/U565)</f>
        <v>2.0484235408332987</v>
      </c>
      <c r="V634" s="116">
        <f>V616/'ФОТ, МТР, макро'!AZ$14/(V570/V565)</f>
        <v>2.1338782690916105</v>
      </c>
      <c r="W634" s="116">
        <f>W616/'ФОТ, МТР, макро'!BA$14/(W570/W565)</f>
        <v>2.220865234232853</v>
      </c>
      <c r="X634" s="116">
        <f>X616/'ФОТ, МТР, макро'!BB$14/(X570/X565)</f>
        <v>2.3093246994948511</v>
      </c>
      <c r="Y634" s="116">
        <f>Y616/'ФОТ, МТР, макро'!BC$14/(Y570/Y565)</f>
        <v>2.3991962919384466</v>
      </c>
      <c r="Z634" s="116">
        <f>Z616/'ФОТ, МТР, макро'!BD$14/(Z570/Z565)</f>
        <v>2.490419341400699</v>
      </c>
      <c r="AC634" s="117" cm="1">
        <f t="array" ref="AC634">INDEX(G634:Z634,1,$C634)</f>
        <v>1.646133858609776</v>
      </c>
    </row>
    <row r="635" spans="1:29" outlineLevel="1" x14ac:dyDescent="0.25">
      <c r="A635" s="39" t="str">
        <f t="shared" si="660"/>
        <v>БелАЗ 7531 (БТЛ)</v>
      </c>
      <c r="B635" s="39" t="str">
        <f t="shared" si="661"/>
        <v>Топливо</v>
      </c>
      <c r="C635" s="39">
        <f t="shared" si="662"/>
        <v>10</v>
      </c>
      <c r="D635" s="113" t="str">
        <f t="shared" si="663"/>
        <v>Топливо</v>
      </c>
      <c r="E635" s="114" t="str">
        <f t="shared" si="664"/>
        <v>руб/ткм</v>
      </c>
      <c r="F635" s="115"/>
      <c r="G635" s="116">
        <f>G617/'ФОТ, МТР, макро'!AK$14/(G570/G565)</f>
        <v>5.9417027538616862</v>
      </c>
      <c r="H635" s="116">
        <f>H617/'ФОТ, МТР, макро'!AL$14/(H570/H565)</f>
        <v>5.9399497221646946</v>
      </c>
      <c r="I635" s="116">
        <f>I617/'ФОТ, МТР, макро'!AM$14/(I570/I565)</f>
        <v>5.9275387772446502</v>
      </c>
      <c r="J635" s="116">
        <f>J617/'ФОТ, МТР, макро'!AN$14/(J570/J565)</f>
        <v>5.9287585825722102</v>
      </c>
      <c r="K635" s="116">
        <f>K617/'ФОТ, МТР, макро'!AO$14/(K570/K565)</f>
        <v>5.9093709516199286</v>
      </c>
      <c r="L635" s="116">
        <f>L617/'ФОТ, МТР, макро'!AP$14/(L570/L565)</f>
        <v>5.8985296549928385</v>
      </c>
      <c r="M635" s="116">
        <f>M617/'ФОТ, МТР, макро'!AQ$14/(M570/M565)</f>
        <v>5.9084219566094678</v>
      </c>
      <c r="N635" s="116">
        <f>N617/'ФОТ, МТР, макро'!AR$14/(N570/N565)</f>
        <v>5.9022275927914274</v>
      </c>
      <c r="O635" s="116">
        <f>O617/'ФОТ, МТР, макро'!AS$14/(O570/O565)</f>
        <v>5.8963835641525231</v>
      </c>
      <c r="P635" s="116">
        <f>P617/'ФОТ, МТР, макро'!AT$14/(P570/P565)</f>
        <v>5.8997573060190227</v>
      </c>
      <c r="Q635" s="116">
        <f>Q617/'ФОТ, МТР, макро'!AU$14/(Q570/Q565)</f>
        <v>6.1755299878684804</v>
      </c>
      <c r="R635" s="116">
        <f>R617/'ФОТ, МТР, макро'!AV$14/(R570/R565)</f>
        <v>6.4577844436038809</v>
      </c>
      <c r="S635" s="116">
        <f>S617/'ФОТ, МТР, макро'!AW$14/(S570/S565)</f>
        <v>6.746337875357816</v>
      </c>
      <c r="T635" s="116">
        <f>T617/'ФОТ, МТР, макро'!AX$14/(T570/T565)</f>
        <v>7.0409984814422293</v>
      </c>
      <c r="U635" s="116">
        <f>U617/'ФОТ, МТР, макро'!AY$14/(U570/U565)</f>
        <v>7.3415668401712093</v>
      </c>
      <c r="V635" s="116">
        <f>V617/'ФОТ, МТР, макро'!AZ$14/(V570/V565)</f>
        <v>7.6478372900127729</v>
      </c>
      <c r="W635" s="116">
        <f>W617/'ФОТ, МТР, макро'!BA$14/(W570/W565)</f>
        <v>7.9595992894615204</v>
      </c>
      <c r="X635" s="116">
        <f>X617/'ФОТ, МТР, макро'!BB$14/(X570/X565)</f>
        <v>8.2766387414698563</v>
      </c>
      <c r="Y635" s="116">
        <f>Y617/'ФОТ, МТР, макро'!BC$14/(Y570/Y565)</f>
        <v>8.5987392689266322</v>
      </c>
      <c r="Z635" s="116">
        <f>Z617/'ФОТ, МТР, макро'!BD$14/(Z570/Z565)</f>
        <v>8.9256834294682186</v>
      </c>
      <c r="AC635" s="117" cm="1">
        <f t="array" ref="AC635">INDEX(G635:Z635,1,$C635)</f>
        <v>5.8997573060190227</v>
      </c>
    </row>
    <row r="636" spans="1:29" outlineLevel="1" x14ac:dyDescent="0.25">
      <c r="A636" s="39" t="str">
        <f t="shared" si="660"/>
        <v>БелАЗ 7531 (БТЛ)</v>
      </c>
      <c r="B636" s="39" t="str">
        <f t="shared" si="661"/>
        <v>Смазочные</v>
      </c>
      <c r="C636" s="39">
        <f t="shared" si="662"/>
        <v>10</v>
      </c>
      <c r="D636" s="113" t="str">
        <f t="shared" si="663"/>
        <v>Смазочные</v>
      </c>
      <c r="E636" s="114" t="str">
        <f t="shared" si="664"/>
        <v>руб/ткм</v>
      </c>
      <c r="F636" s="115"/>
      <c r="G636" s="116">
        <f>G618/'ФОТ, МТР, макро'!AK$14/(G570/G565)</f>
        <v>0</v>
      </c>
      <c r="H636" s="116">
        <f>H618/'ФОТ, МТР, макро'!AL$14/(H570/H565)</f>
        <v>0</v>
      </c>
      <c r="I636" s="116">
        <f>I618/'ФОТ, МТР, макро'!AM$14/(I570/I565)</f>
        <v>0</v>
      </c>
      <c r="J636" s="116">
        <f>J618/'ФОТ, МТР, макро'!AN$14/(J570/J565)</f>
        <v>0</v>
      </c>
      <c r="K636" s="116">
        <f>K618/'ФОТ, МТР, макро'!AO$14/(K570/K565)</f>
        <v>0</v>
      </c>
      <c r="L636" s="116">
        <f>L618/'ФОТ, МТР, макро'!AP$14/(L570/L565)</f>
        <v>0</v>
      </c>
      <c r="M636" s="116">
        <f>M618/'ФОТ, МТР, макро'!AQ$14/(M570/M565)</f>
        <v>0</v>
      </c>
      <c r="N636" s="116">
        <f>N618/'ФОТ, МТР, макро'!AR$14/(N570/N565)</f>
        <v>0</v>
      </c>
      <c r="O636" s="116">
        <f>O618/'ФОТ, МТР, макро'!AS$14/(O570/O565)</f>
        <v>0</v>
      </c>
      <c r="P636" s="116">
        <f>P618/'ФОТ, МТР, макро'!AT$14/(P570/P565)</f>
        <v>0</v>
      </c>
      <c r="Q636" s="116">
        <f>Q618/'ФОТ, МТР, макро'!AU$14/(Q570/Q565)</f>
        <v>0</v>
      </c>
      <c r="R636" s="116">
        <f>R618/'ФОТ, МТР, макро'!AV$14/(R570/R565)</f>
        <v>0</v>
      </c>
      <c r="S636" s="116">
        <f>S618/'ФОТ, МТР, макро'!AW$14/(S570/S565)</f>
        <v>0</v>
      </c>
      <c r="T636" s="116">
        <f>T618/'ФОТ, МТР, макро'!AX$14/(T570/T565)</f>
        <v>0</v>
      </c>
      <c r="U636" s="116">
        <f>U618/'ФОТ, МТР, макро'!AY$14/(U570/U565)</f>
        <v>0</v>
      </c>
      <c r="V636" s="116">
        <f>V618/'ФОТ, МТР, макро'!AZ$14/(V570/V565)</f>
        <v>0</v>
      </c>
      <c r="W636" s="116">
        <f>W618/'ФОТ, МТР, макро'!BA$14/(W570/W565)</f>
        <v>0</v>
      </c>
      <c r="X636" s="116">
        <f>X618/'ФОТ, МТР, макро'!BB$14/(X570/X565)</f>
        <v>0</v>
      </c>
      <c r="Y636" s="116">
        <f>Y618/'ФОТ, МТР, макро'!BC$14/(Y570/Y565)</f>
        <v>0</v>
      </c>
      <c r="Z636" s="116">
        <f>Z618/'ФОТ, МТР, макро'!BD$14/(Z570/Z565)</f>
        <v>0</v>
      </c>
      <c r="AC636" s="117" cm="1">
        <f t="array" ref="AC636">INDEX(G636:Z636,1,$C636)</f>
        <v>0</v>
      </c>
    </row>
    <row r="637" spans="1:29" outlineLevel="1" x14ac:dyDescent="0.25">
      <c r="A637" s="39" t="str">
        <f t="shared" si="660"/>
        <v>БелАЗ 7531 (БТЛ)</v>
      </c>
      <c r="B637" s="39" t="str">
        <f t="shared" si="661"/>
        <v>Затраты на персонал</v>
      </c>
      <c r="C637" s="39">
        <f t="shared" si="662"/>
        <v>10</v>
      </c>
      <c r="D637" s="113" t="str">
        <f t="shared" si="663"/>
        <v>Затраты на персонал</v>
      </c>
      <c r="E637" s="114" t="str">
        <f t="shared" si="664"/>
        <v>руб/ткм</v>
      </c>
      <c r="F637" s="115"/>
      <c r="G637" s="116">
        <f>G619/'ФОТ, МТР, макро'!AK$14/(G570/G565)</f>
        <v>1.5726146908931127</v>
      </c>
      <c r="H637" s="116">
        <f>H619/'ФОТ, МТР, макро'!AL$14/(H570/H565)</f>
        <v>1.5644176747476144</v>
      </c>
      <c r="I637" s="116">
        <f>I619/'ФОТ, МТР, макро'!AM$14/(I570/I565)</f>
        <v>1.5336758487314683</v>
      </c>
      <c r="J637" s="116">
        <f>J619/'ФОТ, МТР, макро'!AN$14/(J570/J565)</f>
        <v>1.5308832258137948</v>
      </c>
      <c r="K637" s="116">
        <f>K619/'ФОТ, МТР, макро'!AO$14/(K570/K565)</f>
        <v>1.504735446583819</v>
      </c>
      <c r="L637" s="116">
        <f>L619/'ФОТ, МТР, макро'!AP$14/(L570/L565)</f>
        <v>1.4900621243954215</v>
      </c>
      <c r="M637" s="116">
        <f>M619/'ФОТ, МТР, макро'!AQ$14/(M570/M565)</f>
        <v>1.4947600877740601</v>
      </c>
      <c r="N637" s="116">
        <f>N619/'ФОТ, МТР, макро'!AR$14/(N570/N565)</f>
        <v>1.4882594356951788</v>
      </c>
      <c r="O637" s="116">
        <f>O619/'ФОТ, МТР, макро'!AS$14/(O570/O565)</f>
        <v>1.4827148554967338</v>
      </c>
      <c r="P637" s="116">
        <f>P619/'ФОТ, МТР, макро'!AT$14/(P570/P565)</f>
        <v>1.483181691058675</v>
      </c>
      <c r="Q637" s="116">
        <f>Q619/'ФОТ, МТР, макро'!AU$14/(Q570/Q565)</f>
        <v>1.5525101348229591</v>
      </c>
      <c r="R637" s="116">
        <f>R619/'ФОТ, МТР, макро'!AV$14/(R570/R565)</f>
        <v>1.6234680775402603</v>
      </c>
      <c r="S637" s="116">
        <f>S619/'ФОТ, МТР, макро'!AW$14/(S570/S565)</f>
        <v>1.6960095643626005</v>
      </c>
      <c r="T637" s="116">
        <f>T619/'ФОТ, МТР, макро'!AX$14/(T570/T565)</f>
        <v>1.7700863769078867</v>
      </c>
      <c r="U637" s="116">
        <f>U619/'ФОТ, МТР, макро'!AY$14/(U570/U565)</f>
        <v>1.8456483811489035</v>
      </c>
      <c r="V637" s="116">
        <f>V619/'ФОТ, МТР, макро'!AZ$14/(V570/V565)</f>
        <v>1.9226438743794259</v>
      </c>
      <c r="W637" s="116">
        <f>W619/'ФОТ, МТР, макро'!BA$14/(W570/W565)</f>
        <v>2.0010199270822175</v>
      </c>
      <c r="X637" s="116">
        <f>X619/'ФОТ, МТР, макро'!BB$14/(X570/X565)</f>
        <v>2.0807227158871582</v>
      </c>
      <c r="Y637" s="116">
        <f>Y619/'ФОТ, МТР, макро'!BC$14/(Y570/Y565)</f>
        <v>2.1616978442228341</v>
      </c>
      <c r="Z637" s="116">
        <f>Z619/'ФОТ, МТР, макро'!BD$14/(Z570/Z565)</f>
        <v>2.2438906477164808</v>
      </c>
      <c r="AC637" s="117" cm="1">
        <f t="array" ref="AC637">INDEX(G637:Z637,1,$C637)</f>
        <v>1.483181691058675</v>
      </c>
    </row>
    <row r="638" spans="1:29" outlineLevel="1" x14ac:dyDescent="0.25">
      <c r="A638" s="39" t="str">
        <f t="shared" si="660"/>
        <v>БелАЗ 7531 (БТЛ)</v>
      </c>
      <c r="B638" s="39" t="str">
        <f t="shared" si="661"/>
        <v>Транспортный налог</v>
      </c>
      <c r="C638" s="39">
        <f t="shared" si="662"/>
        <v>10</v>
      </c>
      <c r="D638" s="113" t="str">
        <f t="shared" si="663"/>
        <v>Транспортный налог</v>
      </c>
      <c r="E638" s="114" t="str">
        <f t="shared" si="664"/>
        <v>руб/ткм</v>
      </c>
      <c r="F638" s="115"/>
      <c r="G638" s="116">
        <f>G620/'ФОТ, МТР, макро'!AK$14/(G570/G565)</f>
        <v>1.8340904732179295E-2</v>
      </c>
      <c r="H638" s="116">
        <f>H620/'ФОТ, МТР, макро'!AL$14/(H570/H565)</f>
        <v>1.8245305541173814E-2</v>
      </c>
      <c r="I638" s="116">
        <f>I620/'ФОТ, МТР, макро'!AM$14/(I570/I565)</f>
        <v>1.7886773406430013E-2</v>
      </c>
      <c r="J638" s="116">
        <f>J620/'ФОТ, МТР, макро'!AN$14/(J570/J565)</f>
        <v>1.7854203933956841E-2</v>
      </c>
      <c r="K638" s="116">
        <f>K620/'ФОТ, МТР, макро'!AO$14/(K570/K565)</f>
        <v>1.7549250705049459E-2</v>
      </c>
      <c r="L638" s="116">
        <f>L620/'ФОТ, МТР, макро'!AP$14/(L570/L565)</f>
        <v>1.7378120417433279E-2</v>
      </c>
      <c r="M638" s="116">
        <f>M620/'ФОТ, МТР, макро'!AQ$14/(M570/M565)</f>
        <v>1.7432911269421272E-2</v>
      </c>
      <c r="N638" s="116">
        <f>N620/'ФОТ, МТР, макро'!AR$14/(N570/N565)</f>
        <v>1.7357096232739851E-2</v>
      </c>
      <c r="O638" s="116">
        <f>O620/'ФОТ, МТР, макро'!AS$14/(O570/O565)</f>
        <v>1.7292431558176845E-2</v>
      </c>
      <c r="P638" s="116">
        <f>P620/'ФОТ, МТР, макро'!AT$14/(P570/P565)</f>
        <v>1.7297876112788178E-2</v>
      </c>
      <c r="Q638" s="116">
        <f>Q620/'ФОТ, МТР, макро'!AU$14/(Q570/Q565)</f>
        <v>1.8106431692024728E-2</v>
      </c>
      <c r="R638" s="116">
        <f>R620/'ФОТ, МТР, макро'!AV$14/(R570/R565)</f>
        <v>1.893399159904197E-2</v>
      </c>
      <c r="S638" s="116">
        <f>S620/'ФОТ, МТР, макро'!AW$14/(S570/S565)</f>
        <v>1.9780019877070829E-2</v>
      </c>
      <c r="T638" s="116">
        <f>T620/'ФОТ, МТР, макро'!AX$14/(T570/T565)</f>
        <v>2.0643954170464086E-2</v>
      </c>
      <c r="U638" s="116">
        <f>U620/'ФОТ, МТР, макро'!AY$14/(U570/U565)</f>
        <v>2.1525209782015036E-2</v>
      </c>
      <c r="V638" s="116">
        <f>V620/'ФОТ, МТР, макро'!AZ$14/(V570/V565)</f>
        <v>2.2423183719512831E-2</v>
      </c>
      <c r="W638" s="116">
        <f>W620/'ФОТ, МТР, макро'!BA$14/(W570/W565)</f>
        <v>2.3337258682840173E-2</v>
      </c>
      <c r="X638" s="116">
        <f>X620/'ФОТ, МТР, макро'!BB$14/(X570/X565)</f>
        <v>2.426680694715801E-2</v>
      </c>
      <c r="Y638" s="116">
        <f>Y620/'ФОТ, МТР, макро'!BC$14/(Y570/Y565)</f>
        <v>2.5211194102562985E-2</v>
      </c>
      <c r="Z638" s="116">
        <f>Z620/'ФОТ, МТР, макро'!BD$14/(Z570/Z565)</f>
        <v>2.6169782615869816E-2</v>
      </c>
      <c r="AC638" s="117" cm="1">
        <f t="array" ref="AC638">INDEX(G638:Z638,1,$C638)</f>
        <v>1.7297876112788178E-2</v>
      </c>
    </row>
    <row r="639" spans="1:29" outlineLevel="1" x14ac:dyDescent="0.25">
      <c r="A639" s="39" t="str">
        <f t="shared" si="660"/>
        <v>БелАЗ 7531 (БТЛ)</v>
      </c>
      <c r="B639" s="39" t="str">
        <f t="shared" si="661"/>
        <v>Налог на прибыль</v>
      </c>
      <c r="C639" s="39">
        <f t="shared" si="662"/>
        <v>10</v>
      </c>
      <c r="D639" s="113" t="str">
        <f t="shared" si="663"/>
        <v>Налог на прибыль</v>
      </c>
      <c r="E639" s="114" t="str">
        <f t="shared" si="664"/>
        <v>руб/ткм</v>
      </c>
      <c r="F639" s="30"/>
      <c r="G639" s="116">
        <f>G621/'ФОТ, МТР, макро'!AK$14/(G570/G565)</f>
        <v>-2.5593826963027326</v>
      </c>
      <c r="H639" s="116">
        <f>H621/'ФОТ, МТР, макро'!AL$14/(H570/H565)</f>
        <v>-2.6288398991425206</v>
      </c>
      <c r="I639" s="116">
        <f>I621/'ФОТ, МТР, макро'!AM$14/(I570/I565)</f>
        <v>-2.8695144644246908</v>
      </c>
      <c r="J639" s="116">
        <f>J621/'ФОТ, МТР, макро'!AN$14/(J570/J565)</f>
        <v>-3.1172519252382656</v>
      </c>
      <c r="K639" s="116">
        <f>K621/'ФОТ, МТР, макро'!AO$14/(K570/K565)</f>
        <v>-3.0710221729329077</v>
      </c>
      <c r="L639" s="116">
        <f>L621/'ФОТ, МТР, макро'!AP$14/(L570/L565)</f>
        <v>-3.1071431729192605</v>
      </c>
      <c r="M639" s="116">
        <f>M621/'ФОТ, МТР, макро'!AQ$14/(M570/M565)</f>
        <v>-3.0912038072062753</v>
      </c>
      <c r="N639" s="116">
        <f>N621/'ФОТ, МТР, макро'!AR$14/(N570/N565)</f>
        <v>-3.1669319389389488</v>
      </c>
      <c r="O639" s="116">
        <f>O621/'ФОТ, МТР, макро'!AS$14/(O570/O565)</f>
        <v>-3.20223141808947</v>
      </c>
      <c r="P639" s="116">
        <f>P621/'ФОТ, МТР, макро'!AT$14/(P570/P565)</f>
        <v>-3.1860865672419934</v>
      </c>
      <c r="Q639" s="116">
        <f>Q621/'ФОТ, МТР, макро'!AU$14/(Q570/Q565)</f>
        <v>-3.3350139877574883</v>
      </c>
      <c r="R639" s="116">
        <f>R621/'ФОТ, МТР, макро'!AV$14/(R570/R565)</f>
        <v>-3.4874418052619967</v>
      </c>
      <c r="S639" s="116">
        <f>S621/'ФОТ, МТР, макро'!AW$14/(S570/S565)</f>
        <v>-3.6432713021643264</v>
      </c>
      <c r="T639" s="116">
        <f>T621/'ФОТ, МТР, макро'!AX$14/(T570/T565)</f>
        <v>-3.8023988984780157</v>
      </c>
      <c r="U639" s="116">
        <f>U621/'ФОТ, МТР, макро'!AY$14/(U570/U565)</f>
        <v>-3.964716899136683</v>
      </c>
      <c r="V639" s="116">
        <f>V621/'ФОТ, МТР, макро'!AZ$14/(V570/V565)</f>
        <v>-4.1301142393269048</v>
      </c>
      <c r="W639" s="116">
        <f>W621/'ФОТ, МТР, макро'!BA$14/(W570/W565)</f>
        <v>-4.2984772188696017</v>
      </c>
      <c r="X639" s="116">
        <f>X621/'ФОТ, МТР, макро'!BB$14/(X570/X565)</f>
        <v>-4.4696902174617614</v>
      </c>
      <c r="Y639" s="116">
        <f>Y621/'ФОТ, МТР, макро'!BC$14/(Y570/Y565)</f>
        <v>-4.6436363834819483</v>
      </c>
      <c r="Z639" s="116">
        <f>Z621/'ФОТ, МТР, макро'!BD$14/(Z570/Z565)</f>
        <v>-4.8201982900330922</v>
      </c>
      <c r="AC639" s="117" cm="1">
        <f t="array" ref="AC639">INDEX(G639:Z639,1,$C639)</f>
        <v>-3.1860865672419934</v>
      </c>
    </row>
    <row r="640" spans="1:29" outlineLevel="1" x14ac:dyDescent="0.25">
      <c r="A640" s="39" t="str">
        <f t="shared" si="660"/>
        <v>БелАЗ 7531 (БТЛ)</v>
      </c>
      <c r="B640" s="39" t="str">
        <f t="shared" si="661"/>
        <v>Аннуитет инвестиционный</v>
      </c>
      <c r="C640" s="39">
        <f t="shared" si="662"/>
        <v>10</v>
      </c>
      <c r="D640" s="108" t="s">
        <v>96</v>
      </c>
      <c r="E640" s="118" t="str">
        <f>E632</f>
        <v>руб/ткм</v>
      </c>
      <c r="F640" s="119"/>
      <c r="G640" s="111">
        <f>G626/'ФОТ, МТР, макро'!AK$14/(G570/G565)</f>
        <v>0</v>
      </c>
      <c r="H640" s="111">
        <f>H626/'ФОТ, МТР, макро'!AL$14/(H570/H565)</f>
        <v>0</v>
      </c>
      <c r="I640" s="111">
        <f>I626/'ФОТ, МТР, макро'!AM$14/(I570/I565)</f>
        <v>0</v>
      </c>
      <c r="J640" s="111">
        <f>J626/'ФОТ, МТР, макро'!AN$14/(J570/J565)</f>
        <v>0</v>
      </c>
      <c r="K640" s="111">
        <f>K626/'ФОТ, МТР, макро'!AO$14/(K570/K565)</f>
        <v>0</v>
      </c>
      <c r="L640" s="111">
        <f>L626/'ФОТ, МТР, макро'!AP$14/(L570/L565)</f>
        <v>0</v>
      </c>
      <c r="M640" s="111">
        <f>M626/'ФОТ, МТР, макро'!AQ$14/(M570/M565)</f>
        <v>0</v>
      </c>
      <c r="N640" s="111">
        <f>N626/'ФОТ, МТР, макро'!AR$14/(N570/N565)</f>
        <v>0</v>
      </c>
      <c r="O640" s="111">
        <f>O626/'ФОТ, МТР, макро'!AS$14/(O570/O565)</f>
        <v>0</v>
      </c>
      <c r="P640" s="111">
        <f>P626/'ФОТ, МТР, макро'!AT$14/(P570/P565)</f>
        <v>0</v>
      </c>
      <c r="Q640" s="111">
        <f>Q626/'ФОТ, МТР, макро'!AU$14/(Q570/Q565)</f>
        <v>0</v>
      </c>
      <c r="R640" s="111">
        <f>R626/'ФОТ, МТР, макро'!AV$14/(R570/R565)</f>
        <v>0</v>
      </c>
      <c r="S640" s="111">
        <f>S626/'ФОТ, МТР, макро'!AW$14/(S570/S565)</f>
        <v>0</v>
      </c>
      <c r="T640" s="111">
        <f>T626/'ФОТ, МТР, макро'!AX$14/(T570/T565)</f>
        <v>0</v>
      </c>
      <c r="U640" s="111">
        <f>U626/'ФОТ, МТР, макро'!AY$14/(U570/U565)</f>
        <v>0</v>
      </c>
      <c r="V640" s="111">
        <f>V626/'ФОТ, МТР, макро'!AZ$14/(V570/V565)</f>
        <v>0</v>
      </c>
      <c r="W640" s="111">
        <f>W626/'ФОТ, МТР, макро'!BA$14/(W570/W565)</f>
        <v>0</v>
      </c>
      <c r="X640" s="111">
        <f>X626/'ФОТ, МТР, макро'!BB$14/(X570/X565)</f>
        <v>0</v>
      </c>
      <c r="Y640" s="111">
        <f>Y626/'ФОТ, МТР, макро'!BC$14/(Y570/Y565)</f>
        <v>0</v>
      </c>
      <c r="Z640" s="111">
        <f>Z626/'ФОТ, МТР, макро'!BD$14/(Z570/Z565)</f>
        <v>0</v>
      </c>
      <c r="AC640" s="112" cm="1">
        <f t="array" ref="AC640">INDEX(G640:Z640,1,$C640)</f>
        <v>0</v>
      </c>
    </row>
    <row r="641" spans="1:29" outlineLevel="1" x14ac:dyDescent="0.25">
      <c r="A641" s="39" t="str">
        <f t="shared" si="660"/>
        <v>БелАЗ 7531 (БТЛ)</v>
      </c>
      <c r="B641" s="39" t="str">
        <f t="shared" si="661"/>
        <v>Самосвал</v>
      </c>
      <c r="C641" s="39">
        <f t="shared" si="662"/>
        <v>10</v>
      </c>
      <c r="D641" s="101" t="str">
        <f>D627</f>
        <v>Самосвал</v>
      </c>
      <c r="E641" s="9" t="str">
        <f>E640</f>
        <v>руб/ткм</v>
      </c>
      <c r="F641" s="30"/>
      <c r="G641" s="120">
        <f>G627/'ФОТ, МТР, макро'!AK$14/(G570/G565)</f>
        <v>0</v>
      </c>
      <c r="H641" s="120">
        <f>H627/'ФОТ, МТР, макро'!AL$14/(H570/H565)</f>
        <v>0</v>
      </c>
      <c r="I641" s="120">
        <f>I627/'ФОТ, МТР, макро'!AM$14/(I570/I565)</f>
        <v>0</v>
      </c>
      <c r="J641" s="120">
        <f>J627/'ФОТ, МТР, макро'!AN$14/(J570/J565)</f>
        <v>0</v>
      </c>
      <c r="K641" s="120">
        <f>K627/'ФОТ, МТР, макро'!AO$14/(K570/K565)</f>
        <v>0</v>
      </c>
      <c r="L641" s="120">
        <f>L627/'ФОТ, МТР, макро'!AP$14/(L570/L565)</f>
        <v>0</v>
      </c>
      <c r="M641" s="120">
        <f>M627/'ФОТ, МТР, макро'!AQ$14/(M570/M565)</f>
        <v>0</v>
      </c>
      <c r="N641" s="120">
        <f>N627/'ФОТ, МТР, макро'!AR$14/(N570/N565)</f>
        <v>0</v>
      </c>
      <c r="O641" s="120">
        <f>O627/'ФОТ, МТР, макро'!AS$14/(O570/O565)</f>
        <v>0</v>
      </c>
      <c r="P641" s="120">
        <f>P627/'ФОТ, МТР, макро'!AT$14/(P570/P565)</f>
        <v>0</v>
      </c>
      <c r="Q641" s="120">
        <f>Q627/'ФОТ, МТР, макро'!AU$14/(Q570/Q565)</f>
        <v>0</v>
      </c>
      <c r="R641" s="120">
        <f>R627/'ФОТ, МТР, макро'!AV$14/(R570/R565)</f>
        <v>0</v>
      </c>
      <c r="S641" s="120">
        <f>S627/'ФОТ, МТР, макро'!AW$14/(S570/S565)</f>
        <v>0</v>
      </c>
      <c r="T641" s="120">
        <f>T627/'ФОТ, МТР, макро'!AX$14/(T570/T565)</f>
        <v>0</v>
      </c>
      <c r="U641" s="120">
        <f>U627/'ФОТ, МТР, макро'!AY$14/(U570/U565)</f>
        <v>0</v>
      </c>
      <c r="V641" s="120">
        <f>V627/'ФОТ, МТР, макро'!AZ$14/(V570/V565)</f>
        <v>0</v>
      </c>
      <c r="W641" s="120">
        <f>W627/'ФОТ, МТР, макро'!BA$14/(W570/W565)</f>
        <v>0</v>
      </c>
      <c r="X641" s="120">
        <f>X627/'ФОТ, МТР, макро'!BB$14/(X570/X565)</f>
        <v>0</v>
      </c>
      <c r="Y641" s="120">
        <f>Y627/'ФОТ, МТР, макро'!BC$14/(Y570/Y565)</f>
        <v>0</v>
      </c>
      <c r="Z641" s="120">
        <f>Z627/'ФОТ, МТР, макро'!BD$14/(Z570/Z565)</f>
        <v>0</v>
      </c>
      <c r="AC641" s="117" cm="1">
        <f t="array" ref="AC641">INDEX(G641:Z641,1,$C641)</f>
        <v>0</v>
      </c>
    </row>
    <row r="642" spans="1:29" outlineLevel="1" x14ac:dyDescent="0.25">
      <c r="A642" s="39" t="str">
        <f t="shared" si="660"/>
        <v>БелАЗ 7531 (БТЛ)</v>
      </c>
      <c r="B642" s="39" t="str">
        <f t="shared" si="661"/>
        <v>Аннуитет общий</v>
      </c>
      <c r="C642" s="39">
        <f t="shared" si="662"/>
        <v>10</v>
      </c>
      <c r="D642" s="108" t="s">
        <v>97</v>
      </c>
      <c r="E642" s="118" t="str">
        <f>E632</f>
        <v>руб/ткм</v>
      </c>
      <c r="F642" s="119"/>
      <c r="G642" s="111">
        <f>G630/'ФОТ, МТР, макро'!AK$14/(G570/G565)</f>
        <v>7.6781480889081983</v>
      </c>
      <c r="H642" s="111">
        <f>H630/'ФОТ, МТР, макро'!AL$14/(H570/H565)</f>
        <v>7.8865196974275626</v>
      </c>
      <c r="I642" s="111">
        <f>I630/'ФОТ, МТР, макро'!AM$14/(I570/I565)</f>
        <v>8.6085433932740738</v>
      </c>
      <c r="J642" s="111">
        <f>J630/'ФОТ, МТР, макро'!AN$14/(J570/J565)</f>
        <v>9.3517557757147962</v>
      </c>
      <c r="K642" s="111">
        <f>K630/'ФОТ, МТР, макро'!AO$14/(K570/K565)</f>
        <v>9.2130665187987226</v>
      </c>
      <c r="L642" s="111">
        <f>L630/'ФОТ, МТР, макро'!AP$14/(L570/L565)</f>
        <v>9.3214295187577818</v>
      </c>
      <c r="M642" s="111">
        <f>M630/'ФОТ, МТР, макро'!AQ$14/(M570/M565)</f>
        <v>9.2736114216188259</v>
      </c>
      <c r="N642" s="111">
        <f>N630/'ФОТ, МТР, макро'!AR$14/(N570/N565)</f>
        <v>9.5007958168168472</v>
      </c>
      <c r="O642" s="111">
        <f>O630/'ФОТ, МТР, макро'!AS$14/(O570/O565)</f>
        <v>9.6066942542684099</v>
      </c>
      <c r="P642" s="111">
        <f>P630/'ФОТ, МТР, макро'!AT$14/(P570/P565)</f>
        <v>9.5582597017259801</v>
      </c>
      <c r="Q642" s="111">
        <f>Q630/'ФОТ, МТР, макро'!AU$14/(Q570/Q565)</f>
        <v>10.005041963272465</v>
      </c>
      <c r="R642" s="111">
        <f>R630/'ФОТ, МТР, макро'!AV$14/(R570/R565)</f>
        <v>10.46232541578599</v>
      </c>
      <c r="S642" s="111">
        <f>S630/'ФОТ, МТР, макро'!AW$14/(S570/S565)</f>
        <v>10.92981390649298</v>
      </c>
      <c r="T642" s="111">
        <f>T630/'ФОТ, МТР, макро'!AX$14/(T570/T565)</f>
        <v>11.407196695434049</v>
      </c>
      <c r="U642" s="111">
        <f>U630/'ФОТ, МТР, макро'!AY$14/(U570/U565)</f>
        <v>11.894150697410049</v>
      </c>
      <c r="V642" s="111">
        <f>V630/'ФОТ, МТР, макро'!AZ$14/(V570/V565)</f>
        <v>12.390342717980712</v>
      </c>
      <c r="W642" s="111">
        <f>W630/'ФОТ, МТР, макро'!BA$14/(W570/W565)</f>
        <v>12.895431656608805</v>
      </c>
      <c r="X642" s="111">
        <f>X630/'ФОТ, МТР, макро'!BB$14/(X570/X565)</f>
        <v>13.409070652385285</v>
      </c>
      <c r="Y642" s="111">
        <f>Y630/'ФОТ, МТР, макро'!BC$14/(Y570/Y565)</f>
        <v>13.930909150445846</v>
      </c>
      <c r="Z642" s="111">
        <f>Z630/'ФОТ, МТР, макро'!BD$14/(Z570/Z565)</f>
        <v>14.460594870099278</v>
      </c>
      <c r="AC642" s="112" cm="1">
        <f t="array" ref="AC642">INDEX(G642:Z642,1,$C642)</f>
        <v>9.5582597017259801</v>
      </c>
    </row>
    <row r="643" spans="1:29" outlineLevel="1" x14ac:dyDescent="0.25">
      <c r="A643" s="39" t="str">
        <f t="shared" si="660"/>
        <v>БелАЗ 7531 (БТЛ)</v>
      </c>
      <c r="B643" s="39"/>
      <c r="D643" s="121"/>
      <c r="E643" s="1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9" outlineLevel="1" x14ac:dyDescent="0.25">
      <c r="A644" s="39" t="str">
        <f t="shared" si="660"/>
        <v>БелАЗ 7531 (БТЛ)</v>
      </c>
      <c r="B644" s="39"/>
      <c r="D644" s="123" t="s">
        <v>88</v>
      </c>
      <c r="E644" s="124"/>
      <c r="F644" s="125"/>
      <c r="G644" s="126">
        <f>G642-G632-G640+G632-SUM(G633:G639)+G640-G641</f>
        <v>0</v>
      </c>
      <c r="H644" s="126">
        <f t="shared" ref="H644:I644" si="665">H642-H632-H640+H632-SUM(H633:H639)+H640-H641</f>
        <v>8.8817841970012523E-16</v>
      </c>
      <c r="I644" s="126">
        <f t="shared" si="665"/>
        <v>3.5527136788005009E-15</v>
      </c>
      <c r="J644" s="126">
        <f t="shared" ref="J644:Z644" si="666">J642-J632-J640+J632-SUM(J633:J639)+J640-J641</f>
        <v>1.7763568394002505E-15</v>
      </c>
      <c r="K644" s="126">
        <f t="shared" si="666"/>
        <v>0</v>
      </c>
      <c r="L644" s="126">
        <f t="shared" si="666"/>
        <v>1.7763568394002505E-15</v>
      </c>
      <c r="M644" s="126">
        <f t="shared" si="666"/>
        <v>1.7763568394002505E-15</v>
      </c>
      <c r="N644" s="126">
        <f t="shared" si="666"/>
        <v>0</v>
      </c>
      <c r="O644" s="126">
        <f t="shared" si="666"/>
        <v>-1.7763568394002505E-15</v>
      </c>
      <c r="P644" s="126">
        <f t="shared" si="666"/>
        <v>0</v>
      </c>
      <c r="Q644" s="126">
        <f t="shared" si="666"/>
        <v>1.7763568394002505E-15</v>
      </c>
      <c r="R644" s="126">
        <f t="shared" si="666"/>
        <v>1.7763568394002505E-15</v>
      </c>
      <c r="S644" s="126">
        <f t="shared" si="666"/>
        <v>-1.7763568394002505E-15</v>
      </c>
      <c r="T644" s="126">
        <f t="shared" si="666"/>
        <v>1.7763568394002505E-15</v>
      </c>
      <c r="U644" s="126">
        <f t="shared" si="666"/>
        <v>-1.7763568394002505E-15</v>
      </c>
      <c r="V644" s="126">
        <f t="shared" si="666"/>
        <v>-3.5527136788005009E-15</v>
      </c>
      <c r="W644" s="126">
        <f t="shared" si="666"/>
        <v>0</v>
      </c>
      <c r="X644" s="126">
        <f t="shared" si="666"/>
        <v>0</v>
      </c>
      <c r="Y644" s="126">
        <f t="shared" si="666"/>
        <v>0</v>
      </c>
      <c r="Z644" s="126">
        <f t="shared" si="666"/>
        <v>1.7763568394002505E-15</v>
      </c>
    </row>
    <row r="645" spans="1:29" outlineLevel="1" x14ac:dyDescent="0.25">
      <c r="A645" s="39" t="str">
        <f t="shared" si="660"/>
        <v>БелАЗ 7531 (БТЛ)</v>
      </c>
      <c r="B645" s="39"/>
      <c r="D645" s="125"/>
      <c r="E645" s="124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9" outlineLevel="1" x14ac:dyDescent="0.25">
      <c r="A646" s="39" t="str">
        <f t="shared" si="660"/>
        <v>БелАЗ 7531 (БТЛ)</v>
      </c>
      <c r="B646" s="39"/>
      <c r="D646" s="127" t="s">
        <v>98</v>
      </c>
      <c r="E646" s="128" t="str">
        <f>E642</f>
        <v>руб/ткм</v>
      </c>
      <c r="F646" s="129"/>
      <c r="G646" s="130">
        <f>SUM(G647:G652)</f>
        <v>10.237530785210931</v>
      </c>
      <c r="H646" s="130">
        <f t="shared" ref="H646:Z646" si="667">SUM(H647:H652)</f>
        <v>10.829843912369888</v>
      </c>
      <c r="I646" s="130">
        <f t="shared" si="667"/>
        <v>13.71548322618297</v>
      </c>
      <c r="J646" s="130">
        <f t="shared" si="667"/>
        <v>16.204600928688617</v>
      </c>
      <c r="K646" s="130">
        <f t="shared" si="667"/>
        <v>11.639067624686461</v>
      </c>
      <c r="L646" s="130">
        <f t="shared" si="667"/>
        <v>13.643686604775677</v>
      </c>
      <c r="M646" s="130">
        <f t="shared" si="667"/>
        <v>11.649541035544024</v>
      </c>
      <c r="N646" s="130">
        <f t="shared" si="667"/>
        <v>16.204857113585298</v>
      </c>
      <c r="O646" s="130">
        <f t="shared" si="667"/>
        <v>14.958327309416559</v>
      </c>
      <c r="P646" s="130">
        <f t="shared" si="667"/>
        <v>11.641888434520954</v>
      </c>
      <c r="Q646" s="130" t="e">
        <f t="shared" si="667"/>
        <v>#DIV/0!</v>
      </c>
      <c r="R646" s="130" t="e">
        <f t="shared" si="667"/>
        <v>#DIV/0!</v>
      </c>
      <c r="S646" s="130" t="e">
        <f t="shared" si="667"/>
        <v>#DIV/0!</v>
      </c>
      <c r="T646" s="130" t="e">
        <f t="shared" si="667"/>
        <v>#DIV/0!</v>
      </c>
      <c r="U646" s="130" t="e">
        <f t="shared" si="667"/>
        <v>#DIV/0!</v>
      </c>
      <c r="V646" s="130" t="e">
        <f t="shared" si="667"/>
        <v>#DIV/0!</v>
      </c>
      <c r="W646" s="130" t="e">
        <f t="shared" si="667"/>
        <v>#DIV/0!</v>
      </c>
      <c r="X646" s="130" t="e">
        <f t="shared" si="667"/>
        <v>#DIV/0!</v>
      </c>
      <c r="Y646" s="130" t="e">
        <f t="shared" si="667"/>
        <v>#DIV/0!</v>
      </c>
      <c r="Z646" s="130" t="e">
        <f t="shared" si="667"/>
        <v>#DIV/0!</v>
      </c>
    </row>
    <row r="647" spans="1:29" outlineLevel="1" x14ac:dyDescent="0.25">
      <c r="A647" s="39" t="str">
        <f t="shared" si="660"/>
        <v>БелАЗ 7531 (БТЛ)</v>
      </c>
      <c r="B647" s="39"/>
      <c r="D647" s="113" t="str">
        <f>D633</f>
        <v>ТО, ТР, ППР</v>
      </c>
      <c r="E647" s="114" t="str">
        <f>E646</f>
        <v>руб/ткм</v>
      </c>
      <c r="F647" s="115"/>
      <c r="G647" s="116">
        <f>G574/G569</f>
        <v>1.0470350750331809</v>
      </c>
      <c r="H647" s="116">
        <f t="shared" ref="H647:Z647" si="668">H574/H569</f>
        <v>1.6558474331202051</v>
      </c>
      <c r="I647" s="116">
        <f t="shared" si="668"/>
        <v>4.623053014568149</v>
      </c>
      <c r="J647" s="116">
        <f t="shared" si="668"/>
        <v>7.0647375652773103</v>
      </c>
      <c r="K647" s="116">
        <f t="shared" si="668"/>
        <v>2.6145952766529068</v>
      </c>
      <c r="L647" s="116">
        <f t="shared" si="668"/>
        <v>4.6067877597408566</v>
      </c>
      <c r="M647" s="116">
        <f t="shared" si="668"/>
        <v>2.5086499001543636</v>
      </c>
      <c r="N647" s="116">
        <f t="shared" si="668"/>
        <v>7.1441814104054497</v>
      </c>
      <c r="O647" s="116">
        <f t="shared" si="668"/>
        <v>5.9021927928733922</v>
      </c>
      <c r="P647" s="116">
        <f t="shared" si="668"/>
        <v>2.5376048108722737</v>
      </c>
      <c r="Q647" s="116" t="e">
        <f t="shared" si="668"/>
        <v>#DIV/0!</v>
      </c>
      <c r="R647" s="116" t="e">
        <f t="shared" si="668"/>
        <v>#DIV/0!</v>
      </c>
      <c r="S647" s="116" t="e">
        <f t="shared" si="668"/>
        <v>#DIV/0!</v>
      </c>
      <c r="T647" s="116" t="e">
        <f t="shared" si="668"/>
        <v>#DIV/0!</v>
      </c>
      <c r="U647" s="116" t="e">
        <f t="shared" si="668"/>
        <v>#DIV/0!</v>
      </c>
      <c r="V647" s="116" t="e">
        <f t="shared" si="668"/>
        <v>#DIV/0!</v>
      </c>
      <c r="W647" s="116" t="e">
        <f t="shared" si="668"/>
        <v>#DIV/0!</v>
      </c>
      <c r="X647" s="116" t="e">
        <f t="shared" si="668"/>
        <v>#DIV/0!</v>
      </c>
      <c r="Y647" s="116" t="e">
        <f t="shared" si="668"/>
        <v>#DIV/0!</v>
      </c>
      <c r="Z647" s="116" t="e">
        <f t="shared" si="668"/>
        <v>#DIV/0!</v>
      </c>
    </row>
    <row r="648" spans="1:29" outlineLevel="1" x14ac:dyDescent="0.25">
      <c r="A648" s="39" t="str">
        <f t="shared" si="660"/>
        <v>БелАЗ 7531 (БТЛ)</v>
      </c>
      <c r="B648" s="39"/>
      <c r="D648" s="113" t="str">
        <f t="shared" ref="D648:D652" si="669">D634</f>
        <v>Шины</v>
      </c>
      <c r="E648" s="114" t="str">
        <f t="shared" ref="E648:E652" si="670">E647</f>
        <v>руб/ткм</v>
      </c>
      <c r="F648" s="115"/>
      <c r="G648" s="116">
        <f>G579/G569</f>
        <v>1.657837360690771</v>
      </c>
      <c r="H648" s="116">
        <f t="shared" ref="H648:Z648" si="671">H579/H569</f>
        <v>1.6578373606907706</v>
      </c>
      <c r="I648" s="116">
        <f t="shared" si="671"/>
        <v>1.6578373606907708</v>
      </c>
      <c r="J648" s="116">
        <f t="shared" si="671"/>
        <v>1.6578373606907708</v>
      </c>
      <c r="K648" s="116">
        <f t="shared" si="671"/>
        <v>1.657837360690771</v>
      </c>
      <c r="L648" s="116">
        <f t="shared" si="671"/>
        <v>1.6578373606907708</v>
      </c>
      <c r="M648" s="116">
        <f t="shared" si="671"/>
        <v>1.6578373606907706</v>
      </c>
      <c r="N648" s="116">
        <f t="shared" si="671"/>
        <v>1.6578373606907708</v>
      </c>
      <c r="O648" s="116">
        <f t="shared" si="671"/>
        <v>1.657837360690771</v>
      </c>
      <c r="P648" s="116">
        <f t="shared" si="671"/>
        <v>1.6578373606907708</v>
      </c>
      <c r="Q648" s="116" t="e">
        <f t="shared" si="671"/>
        <v>#DIV/0!</v>
      </c>
      <c r="R648" s="116" t="e">
        <f t="shared" si="671"/>
        <v>#DIV/0!</v>
      </c>
      <c r="S648" s="116" t="e">
        <f t="shared" si="671"/>
        <v>#DIV/0!</v>
      </c>
      <c r="T648" s="116" t="e">
        <f t="shared" si="671"/>
        <v>#DIV/0!</v>
      </c>
      <c r="U648" s="116" t="e">
        <f t="shared" si="671"/>
        <v>#DIV/0!</v>
      </c>
      <c r="V648" s="116" t="e">
        <f t="shared" si="671"/>
        <v>#DIV/0!</v>
      </c>
      <c r="W648" s="116" t="e">
        <f t="shared" si="671"/>
        <v>#DIV/0!</v>
      </c>
      <c r="X648" s="116" t="e">
        <f t="shared" si="671"/>
        <v>#DIV/0!</v>
      </c>
      <c r="Y648" s="116" t="e">
        <f t="shared" si="671"/>
        <v>#DIV/0!</v>
      </c>
      <c r="Z648" s="116" t="e">
        <f t="shared" si="671"/>
        <v>#DIV/0!</v>
      </c>
    </row>
    <row r="649" spans="1:29" outlineLevel="1" x14ac:dyDescent="0.25">
      <c r="A649" s="39" t="str">
        <f t="shared" si="660"/>
        <v>БелАЗ 7531 (БТЛ)</v>
      </c>
      <c r="B649" s="39"/>
      <c r="D649" s="113" t="str">
        <f t="shared" si="669"/>
        <v>Топливо</v>
      </c>
      <c r="E649" s="114" t="str">
        <f t="shared" si="670"/>
        <v>руб/ткм</v>
      </c>
      <c r="F649" s="115"/>
      <c r="G649" s="116">
        <f>G583/G569</f>
        <v>5.9417027538616862</v>
      </c>
      <c r="H649" s="116">
        <f t="shared" ref="H649:Z649" si="672">H583/H569</f>
        <v>5.941702753861688</v>
      </c>
      <c r="I649" s="116">
        <f t="shared" si="672"/>
        <v>5.9417027538616871</v>
      </c>
      <c r="J649" s="116">
        <f t="shared" si="672"/>
        <v>5.9417027538616871</v>
      </c>
      <c r="K649" s="116">
        <f t="shared" si="672"/>
        <v>5.9417027538616862</v>
      </c>
      <c r="L649" s="116">
        <f t="shared" si="672"/>
        <v>5.941702753861688</v>
      </c>
      <c r="M649" s="116">
        <f t="shared" si="672"/>
        <v>5.9417027538616871</v>
      </c>
      <c r="N649" s="116">
        <f t="shared" si="672"/>
        <v>5.9417027538616871</v>
      </c>
      <c r="O649" s="116">
        <f t="shared" si="672"/>
        <v>5.9417027538616871</v>
      </c>
      <c r="P649" s="116">
        <f t="shared" si="672"/>
        <v>5.941702753861688</v>
      </c>
      <c r="Q649" s="116" t="e">
        <f t="shared" si="672"/>
        <v>#DIV/0!</v>
      </c>
      <c r="R649" s="116" t="e">
        <f t="shared" si="672"/>
        <v>#DIV/0!</v>
      </c>
      <c r="S649" s="116" t="e">
        <f t="shared" si="672"/>
        <v>#DIV/0!</v>
      </c>
      <c r="T649" s="116" t="e">
        <f t="shared" si="672"/>
        <v>#DIV/0!</v>
      </c>
      <c r="U649" s="116" t="e">
        <f t="shared" si="672"/>
        <v>#DIV/0!</v>
      </c>
      <c r="V649" s="116" t="e">
        <f t="shared" si="672"/>
        <v>#DIV/0!</v>
      </c>
      <c r="W649" s="116" t="e">
        <f t="shared" si="672"/>
        <v>#DIV/0!</v>
      </c>
      <c r="X649" s="116" t="e">
        <f t="shared" si="672"/>
        <v>#DIV/0!</v>
      </c>
      <c r="Y649" s="116" t="e">
        <f t="shared" si="672"/>
        <v>#DIV/0!</v>
      </c>
      <c r="Z649" s="116" t="e">
        <f t="shared" si="672"/>
        <v>#DIV/0!</v>
      </c>
    </row>
    <row r="650" spans="1:29" outlineLevel="1" x14ac:dyDescent="0.25">
      <c r="A650" s="39" t="str">
        <f t="shared" si="660"/>
        <v>БелАЗ 7531 (БТЛ)</v>
      </c>
      <c r="B650" s="39"/>
      <c r="D650" s="113" t="str">
        <f t="shared" si="669"/>
        <v>Смазочные</v>
      </c>
      <c r="E650" s="114" t="str">
        <f t="shared" si="670"/>
        <v>руб/ткм</v>
      </c>
      <c r="F650" s="115"/>
      <c r="G650" s="116">
        <f>G588/G569</f>
        <v>0</v>
      </c>
      <c r="H650" s="116">
        <f t="shared" ref="H650:Z650" si="673">H588/H569</f>
        <v>0</v>
      </c>
      <c r="I650" s="116">
        <f t="shared" si="673"/>
        <v>0</v>
      </c>
      <c r="J650" s="116">
        <f t="shared" si="673"/>
        <v>0</v>
      </c>
      <c r="K650" s="116">
        <f t="shared" si="673"/>
        <v>0</v>
      </c>
      <c r="L650" s="116">
        <f t="shared" si="673"/>
        <v>0</v>
      </c>
      <c r="M650" s="116">
        <f t="shared" si="673"/>
        <v>0</v>
      </c>
      <c r="N650" s="116">
        <f t="shared" si="673"/>
        <v>0</v>
      </c>
      <c r="O650" s="116">
        <f t="shared" si="673"/>
        <v>0</v>
      </c>
      <c r="P650" s="116">
        <f t="shared" si="673"/>
        <v>0</v>
      </c>
      <c r="Q650" s="116" t="e">
        <f t="shared" si="673"/>
        <v>#DIV/0!</v>
      </c>
      <c r="R650" s="116" t="e">
        <f t="shared" si="673"/>
        <v>#DIV/0!</v>
      </c>
      <c r="S650" s="116" t="e">
        <f t="shared" si="673"/>
        <v>#DIV/0!</v>
      </c>
      <c r="T650" s="116" t="e">
        <f t="shared" si="673"/>
        <v>#DIV/0!</v>
      </c>
      <c r="U650" s="116" t="e">
        <f t="shared" si="673"/>
        <v>#DIV/0!</v>
      </c>
      <c r="V650" s="116" t="e">
        <f t="shared" si="673"/>
        <v>#DIV/0!</v>
      </c>
      <c r="W650" s="116" t="e">
        <f t="shared" si="673"/>
        <v>#DIV/0!</v>
      </c>
      <c r="X650" s="116" t="e">
        <f t="shared" si="673"/>
        <v>#DIV/0!</v>
      </c>
      <c r="Y650" s="116" t="e">
        <f t="shared" si="673"/>
        <v>#DIV/0!</v>
      </c>
      <c r="Z650" s="116" t="e">
        <f t="shared" si="673"/>
        <v>#DIV/0!</v>
      </c>
    </row>
    <row r="651" spans="1:29" outlineLevel="1" x14ac:dyDescent="0.25">
      <c r="A651" s="39" t="str">
        <f t="shared" si="660"/>
        <v>БелАЗ 7531 (БТЛ)</v>
      </c>
      <c r="B651" s="39"/>
      <c r="D651" s="113" t="str">
        <f t="shared" si="669"/>
        <v>Затраты на персонал</v>
      </c>
      <c r="E651" s="114" t="str">
        <f t="shared" si="670"/>
        <v>руб/ткм</v>
      </c>
      <c r="F651" s="115"/>
      <c r="G651" s="116">
        <f>G590/G569</f>
        <v>1.5726146908931127</v>
      </c>
      <c r="H651" s="116">
        <f t="shared" ref="H651:Z651" si="674">H590/H569</f>
        <v>1.5563056669220707</v>
      </c>
      <c r="I651" s="116">
        <f t="shared" si="674"/>
        <v>1.4756797141194802</v>
      </c>
      <c r="J651" s="116">
        <f t="shared" si="674"/>
        <v>1.5225660455517542</v>
      </c>
      <c r="K651" s="116">
        <f t="shared" si="674"/>
        <v>1.4085052845354766</v>
      </c>
      <c r="L651" s="116">
        <f t="shared" si="674"/>
        <v>1.4207885260000792</v>
      </c>
      <c r="M651" s="116">
        <f t="shared" si="674"/>
        <v>1.5235819691366042</v>
      </c>
      <c r="N651" s="116">
        <f t="shared" si="674"/>
        <v>1.4442912790152944</v>
      </c>
      <c r="O651" s="116">
        <f t="shared" si="674"/>
        <v>1.4398024442303554</v>
      </c>
      <c r="P651" s="116">
        <f t="shared" si="674"/>
        <v>1.4873964772729669</v>
      </c>
      <c r="Q651" s="116" t="e">
        <f t="shared" si="674"/>
        <v>#DIV/0!</v>
      </c>
      <c r="R651" s="116" t="e">
        <f t="shared" si="674"/>
        <v>#DIV/0!</v>
      </c>
      <c r="S651" s="116" t="e">
        <f t="shared" si="674"/>
        <v>#DIV/0!</v>
      </c>
      <c r="T651" s="116" t="e">
        <f t="shared" si="674"/>
        <v>#DIV/0!</v>
      </c>
      <c r="U651" s="116" t="e">
        <f t="shared" si="674"/>
        <v>#DIV/0!</v>
      </c>
      <c r="V651" s="116" t="e">
        <f t="shared" si="674"/>
        <v>#DIV/0!</v>
      </c>
      <c r="W651" s="116" t="e">
        <f t="shared" si="674"/>
        <v>#DIV/0!</v>
      </c>
      <c r="X651" s="116" t="e">
        <f t="shared" si="674"/>
        <v>#DIV/0!</v>
      </c>
      <c r="Y651" s="116" t="e">
        <f t="shared" si="674"/>
        <v>#DIV/0!</v>
      </c>
      <c r="Z651" s="116" t="e">
        <f t="shared" si="674"/>
        <v>#DIV/0!</v>
      </c>
    </row>
    <row r="652" spans="1:29" outlineLevel="1" x14ac:dyDescent="0.25">
      <c r="A652" s="39" t="str">
        <f t="shared" si="660"/>
        <v>БелАЗ 7531 (БТЛ)</v>
      </c>
      <c r="B652" s="39"/>
      <c r="D652" s="113" t="str">
        <f t="shared" si="669"/>
        <v>Транспортный налог</v>
      </c>
      <c r="E652" s="114" t="str">
        <f t="shared" si="670"/>
        <v>руб/ткм</v>
      </c>
      <c r="F652" s="115"/>
      <c r="G652" s="116">
        <f>G594/G569</f>
        <v>1.8340904732179295E-2</v>
      </c>
      <c r="H652" s="116">
        <f t="shared" ref="H652:Z652" si="675">H594/H569</f>
        <v>1.8150697775154219E-2</v>
      </c>
      <c r="I652" s="116">
        <f t="shared" si="675"/>
        <v>1.7210382942883583E-2</v>
      </c>
      <c r="J652" s="116">
        <f t="shared" si="675"/>
        <v>1.7757203307096476E-2</v>
      </c>
      <c r="K652" s="116">
        <f t="shared" si="675"/>
        <v>1.6426948945621991E-2</v>
      </c>
      <c r="L652" s="116">
        <f t="shared" si="675"/>
        <v>1.657020448228284E-2</v>
      </c>
      <c r="M652" s="116">
        <f t="shared" si="675"/>
        <v>1.7769051700598591E-2</v>
      </c>
      <c r="N652" s="116">
        <f t="shared" si="675"/>
        <v>1.6844309612097694E-2</v>
      </c>
      <c r="O652" s="116">
        <f t="shared" si="675"/>
        <v>1.6791957760353065E-2</v>
      </c>
      <c r="P652" s="116">
        <f t="shared" si="675"/>
        <v>1.7347031823255903E-2</v>
      </c>
      <c r="Q652" s="116" t="e">
        <f t="shared" si="675"/>
        <v>#DIV/0!</v>
      </c>
      <c r="R652" s="116" t="e">
        <f t="shared" si="675"/>
        <v>#DIV/0!</v>
      </c>
      <c r="S652" s="116" t="e">
        <f t="shared" si="675"/>
        <v>#DIV/0!</v>
      </c>
      <c r="T652" s="116" t="e">
        <f t="shared" si="675"/>
        <v>#DIV/0!</v>
      </c>
      <c r="U652" s="116" t="e">
        <f t="shared" si="675"/>
        <v>#DIV/0!</v>
      </c>
      <c r="V652" s="116" t="e">
        <f t="shared" si="675"/>
        <v>#DIV/0!</v>
      </c>
      <c r="W652" s="116" t="e">
        <f t="shared" si="675"/>
        <v>#DIV/0!</v>
      </c>
      <c r="X652" s="116" t="e">
        <f t="shared" si="675"/>
        <v>#DIV/0!</v>
      </c>
      <c r="Y652" s="116" t="e">
        <f t="shared" si="675"/>
        <v>#DIV/0!</v>
      </c>
      <c r="Z652" s="116" t="e">
        <f t="shared" si="675"/>
        <v>#DIV/0!</v>
      </c>
    </row>
    <row r="653" spans="1:29" outlineLevel="1" x14ac:dyDescent="0.25">
      <c r="A653" s="39" t="str">
        <f t="shared" si="660"/>
        <v>БелАЗ 7531 (БТЛ)</v>
      </c>
      <c r="B653" s="39"/>
      <c r="D653" s="121"/>
      <c r="E653" s="12"/>
      <c r="F653" s="122"/>
      <c r="G653" s="131">
        <f>G646-(G573-G599)/G569</f>
        <v>0</v>
      </c>
      <c r="H653" s="131">
        <f t="shared" ref="H653:Z653" si="676">H646-(H573-H599)/H569</f>
        <v>0</v>
      </c>
      <c r="I653" s="131">
        <f t="shared" si="676"/>
        <v>0</v>
      </c>
      <c r="J653" s="131">
        <f t="shared" si="676"/>
        <v>0</v>
      </c>
      <c r="K653" s="131">
        <f t="shared" si="676"/>
        <v>0</v>
      </c>
      <c r="L653" s="131">
        <f t="shared" si="676"/>
        <v>0</v>
      </c>
      <c r="M653" s="131">
        <f t="shared" si="676"/>
        <v>0</v>
      </c>
      <c r="N653" s="131">
        <f t="shared" si="676"/>
        <v>0</v>
      </c>
      <c r="O653" s="131">
        <f t="shared" si="676"/>
        <v>0</v>
      </c>
      <c r="P653" s="131">
        <f t="shared" si="676"/>
        <v>0</v>
      </c>
      <c r="Q653" s="131" t="e">
        <f t="shared" si="676"/>
        <v>#DIV/0!</v>
      </c>
      <c r="R653" s="131" t="e">
        <f t="shared" si="676"/>
        <v>#DIV/0!</v>
      </c>
      <c r="S653" s="131" t="e">
        <f t="shared" si="676"/>
        <v>#DIV/0!</v>
      </c>
      <c r="T653" s="131" t="e">
        <f t="shared" si="676"/>
        <v>#DIV/0!</v>
      </c>
      <c r="U653" s="131" t="e">
        <f t="shared" si="676"/>
        <v>#DIV/0!</v>
      </c>
      <c r="V653" s="131" t="e">
        <f t="shared" si="676"/>
        <v>#DIV/0!</v>
      </c>
      <c r="W653" s="131" t="e">
        <f t="shared" si="676"/>
        <v>#DIV/0!</v>
      </c>
      <c r="X653" s="131" t="e">
        <f t="shared" si="676"/>
        <v>#DIV/0!</v>
      </c>
      <c r="Y653" s="131" t="e">
        <f t="shared" si="676"/>
        <v>#DIV/0!</v>
      </c>
      <c r="Z653" s="131" t="e">
        <f t="shared" si="676"/>
        <v>#DIV/0!</v>
      </c>
    </row>
    <row r="654" spans="1:29" outlineLevel="1" x14ac:dyDescent="0.25">
      <c r="A654" s="2" t="s">
        <v>45</v>
      </c>
    </row>
    <row r="655" spans="1:29" x14ac:dyDescent="0.25">
      <c r="A655" s="2" t="s">
        <v>45</v>
      </c>
    </row>
  </sheetData>
  <autoFilter ref="A1:AC1" xr:uid="{C5620E58-59AD-4637-8601-12BF545DF88B}"/>
  <conditionalFormatting sqref="G84:Z84">
    <cfRule type="cellIs" dxfId="39" priority="7" operator="equal">
      <formula>$AC$84</formula>
    </cfRule>
  </conditionalFormatting>
  <conditionalFormatting sqref="G177:Z177">
    <cfRule type="cellIs" dxfId="38" priority="6" operator="equal">
      <formula>$AC$177</formula>
    </cfRule>
  </conditionalFormatting>
  <conditionalFormatting sqref="G270:Z270">
    <cfRule type="cellIs" dxfId="37" priority="5" operator="equal">
      <formula>$AC$270</formula>
    </cfRule>
  </conditionalFormatting>
  <conditionalFormatting sqref="G363:Z363">
    <cfRule type="cellIs" dxfId="36" priority="4" operator="equal">
      <formula>$AC$363</formula>
    </cfRule>
  </conditionalFormatting>
  <conditionalFormatting sqref="G456:Z456">
    <cfRule type="cellIs" dxfId="35" priority="3" operator="equal">
      <formula>$AC$456</formula>
    </cfRule>
  </conditionalFormatting>
  <conditionalFormatting sqref="G549:Z549">
    <cfRule type="cellIs" dxfId="34" priority="2" operator="equal">
      <formula>$AC$549</formula>
    </cfRule>
  </conditionalFormatting>
  <conditionalFormatting sqref="G642:Z642">
    <cfRule type="cellIs" dxfId="33" priority="1" operator="equal">
      <formula>$AC$642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EFDD-65AF-4F14-8865-45DF0C679C61}">
  <sheetPr>
    <tabColor rgb="FFFF0000"/>
  </sheetPr>
  <dimension ref="A1:AA295"/>
  <sheetViews>
    <sheetView showGridLines="0" workbookViewId="0">
      <pane xSplit="4" ySplit="4" topLeftCell="E49" activePane="bottomRight" state="frozen"/>
      <selection activeCell="D46" sqref="D46"/>
      <selection pane="topRight" activeCell="D46" sqref="D46"/>
      <selection pane="bottomLeft" activeCell="D46" sqref="D46"/>
      <selection pane="bottomRight" activeCell="O71" sqref="O71"/>
    </sheetView>
  </sheetViews>
  <sheetFormatPr defaultRowHeight="13.6" outlineLevelRow="1" outlineLevelCol="1" x14ac:dyDescent="0.25"/>
  <cols>
    <col min="1" max="1" width="3.5" style="2" customWidth="1" outlineLevel="1"/>
    <col min="2" max="2" width="5" style="2" customWidth="1"/>
    <col min="3" max="3" width="43.25" style="2" bestFit="1" customWidth="1"/>
    <col min="4" max="4" width="7.375" style="2" bestFit="1" customWidth="1"/>
    <col min="5" max="24" width="8.125" style="2" customWidth="1"/>
    <col min="25" max="25" width="14" style="2" customWidth="1" outlineLevel="1"/>
    <col min="26" max="26" width="14" style="2" bestFit="1" customWidth="1" outlineLevel="1"/>
    <col min="27" max="27" width="9" style="2" outlineLevel="1"/>
    <col min="28" max="16384" width="9" style="2"/>
  </cols>
  <sheetData>
    <row r="1" spans="1:26" x14ac:dyDescent="0.25">
      <c r="E1" s="56">
        <f>ТСО_1!G2</f>
        <v>2027</v>
      </c>
      <c r="F1" s="56">
        <f>ТСО_1!H2</f>
        <v>2028</v>
      </c>
      <c r="G1" s="56">
        <f>ТСО_1!I2</f>
        <v>2029</v>
      </c>
      <c r="H1" s="56">
        <f>ТСО_1!J2</f>
        <v>2030</v>
      </c>
      <c r="I1" s="56">
        <f>ТСО_1!K2</f>
        <v>2031</v>
      </c>
      <c r="J1" s="56">
        <f>ТСО_1!L2</f>
        <v>2032</v>
      </c>
      <c r="K1" s="56">
        <f>ТСО_1!M2</f>
        <v>2033</v>
      </c>
      <c r="L1" s="56">
        <f>ТСО_1!N2</f>
        <v>2034</v>
      </c>
      <c r="M1" s="56">
        <f>ТСО_1!O2</f>
        <v>2035</v>
      </c>
      <c r="N1" s="56">
        <f>ТСО_1!P2</f>
        <v>2036</v>
      </c>
      <c r="O1" s="56">
        <f>ТСО_1!Q2</f>
        <v>2037</v>
      </c>
      <c r="P1" s="56">
        <f>ТСО_1!R2</f>
        <v>2038</v>
      </c>
      <c r="Q1" s="56">
        <f>ТСО_1!S2</f>
        <v>2039</v>
      </c>
      <c r="R1" s="56">
        <f>ТСО_1!T2</f>
        <v>2040</v>
      </c>
      <c r="S1" s="56">
        <f>ТСО_1!U2</f>
        <v>2041</v>
      </c>
      <c r="T1" s="56">
        <f>ТСО_1!V2</f>
        <v>2042</v>
      </c>
      <c r="U1" s="56">
        <f>ТСО_1!W2</f>
        <v>2043</v>
      </c>
      <c r="V1" s="56">
        <f>ТСО_1!X2</f>
        <v>2044</v>
      </c>
      <c r="W1" s="56">
        <f>ТСО_1!Y2</f>
        <v>2045</v>
      </c>
      <c r="X1" s="56">
        <f>ТСО_1!Z2</f>
        <v>2046</v>
      </c>
    </row>
    <row r="2" spans="1:26" ht="14.3" x14ac:dyDescent="0.25">
      <c r="B2" s="3" t="s">
        <v>195</v>
      </c>
    </row>
    <row r="3" spans="1:26" x14ac:dyDescent="0.25">
      <c r="Y3" s="132" t="s">
        <v>44</v>
      </c>
      <c r="Z3" s="132" t="s">
        <v>44</v>
      </c>
    </row>
    <row r="4" spans="1:26" x14ac:dyDescent="0.25">
      <c r="A4" s="56">
        <v>1</v>
      </c>
      <c r="B4" s="133" t="s">
        <v>3</v>
      </c>
      <c r="C4" s="134" t="s">
        <v>99</v>
      </c>
      <c r="D4" s="133" t="s">
        <v>8</v>
      </c>
      <c r="E4" s="133">
        <f>ТСО_1!G1</f>
        <v>1</v>
      </c>
      <c r="F4" s="133">
        <f>ТСО_1!H1</f>
        <v>2</v>
      </c>
      <c r="G4" s="133">
        <f>ТСО_1!I1</f>
        <v>3</v>
      </c>
      <c r="H4" s="133">
        <f>ТСО_1!J1</f>
        <v>4</v>
      </c>
      <c r="I4" s="133">
        <f>ТСО_1!K1</f>
        <v>5</v>
      </c>
      <c r="J4" s="133">
        <f>ТСО_1!L1</f>
        <v>6</v>
      </c>
      <c r="K4" s="133">
        <f>ТСО_1!M1</f>
        <v>7</v>
      </c>
      <c r="L4" s="133">
        <f>ТСО_1!N1</f>
        <v>8</v>
      </c>
      <c r="M4" s="133">
        <f>ТСО_1!O1</f>
        <v>9</v>
      </c>
      <c r="N4" s="133">
        <f>ТСО_1!P1</f>
        <v>10</v>
      </c>
      <c r="O4" s="133">
        <f>ТСО_1!Q1</f>
        <v>11</v>
      </c>
      <c r="P4" s="133">
        <f>ТСО_1!R1</f>
        <v>12</v>
      </c>
      <c r="Q4" s="133">
        <f>ТСО_1!S1</f>
        <v>13</v>
      </c>
      <c r="R4" s="133">
        <f>ТСО_1!T1</f>
        <v>14</v>
      </c>
      <c r="S4" s="133">
        <f>ТСО_1!U1</f>
        <v>15</v>
      </c>
      <c r="T4" s="133">
        <f>ТСО_1!V1</f>
        <v>16</v>
      </c>
      <c r="U4" s="133">
        <f>ТСО_1!W1</f>
        <v>17</v>
      </c>
      <c r="V4" s="133">
        <f>ТСО_1!X1</f>
        <v>18</v>
      </c>
      <c r="W4" s="133">
        <f>ТСО_1!Y1</f>
        <v>19</v>
      </c>
      <c r="X4" s="133">
        <f>ТСО_1!Z1</f>
        <v>20</v>
      </c>
      <c r="Y4" s="179"/>
      <c r="Z4" s="56" t="s">
        <v>100</v>
      </c>
    </row>
    <row r="5" spans="1:26" outlineLevel="1" x14ac:dyDescent="0.25">
      <c r="A5" s="56">
        <v>0</v>
      </c>
      <c r="B5" s="135" t="s">
        <v>45</v>
      </c>
      <c r="C5" s="136" t="s">
        <v>101</v>
      </c>
      <c r="D5" s="6" t="s">
        <v>102</v>
      </c>
      <c r="E5" s="457">
        <f>Производительность!E5</f>
        <v>365</v>
      </c>
      <c r="F5" s="457">
        <f>Производительность!F5</f>
        <v>365</v>
      </c>
      <c r="G5" s="457">
        <f>Производительность!G5</f>
        <v>365</v>
      </c>
      <c r="H5" s="457">
        <f>Производительность!H5</f>
        <v>365</v>
      </c>
      <c r="I5" s="457">
        <f>Производительность!I5</f>
        <v>365</v>
      </c>
      <c r="J5" s="457">
        <f>Производительность!J5</f>
        <v>365</v>
      </c>
      <c r="K5" s="457">
        <f>Производительность!K5</f>
        <v>365</v>
      </c>
      <c r="L5" s="457">
        <f>Производительность!L5</f>
        <v>365</v>
      </c>
      <c r="M5" s="457">
        <f>Производительность!M5</f>
        <v>365</v>
      </c>
      <c r="N5" s="457">
        <f>Производительность!N5</f>
        <v>365</v>
      </c>
      <c r="O5" s="457">
        <f>Производительность!O5</f>
        <v>365</v>
      </c>
      <c r="P5" s="457">
        <f>Производительность!P5</f>
        <v>365</v>
      </c>
      <c r="Q5" s="457">
        <f>Производительность!Q5</f>
        <v>365</v>
      </c>
      <c r="R5" s="457">
        <f>Производительность!R5</f>
        <v>365</v>
      </c>
      <c r="S5" s="457">
        <f>Производительность!S5</f>
        <v>365</v>
      </c>
      <c r="T5" s="457">
        <f>Производительность!T5</f>
        <v>365</v>
      </c>
      <c r="U5" s="457">
        <f>Производительность!U5</f>
        <v>365</v>
      </c>
      <c r="V5" s="457">
        <f>Производительность!V5</f>
        <v>365</v>
      </c>
      <c r="W5" s="457">
        <f>Производительность!W5</f>
        <v>365</v>
      </c>
      <c r="X5" s="457">
        <f>Производительность!X5</f>
        <v>365</v>
      </c>
      <c r="Y5" s="179"/>
    </row>
    <row r="6" spans="1:26" outlineLevel="1" x14ac:dyDescent="0.25">
      <c r="A6" s="56">
        <v>0</v>
      </c>
      <c r="B6" s="68" t="s">
        <v>45</v>
      </c>
      <c r="C6" s="101" t="s">
        <v>103</v>
      </c>
      <c r="D6" s="9" t="s">
        <v>104</v>
      </c>
      <c r="E6" s="74">
        <f>E5*24</f>
        <v>8760</v>
      </c>
      <c r="F6" s="74">
        <f t="shared" ref="F6:X6" si="0">F5*24</f>
        <v>8760</v>
      </c>
      <c r="G6" s="74">
        <f t="shared" si="0"/>
        <v>8760</v>
      </c>
      <c r="H6" s="74">
        <f t="shared" si="0"/>
        <v>8760</v>
      </c>
      <c r="I6" s="74">
        <f t="shared" si="0"/>
        <v>8760</v>
      </c>
      <c r="J6" s="74">
        <f t="shared" si="0"/>
        <v>8760</v>
      </c>
      <c r="K6" s="74">
        <f t="shared" si="0"/>
        <v>8760</v>
      </c>
      <c r="L6" s="74">
        <f t="shared" si="0"/>
        <v>8760</v>
      </c>
      <c r="M6" s="74">
        <f t="shared" si="0"/>
        <v>8760</v>
      </c>
      <c r="N6" s="74">
        <f t="shared" si="0"/>
        <v>8760</v>
      </c>
      <c r="O6" s="74">
        <f t="shared" si="0"/>
        <v>8760</v>
      </c>
      <c r="P6" s="74">
        <f t="shared" si="0"/>
        <v>8760</v>
      </c>
      <c r="Q6" s="74">
        <f t="shared" si="0"/>
        <v>8760</v>
      </c>
      <c r="R6" s="74">
        <f t="shared" si="0"/>
        <v>8760</v>
      </c>
      <c r="S6" s="74">
        <f t="shared" si="0"/>
        <v>8760</v>
      </c>
      <c r="T6" s="74">
        <f t="shared" si="0"/>
        <v>8760</v>
      </c>
      <c r="U6" s="74">
        <f t="shared" si="0"/>
        <v>8760</v>
      </c>
      <c r="V6" s="74">
        <f t="shared" si="0"/>
        <v>8760</v>
      </c>
      <c r="W6" s="74">
        <f t="shared" si="0"/>
        <v>8760</v>
      </c>
      <c r="X6" s="74">
        <f t="shared" si="0"/>
        <v>8760</v>
      </c>
      <c r="Y6" s="179"/>
    </row>
    <row r="7" spans="1:26" x14ac:dyDescent="0.25">
      <c r="A7" s="139">
        <f>A23</f>
        <v>1</v>
      </c>
      <c r="B7" s="68">
        <v>1</v>
      </c>
      <c r="C7" s="67" t="s">
        <v>105</v>
      </c>
      <c r="D7" s="68" t="s">
        <v>106</v>
      </c>
      <c r="E7" s="458">
        <f>Производительность!E7</f>
        <v>3.0395841095397622</v>
      </c>
      <c r="F7" s="458">
        <f>Производительность!F7</f>
        <v>3.369823038832374</v>
      </c>
      <c r="G7" s="458">
        <f>Производительность!G7</f>
        <v>4.0467053875846224</v>
      </c>
      <c r="H7" s="458">
        <f>Производительность!H7</f>
        <v>3.9059063238423302</v>
      </c>
      <c r="I7" s="458">
        <f>Производительность!I7</f>
        <v>4.7952057859231418</v>
      </c>
      <c r="J7" s="458">
        <f>Производительность!J7</f>
        <v>5.3561072845576057</v>
      </c>
      <c r="K7" s="458">
        <f>Производительность!K7</f>
        <v>4.419179771876939</v>
      </c>
      <c r="L7" s="458">
        <f>Производительность!L7</f>
        <v>4.5262380343819704</v>
      </c>
      <c r="M7" s="458">
        <f>Производительность!M7</f>
        <v>5.3840572084989065</v>
      </c>
      <c r="N7" s="458">
        <f>Производительность!N7</f>
        <v>4.8197555032937718</v>
      </c>
      <c r="O7" s="458">
        <f>Производительность!O7</f>
        <v>4.7397683360965877</v>
      </c>
      <c r="P7" s="458">
        <f>Производительность!P7</f>
        <v>5.7368197620262222</v>
      </c>
      <c r="Q7" s="458">
        <f>Производительность!Q7</f>
        <v>5.8316077393561105</v>
      </c>
      <c r="R7" s="458">
        <f>Производительность!R7</f>
        <v>6.0469832948366795</v>
      </c>
      <c r="S7" s="458">
        <f>Производительность!S7</f>
        <v>5.999946528386281</v>
      </c>
      <c r="T7" s="458">
        <f>Производительность!T7</f>
        <v>5.6103505932542266</v>
      </c>
      <c r="U7" s="458">
        <f>Производительность!U7</f>
        <v>4.0567755435885688</v>
      </c>
      <c r="V7" s="458">
        <f>Производительность!V7</f>
        <v>4.6317428907398046</v>
      </c>
      <c r="W7" s="458">
        <f>Производительность!W7</f>
        <v>5.9728866141739037</v>
      </c>
      <c r="X7" s="458">
        <f>Производительность!X7</f>
        <v>6.7844022745056485</v>
      </c>
      <c r="Y7" s="179"/>
    </row>
    <row r="8" spans="1:26" x14ac:dyDescent="0.25">
      <c r="A8" s="139">
        <f t="shared" ref="A8:A22" si="1">A24</f>
        <v>1</v>
      </c>
      <c r="B8" s="9"/>
      <c r="C8" s="141" t="str">
        <f>Свод_1!F23</f>
        <v>NHL NTE 240</v>
      </c>
      <c r="D8" s="9" t="str">
        <f>D7</f>
        <v>км</v>
      </c>
      <c r="E8" s="142">
        <f>IF($A8=1,E$7,0)</f>
        <v>3.0395841095397622</v>
      </c>
      <c r="F8" s="142">
        <f t="shared" ref="F8:X22" si="2">IF($A8=1,F$7,0)</f>
        <v>3.369823038832374</v>
      </c>
      <c r="G8" s="142">
        <f t="shared" si="2"/>
        <v>4.0467053875846224</v>
      </c>
      <c r="H8" s="142">
        <f t="shared" si="2"/>
        <v>3.9059063238423302</v>
      </c>
      <c r="I8" s="142">
        <f t="shared" si="2"/>
        <v>4.7952057859231418</v>
      </c>
      <c r="J8" s="142">
        <f t="shared" si="2"/>
        <v>5.3561072845576057</v>
      </c>
      <c r="K8" s="142">
        <f t="shared" si="2"/>
        <v>4.419179771876939</v>
      </c>
      <c r="L8" s="142">
        <f t="shared" si="2"/>
        <v>4.5262380343819704</v>
      </c>
      <c r="M8" s="142">
        <f t="shared" si="2"/>
        <v>5.3840572084989065</v>
      </c>
      <c r="N8" s="142">
        <f t="shared" si="2"/>
        <v>4.8197555032937718</v>
      </c>
      <c r="O8" s="142">
        <f t="shared" si="2"/>
        <v>4.7397683360965877</v>
      </c>
      <c r="P8" s="142">
        <f t="shared" si="2"/>
        <v>5.7368197620262222</v>
      </c>
      <c r="Q8" s="142">
        <f t="shared" si="2"/>
        <v>5.8316077393561105</v>
      </c>
      <c r="R8" s="142">
        <f t="shared" si="2"/>
        <v>6.0469832948366795</v>
      </c>
      <c r="S8" s="142">
        <f t="shared" si="2"/>
        <v>5.999946528386281</v>
      </c>
      <c r="T8" s="142">
        <f t="shared" si="2"/>
        <v>5.6103505932542266</v>
      </c>
      <c r="U8" s="142">
        <f t="shared" si="2"/>
        <v>4.0567755435885688</v>
      </c>
      <c r="V8" s="142">
        <f t="shared" si="2"/>
        <v>4.6317428907398046</v>
      </c>
      <c r="W8" s="142">
        <f t="shared" si="2"/>
        <v>5.9728866141739037</v>
      </c>
      <c r="X8" s="142">
        <f t="shared" si="2"/>
        <v>6.7844022745056485</v>
      </c>
      <c r="Y8" s="179"/>
    </row>
    <row r="9" spans="1:26" x14ac:dyDescent="0.25">
      <c r="A9" s="139">
        <f t="shared" si="1"/>
        <v>1</v>
      </c>
      <c r="B9" s="9"/>
      <c r="C9" s="141" t="str">
        <f>Свод_1!G23</f>
        <v>Estar ESDE240 (ГПБ К)</v>
      </c>
      <c r="D9" s="9" t="str">
        <f t="shared" ref="D9:D22" si="3">D8</f>
        <v>км</v>
      </c>
      <c r="E9" s="142">
        <f t="shared" ref="E9:T22" si="4">IF($A9=1,E$7,0)</f>
        <v>3.0395841095397622</v>
      </c>
      <c r="F9" s="142">
        <f t="shared" si="4"/>
        <v>3.369823038832374</v>
      </c>
      <c r="G9" s="142">
        <f t="shared" si="4"/>
        <v>4.0467053875846224</v>
      </c>
      <c r="H9" s="142">
        <f t="shared" si="4"/>
        <v>3.9059063238423302</v>
      </c>
      <c r="I9" s="142">
        <f t="shared" si="4"/>
        <v>4.7952057859231418</v>
      </c>
      <c r="J9" s="142">
        <f t="shared" si="4"/>
        <v>5.3561072845576057</v>
      </c>
      <c r="K9" s="142">
        <f t="shared" si="4"/>
        <v>4.419179771876939</v>
      </c>
      <c r="L9" s="142">
        <f t="shared" si="4"/>
        <v>4.5262380343819704</v>
      </c>
      <c r="M9" s="142">
        <f t="shared" si="4"/>
        <v>5.3840572084989065</v>
      </c>
      <c r="N9" s="142">
        <f t="shared" si="4"/>
        <v>4.8197555032937718</v>
      </c>
      <c r="O9" s="142">
        <f t="shared" si="4"/>
        <v>4.7397683360965877</v>
      </c>
      <c r="P9" s="142">
        <f t="shared" si="4"/>
        <v>5.7368197620262222</v>
      </c>
      <c r="Q9" s="142">
        <f t="shared" si="4"/>
        <v>5.8316077393561105</v>
      </c>
      <c r="R9" s="142">
        <f t="shared" si="4"/>
        <v>6.0469832948366795</v>
      </c>
      <c r="S9" s="142">
        <f t="shared" si="4"/>
        <v>5.999946528386281</v>
      </c>
      <c r="T9" s="142">
        <f t="shared" si="4"/>
        <v>5.6103505932542266</v>
      </c>
      <c r="U9" s="142">
        <f t="shared" si="2"/>
        <v>4.0567755435885688</v>
      </c>
      <c r="V9" s="142">
        <f t="shared" si="2"/>
        <v>4.6317428907398046</v>
      </c>
      <c r="W9" s="142">
        <f t="shared" si="2"/>
        <v>5.9728866141739037</v>
      </c>
      <c r="X9" s="142">
        <f t="shared" si="2"/>
        <v>6.7844022745056485</v>
      </c>
      <c r="Y9" s="179"/>
    </row>
    <row r="10" spans="1:26" x14ac:dyDescent="0.25">
      <c r="A10" s="139">
        <f t="shared" si="1"/>
        <v>1</v>
      </c>
      <c r="B10" s="9"/>
      <c r="C10" s="141" t="str">
        <f>Свод_1!H23</f>
        <v>SANY SET240S</v>
      </c>
      <c r="D10" s="9" t="str">
        <f t="shared" si="3"/>
        <v>км</v>
      </c>
      <c r="E10" s="142">
        <f t="shared" si="4"/>
        <v>3.0395841095397622</v>
      </c>
      <c r="F10" s="142">
        <f t="shared" si="2"/>
        <v>3.369823038832374</v>
      </c>
      <c r="G10" s="142">
        <f t="shared" si="2"/>
        <v>4.0467053875846224</v>
      </c>
      <c r="H10" s="142">
        <f t="shared" si="2"/>
        <v>3.9059063238423302</v>
      </c>
      <c r="I10" s="142">
        <f t="shared" si="2"/>
        <v>4.7952057859231418</v>
      </c>
      <c r="J10" s="142">
        <f t="shared" si="2"/>
        <v>5.3561072845576057</v>
      </c>
      <c r="K10" s="142">
        <f t="shared" si="2"/>
        <v>4.419179771876939</v>
      </c>
      <c r="L10" s="142">
        <f t="shared" si="2"/>
        <v>4.5262380343819704</v>
      </c>
      <c r="M10" s="142">
        <f t="shared" si="2"/>
        <v>5.3840572084989065</v>
      </c>
      <c r="N10" s="142">
        <f t="shared" si="2"/>
        <v>4.8197555032937718</v>
      </c>
      <c r="O10" s="142">
        <f t="shared" si="2"/>
        <v>4.7397683360965877</v>
      </c>
      <c r="P10" s="142">
        <f t="shared" si="2"/>
        <v>5.7368197620262222</v>
      </c>
      <c r="Q10" s="142">
        <f t="shared" si="2"/>
        <v>5.8316077393561105</v>
      </c>
      <c r="R10" s="142">
        <f t="shared" si="2"/>
        <v>6.0469832948366795</v>
      </c>
      <c r="S10" s="142">
        <f t="shared" si="2"/>
        <v>5.999946528386281</v>
      </c>
      <c r="T10" s="142">
        <f t="shared" si="2"/>
        <v>5.6103505932542266</v>
      </c>
      <c r="U10" s="142">
        <f t="shared" si="2"/>
        <v>4.0567755435885688</v>
      </c>
      <c r="V10" s="142">
        <f t="shared" si="2"/>
        <v>4.6317428907398046</v>
      </c>
      <c r="W10" s="142">
        <f t="shared" si="2"/>
        <v>5.9728866141739037</v>
      </c>
      <c r="X10" s="142">
        <f t="shared" si="2"/>
        <v>6.7844022745056485</v>
      </c>
      <c r="Y10" s="179"/>
    </row>
    <row r="11" spans="1:26" x14ac:dyDescent="0.25">
      <c r="A11" s="139">
        <f t="shared" si="1"/>
        <v>1</v>
      </c>
      <c r="B11" s="9"/>
      <c r="C11" s="141" t="str">
        <f>Свод_1!I23</f>
        <v>TZCO TZE240</v>
      </c>
      <c r="D11" s="9" t="str">
        <f t="shared" si="3"/>
        <v>км</v>
      </c>
      <c r="E11" s="142">
        <f t="shared" si="4"/>
        <v>3.0395841095397622</v>
      </c>
      <c r="F11" s="142">
        <f t="shared" si="2"/>
        <v>3.369823038832374</v>
      </c>
      <c r="G11" s="142">
        <f t="shared" si="2"/>
        <v>4.0467053875846224</v>
      </c>
      <c r="H11" s="142">
        <f t="shared" si="2"/>
        <v>3.9059063238423302</v>
      </c>
      <c r="I11" s="142">
        <f t="shared" si="2"/>
        <v>4.7952057859231418</v>
      </c>
      <c r="J11" s="142">
        <f t="shared" si="2"/>
        <v>5.3561072845576057</v>
      </c>
      <c r="K11" s="142">
        <f t="shared" si="2"/>
        <v>4.419179771876939</v>
      </c>
      <c r="L11" s="142">
        <f t="shared" si="2"/>
        <v>4.5262380343819704</v>
      </c>
      <c r="M11" s="142">
        <f t="shared" si="2"/>
        <v>5.3840572084989065</v>
      </c>
      <c r="N11" s="142">
        <f t="shared" si="2"/>
        <v>4.8197555032937718</v>
      </c>
      <c r="O11" s="142">
        <f t="shared" si="2"/>
        <v>4.7397683360965877</v>
      </c>
      <c r="P11" s="142">
        <f t="shared" si="2"/>
        <v>5.7368197620262222</v>
      </c>
      <c r="Q11" s="142">
        <f t="shared" si="2"/>
        <v>5.8316077393561105</v>
      </c>
      <c r="R11" s="142">
        <f t="shared" si="2"/>
        <v>6.0469832948366795</v>
      </c>
      <c r="S11" s="142">
        <f t="shared" si="2"/>
        <v>5.999946528386281</v>
      </c>
      <c r="T11" s="142">
        <f t="shared" si="2"/>
        <v>5.6103505932542266</v>
      </c>
      <c r="U11" s="142">
        <f t="shared" si="2"/>
        <v>4.0567755435885688</v>
      </c>
      <c r="V11" s="142">
        <f t="shared" si="2"/>
        <v>4.6317428907398046</v>
      </c>
      <c r="W11" s="142">
        <f t="shared" si="2"/>
        <v>5.9728866141739037</v>
      </c>
      <c r="X11" s="142">
        <f t="shared" si="2"/>
        <v>6.7844022745056485</v>
      </c>
      <c r="Y11" s="179"/>
    </row>
    <row r="12" spans="1:26" x14ac:dyDescent="0.25">
      <c r="A12" s="139">
        <f t="shared" si="1"/>
        <v>1</v>
      </c>
      <c r="B12" s="9"/>
      <c r="C12" s="141" t="str">
        <f>Свод_1!J23</f>
        <v>БелАЗ 7531 (ГПФК)</v>
      </c>
      <c r="D12" s="9" t="str">
        <f t="shared" si="3"/>
        <v>км</v>
      </c>
      <c r="E12" s="142">
        <f t="shared" si="4"/>
        <v>3.0395841095397622</v>
      </c>
      <c r="F12" s="142">
        <f t="shared" si="2"/>
        <v>3.369823038832374</v>
      </c>
      <c r="G12" s="142">
        <f t="shared" si="2"/>
        <v>4.0467053875846224</v>
      </c>
      <c r="H12" s="142">
        <f t="shared" si="2"/>
        <v>3.9059063238423302</v>
      </c>
      <c r="I12" s="142">
        <f t="shared" si="2"/>
        <v>4.7952057859231418</v>
      </c>
      <c r="J12" s="142">
        <f t="shared" si="2"/>
        <v>5.3561072845576057</v>
      </c>
      <c r="K12" s="142">
        <f t="shared" si="2"/>
        <v>4.419179771876939</v>
      </c>
      <c r="L12" s="142">
        <f t="shared" si="2"/>
        <v>4.5262380343819704</v>
      </c>
      <c r="M12" s="142">
        <f t="shared" si="2"/>
        <v>5.3840572084989065</v>
      </c>
      <c r="N12" s="142">
        <f t="shared" si="2"/>
        <v>4.8197555032937718</v>
      </c>
      <c r="O12" s="142">
        <f t="shared" si="2"/>
        <v>4.7397683360965877</v>
      </c>
      <c r="P12" s="142">
        <f t="shared" si="2"/>
        <v>5.7368197620262222</v>
      </c>
      <c r="Q12" s="142">
        <f t="shared" si="2"/>
        <v>5.8316077393561105</v>
      </c>
      <c r="R12" s="142">
        <f t="shared" si="2"/>
        <v>6.0469832948366795</v>
      </c>
      <c r="S12" s="142">
        <f t="shared" si="2"/>
        <v>5.999946528386281</v>
      </c>
      <c r="T12" s="142">
        <f t="shared" si="2"/>
        <v>5.6103505932542266</v>
      </c>
      <c r="U12" s="142">
        <f t="shared" si="2"/>
        <v>4.0567755435885688</v>
      </c>
      <c r="V12" s="142">
        <f t="shared" si="2"/>
        <v>4.6317428907398046</v>
      </c>
      <c r="W12" s="142">
        <f t="shared" si="2"/>
        <v>5.9728866141739037</v>
      </c>
      <c r="X12" s="142">
        <f t="shared" si="2"/>
        <v>6.7844022745056485</v>
      </c>
      <c r="Y12" s="179"/>
    </row>
    <row r="13" spans="1:26" x14ac:dyDescent="0.25">
      <c r="A13" s="139">
        <f t="shared" si="1"/>
        <v>1</v>
      </c>
      <c r="B13" s="9"/>
      <c r="C13" s="141" t="str">
        <f>Свод_1!K23</f>
        <v>XCMG 240</v>
      </c>
      <c r="D13" s="9" t="str">
        <f t="shared" si="3"/>
        <v>км</v>
      </c>
      <c r="E13" s="142">
        <f t="shared" si="4"/>
        <v>3.0395841095397622</v>
      </c>
      <c r="F13" s="142">
        <f t="shared" si="2"/>
        <v>3.369823038832374</v>
      </c>
      <c r="G13" s="142">
        <f t="shared" si="2"/>
        <v>4.0467053875846224</v>
      </c>
      <c r="H13" s="142">
        <f t="shared" si="2"/>
        <v>3.9059063238423302</v>
      </c>
      <c r="I13" s="142">
        <f t="shared" si="2"/>
        <v>4.7952057859231418</v>
      </c>
      <c r="J13" s="142">
        <f t="shared" si="2"/>
        <v>5.3561072845576057</v>
      </c>
      <c r="K13" s="142">
        <f t="shared" si="2"/>
        <v>4.419179771876939</v>
      </c>
      <c r="L13" s="142">
        <f t="shared" si="2"/>
        <v>4.5262380343819704</v>
      </c>
      <c r="M13" s="142">
        <f t="shared" si="2"/>
        <v>5.3840572084989065</v>
      </c>
      <c r="N13" s="142">
        <f t="shared" si="2"/>
        <v>4.8197555032937718</v>
      </c>
      <c r="O13" s="142">
        <f t="shared" si="2"/>
        <v>4.7397683360965877</v>
      </c>
      <c r="P13" s="142">
        <f t="shared" si="2"/>
        <v>5.7368197620262222</v>
      </c>
      <c r="Q13" s="142">
        <f t="shared" si="2"/>
        <v>5.8316077393561105</v>
      </c>
      <c r="R13" s="142">
        <f t="shared" si="2"/>
        <v>6.0469832948366795</v>
      </c>
      <c r="S13" s="142">
        <f t="shared" si="2"/>
        <v>5.999946528386281</v>
      </c>
      <c r="T13" s="142">
        <f t="shared" si="2"/>
        <v>5.6103505932542266</v>
      </c>
      <c r="U13" s="142">
        <f t="shared" si="2"/>
        <v>4.0567755435885688</v>
      </c>
      <c r="V13" s="142">
        <f t="shared" si="2"/>
        <v>4.6317428907398046</v>
      </c>
      <c r="W13" s="142">
        <f t="shared" si="2"/>
        <v>5.9728866141739037</v>
      </c>
      <c r="X13" s="142">
        <f t="shared" si="2"/>
        <v>6.7844022745056485</v>
      </c>
      <c r="Y13" s="179"/>
    </row>
    <row r="14" spans="1:26" x14ac:dyDescent="0.25">
      <c r="A14" s="139">
        <f t="shared" si="1"/>
        <v>1</v>
      </c>
      <c r="B14" s="9"/>
      <c r="C14" s="141" t="str">
        <f>Свод_1!L23</f>
        <v>БелАЗ 7531 (БТЛ)</v>
      </c>
      <c r="D14" s="9" t="str">
        <f t="shared" si="3"/>
        <v>км</v>
      </c>
      <c r="E14" s="142">
        <f t="shared" si="4"/>
        <v>3.0395841095397622</v>
      </c>
      <c r="F14" s="142">
        <f t="shared" si="2"/>
        <v>3.369823038832374</v>
      </c>
      <c r="G14" s="142">
        <f t="shared" si="2"/>
        <v>4.0467053875846224</v>
      </c>
      <c r="H14" s="142">
        <f t="shared" si="2"/>
        <v>3.9059063238423302</v>
      </c>
      <c r="I14" s="142">
        <f t="shared" si="2"/>
        <v>4.7952057859231418</v>
      </c>
      <c r="J14" s="142">
        <f t="shared" si="2"/>
        <v>5.3561072845576057</v>
      </c>
      <c r="K14" s="142">
        <f t="shared" si="2"/>
        <v>4.419179771876939</v>
      </c>
      <c r="L14" s="142">
        <f t="shared" si="2"/>
        <v>4.5262380343819704</v>
      </c>
      <c r="M14" s="142">
        <f t="shared" si="2"/>
        <v>5.3840572084989065</v>
      </c>
      <c r="N14" s="142">
        <f t="shared" si="2"/>
        <v>4.8197555032937718</v>
      </c>
      <c r="O14" s="142">
        <f t="shared" si="2"/>
        <v>4.7397683360965877</v>
      </c>
      <c r="P14" s="142">
        <f t="shared" si="2"/>
        <v>5.7368197620262222</v>
      </c>
      <c r="Q14" s="142">
        <f t="shared" si="2"/>
        <v>5.8316077393561105</v>
      </c>
      <c r="R14" s="142">
        <f t="shared" si="2"/>
        <v>6.0469832948366795</v>
      </c>
      <c r="S14" s="142">
        <f t="shared" si="2"/>
        <v>5.999946528386281</v>
      </c>
      <c r="T14" s="142">
        <f t="shared" si="2"/>
        <v>5.6103505932542266</v>
      </c>
      <c r="U14" s="142">
        <f t="shared" si="2"/>
        <v>4.0567755435885688</v>
      </c>
      <c r="V14" s="142">
        <f t="shared" si="2"/>
        <v>4.6317428907398046</v>
      </c>
      <c r="W14" s="142">
        <f t="shared" si="2"/>
        <v>5.9728866141739037</v>
      </c>
      <c r="X14" s="142">
        <f t="shared" si="2"/>
        <v>6.7844022745056485</v>
      </c>
      <c r="Y14" s="179"/>
    </row>
    <row r="15" spans="1:26" x14ac:dyDescent="0.25">
      <c r="A15" s="139">
        <f t="shared" si="1"/>
        <v>0</v>
      </c>
      <c r="B15" s="9"/>
      <c r="C15" s="141">
        <f>Свод_1!M23</f>
        <v>0</v>
      </c>
      <c r="D15" s="9" t="str">
        <f t="shared" si="3"/>
        <v>км</v>
      </c>
      <c r="E15" s="142">
        <f t="shared" si="4"/>
        <v>0</v>
      </c>
      <c r="F15" s="142">
        <f t="shared" si="2"/>
        <v>0</v>
      </c>
      <c r="G15" s="142">
        <f t="shared" si="2"/>
        <v>0</v>
      </c>
      <c r="H15" s="142">
        <f t="shared" si="2"/>
        <v>0</v>
      </c>
      <c r="I15" s="142">
        <f t="shared" si="2"/>
        <v>0</v>
      </c>
      <c r="J15" s="142">
        <f t="shared" si="2"/>
        <v>0</v>
      </c>
      <c r="K15" s="142">
        <f t="shared" si="2"/>
        <v>0</v>
      </c>
      <c r="L15" s="142">
        <f t="shared" si="2"/>
        <v>0</v>
      </c>
      <c r="M15" s="142">
        <f t="shared" si="2"/>
        <v>0</v>
      </c>
      <c r="N15" s="142">
        <f t="shared" si="2"/>
        <v>0</v>
      </c>
      <c r="O15" s="142">
        <f t="shared" si="2"/>
        <v>0</v>
      </c>
      <c r="P15" s="142">
        <f t="shared" si="2"/>
        <v>0</v>
      </c>
      <c r="Q15" s="142">
        <f t="shared" si="2"/>
        <v>0</v>
      </c>
      <c r="R15" s="142">
        <f t="shared" si="2"/>
        <v>0</v>
      </c>
      <c r="S15" s="142">
        <f t="shared" si="2"/>
        <v>0</v>
      </c>
      <c r="T15" s="142">
        <f t="shared" si="2"/>
        <v>0</v>
      </c>
      <c r="U15" s="142">
        <f t="shared" si="2"/>
        <v>0</v>
      </c>
      <c r="V15" s="142">
        <f t="shared" si="2"/>
        <v>0</v>
      </c>
      <c r="W15" s="142">
        <f t="shared" si="2"/>
        <v>0</v>
      </c>
      <c r="X15" s="142">
        <f t="shared" si="2"/>
        <v>0</v>
      </c>
      <c r="Y15" s="179"/>
    </row>
    <row r="16" spans="1:26" x14ac:dyDescent="0.25">
      <c r="A16" s="139">
        <f t="shared" si="1"/>
        <v>0</v>
      </c>
      <c r="B16" s="9"/>
      <c r="C16" s="141">
        <f>Свод_1!N23</f>
        <v>0</v>
      </c>
      <c r="D16" s="9" t="str">
        <f t="shared" si="3"/>
        <v>км</v>
      </c>
      <c r="E16" s="142">
        <f t="shared" si="4"/>
        <v>0</v>
      </c>
      <c r="F16" s="142">
        <f t="shared" si="2"/>
        <v>0</v>
      </c>
      <c r="G16" s="142">
        <f t="shared" si="2"/>
        <v>0</v>
      </c>
      <c r="H16" s="142">
        <f t="shared" si="2"/>
        <v>0</v>
      </c>
      <c r="I16" s="142">
        <f t="shared" si="2"/>
        <v>0</v>
      </c>
      <c r="J16" s="142">
        <f t="shared" si="2"/>
        <v>0</v>
      </c>
      <c r="K16" s="142">
        <f t="shared" si="2"/>
        <v>0</v>
      </c>
      <c r="L16" s="142">
        <f t="shared" si="2"/>
        <v>0</v>
      </c>
      <c r="M16" s="142">
        <f t="shared" si="2"/>
        <v>0</v>
      </c>
      <c r="N16" s="142">
        <f t="shared" si="2"/>
        <v>0</v>
      </c>
      <c r="O16" s="142">
        <f t="shared" si="2"/>
        <v>0</v>
      </c>
      <c r="P16" s="142">
        <f t="shared" si="2"/>
        <v>0</v>
      </c>
      <c r="Q16" s="142">
        <f t="shared" si="2"/>
        <v>0</v>
      </c>
      <c r="R16" s="142">
        <f t="shared" si="2"/>
        <v>0</v>
      </c>
      <c r="S16" s="142">
        <f t="shared" si="2"/>
        <v>0</v>
      </c>
      <c r="T16" s="142">
        <f t="shared" si="2"/>
        <v>0</v>
      </c>
      <c r="U16" s="142">
        <f t="shared" si="2"/>
        <v>0</v>
      </c>
      <c r="V16" s="142">
        <f t="shared" si="2"/>
        <v>0</v>
      </c>
      <c r="W16" s="142">
        <f t="shared" si="2"/>
        <v>0</v>
      </c>
      <c r="X16" s="142">
        <f t="shared" si="2"/>
        <v>0</v>
      </c>
      <c r="Y16" s="179"/>
    </row>
    <row r="17" spans="1:25" x14ac:dyDescent="0.25">
      <c r="A17" s="139">
        <f t="shared" si="1"/>
        <v>0</v>
      </c>
      <c r="B17" s="9"/>
      <c r="C17" s="141">
        <f>Свод_1!O23</f>
        <v>0</v>
      </c>
      <c r="D17" s="9" t="str">
        <f t="shared" si="3"/>
        <v>км</v>
      </c>
      <c r="E17" s="142">
        <f t="shared" si="4"/>
        <v>0</v>
      </c>
      <c r="F17" s="142">
        <f t="shared" si="2"/>
        <v>0</v>
      </c>
      <c r="G17" s="142">
        <f t="shared" si="2"/>
        <v>0</v>
      </c>
      <c r="H17" s="142">
        <f t="shared" si="2"/>
        <v>0</v>
      </c>
      <c r="I17" s="142">
        <f t="shared" si="2"/>
        <v>0</v>
      </c>
      <c r="J17" s="142">
        <f t="shared" si="2"/>
        <v>0</v>
      </c>
      <c r="K17" s="142">
        <f t="shared" si="2"/>
        <v>0</v>
      </c>
      <c r="L17" s="142">
        <f t="shared" si="2"/>
        <v>0</v>
      </c>
      <c r="M17" s="142">
        <f t="shared" si="2"/>
        <v>0</v>
      </c>
      <c r="N17" s="142">
        <f t="shared" si="2"/>
        <v>0</v>
      </c>
      <c r="O17" s="142">
        <f t="shared" si="2"/>
        <v>0</v>
      </c>
      <c r="P17" s="142">
        <f t="shared" si="2"/>
        <v>0</v>
      </c>
      <c r="Q17" s="142">
        <f t="shared" si="2"/>
        <v>0</v>
      </c>
      <c r="R17" s="142">
        <f t="shared" si="2"/>
        <v>0</v>
      </c>
      <c r="S17" s="142">
        <f t="shared" si="2"/>
        <v>0</v>
      </c>
      <c r="T17" s="142">
        <f t="shared" si="2"/>
        <v>0</v>
      </c>
      <c r="U17" s="142">
        <f t="shared" si="2"/>
        <v>0</v>
      </c>
      <c r="V17" s="142">
        <f t="shared" si="2"/>
        <v>0</v>
      </c>
      <c r="W17" s="142">
        <f t="shared" si="2"/>
        <v>0</v>
      </c>
      <c r="X17" s="142">
        <f t="shared" si="2"/>
        <v>0</v>
      </c>
      <c r="Y17" s="179"/>
    </row>
    <row r="18" spans="1:25" x14ac:dyDescent="0.25">
      <c r="A18" s="139">
        <f t="shared" si="1"/>
        <v>0</v>
      </c>
      <c r="B18" s="9"/>
      <c r="C18" s="141">
        <f>Свод_1!P23</f>
        <v>0</v>
      </c>
      <c r="D18" s="9" t="str">
        <f t="shared" si="3"/>
        <v>км</v>
      </c>
      <c r="E18" s="142">
        <f t="shared" si="4"/>
        <v>0</v>
      </c>
      <c r="F18" s="142">
        <f t="shared" si="2"/>
        <v>0</v>
      </c>
      <c r="G18" s="142">
        <f t="shared" si="2"/>
        <v>0</v>
      </c>
      <c r="H18" s="142">
        <f t="shared" si="2"/>
        <v>0</v>
      </c>
      <c r="I18" s="142">
        <f t="shared" si="2"/>
        <v>0</v>
      </c>
      <c r="J18" s="142">
        <f t="shared" si="2"/>
        <v>0</v>
      </c>
      <c r="K18" s="142">
        <f t="shared" si="2"/>
        <v>0</v>
      </c>
      <c r="L18" s="142">
        <f t="shared" si="2"/>
        <v>0</v>
      </c>
      <c r="M18" s="142">
        <f t="shared" si="2"/>
        <v>0</v>
      </c>
      <c r="N18" s="142">
        <f t="shared" si="2"/>
        <v>0</v>
      </c>
      <c r="O18" s="142">
        <f t="shared" si="2"/>
        <v>0</v>
      </c>
      <c r="P18" s="142">
        <f t="shared" si="2"/>
        <v>0</v>
      </c>
      <c r="Q18" s="142">
        <f t="shared" si="2"/>
        <v>0</v>
      </c>
      <c r="R18" s="142">
        <f t="shared" si="2"/>
        <v>0</v>
      </c>
      <c r="S18" s="142">
        <f t="shared" si="2"/>
        <v>0</v>
      </c>
      <c r="T18" s="142">
        <f t="shared" si="2"/>
        <v>0</v>
      </c>
      <c r="U18" s="142">
        <f t="shared" si="2"/>
        <v>0</v>
      </c>
      <c r="V18" s="142">
        <f t="shared" si="2"/>
        <v>0</v>
      </c>
      <c r="W18" s="142">
        <f t="shared" si="2"/>
        <v>0</v>
      </c>
      <c r="X18" s="142">
        <f t="shared" si="2"/>
        <v>0</v>
      </c>
      <c r="Y18" s="179"/>
    </row>
    <row r="19" spans="1:25" x14ac:dyDescent="0.25">
      <c r="A19" s="139">
        <f t="shared" si="1"/>
        <v>0</v>
      </c>
      <c r="B19" s="9"/>
      <c r="C19" s="141">
        <f>Свод_1!Q23</f>
        <v>0</v>
      </c>
      <c r="D19" s="9" t="str">
        <f t="shared" si="3"/>
        <v>км</v>
      </c>
      <c r="E19" s="142">
        <f t="shared" si="4"/>
        <v>0</v>
      </c>
      <c r="F19" s="142">
        <f t="shared" si="2"/>
        <v>0</v>
      </c>
      <c r="G19" s="142">
        <f t="shared" si="2"/>
        <v>0</v>
      </c>
      <c r="H19" s="142">
        <f t="shared" si="2"/>
        <v>0</v>
      </c>
      <c r="I19" s="142">
        <f t="shared" si="2"/>
        <v>0</v>
      </c>
      <c r="J19" s="142">
        <f t="shared" si="2"/>
        <v>0</v>
      </c>
      <c r="K19" s="142">
        <f t="shared" si="2"/>
        <v>0</v>
      </c>
      <c r="L19" s="142">
        <f t="shared" si="2"/>
        <v>0</v>
      </c>
      <c r="M19" s="142">
        <f t="shared" si="2"/>
        <v>0</v>
      </c>
      <c r="N19" s="142">
        <f t="shared" si="2"/>
        <v>0</v>
      </c>
      <c r="O19" s="142">
        <f t="shared" si="2"/>
        <v>0</v>
      </c>
      <c r="P19" s="142">
        <f t="shared" si="2"/>
        <v>0</v>
      </c>
      <c r="Q19" s="142">
        <f t="shared" si="2"/>
        <v>0</v>
      </c>
      <c r="R19" s="142">
        <f t="shared" si="2"/>
        <v>0</v>
      </c>
      <c r="S19" s="142">
        <f t="shared" si="2"/>
        <v>0</v>
      </c>
      <c r="T19" s="142">
        <f t="shared" si="2"/>
        <v>0</v>
      </c>
      <c r="U19" s="142">
        <f t="shared" si="2"/>
        <v>0</v>
      </c>
      <c r="V19" s="142">
        <f t="shared" si="2"/>
        <v>0</v>
      </c>
      <c r="W19" s="142">
        <f t="shared" si="2"/>
        <v>0</v>
      </c>
      <c r="X19" s="142">
        <f t="shared" si="2"/>
        <v>0</v>
      </c>
      <c r="Y19" s="179"/>
    </row>
    <row r="20" spans="1:25" x14ac:dyDescent="0.25">
      <c r="A20" s="139">
        <f t="shared" si="1"/>
        <v>0</v>
      </c>
      <c r="B20" s="9"/>
      <c r="C20" s="141">
        <f>Свод_1!R23</f>
        <v>0</v>
      </c>
      <c r="D20" s="9" t="str">
        <f t="shared" si="3"/>
        <v>км</v>
      </c>
      <c r="E20" s="142">
        <f t="shared" si="4"/>
        <v>0</v>
      </c>
      <c r="F20" s="142">
        <f t="shared" si="2"/>
        <v>0</v>
      </c>
      <c r="G20" s="142">
        <f t="shared" si="2"/>
        <v>0</v>
      </c>
      <c r="H20" s="142">
        <f t="shared" si="2"/>
        <v>0</v>
      </c>
      <c r="I20" s="142">
        <f t="shared" si="2"/>
        <v>0</v>
      </c>
      <c r="J20" s="142">
        <f t="shared" si="2"/>
        <v>0</v>
      </c>
      <c r="K20" s="142">
        <f t="shared" si="2"/>
        <v>0</v>
      </c>
      <c r="L20" s="142">
        <f t="shared" si="2"/>
        <v>0</v>
      </c>
      <c r="M20" s="142">
        <f t="shared" si="2"/>
        <v>0</v>
      </c>
      <c r="N20" s="142">
        <f t="shared" si="2"/>
        <v>0</v>
      </c>
      <c r="O20" s="142">
        <f t="shared" si="2"/>
        <v>0</v>
      </c>
      <c r="P20" s="142">
        <f t="shared" si="2"/>
        <v>0</v>
      </c>
      <c r="Q20" s="142">
        <f t="shared" si="2"/>
        <v>0</v>
      </c>
      <c r="R20" s="142">
        <f t="shared" si="2"/>
        <v>0</v>
      </c>
      <c r="S20" s="142">
        <f t="shared" si="2"/>
        <v>0</v>
      </c>
      <c r="T20" s="142">
        <f t="shared" si="2"/>
        <v>0</v>
      </c>
      <c r="U20" s="142">
        <f t="shared" si="2"/>
        <v>0</v>
      </c>
      <c r="V20" s="142">
        <f t="shared" si="2"/>
        <v>0</v>
      </c>
      <c r="W20" s="142">
        <f t="shared" si="2"/>
        <v>0</v>
      </c>
      <c r="X20" s="142">
        <f t="shared" si="2"/>
        <v>0</v>
      </c>
      <c r="Y20" s="179"/>
    </row>
    <row r="21" spans="1:25" x14ac:dyDescent="0.25">
      <c r="A21" s="139">
        <f t="shared" si="1"/>
        <v>0</v>
      </c>
      <c r="B21" s="9"/>
      <c r="C21" s="141">
        <f>Свод_1!S23</f>
        <v>0</v>
      </c>
      <c r="D21" s="9" t="str">
        <f t="shared" si="3"/>
        <v>км</v>
      </c>
      <c r="E21" s="142">
        <f t="shared" si="4"/>
        <v>0</v>
      </c>
      <c r="F21" s="142">
        <f t="shared" si="2"/>
        <v>0</v>
      </c>
      <c r="G21" s="142">
        <f t="shared" si="2"/>
        <v>0</v>
      </c>
      <c r="H21" s="142">
        <f t="shared" si="2"/>
        <v>0</v>
      </c>
      <c r="I21" s="142">
        <f t="shared" si="2"/>
        <v>0</v>
      </c>
      <c r="J21" s="142">
        <f t="shared" si="2"/>
        <v>0</v>
      </c>
      <c r="K21" s="142">
        <f t="shared" si="2"/>
        <v>0</v>
      </c>
      <c r="L21" s="142">
        <f t="shared" si="2"/>
        <v>0</v>
      </c>
      <c r="M21" s="142">
        <f t="shared" si="2"/>
        <v>0</v>
      </c>
      <c r="N21" s="142">
        <f t="shared" si="2"/>
        <v>0</v>
      </c>
      <c r="O21" s="142">
        <f t="shared" si="2"/>
        <v>0</v>
      </c>
      <c r="P21" s="142">
        <f t="shared" si="2"/>
        <v>0</v>
      </c>
      <c r="Q21" s="142">
        <f t="shared" si="2"/>
        <v>0</v>
      </c>
      <c r="R21" s="142">
        <f t="shared" si="2"/>
        <v>0</v>
      </c>
      <c r="S21" s="142">
        <f t="shared" si="2"/>
        <v>0</v>
      </c>
      <c r="T21" s="142">
        <f t="shared" si="2"/>
        <v>0</v>
      </c>
      <c r="U21" s="142">
        <f t="shared" si="2"/>
        <v>0</v>
      </c>
      <c r="V21" s="142">
        <f t="shared" si="2"/>
        <v>0</v>
      </c>
      <c r="W21" s="142">
        <f t="shared" si="2"/>
        <v>0</v>
      </c>
      <c r="X21" s="142">
        <f t="shared" si="2"/>
        <v>0</v>
      </c>
      <c r="Y21" s="179"/>
    </row>
    <row r="22" spans="1:25" x14ac:dyDescent="0.25">
      <c r="A22" s="139">
        <f t="shared" si="1"/>
        <v>0</v>
      </c>
      <c r="B22" s="9"/>
      <c r="C22" s="141">
        <f>Свод_1!T23</f>
        <v>0</v>
      </c>
      <c r="D22" s="9" t="str">
        <f t="shared" si="3"/>
        <v>км</v>
      </c>
      <c r="E22" s="142">
        <f t="shared" si="4"/>
        <v>0</v>
      </c>
      <c r="F22" s="142">
        <f t="shared" si="2"/>
        <v>0</v>
      </c>
      <c r="G22" s="142">
        <f t="shared" si="2"/>
        <v>0</v>
      </c>
      <c r="H22" s="142">
        <f t="shared" si="2"/>
        <v>0</v>
      </c>
      <c r="I22" s="142">
        <f t="shared" si="2"/>
        <v>0</v>
      </c>
      <c r="J22" s="142">
        <f t="shared" ref="J22:X22" si="5">IF($A22=1,J$7,0)</f>
        <v>0</v>
      </c>
      <c r="K22" s="142">
        <f t="shared" si="5"/>
        <v>0</v>
      </c>
      <c r="L22" s="142">
        <f t="shared" si="5"/>
        <v>0</v>
      </c>
      <c r="M22" s="142">
        <f t="shared" si="5"/>
        <v>0</v>
      </c>
      <c r="N22" s="142">
        <f t="shared" si="5"/>
        <v>0</v>
      </c>
      <c r="O22" s="142">
        <f t="shared" si="5"/>
        <v>0</v>
      </c>
      <c r="P22" s="142">
        <f t="shared" si="5"/>
        <v>0</v>
      </c>
      <c r="Q22" s="142">
        <f t="shared" si="5"/>
        <v>0</v>
      </c>
      <c r="R22" s="142">
        <f t="shared" si="5"/>
        <v>0</v>
      </c>
      <c r="S22" s="142">
        <f t="shared" si="5"/>
        <v>0</v>
      </c>
      <c r="T22" s="142">
        <f t="shared" si="5"/>
        <v>0</v>
      </c>
      <c r="U22" s="142">
        <f t="shared" si="5"/>
        <v>0</v>
      </c>
      <c r="V22" s="142">
        <f t="shared" si="5"/>
        <v>0</v>
      </c>
      <c r="W22" s="142">
        <f t="shared" si="5"/>
        <v>0</v>
      </c>
      <c r="X22" s="142">
        <f t="shared" si="5"/>
        <v>0</v>
      </c>
      <c r="Y22" s="179"/>
    </row>
    <row r="23" spans="1:25" x14ac:dyDescent="0.25">
      <c r="A23" s="56">
        <v>1</v>
      </c>
      <c r="B23" s="68">
        <f>B7+1</f>
        <v>2</v>
      </c>
      <c r="C23" s="67" t="s">
        <v>10</v>
      </c>
      <c r="D23" s="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179"/>
    </row>
    <row r="24" spans="1:25" x14ac:dyDescent="0.25">
      <c r="A24" s="143">
        <f>IF(MAX(E24:P24)=0,0,1)</f>
        <v>1</v>
      </c>
      <c r="B24" s="9"/>
      <c r="C24" s="31" t="str">
        <f>C8</f>
        <v>NHL NTE 240</v>
      </c>
      <c r="D24" s="9" t="s">
        <v>11</v>
      </c>
      <c r="E24" s="459">
        <f>Производительность!E24</f>
        <v>227.8</v>
      </c>
      <c r="F24" s="89">
        <f>E24</f>
        <v>227.8</v>
      </c>
      <c r="G24" s="89">
        <f t="shared" ref="G24:V24" si="6">F24</f>
        <v>227.8</v>
      </c>
      <c r="H24" s="89">
        <f t="shared" si="6"/>
        <v>227.8</v>
      </c>
      <c r="I24" s="89">
        <f t="shared" si="6"/>
        <v>227.8</v>
      </c>
      <c r="J24" s="89">
        <f t="shared" si="6"/>
        <v>227.8</v>
      </c>
      <c r="K24" s="89">
        <f t="shared" si="6"/>
        <v>227.8</v>
      </c>
      <c r="L24" s="89">
        <f t="shared" si="6"/>
        <v>227.8</v>
      </c>
      <c r="M24" s="89">
        <f t="shared" si="6"/>
        <v>227.8</v>
      </c>
      <c r="N24" s="89">
        <f t="shared" si="6"/>
        <v>227.8</v>
      </c>
      <c r="O24" s="89">
        <f t="shared" si="6"/>
        <v>227.8</v>
      </c>
      <c r="P24" s="89">
        <f t="shared" si="6"/>
        <v>227.8</v>
      </c>
      <c r="Q24" s="89">
        <f t="shared" si="6"/>
        <v>227.8</v>
      </c>
      <c r="R24" s="89">
        <f t="shared" si="6"/>
        <v>227.8</v>
      </c>
      <c r="S24" s="89">
        <f t="shared" si="6"/>
        <v>227.8</v>
      </c>
      <c r="T24" s="89">
        <f t="shared" si="6"/>
        <v>227.8</v>
      </c>
      <c r="U24" s="89">
        <f t="shared" si="6"/>
        <v>227.8</v>
      </c>
      <c r="V24" s="89">
        <f t="shared" si="6"/>
        <v>227.8</v>
      </c>
      <c r="W24" s="89">
        <f t="shared" ref="V24:X38" si="7">V24</f>
        <v>227.8</v>
      </c>
      <c r="X24" s="89">
        <f t="shared" si="7"/>
        <v>227.8</v>
      </c>
      <c r="Y24" s="179"/>
    </row>
    <row r="25" spans="1:25" x14ac:dyDescent="0.25">
      <c r="A25" s="143">
        <f t="shared" ref="A25:A38" si="8">IF(MAX(E25:P25)=0,0,1)</f>
        <v>1</v>
      </c>
      <c r="B25" s="9"/>
      <c r="C25" s="31" t="str">
        <f t="shared" ref="C25:C38" si="9">C9</f>
        <v>Estar ESDE240 (ГПБ К)</v>
      </c>
      <c r="D25" s="9" t="str">
        <f>D24</f>
        <v>т</v>
      </c>
      <c r="E25" s="459">
        <f>Производительность!E25</f>
        <v>211.392</v>
      </c>
      <c r="F25" s="89">
        <f t="shared" ref="F25:U38" si="10">E25</f>
        <v>211.392</v>
      </c>
      <c r="G25" s="89">
        <f t="shared" si="10"/>
        <v>211.392</v>
      </c>
      <c r="H25" s="89">
        <f t="shared" si="10"/>
        <v>211.392</v>
      </c>
      <c r="I25" s="89">
        <f t="shared" si="10"/>
        <v>211.392</v>
      </c>
      <c r="J25" s="89">
        <f t="shared" si="10"/>
        <v>211.392</v>
      </c>
      <c r="K25" s="89">
        <f t="shared" si="10"/>
        <v>211.392</v>
      </c>
      <c r="L25" s="89">
        <f t="shared" si="10"/>
        <v>211.392</v>
      </c>
      <c r="M25" s="89">
        <f t="shared" si="10"/>
        <v>211.392</v>
      </c>
      <c r="N25" s="89">
        <f t="shared" si="10"/>
        <v>211.392</v>
      </c>
      <c r="O25" s="89">
        <f t="shared" si="10"/>
        <v>211.392</v>
      </c>
      <c r="P25" s="89">
        <f t="shared" si="10"/>
        <v>211.392</v>
      </c>
      <c r="Q25" s="89">
        <f t="shared" si="10"/>
        <v>211.392</v>
      </c>
      <c r="R25" s="89">
        <f t="shared" si="10"/>
        <v>211.392</v>
      </c>
      <c r="S25" s="89">
        <f t="shared" si="10"/>
        <v>211.392</v>
      </c>
      <c r="T25" s="89">
        <f t="shared" si="10"/>
        <v>211.392</v>
      </c>
      <c r="U25" s="89">
        <f t="shared" si="10"/>
        <v>211.392</v>
      </c>
      <c r="V25" s="89">
        <f t="shared" si="7"/>
        <v>211.392</v>
      </c>
      <c r="W25" s="89">
        <f t="shared" si="7"/>
        <v>211.392</v>
      </c>
      <c r="X25" s="89">
        <f t="shared" si="7"/>
        <v>211.392</v>
      </c>
      <c r="Y25" s="179"/>
    </row>
    <row r="26" spans="1:25" x14ac:dyDescent="0.25">
      <c r="A26" s="143">
        <f t="shared" si="8"/>
        <v>1</v>
      </c>
      <c r="B26" s="9"/>
      <c r="C26" s="31" t="str">
        <f t="shared" si="9"/>
        <v>SANY SET240S</v>
      </c>
      <c r="D26" s="9" t="str">
        <f t="shared" ref="D26:D38" si="11">D25</f>
        <v>т</v>
      </c>
      <c r="E26" s="459">
        <f>Производительность!E26</f>
        <v>216.36200000000002</v>
      </c>
      <c r="F26" s="89">
        <f t="shared" si="10"/>
        <v>216.36200000000002</v>
      </c>
      <c r="G26" s="89">
        <f t="shared" si="10"/>
        <v>216.36200000000002</v>
      </c>
      <c r="H26" s="89">
        <f t="shared" si="10"/>
        <v>216.36200000000002</v>
      </c>
      <c r="I26" s="89">
        <f t="shared" si="10"/>
        <v>216.36200000000002</v>
      </c>
      <c r="J26" s="89">
        <f t="shared" si="10"/>
        <v>216.36200000000002</v>
      </c>
      <c r="K26" s="89">
        <f t="shared" si="10"/>
        <v>216.36200000000002</v>
      </c>
      <c r="L26" s="89">
        <f t="shared" si="10"/>
        <v>216.36200000000002</v>
      </c>
      <c r="M26" s="89">
        <f t="shared" si="10"/>
        <v>216.36200000000002</v>
      </c>
      <c r="N26" s="89">
        <f t="shared" si="10"/>
        <v>216.36200000000002</v>
      </c>
      <c r="O26" s="89">
        <f t="shared" si="10"/>
        <v>216.36200000000002</v>
      </c>
      <c r="P26" s="89">
        <f t="shared" si="10"/>
        <v>216.36200000000002</v>
      </c>
      <c r="Q26" s="89">
        <f t="shared" si="10"/>
        <v>216.36200000000002</v>
      </c>
      <c r="R26" s="89">
        <f t="shared" si="10"/>
        <v>216.36200000000002</v>
      </c>
      <c r="S26" s="89">
        <f t="shared" si="10"/>
        <v>216.36200000000002</v>
      </c>
      <c r="T26" s="89">
        <f t="shared" si="10"/>
        <v>216.36200000000002</v>
      </c>
      <c r="U26" s="89">
        <f t="shared" si="10"/>
        <v>216.36200000000002</v>
      </c>
      <c r="V26" s="89">
        <f t="shared" si="7"/>
        <v>216.36200000000002</v>
      </c>
      <c r="W26" s="89">
        <f t="shared" si="7"/>
        <v>216.36200000000002</v>
      </c>
      <c r="X26" s="89">
        <f t="shared" si="7"/>
        <v>216.36200000000002</v>
      </c>
      <c r="Y26" s="179"/>
    </row>
    <row r="27" spans="1:25" x14ac:dyDescent="0.25">
      <c r="A27" s="143">
        <f t="shared" si="8"/>
        <v>1</v>
      </c>
      <c r="B27" s="9"/>
      <c r="C27" s="31" t="str">
        <f t="shared" si="9"/>
        <v>TZCO TZE240</v>
      </c>
      <c r="D27" s="9" t="str">
        <f t="shared" si="11"/>
        <v>т</v>
      </c>
      <c r="E27" s="459">
        <f>Производительность!E27</f>
        <v>222</v>
      </c>
      <c r="F27" s="89">
        <f t="shared" si="10"/>
        <v>222</v>
      </c>
      <c r="G27" s="89">
        <f t="shared" si="10"/>
        <v>222</v>
      </c>
      <c r="H27" s="89">
        <f t="shared" si="10"/>
        <v>222</v>
      </c>
      <c r="I27" s="89">
        <f t="shared" si="10"/>
        <v>222</v>
      </c>
      <c r="J27" s="89">
        <f t="shared" si="10"/>
        <v>222</v>
      </c>
      <c r="K27" s="89">
        <f t="shared" si="10"/>
        <v>222</v>
      </c>
      <c r="L27" s="89">
        <f t="shared" si="10"/>
        <v>222</v>
      </c>
      <c r="M27" s="89">
        <f t="shared" si="10"/>
        <v>222</v>
      </c>
      <c r="N27" s="89">
        <f t="shared" si="10"/>
        <v>222</v>
      </c>
      <c r="O27" s="89">
        <f t="shared" si="10"/>
        <v>222</v>
      </c>
      <c r="P27" s="89">
        <f t="shared" si="10"/>
        <v>222</v>
      </c>
      <c r="Q27" s="89">
        <f t="shared" si="10"/>
        <v>222</v>
      </c>
      <c r="R27" s="89">
        <f t="shared" si="10"/>
        <v>222</v>
      </c>
      <c r="S27" s="89">
        <f t="shared" si="10"/>
        <v>222</v>
      </c>
      <c r="T27" s="89">
        <f t="shared" si="10"/>
        <v>222</v>
      </c>
      <c r="U27" s="89">
        <f t="shared" si="10"/>
        <v>222</v>
      </c>
      <c r="V27" s="89">
        <f t="shared" si="7"/>
        <v>222</v>
      </c>
      <c r="W27" s="89">
        <f t="shared" si="7"/>
        <v>222</v>
      </c>
      <c r="X27" s="89">
        <f t="shared" si="7"/>
        <v>222</v>
      </c>
      <c r="Y27" s="179"/>
    </row>
    <row r="28" spans="1:25" x14ac:dyDescent="0.25">
      <c r="A28" s="143">
        <f t="shared" si="8"/>
        <v>1</v>
      </c>
      <c r="B28" s="9"/>
      <c r="C28" s="31" t="str">
        <f t="shared" si="9"/>
        <v>БелАЗ 7531 (ГПФК)</v>
      </c>
      <c r="D28" s="9" t="str">
        <f t="shared" si="11"/>
        <v>т</v>
      </c>
      <c r="E28" s="459">
        <f>Производительность!E28</f>
        <v>231</v>
      </c>
      <c r="F28" s="89">
        <f t="shared" si="10"/>
        <v>231</v>
      </c>
      <c r="G28" s="89">
        <f t="shared" si="10"/>
        <v>231</v>
      </c>
      <c r="H28" s="89">
        <f t="shared" si="10"/>
        <v>231</v>
      </c>
      <c r="I28" s="89">
        <f t="shared" si="10"/>
        <v>231</v>
      </c>
      <c r="J28" s="89">
        <f t="shared" si="10"/>
        <v>231</v>
      </c>
      <c r="K28" s="89">
        <f t="shared" si="10"/>
        <v>231</v>
      </c>
      <c r="L28" s="89">
        <f t="shared" si="10"/>
        <v>231</v>
      </c>
      <c r="M28" s="89">
        <f t="shared" si="10"/>
        <v>231</v>
      </c>
      <c r="N28" s="89">
        <f t="shared" si="10"/>
        <v>231</v>
      </c>
      <c r="O28" s="89">
        <f t="shared" si="10"/>
        <v>231</v>
      </c>
      <c r="P28" s="89">
        <f t="shared" si="10"/>
        <v>231</v>
      </c>
      <c r="Q28" s="89">
        <f t="shared" si="10"/>
        <v>231</v>
      </c>
      <c r="R28" s="89">
        <f t="shared" si="10"/>
        <v>231</v>
      </c>
      <c r="S28" s="89">
        <f t="shared" si="10"/>
        <v>231</v>
      </c>
      <c r="T28" s="89">
        <f t="shared" si="10"/>
        <v>231</v>
      </c>
      <c r="U28" s="89">
        <f t="shared" si="10"/>
        <v>231</v>
      </c>
      <c r="V28" s="89">
        <f t="shared" si="7"/>
        <v>231</v>
      </c>
      <c r="W28" s="89">
        <f t="shared" si="7"/>
        <v>231</v>
      </c>
      <c r="X28" s="89">
        <f t="shared" si="7"/>
        <v>231</v>
      </c>
      <c r="Y28" s="179"/>
    </row>
    <row r="29" spans="1:25" x14ac:dyDescent="0.25">
      <c r="A29" s="143">
        <f t="shared" si="8"/>
        <v>1</v>
      </c>
      <c r="B29" s="9"/>
      <c r="C29" s="31" t="str">
        <f t="shared" si="9"/>
        <v>XCMG 240</v>
      </c>
      <c r="D29" s="9" t="str">
        <f t="shared" si="11"/>
        <v>т</v>
      </c>
      <c r="E29" s="459">
        <f>Производительность!E29</f>
        <v>211.392</v>
      </c>
      <c r="F29" s="89">
        <f t="shared" si="10"/>
        <v>211.392</v>
      </c>
      <c r="G29" s="89">
        <f t="shared" si="10"/>
        <v>211.392</v>
      </c>
      <c r="H29" s="89">
        <f t="shared" si="10"/>
        <v>211.392</v>
      </c>
      <c r="I29" s="89">
        <f t="shared" si="10"/>
        <v>211.392</v>
      </c>
      <c r="J29" s="89">
        <f t="shared" si="10"/>
        <v>211.392</v>
      </c>
      <c r="K29" s="89">
        <f t="shared" si="10"/>
        <v>211.392</v>
      </c>
      <c r="L29" s="89">
        <f t="shared" si="10"/>
        <v>211.392</v>
      </c>
      <c r="M29" s="89">
        <f t="shared" si="10"/>
        <v>211.392</v>
      </c>
      <c r="N29" s="89">
        <f t="shared" si="10"/>
        <v>211.392</v>
      </c>
      <c r="O29" s="89">
        <f t="shared" si="10"/>
        <v>211.392</v>
      </c>
      <c r="P29" s="89">
        <f t="shared" si="10"/>
        <v>211.392</v>
      </c>
      <c r="Q29" s="89">
        <f t="shared" si="10"/>
        <v>211.392</v>
      </c>
      <c r="R29" s="89">
        <f t="shared" si="10"/>
        <v>211.392</v>
      </c>
      <c r="S29" s="89">
        <f t="shared" si="10"/>
        <v>211.392</v>
      </c>
      <c r="T29" s="89">
        <f t="shared" si="10"/>
        <v>211.392</v>
      </c>
      <c r="U29" s="89">
        <f t="shared" si="10"/>
        <v>211.392</v>
      </c>
      <c r="V29" s="89">
        <f t="shared" si="7"/>
        <v>211.392</v>
      </c>
      <c r="W29" s="89">
        <f t="shared" si="7"/>
        <v>211.392</v>
      </c>
      <c r="X29" s="89">
        <f t="shared" si="7"/>
        <v>211.392</v>
      </c>
      <c r="Y29" s="179"/>
    </row>
    <row r="30" spans="1:25" x14ac:dyDescent="0.25">
      <c r="A30" s="143">
        <f t="shared" si="8"/>
        <v>1</v>
      </c>
      <c r="B30" s="9"/>
      <c r="C30" s="31" t="str">
        <f t="shared" si="9"/>
        <v>БелАЗ 7531 (БТЛ)</v>
      </c>
      <c r="D30" s="9" t="str">
        <f t="shared" si="11"/>
        <v>т</v>
      </c>
      <c r="E30" s="459">
        <f>Производительность!E30</f>
        <v>231</v>
      </c>
      <c r="F30" s="89">
        <f t="shared" si="10"/>
        <v>231</v>
      </c>
      <c r="G30" s="89">
        <f t="shared" si="10"/>
        <v>231</v>
      </c>
      <c r="H30" s="89">
        <f t="shared" si="10"/>
        <v>231</v>
      </c>
      <c r="I30" s="89">
        <f t="shared" si="10"/>
        <v>231</v>
      </c>
      <c r="J30" s="89">
        <f t="shared" si="10"/>
        <v>231</v>
      </c>
      <c r="K30" s="89">
        <f t="shared" si="10"/>
        <v>231</v>
      </c>
      <c r="L30" s="89">
        <f t="shared" si="10"/>
        <v>231</v>
      </c>
      <c r="M30" s="89">
        <f t="shared" si="10"/>
        <v>231</v>
      </c>
      <c r="N30" s="89">
        <f t="shared" si="10"/>
        <v>231</v>
      </c>
      <c r="O30" s="89">
        <f t="shared" si="10"/>
        <v>231</v>
      </c>
      <c r="P30" s="89">
        <f t="shared" si="10"/>
        <v>231</v>
      </c>
      <c r="Q30" s="89">
        <f t="shared" si="10"/>
        <v>231</v>
      </c>
      <c r="R30" s="89">
        <f t="shared" si="10"/>
        <v>231</v>
      </c>
      <c r="S30" s="89">
        <f t="shared" si="10"/>
        <v>231</v>
      </c>
      <c r="T30" s="89">
        <f t="shared" si="10"/>
        <v>231</v>
      </c>
      <c r="U30" s="89">
        <f t="shared" si="10"/>
        <v>231</v>
      </c>
      <c r="V30" s="89">
        <f t="shared" si="7"/>
        <v>231</v>
      </c>
      <c r="W30" s="89">
        <f t="shared" si="7"/>
        <v>231</v>
      </c>
      <c r="X30" s="89">
        <f t="shared" si="7"/>
        <v>231</v>
      </c>
      <c r="Y30" s="179"/>
    </row>
    <row r="31" spans="1:25" x14ac:dyDescent="0.25">
      <c r="A31" s="143">
        <f t="shared" si="8"/>
        <v>0</v>
      </c>
      <c r="B31" s="9"/>
      <c r="C31" s="31">
        <f t="shared" si="9"/>
        <v>0</v>
      </c>
      <c r="D31" s="9" t="str">
        <f t="shared" si="11"/>
        <v>т</v>
      </c>
      <c r="E31" s="459">
        <f>Производительность!E31</f>
        <v>0</v>
      </c>
      <c r="F31" s="89">
        <f t="shared" si="10"/>
        <v>0</v>
      </c>
      <c r="G31" s="89">
        <f t="shared" si="10"/>
        <v>0</v>
      </c>
      <c r="H31" s="89">
        <f t="shared" si="10"/>
        <v>0</v>
      </c>
      <c r="I31" s="89">
        <f t="shared" si="10"/>
        <v>0</v>
      </c>
      <c r="J31" s="89">
        <f t="shared" si="10"/>
        <v>0</v>
      </c>
      <c r="K31" s="89">
        <f t="shared" si="10"/>
        <v>0</v>
      </c>
      <c r="L31" s="89">
        <f t="shared" si="10"/>
        <v>0</v>
      </c>
      <c r="M31" s="89">
        <f t="shared" si="10"/>
        <v>0</v>
      </c>
      <c r="N31" s="89">
        <f t="shared" si="10"/>
        <v>0</v>
      </c>
      <c r="O31" s="89">
        <f t="shared" si="10"/>
        <v>0</v>
      </c>
      <c r="P31" s="89">
        <f t="shared" si="10"/>
        <v>0</v>
      </c>
      <c r="Q31" s="89">
        <f t="shared" si="10"/>
        <v>0</v>
      </c>
      <c r="R31" s="89">
        <f t="shared" si="10"/>
        <v>0</v>
      </c>
      <c r="S31" s="89">
        <f t="shared" si="10"/>
        <v>0</v>
      </c>
      <c r="T31" s="89">
        <f t="shared" si="10"/>
        <v>0</v>
      </c>
      <c r="U31" s="89">
        <f t="shared" si="10"/>
        <v>0</v>
      </c>
      <c r="V31" s="89">
        <f t="shared" si="7"/>
        <v>0</v>
      </c>
      <c r="W31" s="89">
        <f t="shared" si="7"/>
        <v>0</v>
      </c>
      <c r="X31" s="89">
        <f t="shared" si="7"/>
        <v>0</v>
      </c>
      <c r="Y31" s="179"/>
    </row>
    <row r="32" spans="1:25" x14ac:dyDescent="0.25">
      <c r="A32" s="143">
        <f t="shared" si="8"/>
        <v>0</v>
      </c>
      <c r="B32" s="9"/>
      <c r="C32" s="31">
        <f t="shared" si="9"/>
        <v>0</v>
      </c>
      <c r="D32" s="9" t="str">
        <f t="shared" si="11"/>
        <v>т</v>
      </c>
      <c r="E32" s="459">
        <f>Производительность!E32</f>
        <v>0</v>
      </c>
      <c r="F32" s="89">
        <f t="shared" si="10"/>
        <v>0</v>
      </c>
      <c r="G32" s="89">
        <f t="shared" si="10"/>
        <v>0</v>
      </c>
      <c r="H32" s="89">
        <f t="shared" si="10"/>
        <v>0</v>
      </c>
      <c r="I32" s="89">
        <f t="shared" si="10"/>
        <v>0</v>
      </c>
      <c r="J32" s="89">
        <f t="shared" si="10"/>
        <v>0</v>
      </c>
      <c r="K32" s="89">
        <f t="shared" si="10"/>
        <v>0</v>
      </c>
      <c r="L32" s="89">
        <f t="shared" si="10"/>
        <v>0</v>
      </c>
      <c r="M32" s="89">
        <f t="shared" si="10"/>
        <v>0</v>
      </c>
      <c r="N32" s="89">
        <f t="shared" si="10"/>
        <v>0</v>
      </c>
      <c r="O32" s="89">
        <f t="shared" si="10"/>
        <v>0</v>
      </c>
      <c r="P32" s="89">
        <f t="shared" si="10"/>
        <v>0</v>
      </c>
      <c r="Q32" s="89">
        <f t="shared" si="10"/>
        <v>0</v>
      </c>
      <c r="R32" s="89">
        <f t="shared" si="10"/>
        <v>0</v>
      </c>
      <c r="S32" s="89">
        <f t="shared" si="10"/>
        <v>0</v>
      </c>
      <c r="T32" s="89">
        <f t="shared" si="10"/>
        <v>0</v>
      </c>
      <c r="U32" s="89">
        <f t="shared" si="10"/>
        <v>0</v>
      </c>
      <c r="V32" s="89">
        <f t="shared" si="7"/>
        <v>0</v>
      </c>
      <c r="W32" s="89">
        <f t="shared" si="7"/>
        <v>0</v>
      </c>
      <c r="X32" s="89">
        <f t="shared" si="7"/>
        <v>0</v>
      </c>
      <c r="Y32" s="179"/>
    </row>
    <row r="33" spans="1:25" x14ac:dyDescent="0.25">
      <c r="A33" s="143">
        <f t="shared" si="8"/>
        <v>0</v>
      </c>
      <c r="B33" s="9"/>
      <c r="C33" s="31">
        <f t="shared" si="9"/>
        <v>0</v>
      </c>
      <c r="D33" s="9" t="str">
        <f t="shared" si="11"/>
        <v>т</v>
      </c>
      <c r="E33" s="459">
        <f>Производительность!E33</f>
        <v>0</v>
      </c>
      <c r="F33" s="89">
        <f t="shared" si="10"/>
        <v>0</v>
      </c>
      <c r="G33" s="89">
        <f t="shared" si="10"/>
        <v>0</v>
      </c>
      <c r="H33" s="89">
        <f t="shared" si="10"/>
        <v>0</v>
      </c>
      <c r="I33" s="89">
        <f t="shared" si="10"/>
        <v>0</v>
      </c>
      <c r="J33" s="89">
        <f t="shared" si="10"/>
        <v>0</v>
      </c>
      <c r="K33" s="89">
        <f t="shared" si="10"/>
        <v>0</v>
      </c>
      <c r="L33" s="89">
        <f t="shared" si="10"/>
        <v>0</v>
      </c>
      <c r="M33" s="89">
        <f t="shared" si="10"/>
        <v>0</v>
      </c>
      <c r="N33" s="89">
        <f t="shared" si="10"/>
        <v>0</v>
      </c>
      <c r="O33" s="89">
        <f t="shared" si="10"/>
        <v>0</v>
      </c>
      <c r="P33" s="89">
        <f t="shared" si="10"/>
        <v>0</v>
      </c>
      <c r="Q33" s="89">
        <f t="shared" si="10"/>
        <v>0</v>
      </c>
      <c r="R33" s="89">
        <f t="shared" si="10"/>
        <v>0</v>
      </c>
      <c r="S33" s="89">
        <f t="shared" si="10"/>
        <v>0</v>
      </c>
      <c r="T33" s="89">
        <f t="shared" si="10"/>
        <v>0</v>
      </c>
      <c r="U33" s="89">
        <f t="shared" si="10"/>
        <v>0</v>
      </c>
      <c r="V33" s="89">
        <f t="shared" si="7"/>
        <v>0</v>
      </c>
      <c r="W33" s="89">
        <f t="shared" si="7"/>
        <v>0</v>
      </c>
      <c r="X33" s="89">
        <f t="shared" si="7"/>
        <v>0</v>
      </c>
      <c r="Y33" s="179"/>
    </row>
    <row r="34" spans="1:25" x14ac:dyDescent="0.25">
      <c r="A34" s="143">
        <f t="shared" si="8"/>
        <v>0</v>
      </c>
      <c r="B34" s="9"/>
      <c r="C34" s="31">
        <f t="shared" si="9"/>
        <v>0</v>
      </c>
      <c r="D34" s="9" t="str">
        <f t="shared" si="11"/>
        <v>т</v>
      </c>
      <c r="E34" s="459">
        <f>Производительность!E34</f>
        <v>0</v>
      </c>
      <c r="F34" s="89">
        <f t="shared" si="10"/>
        <v>0</v>
      </c>
      <c r="G34" s="89">
        <f t="shared" si="10"/>
        <v>0</v>
      </c>
      <c r="H34" s="89">
        <f t="shared" si="10"/>
        <v>0</v>
      </c>
      <c r="I34" s="89">
        <f t="shared" si="10"/>
        <v>0</v>
      </c>
      <c r="J34" s="89">
        <f t="shared" si="10"/>
        <v>0</v>
      </c>
      <c r="K34" s="89">
        <f t="shared" si="10"/>
        <v>0</v>
      </c>
      <c r="L34" s="89">
        <f t="shared" si="10"/>
        <v>0</v>
      </c>
      <c r="M34" s="89">
        <f t="shared" si="10"/>
        <v>0</v>
      </c>
      <c r="N34" s="89">
        <f t="shared" si="10"/>
        <v>0</v>
      </c>
      <c r="O34" s="89">
        <f t="shared" si="10"/>
        <v>0</v>
      </c>
      <c r="P34" s="89">
        <f t="shared" si="10"/>
        <v>0</v>
      </c>
      <c r="Q34" s="89">
        <f t="shared" si="10"/>
        <v>0</v>
      </c>
      <c r="R34" s="89">
        <f t="shared" si="10"/>
        <v>0</v>
      </c>
      <c r="S34" s="89">
        <f t="shared" si="10"/>
        <v>0</v>
      </c>
      <c r="T34" s="89">
        <f t="shared" si="10"/>
        <v>0</v>
      </c>
      <c r="U34" s="89">
        <f t="shared" si="10"/>
        <v>0</v>
      </c>
      <c r="V34" s="89">
        <f t="shared" si="7"/>
        <v>0</v>
      </c>
      <c r="W34" s="89">
        <f t="shared" si="7"/>
        <v>0</v>
      </c>
      <c r="X34" s="89">
        <f t="shared" si="7"/>
        <v>0</v>
      </c>
      <c r="Y34" s="179"/>
    </row>
    <row r="35" spans="1:25" x14ac:dyDescent="0.25">
      <c r="A35" s="143">
        <f t="shared" si="8"/>
        <v>0</v>
      </c>
      <c r="B35" s="9"/>
      <c r="C35" s="31">
        <f t="shared" si="9"/>
        <v>0</v>
      </c>
      <c r="D35" s="9" t="str">
        <f t="shared" si="11"/>
        <v>т</v>
      </c>
      <c r="E35" s="459">
        <f>Производительность!E35</f>
        <v>0</v>
      </c>
      <c r="F35" s="89">
        <f t="shared" si="10"/>
        <v>0</v>
      </c>
      <c r="G35" s="89">
        <f t="shared" si="10"/>
        <v>0</v>
      </c>
      <c r="H35" s="89">
        <f t="shared" si="10"/>
        <v>0</v>
      </c>
      <c r="I35" s="89">
        <f t="shared" si="10"/>
        <v>0</v>
      </c>
      <c r="J35" s="89">
        <f t="shared" si="10"/>
        <v>0</v>
      </c>
      <c r="K35" s="89">
        <f t="shared" si="10"/>
        <v>0</v>
      </c>
      <c r="L35" s="89">
        <f t="shared" si="10"/>
        <v>0</v>
      </c>
      <c r="M35" s="89">
        <f t="shared" si="10"/>
        <v>0</v>
      </c>
      <c r="N35" s="89">
        <f t="shared" si="10"/>
        <v>0</v>
      </c>
      <c r="O35" s="89">
        <f t="shared" si="10"/>
        <v>0</v>
      </c>
      <c r="P35" s="89">
        <f t="shared" si="10"/>
        <v>0</v>
      </c>
      <c r="Q35" s="89">
        <f t="shared" si="10"/>
        <v>0</v>
      </c>
      <c r="R35" s="89">
        <f t="shared" si="10"/>
        <v>0</v>
      </c>
      <c r="S35" s="89">
        <f t="shared" si="10"/>
        <v>0</v>
      </c>
      <c r="T35" s="89">
        <f t="shared" si="10"/>
        <v>0</v>
      </c>
      <c r="U35" s="89">
        <f t="shared" si="10"/>
        <v>0</v>
      </c>
      <c r="V35" s="89">
        <f t="shared" si="7"/>
        <v>0</v>
      </c>
      <c r="W35" s="89">
        <f t="shared" si="7"/>
        <v>0</v>
      </c>
      <c r="X35" s="89">
        <f t="shared" si="7"/>
        <v>0</v>
      </c>
      <c r="Y35" s="179"/>
    </row>
    <row r="36" spans="1:25" x14ac:dyDescent="0.25">
      <c r="A36" s="143">
        <f t="shared" si="8"/>
        <v>0</v>
      </c>
      <c r="B36" s="9"/>
      <c r="C36" s="31">
        <f t="shared" si="9"/>
        <v>0</v>
      </c>
      <c r="D36" s="9" t="str">
        <f t="shared" si="11"/>
        <v>т</v>
      </c>
      <c r="E36" s="459">
        <f>Производительность!E36</f>
        <v>0</v>
      </c>
      <c r="F36" s="89">
        <f t="shared" si="10"/>
        <v>0</v>
      </c>
      <c r="G36" s="89">
        <f t="shared" si="10"/>
        <v>0</v>
      </c>
      <c r="H36" s="89">
        <f t="shared" si="10"/>
        <v>0</v>
      </c>
      <c r="I36" s="89">
        <f t="shared" si="10"/>
        <v>0</v>
      </c>
      <c r="J36" s="89">
        <f t="shared" si="10"/>
        <v>0</v>
      </c>
      <c r="K36" s="89">
        <f t="shared" si="10"/>
        <v>0</v>
      </c>
      <c r="L36" s="89">
        <f t="shared" si="10"/>
        <v>0</v>
      </c>
      <c r="M36" s="89">
        <f t="shared" si="10"/>
        <v>0</v>
      </c>
      <c r="N36" s="89">
        <f t="shared" si="10"/>
        <v>0</v>
      </c>
      <c r="O36" s="89">
        <f t="shared" si="10"/>
        <v>0</v>
      </c>
      <c r="P36" s="89">
        <f t="shared" si="10"/>
        <v>0</v>
      </c>
      <c r="Q36" s="89">
        <f t="shared" si="10"/>
        <v>0</v>
      </c>
      <c r="R36" s="89">
        <f t="shared" si="10"/>
        <v>0</v>
      </c>
      <c r="S36" s="89">
        <f t="shared" si="10"/>
        <v>0</v>
      </c>
      <c r="T36" s="89">
        <f t="shared" si="10"/>
        <v>0</v>
      </c>
      <c r="U36" s="89">
        <f t="shared" si="10"/>
        <v>0</v>
      </c>
      <c r="V36" s="89">
        <f t="shared" si="7"/>
        <v>0</v>
      </c>
      <c r="W36" s="89">
        <f t="shared" si="7"/>
        <v>0</v>
      </c>
      <c r="X36" s="89">
        <f t="shared" si="7"/>
        <v>0</v>
      </c>
      <c r="Y36" s="179"/>
    </row>
    <row r="37" spans="1:25" x14ac:dyDescent="0.25">
      <c r="A37" s="143">
        <f t="shared" si="8"/>
        <v>0</v>
      </c>
      <c r="B37" s="9"/>
      <c r="C37" s="31">
        <f t="shared" si="9"/>
        <v>0</v>
      </c>
      <c r="D37" s="9" t="str">
        <f t="shared" si="11"/>
        <v>т</v>
      </c>
      <c r="E37" s="459">
        <f>Производительность!E37</f>
        <v>0</v>
      </c>
      <c r="F37" s="89">
        <f t="shared" si="10"/>
        <v>0</v>
      </c>
      <c r="G37" s="89">
        <f t="shared" si="10"/>
        <v>0</v>
      </c>
      <c r="H37" s="89">
        <f t="shared" si="10"/>
        <v>0</v>
      </c>
      <c r="I37" s="89">
        <f t="shared" si="10"/>
        <v>0</v>
      </c>
      <c r="J37" s="89">
        <f t="shared" si="10"/>
        <v>0</v>
      </c>
      <c r="K37" s="89">
        <f t="shared" si="10"/>
        <v>0</v>
      </c>
      <c r="L37" s="89">
        <f t="shared" si="10"/>
        <v>0</v>
      </c>
      <c r="M37" s="89">
        <f t="shared" si="10"/>
        <v>0</v>
      </c>
      <c r="N37" s="89">
        <f t="shared" si="10"/>
        <v>0</v>
      </c>
      <c r="O37" s="89">
        <f t="shared" si="10"/>
        <v>0</v>
      </c>
      <c r="P37" s="89">
        <f t="shared" si="10"/>
        <v>0</v>
      </c>
      <c r="Q37" s="89">
        <f t="shared" si="10"/>
        <v>0</v>
      </c>
      <c r="R37" s="89">
        <f t="shared" si="10"/>
        <v>0</v>
      </c>
      <c r="S37" s="89">
        <f t="shared" si="10"/>
        <v>0</v>
      </c>
      <c r="T37" s="89">
        <f t="shared" si="10"/>
        <v>0</v>
      </c>
      <c r="U37" s="89">
        <f t="shared" si="10"/>
        <v>0</v>
      </c>
      <c r="V37" s="89">
        <f t="shared" si="7"/>
        <v>0</v>
      </c>
      <c r="W37" s="89">
        <f t="shared" si="7"/>
        <v>0</v>
      </c>
      <c r="X37" s="89">
        <f t="shared" si="7"/>
        <v>0</v>
      </c>
      <c r="Y37" s="179"/>
    </row>
    <row r="38" spans="1:25" x14ac:dyDescent="0.25">
      <c r="A38" s="143">
        <f t="shared" si="8"/>
        <v>0</v>
      </c>
      <c r="B38" s="9"/>
      <c r="C38" s="31">
        <f t="shared" si="9"/>
        <v>0</v>
      </c>
      <c r="D38" s="9" t="str">
        <f t="shared" si="11"/>
        <v>т</v>
      </c>
      <c r="E38" s="459">
        <f>Производительность!E38</f>
        <v>0</v>
      </c>
      <c r="F38" s="89">
        <f t="shared" si="10"/>
        <v>0</v>
      </c>
      <c r="G38" s="89">
        <f t="shared" si="10"/>
        <v>0</v>
      </c>
      <c r="H38" s="89">
        <f t="shared" si="10"/>
        <v>0</v>
      </c>
      <c r="I38" s="89">
        <f t="shared" si="10"/>
        <v>0</v>
      </c>
      <c r="J38" s="89">
        <f t="shared" si="10"/>
        <v>0</v>
      </c>
      <c r="K38" s="89">
        <f t="shared" si="10"/>
        <v>0</v>
      </c>
      <c r="L38" s="89">
        <f t="shared" si="10"/>
        <v>0</v>
      </c>
      <c r="M38" s="89">
        <f t="shared" si="10"/>
        <v>0</v>
      </c>
      <c r="N38" s="89">
        <f t="shared" si="10"/>
        <v>0</v>
      </c>
      <c r="O38" s="89">
        <f t="shared" si="10"/>
        <v>0</v>
      </c>
      <c r="P38" s="89">
        <f t="shared" si="10"/>
        <v>0</v>
      </c>
      <c r="Q38" s="89">
        <f t="shared" si="10"/>
        <v>0</v>
      </c>
      <c r="R38" s="89">
        <f t="shared" si="10"/>
        <v>0</v>
      </c>
      <c r="S38" s="89">
        <f t="shared" si="10"/>
        <v>0</v>
      </c>
      <c r="T38" s="89">
        <f t="shared" si="10"/>
        <v>0</v>
      </c>
      <c r="U38" s="89">
        <f t="shared" si="10"/>
        <v>0</v>
      </c>
      <c r="V38" s="89">
        <f t="shared" si="7"/>
        <v>0</v>
      </c>
      <c r="W38" s="89">
        <f t="shared" si="7"/>
        <v>0</v>
      </c>
      <c r="X38" s="89">
        <f t="shared" si="7"/>
        <v>0</v>
      </c>
      <c r="Y38" s="179"/>
    </row>
    <row r="39" spans="1:25" x14ac:dyDescent="0.25">
      <c r="A39" s="139">
        <f>A23</f>
        <v>1</v>
      </c>
      <c r="B39" s="68">
        <f>B23+1</f>
        <v>3</v>
      </c>
      <c r="C39" s="67" t="s">
        <v>107</v>
      </c>
      <c r="D39" s="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79"/>
    </row>
    <row r="40" spans="1:25" x14ac:dyDescent="0.25">
      <c r="A40" s="139">
        <f t="shared" ref="A40:A103" si="12">A24</f>
        <v>1</v>
      </c>
      <c r="B40" s="9"/>
      <c r="C40" s="31" t="str">
        <f>C24</f>
        <v>NHL NTE 240</v>
      </c>
      <c r="D40" s="9" t="s">
        <v>17</v>
      </c>
      <c r="E40" s="460">
        <f>Производительность!E40</f>
        <v>0.98371378402107112</v>
      </c>
      <c r="F40" s="41">
        <f>E40</f>
        <v>0.98371378402107112</v>
      </c>
      <c r="G40" s="41">
        <f t="shared" ref="G40:V40" si="13">F40</f>
        <v>0.98371378402107112</v>
      </c>
      <c r="H40" s="41">
        <f t="shared" si="13"/>
        <v>0.98371378402107112</v>
      </c>
      <c r="I40" s="41">
        <f t="shared" si="13"/>
        <v>0.98371378402107112</v>
      </c>
      <c r="J40" s="41">
        <f t="shared" si="13"/>
        <v>0.98371378402107112</v>
      </c>
      <c r="K40" s="41">
        <f t="shared" si="13"/>
        <v>0.98371378402107112</v>
      </c>
      <c r="L40" s="41">
        <f t="shared" si="13"/>
        <v>0.98371378402107112</v>
      </c>
      <c r="M40" s="41">
        <f t="shared" si="13"/>
        <v>0.98371378402107112</v>
      </c>
      <c r="N40" s="41">
        <f t="shared" si="13"/>
        <v>0.98371378402107112</v>
      </c>
      <c r="O40" s="41">
        <f t="shared" si="13"/>
        <v>0.98371378402107112</v>
      </c>
      <c r="P40" s="41">
        <f t="shared" si="13"/>
        <v>0.98371378402107112</v>
      </c>
      <c r="Q40" s="41">
        <f t="shared" si="13"/>
        <v>0.98371378402107112</v>
      </c>
      <c r="R40" s="41">
        <f t="shared" si="13"/>
        <v>0.98371378402107112</v>
      </c>
      <c r="S40" s="41">
        <f t="shared" si="13"/>
        <v>0.98371378402107112</v>
      </c>
      <c r="T40" s="41">
        <f t="shared" si="13"/>
        <v>0.98371378402107112</v>
      </c>
      <c r="U40" s="41">
        <f t="shared" si="13"/>
        <v>0.98371378402107112</v>
      </c>
      <c r="V40" s="41">
        <f t="shared" si="13"/>
        <v>0.98371378402107112</v>
      </c>
      <c r="W40" s="41">
        <f t="shared" ref="V40:X54" si="14">V40</f>
        <v>0.98371378402107112</v>
      </c>
      <c r="X40" s="41">
        <f t="shared" si="14"/>
        <v>0.98371378402107112</v>
      </c>
      <c r="Y40" s="179"/>
    </row>
    <row r="41" spans="1:25" x14ac:dyDescent="0.25">
      <c r="A41" s="139">
        <f t="shared" si="12"/>
        <v>1</v>
      </c>
      <c r="B41" s="9"/>
      <c r="C41" s="31" t="str">
        <f t="shared" ref="C41:C54" si="15">C25</f>
        <v>Estar ESDE240 (ГПБ К)</v>
      </c>
      <c r="D41" s="9" t="str">
        <f>D40</f>
        <v>коэфф.</v>
      </c>
      <c r="E41" s="460">
        <f>Производительность!E41</f>
        <v>0.98371378402107112</v>
      </c>
      <c r="F41" s="41">
        <f t="shared" ref="F41:U54" si="16">E41</f>
        <v>0.98371378402107112</v>
      </c>
      <c r="G41" s="41">
        <f t="shared" si="16"/>
        <v>0.98371378402107112</v>
      </c>
      <c r="H41" s="41">
        <f t="shared" si="16"/>
        <v>0.98371378402107112</v>
      </c>
      <c r="I41" s="41">
        <f t="shared" si="16"/>
        <v>0.98371378402107112</v>
      </c>
      <c r="J41" s="41">
        <f t="shared" si="16"/>
        <v>0.98371378402107112</v>
      </c>
      <c r="K41" s="41">
        <f t="shared" si="16"/>
        <v>0.98371378402107112</v>
      </c>
      <c r="L41" s="41">
        <f t="shared" si="16"/>
        <v>0.98371378402107112</v>
      </c>
      <c r="M41" s="41">
        <f t="shared" si="16"/>
        <v>0.98371378402107112</v>
      </c>
      <c r="N41" s="41">
        <f t="shared" si="16"/>
        <v>0.98371378402107112</v>
      </c>
      <c r="O41" s="41">
        <f t="shared" si="16"/>
        <v>0.98371378402107112</v>
      </c>
      <c r="P41" s="41">
        <f t="shared" si="16"/>
        <v>0.98371378402107112</v>
      </c>
      <c r="Q41" s="41">
        <f t="shared" si="16"/>
        <v>0.98371378402107112</v>
      </c>
      <c r="R41" s="41">
        <f t="shared" si="16"/>
        <v>0.98371378402107112</v>
      </c>
      <c r="S41" s="41">
        <f t="shared" si="16"/>
        <v>0.98371378402107112</v>
      </c>
      <c r="T41" s="41">
        <f t="shared" si="16"/>
        <v>0.98371378402107112</v>
      </c>
      <c r="U41" s="41">
        <f t="shared" si="16"/>
        <v>0.98371378402107112</v>
      </c>
      <c r="V41" s="41">
        <f t="shared" si="14"/>
        <v>0.98371378402107112</v>
      </c>
      <c r="W41" s="41">
        <f t="shared" si="14"/>
        <v>0.98371378402107112</v>
      </c>
      <c r="X41" s="41">
        <f t="shared" si="14"/>
        <v>0.98371378402107112</v>
      </c>
      <c r="Y41" s="179"/>
    </row>
    <row r="42" spans="1:25" x14ac:dyDescent="0.25">
      <c r="A42" s="139">
        <f t="shared" si="12"/>
        <v>1</v>
      </c>
      <c r="B42" s="9"/>
      <c r="C42" s="31" t="str">
        <f t="shared" si="15"/>
        <v>SANY SET240S</v>
      </c>
      <c r="D42" s="9" t="str">
        <f t="shared" ref="D42:D54" si="17">D41</f>
        <v>коэфф.</v>
      </c>
      <c r="E42" s="460">
        <f>Производительность!E42</f>
        <v>0.98371378402107112</v>
      </c>
      <c r="F42" s="41">
        <f t="shared" si="16"/>
        <v>0.98371378402107112</v>
      </c>
      <c r="G42" s="41">
        <f t="shared" si="16"/>
        <v>0.98371378402107112</v>
      </c>
      <c r="H42" s="41">
        <f t="shared" si="16"/>
        <v>0.98371378402107112</v>
      </c>
      <c r="I42" s="41">
        <f t="shared" si="16"/>
        <v>0.98371378402107112</v>
      </c>
      <c r="J42" s="41">
        <f t="shared" si="16"/>
        <v>0.98371378402107112</v>
      </c>
      <c r="K42" s="41">
        <f t="shared" si="16"/>
        <v>0.98371378402107112</v>
      </c>
      <c r="L42" s="41">
        <f t="shared" si="16"/>
        <v>0.98371378402107112</v>
      </c>
      <c r="M42" s="41">
        <f t="shared" si="16"/>
        <v>0.98371378402107112</v>
      </c>
      <c r="N42" s="41">
        <f t="shared" si="16"/>
        <v>0.98371378402107112</v>
      </c>
      <c r="O42" s="41">
        <f t="shared" si="16"/>
        <v>0.98371378402107112</v>
      </c>
      <c r="P42" s="41">
        <f t="shared" si="16"/>
        <v>0.98371378402107112</v>
      </c>
      <c r="Q42" s="41">
        <f t="shared" si="16"/>
        <v>0.98371378402107112</v>
      </c>
      <c r="R42" s="41">
        <f t="shared" si="16"/>
        <v>0.98371378402107112</v>
      </c>
      <c r="S42" s="41">
        <f t="shared" si="16"/>
        <v>0.98371378402107112</v>
      </c>
      <c r="T42" s="41">
        <f t="shared" si="16"/>
        <v>0.98371378402107112</v>
      </c>
      <c r="U42" s="41">
        <f t="shared" si="16"/>
        <v>0.98371378402107112</v>
      </c>
      <c r="V42" s="41">
        <f t="shared" si="14"/>
        <v>0.98371378402107112</v>
      </c>
      <c r="W42" s="41">
        <f t="shared" si="14"/>
        <v>0.98371378402107112</v>
      </c>
      <c r="X42" s="41">
        <f t="shared" si="14"/>
        <v>0.98371378402107112</v>
      </c>
      <c r="Y42" s="179"/>
    </row>
    <row r="43" spans="1:25" x14ac:dyDescent="0.25">
      <c r="A43" s="139">
        <f t="shared" si="12"/>
        <v>1</v>
      </c>
      <c r="B43" s="9"/>
      <c r="C43" s="31" t="str">
        <f t="shared" si="15"/>
        <v>TZCO TZE240</v>
      </c>
      <c r="D43" s="9" t="str">
        <f t="shared" si="17"/>
        <v>коэфф.</v>
      </c>
      <c r="E43" s="460">
        <f>Производительность!E43</f>
        <v>0.98371378402107112</v>
      </c>
      <c r="F43" s="41">
        <f t="shared" si="16"/>
        <v>0.98371378402107112</v>
      </c>
      <c r="G43" s="41">
        <f t="shared" si="16"/>
        <v>0.98371378402107112</v>
      </c>
      <c r="H43" s="41">
        <f t="shared" si="16"/>
        <v>0.98371378402107112</v>
      </c>
      <c r="I43" s="41">
        <f t="shared" si="16"/>
        <v>0.98371378402107112</v>
      </c>
      <c r="J43" s="41">
        <f t="shared" si="16"/>
        <v>0.98371378402107112</v>
      </c>
      <c r="K43" s="41">
        <f t="shared" si="16"/>
        <v>0.98371378402107112</v>
      </c>
      <c r="L43" s="41">
        <f t="shared" si="16"/>
        <v>0.98371378402107112</v>
      </c>
      <c r="M43" s="41">
        <f t="shared" si="16"/>
        <v>0.98371378402107112</v>
      </c>
      <c r="N43" s="41">
        <f t="shared" si="16"/>
        <v>0.98371378402107112</v>
      </c>
      <c r="O43" s="41">
        <f t="shared" si="16"/>
        <v>0.98371378402107112</v>
      </c>
      <c r="P43" s="41">
        <f t="shared" si="16"/>
        <v>0.98371378402107112</v>
      </c>
      <c r="Q43" s="41">
        <f t="shared" si="16"/>
        <v>0.98371378402107112</v>
      </c>
      <c r="R43" s="41">
        <f t="shared" si="16"/>
        <v>0.98371378402107112</v>
      </c>
      <c r="S43" s="41">
        <f t="shared" si="16"/>
        <v>0.98371378402107112</v>
      </c>
      <c r="T43" s="41">
        <f t="shared" si="16"/>
        <v>0.98371378402107112</v>
      </c>
      <c r="U43" s="41">
        <f t="shared" si="16"/>
        <v>0.98371378402107112</v>
      </c>
      <c r="V43" s="41">
        <f t="shared" si="14"/>
        <v>0.98371378402107112</v>
      </c>
      <c r="W43" s="41">
        <f t="shared" si="14"/>
        <v>0.98371378402107112</v>
      </c>
      <c r="X43" s="41">
        <f t="shared" si="14"/>
        <v>0.98371378402107112</v>
      </c>
      <c r="Y43" s="179"/>
    </row>
    <row r="44" spans="1:25" x14ac:dyDescent="0.25">
      <c r="A44" s="139">
        <f t="shared" si="12"/>
        <v>1</v>
      </c>
      <c r="B44" s="9"/>
      <c r="C44" s="31" t="str">
        <f t="shared" si="15"/>
        <v>БелАЗ 7531 (ГПФК)</v>
      </c>
      <c r="D44" s="9" t="str">
        <f t="shared" si="17"/>
        <v>коэфф.</v>
      </c>
      <c r="E44" s="460">
        <f>Производительность!E44</f>
        <v>0.98371378402107112</v>
      </c>
      <c r="F44" s="41">
        <f t="shared" si="16"/>
        <v>0.98371378402107112</v>
      </c>
      <c r="G44" s="41">
        <f t="shared" si="16"/>
        <v>0.98371378402107112</v>
      </c>
      <c r="H44" s="41">
        <f t="shared" si="16"/>
        <v>0.98371378402107112</v>
      </c>
      <c r="I44" s="41">
        <f t="shared" si="16"/>
        <v>0.98371378402107112</v>
      </c>
      <c r="J44" s="41">
        <f t="shared" si="16"/>
        <v>0.98371378402107112</v>
      </c>
      <c r="K44" s="41">
        <f t="shared" si="16"/>
        <v>0.98371378402107112</v>
      </c>
      <c r="L44" s="41">
        <f t="shared" si="16"/>
        <v>0.98371378402107112</v>
      </c>
      <c r="M44" s="41">
        <f t="shared" si="16"/>
        <v>0.98371378402107112</v>
      </c>
      <c r="N44" s="41">
        <f t="shared" si="16"/>
        <v>0.98371378402107112</v>
      </c>
      <c r="O44" s="41">
        <f t="shared" si="16"/>
        <v>0.98371378402107112</v>
      </c>
      <c r="P44" s="41">
        <f t="shared" si="16"/>
        <v>0.98371378402107112</v>
      </c>
      <c r="Q44" s="41">
        <f t="shared" si="16"/>
        <v>0.98371378402107112</v>
      </c>
      <c r="R44" s="41">
        <f t="shared" si="16"/>
        <v>0.98371378402107112</v>
      </c>
      <c r="S44" s="41">
        <f t="shared" si="16"/>
        <v>0.98371378402107112</v>
      </c>
      <c r="T44" s="41">
        <f t="shared" si="16"/>
        <v>0.98371378402107112</v>
      </c>
      <c r="U44" s="41">
        <f t="shared" si="16"/>
        <v>0.98371378402107112</v>
      </c>
      <c r="V44" s="41">
        <f t="shared" si="14"/>
        <v>0.98371378402107112</v>
      </c>
      <c r="W44" s="41">
        <f t="shared" si="14"/>
        <v>0.98371378402107112</v>
      </c>
      <c r="X44" s="41">
        <f t="shared" si="14"/>
        <v>0.98371378402107112</v>
      </c>
      <c r="Y44" s="179"/>
    </row>
    <row r="45" spans="1:25" x14ac:dyDescent="0.25">
      <c r="A45" s="139">
        <f t="shared" si="12"/>
        <v>1</v>
      </c>
      <c r="B45" s="9"/>
      <c r="C45" s="31" t="str">
        <f t="shared" si="15"/>
        <v>XCMG 240</v>
      </c>
      <c r="D45" s="9" t="str">
        <f t="shared" si="17"/>
        <v>коэфф.</v>
      </c>
      <c r="E45" s="460">
        <f>Производительность!E45</f>
        <v>0.98371378402107112</v>
      </c>
      <c r="F45" s="41">
        <f t="shared" si="16"/>
        <v>0.98371378402107112</v>
      </c>
      <c r="G45" s="41">
        <f t="shared" si="16"/>
        <v>0.98371378402107112</v>
      </c>
      <c r="H45" s="41">
        <f t="shared" si="16"/>
        <v>0.98371378402107112</v>
      </c>
      <c r="I45" s="41">
        <f t="shared" si="16"/>
        <v>0.98371378402107112</v>
      </c>
      <c r="J45" s="41">
        <f t="shared" si="16"/>
        <v>0.98371378402107112</v>
      </c>
      <c r="K45" s="41">
        <f t="shared" si="16"/>
        <v>0.98371378402107112</v>
      </c>
      <c r="L45" s="41">
        <f t="shared" si="16"/>
        <v>0.98371378402107112</v>
      </c>
      <c r="M45" s="41">
        <f t="shared" si="16"/>
        <v>0.98371378402107112</v>
      </c>
      <c r="N45" s="41">
        <f t="shared" si="16"/>
        <v>0.98371378402107112</v>
      </c>
      <c r="O45" s="41">
        <f t="shared" si="16"/>
        <v>0.98371378402107112</v>
      </c>
      <c r="P45" s="41">
        <f t="shared" si="16"/>
        <v>0.98371378402107112</v>
      </c>
      <c r="Q45" s="41">
        <f t="shared" si="16"/>
        <v>0.98371378402107112</v>
      </c>
      <c r="R45" s="41">
        <f t="shared" si="16"/>
        <v>0.98371378402107112</v>
      </c>
      <c r="S45" s="41">
        <f t="shared" si="16"/>
        <v>0.98371378402107112</v>
      </c>
      <c r="T45" s="41">
        <f t="shared" si="16"/>
        <v>0.98371378402107112</v>
      </c>
      <c r="U45" s="41">
        <f t="shared" si="16"/>
        <v>0.98371378402107112</v>
      </c>
      <c r="V45" s="41">
        <f t="shared" si="14"/>
        <v>0.98371378402107112</v>
      </c>
      <c r="W45" s="41">
        <f t="shared" si="14"/>
        <v>0.98371378402107112</v>
      </c>
      <c r="X45" s="41">
        <f t="shared" si="14"/>
        <v>0.98371378402107112</v>
      </c>
      <c r="Y45" s="179"/>
    </row>
    <row r="46" spans="1:25" x14ac:dyDescent="0.25">
      <c r="A46" s="139">
        <f t="shared" si="12"/>
        <v>1</v>
      </c>
      <c r="B46" s="9"/>
      <c r="C46" s="31" t="str">
        <f t="shared" si="15"/>
        <v>БелАЗ 7531 (БТЛ)</v>
      </c>
      <c r="D46" s="9" t="str">
        <f t="shared" si="17"/>
        <v>коэфф.</v>
      </c>
      <c r="E46" s="460">
        <f>Производительность!E46</f>
        <v>0.98371378402107112</v>
      </c>
      <c r="F46" s="41">
        <f t="shared" si="16"/>
        <v>0.98371378402107112</v>
      </c>
      <c r="G46" s="41">
        <f t="shared" si="16"/>
        <v>0.98371378402107112</v>
      </c>
      <c r="H46" s="41">
        <f t="shared" si="16"/>
        <v>0.98371378402107112</v>
      </c>
      <c r="I46" s="41">
        <f t="shared" si="16"/>
        <v>0.98371378402107112</v>
      </c>
      <c r="J46" s="41">
        <f t="shared" si="16"/>
        <v>0.98371378402107112</v>
      </c>
      <c r="K46" s="41">
        <f t="shared" si="16"/>
        <v>0.98371378402107112</v>
      </c>
      <c r="L46" s="41">
        <f t="shared" si="16"/>
        <v>0.98371378402107112</v>
      </c>
      <c r="M46" s="41">
        <f t="shared" si="16"/>
        <v>0.98371378402107112</v>
      </c>
      <c r="N46" s="41">
        <f t="shared" si="16"/>
        <v>0.98371378402107112</v>
      </c>
      <c r="O46" s="41">
        <f t="shared" si="16"/>
        <v>0.98371378402107112</v>
      </c>
      <c r="P46" s="41">
        <f t="shared" si="16"/>
        <v>0.98371378402107112</v>
      </c>
      <c r="Q46" s="41">
        <f t="shared" si="16"/>
        <v>0.98371378402107112</v>
      </c>
      <c r="R46" s="41">
        <f t="shared" si="16"/>
        <v>0.98371378402107112</v>
      </c>
      <c r="S46" s="41">
        <f t="shared" si="16"/>
        <v>0.98371378402107112</v>
      </c>
      <c r="T46" s="41">
        <f t="shared" si="16"/>
        <v>0.98371378402107112</v>
      </c>
      <c r="U46" s="41">
        <f t="shared" si="16"/>
        <v>0.98371378402107112</v>
      </c>
      <c r="V46" s="41">
        <f t="shared" si="14"/>
        <v>0.98371378402107112</v>
      </c>
      <c r="W46" s="41">
        <f t="shared" si="14"/>
        <v>0.98371378402107112</v>
      </c>
      <c r="X46" s="41">
        <f t="shared" si="14"/>
        <v>0.98371378402107112</v>
      </c>
      <c r="Y46" s="179"/>
    </row>
    <row r="47" spans="1:25" x14ac:dyDescent="0.25">
      <c r="A47" s="139">
        <f t="shared" si="12"/>
        <v>0</v>
      </c>
      <c r="B47" s="9"/>
      <c r="C47" s="31">
        <f t="shared" si="15"/>
        <v>0</v>
      </c>
      <c r="D47" s="9" t="str">
        <f t="shared" si="17"/>
        <v>коэфф.</v>
      </c>
      <c r="E47" s="460">
        <f>Производительность!E47</f>
        <v>0</v>
      </c>
      <c r="F47" s="41">
        <f t="shared" si="16"/>
        <v>0</v>
      </c>
      <c r="G47" s="41">
        <f t="shared" si="16"/>
        <v>0</v>
      </c>
      <c r="H47" s="41">
        <f t="shared" si="16"/>
        <v>0</v>
      </c>
      <c r="I47" s="41">
        <f t="shared" si="16"/>
        <v>0</v>
      </c>
      <c r="J47" s="41">
        <f t="shared" si="16"/>
        <v>0</v>
      </c>
      <c r="K47" s="41">
        <f t="shared" si="16"/>
        <v>0</v>
      </c>
      <c r="L47" s="41">
        <f t="shared" si="16"/>
        <v>0</v>
      </c>
      <c r="M47" s="41">
        <f t="shared" si="16"/>
        <v>0</v>
      </c>
      <c r="N47" s="41">
        <f t="shared" si="16"/>
        <v>0</v>
      </c>
      <c r="O47" s="41">
        <f t="shared" si="16"/>
        <v>0</v>
      </c>
      <c r="P47" s="41">
        <f t="shared" si="16"/>
        <v>0</v>
      </c>
      <c r="Q47" s="41">
        <f t="shared" si="16"/>
        <v>0</v>
      </c>
      <c r="R47" s="41">
        <f t="shared" si="16"/>
        <v>0</v>
      </c>
      <c r="S47" s="41">
        <f t="shared" si="16"/>
        <v>0</v>
      </c>
      <c r="T47" s="41">
        <f t="shared" si="16"/>
        <v>0</v>
      </c>
      <c r="U47" s="41">
        <f t="shared" si="16"/>
        <v>0</v>
      </c>
      <c r="V47" s="41">
        <f t="shared" si="14"/>
        <v>0</v>
      </c>
      <c r="W47" s="41">
        <f t="shared" si="14"/>
        <v>0</v>
      </c>
      <c r="X47" s="41">
        <f t="shared" si="14"/>
        <v>0</v>
      </c>
      <c r="Y47" s="179"/>
    </row>
    <row r="48" spans="1:25" x14ac:dyDescent="0.25">
      <c r="A48" s="139">
        <f t="shared" si="12"/>
        <v>0</v>
      </c>
      <c r="B48" s="9"/>
      <c r="C48" s="31">
        <f t="shared" si="15"/>
        <v>0</v>
      </c>
      <c r="D48" s="9" t="str">
        <f t="shared" si="17"/>
        <v>коэфф.</v>
      </c>
      <c r="E48" s="460">
        <f>Производительность!E48</f>
        <v>0</v>
      </c>
      <c r="F48" s="41">
        <f t="shared" si="16"/>
        <v>0</v>
      </c>
      <c r="G48" s="41">
        <f t="shared" si="16"/>
        <v>0</v>
      </c>
      <c r="H48" s="41">
        <f t="shared" si="16"/>
        <v>0</v>
      </c>
      <c r="I48" s="41">
        <f t="shared" si="16"/>
        <v>0</v>
      </c>
      <c r="J48" s="41">
        <f t="shared" si="16"/>
        <v>0</v>
      </c>
      <c r="K48" s="41">
        <f t="shared" si="16"/>
        <v>0</v>
      </c>
      <c r="L48" s="41">
        <f t="shared" si="16"/>
        <v>0</v>
      </c>
      <c r="M48" s="41">
        <f t="shared" si="16"/>
        <v>0</v>
      </c>
      <c r="N48" s="41">
        <f t="shared" si="16"/>
        <v>0</v>
      </c>
      <c r="O48" s="41">
        <f t="shared" si="16"/>
        <v>0</v>
      </c>
      <c r="P48" s="41">
        <f t="shared" si="16"/>
        <v>0</v>
      </c>
      <c r="Q48" s="41">
        <f t="shared" si="16"/>
        <v>0</v>
      </c>
      <c r="R48" s="41">
        <f t="shared" si="16"/>
        <v>0</v>
      </c>
      <c r="S48" s="41">
        <f t="shared" si="16"/>
        <v>0</v>
      </c>
      <c r="T48" s="41">
        <f t="shared" si="16"/>
        <v>0</v>
      </c>
      <c r="U48" s="41">
        <f t="shared" si="16"/>
        <v>0</v>
      </c>
      <c r="V48" s="41">
        <f t="shared" si="14"/>
        <v>0</v>
      </c>
      <c r="W48" s="41">
        <f t="shared" si="14"/>
        <v>0</v>
      </c>
      <c r="X48" s="41">
        <f t="shared" si="14"/>
        <v>0</v>
      </c>
      <c r="Y48" s="179"/>
    </row>
    <row r="49" spans="1:27" x14ac:dyDescent="0.25">
      <c r="A49" s="139">
        <f t="shared" si="12"/>
        <v>0</v>
      </c>
      <c r="B49" s="9"/>
      <c r="C49" s="31">
        <f t="shared" si="15"/>
        <v>0</v>
      </c>
      <c r="D49" s="9" t="str">
        <f t="shared" si="17"/>
        <v>коэфф.</v>
      </c>
      <c r="E49" s="460">
        <f>Производительность!E49</f>
        <v>0</v>
      </c>
      <c r="F49" s="41">
        <f t="shared" si="16"/>
        <v>0</v>
      </c>
      <c r="G49" s="41">
        <f t="shared" si="16"/>
        <v>0</v>
      </c>
      <c r="H49" s="41">
        <f t="shared" si="16"/>
        <v>0</v>
      </c>
      <c r="I49" s="41">
        <f t="shared" si="16"/>
        <v>0</v>
      </c>
      <c r="J49" s="41">
        <f t="shared" si="16"/>
        <v>0</v>
      </c>
      <c r="K49" s="41">
        <f t="shared" si="16"/>
        <v>0</v>
      </c>
      <c r="L49" s="41">
        <f t="shared" si="16"/>
        <v>0</v>
      </c>
      <c r="M49" s="41">
        <f t="shared" si="16"/>
        <v>0</v>
      </c>
      <c r="N49" s="41">
        <f t="shared" si="16"/>
        <v>0</v>
      </c>
      <c r="O49" s="41">
        <f t="shared" si="16"/>
        <v>0</v>
      </c>
      <c r="P49" s="41">
        <f t="shared" si="16"/>
        <v>0</v>
      </c>
      <c r="Q49" s="41">
        <f t="shared" si="16"/>
        <v>0</v>
      </c>
      <c r="R49" s="41">
        <f t="shared" si="16"/>
        <v>0</v>
      </c>
      <c r="S49" s="41">
        <f t="shared" si="16"/>
        <v>0</v>
      </c>
      <c r="T49" s="41">
        <f t="shared" si="16"/>
        <v>0</v>
      </c>
      <c r="U49" s="41">
        <f t="shared" si="16"/>
        <v>0</v>
      </c>
      <c r="V49" s="41">
        <f t="shared" si="14"/>
        <v>0</v>
      </c>
      <c r="W49" s="41">
        <f t="shared" si="14"/>
        <v>0</v>
      </c>
      <c r="X49" s="41">
        <f t="shared" si="14"/>
        <v>0</v>
      </c>
      <c r="Y49" s="179"/>
    </row>
    <row r="50" spans="1:27" x14ac:dyDescent="0.25">
      <c r="A50" s="139">
        <f t="shared" si="12"/>
        <v>0</v>
      </c>
      <c r="B50" s="9"/>
      <c r="C50" s="31">
        <f t="shared" si="15"/>
        <v>0</v>
      </c>
      <c r="D50" s="9" t="str">
        <f t="shared" si="17"/>
        <v>коэфф.</v>
      </c>
      <c r="E50" s="460">
        <f>Производительность!E50</f>
        <v>0</v>
      </c>
      <c r="F50" s="41">
        <f t="shared" si="16"/>
        <v>0</v>
      </c>
      <c r="G50" s="41">
        <f t="shared" si="16"/>
        <v>0</v>
      </c>
      <c r="H50" s="41">
        <f t="shared" si="16"/>
        <v>0</v>
      </c>
      <c r="I50" s="41">
        <f t="shared" si="16"/>
        <v>0</v>
      </c>
      <c r="J50" s="41">
        <f t="shared" si="16"/>
        <v>0</v>
      </c>
      <c r="K50" s="41">
        <f t="shared" si="16"/>
        <v>0</v>
      </c>
      <c r="L50" s="41">
        <f t="shared" si="16"/>
        <v>0</v>
      </c>
      <c r="M50" s="41">
        <f t="shared" si="16"/>
        <v>0</v>
      </c>
      <c r="N50" s="41">
        <f t="shared" si="16"/>
        <v>0</v>
      </c>
      <c r="O50" s="41">
        <f t="shared" si="16"/>
        <v>0</v>
      </c>
      <c r="P50" s="41">
        <f t="shared" si="16"/>
        <v>0</v>
      </c>
      <c r="Q50" s="41">
        <f t="shared" si="16"/>
        <v>0</v>
      </c>
      <c r="R50" s="41">
        <f t="shared" si="16"/>
        <v>0</v>
      </c>
      <c r="S50" s="41">
        <f t="shared" si="16"/>
        <v>0</v>
      </c>
      <c r="T50" s="41">
        <f t="shared" si="16"/>
        <v>0</v>
      </c>
      <c r="U50" s="41">
        <f t="shared" si="16"/>
        <v>0</v>
      </c>
      <c r="V50" s="41">
        <f t="shared" si="14"/>
        <v>0</v>
      </c>
      <c r="W50" s="41">
        <f t="shared" si="14"/>
        <v>0</v>
      </c>
      <c r="X50" s="41">
        <f t="shared" si="14"/>
        <v>0</v>
      </c>
      <c r="Y50" s="179"/>
    </row>
    <row r="51" spans="1:27" x14ac:dyDescent="0.25">
      <c r="A51" s="139">
        <f t="shared" si="12"/>
        <v>0</v>
      </c>
      <c r="B51" s="9"/>
      <c r="C51" s="31">
        <f t="shared" si="15"/>
        <v>0</v>
      </c>
      <c r="D51" s="9" t="str">
        <f t="shared" si="17"/>
        <v>коэфф.</v>
      </c>
      <c r="E51" s="460">
        <f>Производительность!E51</f>
        <v>0</v>
      </c>
      <c r="F51" s="41">
        <f t="shared" si="16"/>
        <v>0</v>
      </c>
      <c r="G51" s="41">
        <f t="shared" si="16"/>
        <v>0</v>
      </c>
      <c r="H51" s="41">
        <f t="shared" si="16"/>
        <v>0</v>
      </c>
      <c r="I51" s="41">
        <f t="shared" si="16"/>
        <v>0</v>
      </c>
      <c r="J51" s="41">
        <f t="shared" si="16"/>
        <v>0</v>
      </c>
      <c r="K51" s="41">
        <f t="shared" si="16"/>
        <v>0</v>
      </c>
      <c r="L51" s="41">
        <f t="shared" si="16"/>
        <v>0</v>
      </c>
      <c r="M51" s="41">
        <f t="shared" si="16"/>
        <v>0</v>
      </c>
      <c r="N51" s="41">
        <f t="shared" si="16"/>
        <v>0</v>
      </c>
      <c r="O51" s="41">
        <f t="shared" si="16"/>
        <v>0</v>
      </c>
      <c r="P51" s="41">
        <f t="shared" si="16"/>
        <v>0</v>
      </c>
      <c r="Q51" s="41">
        <f t="shared" si="16"/>
        <v>0</v>
      </c>
      <c r="R51" s="41">
        <f t="shared" si="16"/>
        <v>0</v>
      </c>
      <c r="S51" s="41">
        <f t="shared" si="16"/>
        <v>0</v>
      </c>
      <c r="T51" s="41">
        <f t="shared" si="16"/>
        <v>0</v>
      </c>
      <c r="U51" s="41">
        <f t="shared" si="16"/>
        <v>0</v>
      </c>
      <c r="V51" s="41">
        <f t="shared" si="14"/>
        <v>0</v>
      </c>
      <c r="W51" s="41">
        <f t="shared" si="14"/>
        <v>0</v>
      </c>
      <c r="X51" s="41">
        <f t="shared" si="14"/>
        <v>0</v>
      </c>
      <c r="Y51" s="179"/>
    </row>
    <row r="52" spans="1:27" x14ac:dyDescent="0.25">
      <c r="A52" s="139">
        <f t="shared" si="12"/>
        <v>0</v>
      </c>
      <c r="B52" s="9"/>
      <c r="C52" s="31">
        <f t="shared" si="15"/>
        <v>0</v>
      </c>
      <c r="D52" s="9" t="str">
        <f t="shared" si="17"/>
        <v>коэфф.</v>
      </c>
      <c r="E52" s="460">
        <f>Производительность!E52</f>
        <v>0</v>
      </c>
      <c r="F52" s="41">
        <f t="shared" si="16"/>
        <v>0</v>
      </c>
      <c r="G52" s="41">
        <f t="shared" si="16"/>
        <v>0</v>
      </c>
      <c r="H52" s="41">
        <f t="shared" si="16"/>
        <v>0</v>
      </c>
      <c r="I52" s="41">
        <f t="shared" si="16"/>
        <v>0</v>
      </c>
      <c r="J52" s="41">
        <f t="shared" si="16"/>
        <v>0</v>
      </c>
      <c r="K52" s="41">
        <f t="shared" si="16"/>
        <v>0</v>
      </c>
      <c r="L52" s="41">
        <f t="shared" si="16"/>
        <v>0</v>
      </c>
      <c r="M52" s="41">
        <f t="shared" si="16"/>
        <v>0</v>
      </c>
      <c r="N52" s="41">
        <f t="shared" si="16"/>
        <v>0</v>
      </c>
      <c r="O52" s="41">
        <f t="shared" si="16"/>
        <v>0</v>
      </c>
      <c r="P52" s="41">
        <f t="shared" si="16"/>
        <v>0</v>
      </c>
      <c r="Q52" s="41">
        <f t="shared" si="16"/>
        <v>0</v>
      </c>
      <c r="R52" s="41">
        <f t="shared" si="16"/>
        <v>0</v>
      </c>
      <c r="S52" s="41">
        <f t="shared" si="16"/>
        <v>0</v>
      </c>
      <c r="T52" s="41">
        <f t="shared" si="16"/>
        <v>0</v>
      </c>
      <c r="U52" s="41">
        <f t="shared" si="16"/>
        <v>0</v>
      </c>
      <c r="V52" s="41">
        <f t="shared" si="14"/>
        <v>0</v>
      </c>
      <c r="W52" s="41">
        <f t="shared" si="14"/>
        <v>0</v>
      </c>
      <c r="X52" s="41">
        <f t="shared" si="14"/>
        <v>0</v>
      </c>
      <c r="Y52" s="179"/>
    </row>
    <row r="53" spans="1:27" x14ac:dyDescent="0.25">
      <c r="A53" s="139">
        <f t="shared" si="12"/>
        <v>0</v>
      </c>
      <c r="B53" s="9"/>
      <c r="C53" s="31">
        <f t="shared" si="15"/>
        <v>0</v>
      </c>
      <c r="D53" s="9" t="str">
        <f t="shared" si="17"/>
        <v>коэфф.</v>
      </c>
      <c r="E53" s="460">
        <f>Производительность!E53</f>
        <v>0</v>
      </c>
      <c r="F53" s="41">
        <f t="shared" si="16"/>
        <v>0</v>
      </c>
      <c r="G53" s="41">
        <f t="shared" si="16"/>
        <v>0</v>
      </c>
      <c r="H53" s="41">
        <f t="shared" si="16"/>
        <v>0</v>
      </c>
      <c r="I53" s="41">
        <f t="shared" si="16"/>
        <v>0</v>
      </c>
      <c r="J53" s="41">
        <f t="shared" si="16"/>
        <v>0</v>
      </c>
      <c r="K53" s="41">
        <f t="shared" si="16"/>
        <v>0</v>
      </c>
      <c r="L53" s="41">
        <f t="shared" si="16"/>
        <v>0</v>
      </c>
      <c r="M53" s="41">
        <f t="shared" si="16"/>
        <v>0</v>
      </c>
      <c r="N53" s="41">
        <f t="shared" si="16"/>
        <v>0</v>
      </c>
      <c r="O53" s="41">
        <f t="shared" si="16"/>
        <v>0</v>
      </c>
      <c r="P53" s="41">
        <f t="shared" si="16"/>
        <v>0</v>
      </c>
      <c r="Q53" s="41">
        <f t="shared" si="16"/>
        <v>0</v>
      </c>
      <c r="R53" s="41">
        <f t="shared" si="16"/>
        <v>0</v>
      </c>
      <c r="S53" s="41">
        <f t="shared" si="16"/>
        <v>0</v>
      </c>
      <c r="T53" s="41">
        <f t="shared" si="16"/>
        <v>0</v>
      </c>
      <c r="U53" s="41">
        <f t="shared" si="16"/>
        <v>0</v>
      </c>
      <c r="V53" s="41">
        <f t="shared" si="14"/>
        <v>0</v>
      </c>
      <c r="W53" s="41">
        <f t="shared" si="14"/>
        <v>0</v>
      </c>
      <c r="X53" s="41">
        <f t="shared" si="14"/>
        <v>0</v>
      </c>
      <c r="Y53" s="179"/>
    </row>
    <row r="54" spans="1:27" x14ac:dyDescent="0.25">
      <c r="A54" s="139">
        <f t="shared" si="12"/>
        <v>0</v>
      </c>
      <c r="B54" s="9"/>
      <c r="C54" s="31">
        <f t="shared" si="15"/>
        <v>0</v>
      </c>
      <c r="D54" s="9" t="str">
        <f t="shared" si="17"/>
        <v>коэфф.</v>
      </c>
      <c r="E54" s="460">
        <f>Производительность!E54</f>
        <v>0</v>
      </c>
      <c r="F54" s="41">
        <f t="shared" si="16"/>
        <v>0</v>
      </c>
      <c r="G54" s="41">
        <f t="shared" si="16"/>
        <v>0</v>
      </c>
      <c r="H54" s="41">
        <f t="shared" si="16"/>
        <v>0</v>
      </c>
      <c r="I54" s="41">
        <f t="shared" si="16"/>
        <v>0</v>
      </c>
      <c r="J54" s="41">
        <f t="shared" si="16"/>
        <v>0</v>
      </c>
      <c r="K54" s="41">
        <f t="shared" si="16"/>
        <v>0</v>
      </c>
      <c r="L54" s="41">
        <f t="shared" si="16"/>
        <v>0</v>
      </c>
      <c r="M54" s="41">
        <f t="shared" si="16"/>
        <v>0</v>
      </c>
      <c r="N54" s="41">
        <f t="shared" si="16"/>
        <v>0</v>
      </c>
      <c r="O54" s="41">
        <f t="shared" si="16"/>
        <v>0</v>
      </c>
      <c r="P54" s="41">
        <f t="shared" si="16"/>
        <v>0</v>
      </c>
      <c r="Q54" s="41">
        <f t="shared" si="16"/>
        <v>0</v>
      </c>
      <c r="R54" s="41">
        <f t="shared" si="16"/>
        <v>0</v>
      </c>
      <c r="S54" s="41">
        <f t="shared" si="16"/>
        <v>0</v>
      </c>
      <c r="T54" s="41">
        <f t="shared" si="16"/>
        <v>0</v>
      </c>
      <c r="U54" s="41">
        <f t="shared" si="16"/>
        <v>0</v>
      </c>
      <c r="V54" s="41">
        <f t="shared" si="14"/>
        <v>0</v>
      </c>
      <c r="W54" s="41">
        <f t="shared" si="14"/>
        <v>0</v>
      </c>
      <c r="X54" s="41">
        <f t="shared" si="14"/>
        <v>0</v>
      </c>
      <c r="Y54" s="179"/>
    </row>
    <row r="55" spans="1:27" x14ac:dyDescent="0.25">
      <c r="A55" s="139">
        <f t="shared" si="12"/>
        <v>1</v>
      </c>
      <c r="B55" s="68">
        <f>B39+1</f>
        <v>4</v>
      </c>
      <c r="C55" s="67" t="s">
        <v>50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187" t="s">
        <v>15</v>
      </c>
    </row>
    <row r="56" spans="1:27" x14ac:dyDescent="0.25">
      <c r="A56" s="139">
        <f t="shared" si="12"/>
        <v>1</v>
      </c>
      <c r="B56" s="30"/>
      <c r="C56" s="31" t="str">
        <f>C40</f>
        <v>NHL NTE 240</v>
      </c>
      <c r="D56" s="9" t="s">
        <v>17</v>
      </c>
      <c r="E56" s="178">
        <f>'NHL NTE240_1'!E12</f>
        <v>0.93755029173008619</v>
      </c>
      <c r="F56" s="178">
        <f>'NHL NTE240_1'!F12</f>
        <v>0.93038070776255699</v>
      </c>
      <c r="G56" s="178">
        <f>'NHL NTE240_1'!G12</f>
        <v>0.92090265093860979</v>
      </c>
      <c r="H56" s="178">
        <f>'NHL NTE240_1'!H12</f>
        <v>0.90840582191780817</v>
      </c>
      <c r="I56" s="178">
        <f>'NHL NTE240_1'!I12</f>
        <v>0.93333288939624548</v>
      </c>
      <c r="J56" s="178">
        <f>'NHL NTE240_1'!J12</f>
        <v>0.92172393455098933</v>
      </c>
      <c r="K56" s="178">
        <f>'NHL NTE240_1'!K12</f>
        <v>0.93126858193810236</v>
      </c>
      <c r="L56" s="178">
        <f>'NHL NTE240_1'!L12</f>
        <v>0.91113603500761031</v>
      </c>
      <c r="M56" s="178">
        <f>'NHL NTE240_1'!M12</f>
        <v>0.91706259512937582</v>
      </c>
      <c r="N56" s="178">
        <f>'NHL NTE240_1'!N12</f>
        <v>0.93222304667681377</v>
      </c>
      <c r="O56" s="178">
        <f>'NHL NTE240_1'!O12</f>
        <v>0.91462094114662595</v>
      </c>
      <c r="P56" s="178">
        <f>'NHL NTE240_1'!P12</f>
        <v>0.91328912988330779</v>
      </c>
      <c r="Q56" s="178">
        <f>'NHL NTE240_1'!Q12</f>
        <v>0.93377682648401816</v>
      </c>
      <c r="R56" s="178">
        <f>'NHL NTE240_1'!R12</f>
        <v>0.93266698376458645</v>
      </c>
      <c r="S56" s="178">
        <f>'NHL NTE240_1'!S12</f>
        <v>0.89848382800608828</v>
      </c>
      <c r="T56" s="178">
        <f>'NHL NTE240_1'!T12</f>
        <v>0.92556399036022319</v>
      </c>
      <c r="U56" s="178">
        <f>'NHL NTE240_1'!U12</f>
        <v>0.93422076357179096</v>
      </c>
      <c r="V56" s="178">
        <f>'NHL NTE240_1'!V12</f>
        <v>0.90469894723490607</v>
      </c>
      <c r="W56" s="178">
        <f>'NHL NTE240_1'!W12</f>
        <v>0.9344427321156773</v>
      </c>
      <c r="X56" s="178">
        <f>'NHL NTE240_1'!X12</f>
        <v>0.9220124936580415</v>
      </c>
      <c r="Y56" s="187">
        <f>COUNT(E56:X56)</f>
        <v>20</v>
      </c>
      <c r="Z56" s="146">
        <f>SUM(E56:X56)/Y56</f>
        <v>0.92288815956367343</v>
      </c>
      <c r="AA56" s="217"/>
    </row>
    <row r="57" spans="1:27" x14ac:dyDescent="0.25">
      <c r="A57" s="139">
        <f t="shared" si="12"/>
        <v>1</v>
      </c>
      <c r="B57" s="30"/>
      <c r="C57" s="31" t="str">
        <f t="shared" ref="C57:C70" si="18">C41</f>
        <v>Estar ESDE240 (ГПБ К)</v>
      </c>
      <c r="D57" s="9" t="str">
        <f>D56</f>
        <v>коэфф.</v>
      </c>
      <c r="E57" s="178">
        <f>ESDE240_1!E12</f>
        <v>0.91162480974124804</v>
      </c>
      <c r="F57" s="178">
        <f>ESDE240_1!F12</f>
        <v>0.89608701166920346</v>
      </c>
      <c r="G57" s="178">
        <f>ESDE240_1!G12</f>
        <v>0.84869672754946723</v>
      </c>
      <c r="H57" s="178">
        <f>ESDE240_1!H12</f>
        <v>0.80563483003551495</v>
      </c>
      <c r="I57" s="178">
        <f>ESDE240_1!I12</f>
        <v>0.89852866565195333</v>
      </c>
      <c r="J57" s="178">
        <f>ESDE240_1!J12</f>
        <v>0.82206050228310501</v>
      </c>
      <c r="K57" s="178">
        <f>ESDE240_1!K12</f>
        <v>0.88942795535261288</v>
      </c>
      <c r="L57" s="178">
        <f>ESDE240_1!L12</f>
        <v>0.81118404363267382</v>
      </c>
      <c r="M57" s="178">
        <f>ESDE240_1!M12</f>
        <v>0.85613267376966007</v>
      </c>
      <c r="N57" s="178">
        <f>ESDE240_1!N12</f>
        <v>0.83393581938102479</v>
      </c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87">
        <f t="shared" ref="Y57:Y70" si="19">COUNT(E57:X57)</f>
        <v>10</v>
      </c>
      <c r="Z57" s="146">
        <f t="shared" ref="Z57:Z70" si="20">SUM(E57:X57)/Y57</f>
        <v>0.85733130390664647</v>
      </c>
      <c r="AA57" s="217"/>
    </row>
    <row r="58" spans="1:27" x14ac:dyDescent="0.25">
      <c r="A58" s="139">
        <f t="shared" si="12"/>
        <v>1</v>
      </c>
      <c r="B58" s="30"/>
      <c r="C58" s="31" t="str">
        <f t="shared" si="18"/>
        <v>SANY SET240S</v>
      </c>
      <c r="D58" s="9" t="str">
        <f t="shared" ref="D58:D70" si="21">D57</f>
        <v>коэфф.</v>
      </c>
      <c r="E58" s="178">
        <f>SANY_1!E12</f>
        <v>0.93570839675291717</v>
      </c>
      <c r="F58" s="178">
        <f>SANY_1!F12</f>
        <v>0.90263508371385082</v>
      </c>
      <c r="G58" s="178">
        <f>SANY_1!G12</f>
        <v>0.86578830542871643</v>
      </c>
      <c r="H58" s="178">
        <f>SANY_1!H12</f>
        <v>0.90352295788939629</v>
      </c>
      <c r="I58" s="178">
        <f>SANY_1!I12</f>
        <v>0.85025050735667174</v>
      </c>
      <c r="J58" s="178">
        <f>SANY_1!J12</f>
        <v>0.90352295788939629</v>
      </c>
      <c r="K58" s="178">
        <f>SANY_1!K12</f>
        <v>0.86578830542871643</v>
      </c>
      <c r="L58" s="178">
        <f>SANY_1!L12</f>
        <v>0.90352295788939629</v>
      </c>
      <c r="M58" s="178">
        <f>SANY_1!M12</f>
        <v>0.85025050735667174</v>
      </c>
      <c r="N58" s="178">
        <f>SANY_1!N12</f>
        <v>0.88465563165905625</v>
      </c>
      <c r="O58" s="178">
        <f>SANY_1!O12</f>
        <v>0.8635686199898529</v>
      </c>
      <c r="P58" s="178">
        <f>SANY_1!P12</f>
        <v>0.8713375190258752</v>
      </c>
      <c r="Q58" s="178"/>
      <c r="R58" s="178"/>
      <c r="S58" s="178"/>
      <c r="T58" s="178"/>
      <c r="U58" s="178"/>
      <c r="V58" s="178"/>
      <c r="W58" s="178"/>
      <c r="X58" s="178"/>
      <c r="Y58" s="187">
        <f t="shared" si="19"/>
        <v>12</v>
      </c>
      <c r="Z58" s="146">
        <f t="shared" si="20"/>
        <v>0.88337931253170965</v>
      </c>
      <c r="AA58" s="217"/>
    </row>
    <row r="59" spans="1:27" x14ac:dyDescent="0.25">
      <c r="A59" s="139">
        <f t="shared" si="12"/>
        <v>1</v>
      </c>
      <c r="B59" s="30"/>
      <c r="C59" s="31" t="str">
        <f t="shared" si="18"/>
        <v>TZCO TZE240</v>
      </c>
      <c r="D59" s="9" t="str">
        <f t="shared" si="21"/>
        <v>коэфф.</v>
      </c>
      <c r="E59" s="178">
        <f>TZCO_1!E12</f>
        <v>0.90962709284627086</v>
      </c>
      <c r="F59" s="178">
        <f>TZCO_1!F12</f>
        <v>0.88376775748351089</v>
      </c>
      <c r="G59" s="178">
        <f>TZCO_1!G12</f>
        <v>0.77400431253170976</v>
      </c>
      <c r="H59" s="178">
        <f>TZCO_1!H12</f>
        <v>0.88376775748351089</v>
      </c>
      <c r="I59" s="178">
        <f>TZCO_1!I12</f>
        <v>0.90962709284627086</v>
      </c>
      <c r="J59" s="178">
        <f>TZCO_1!J12</f>
        <v>0.74814497716894979</v>
      </c>
      <c r="K59" s="178">
        <f>TZCO_1!K12</f>
        <v>0.90962709284627086</v>
      </c>
      <c r="L59" s="178">
        <f>TZCO_1!L12</f>
        <v>0.88376775748351089</v>
      </c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87">
        <f t="shared" si="19"/>
        <v>8</v>
      </c>
      <c r="Z59" s="146">
        <f t="shared" si="20"/>
        <v>0.86279173008625065</v>
      </c>
      <c r="AA59" s="217"/>
    </row>
    <row r="60" spans="1:27" x14ac:dyDescent="0.25">
      <c r="A60" s="139">
        <f t="shared" si="12"/>
        <v>1</v>
      </c>
      <c r="B60" s="30"/>
      <c r="C60" s="31" t="str">
        <f t="shared" si="18"/>
        <v>БелАЗ 7531 (ГПФК)</v>
      </c>
      <c r="D60" s="9" t="str">
        <f t="shared" si="21"/>
        <v>коэфф.</v>
      </c>
      <c r="E60" s="178">
        <f>БелАЗ_1!E12</f>
        <v>0.90830416032470829</v>
      </c>
      <c r="F60" s="178">
        <f>БелАЗ_1!F12</f>
        <v>0.88577435312024355</v>
      </c>
      <c r="G60" s="178">
        <f>БелАЗ_1!G12</f>
        <v>0.86468734145103998</v>
      </c>
      <c r="H60" s="178">
        <f>БелАЗ_1!H12</f>
        <v>0.87460193641129713</v>
      </c>
      <c r="I60" s="178">
        <f>БелАЗ_1!I12</f>
        <v>0.88129798748520216</v>
      </c>
      <c r="J60" s="178">
        <f>БелАЗ_1!J12</f>
        <v>0.8456720361914426</v>
      </c>
      <c r="K60" s="178">
        <f>БелАЗ_1!K12</f>
        <v>0.89713174361576187</v>
      </c>
      <c r="L60" s="178">
        <f>БелАЗ_1!L12</f>
        <v>0.85462476746152538</v>
      </c>
      <c r="M60" s="178">
        <f>БелАЗ_1!M12</f>
        <v>0.84219452900388969</v>
      </c>
      <c r="N60" s="178">
        <f>БелАЗ_1!N12</f>
        <v>0.86135781329274486</v>
      </c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87">
        <f t="shared" si="19"/>
        <v>10</v>
      </c>
      <c r="Z60" s="146">
        <f t="shared" si="20"/>
        <v>0.8715646668357856</v>
      </c>
      <c r="AA60" s="217"/>
    </row>
    <row r="61" spans="1:27" x14ac:dyDescent="0.25">
      <c r="A61" s="139">
        <f t="shared" si="12"/>
        <v>1</v>
      </c>
      <c r="B61" s="30"/>
      <c r="C61" s="31" t="str">
        <f t="shared" si="18"/>
        <v>XCMG 240</v>
      </c>
      <c r="D61" s="9" t="str">
        <f t="shared" si="21"/>
        <v>коэфф.</v>
      </c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87">
        <f>COUNT(E61:X61)</f>
        <v>0</v>
      </c>
      <c r="Z61" s="146" t="e">
        <f>SUM(E61:X61)/Y61</f>
        <v>#DIV/0!</v>
      </c>
      <c r="AA61" s="217"/>
    </row>
    <row r="62" spans="1:27" x14ac:dyDescent="0.25">
      <c r="A62" s="139">
        <f t="shared" si="12"/>
        <v>1</v>
      </c>
      <c r="B62" s="30"/>
      <c r="C62" s="31" t="str">
        <f t="shared" si="18"/>
        <v>БелАЗ 7531 (БТЛ)</v>
      </c>
      <c r="D62" s="9" t="str">
        <f t="shared" si="21"/>
        <v>коэфф.</v>
      </c>
      <c r="E62" s="178">
        <f>БелАЗ_Б_1!E12</f>
        <v>0.92956036751648907</v>
      </c>
      <c r="F62" s="178">
        <f>БелАЗ_Б_1!F12</f>
        <v>0.90792065417300871</v>
      </c>
      <c r="G62" s="178">
        <f>БелАЗ_Б_1!G12</f>
        <v>0.8994118599906985</v>
      </c>
      <c r="H62" s="178">
        <f>БелАЗ_Б_1!H12</f>
        <v>0.88050753900304413</v>
      </c>
      <c r="I62" s="178">
        <f>БелАЗ_Б_1!I12</f>
        <v>0.9011506135844749</v>
      </c>
      <c r="J62" s="178">
        <f>БелАЗ_Б_1!J12</f>
        <v>0.87025999122695752</v>
      </c>
      <c r="K62" s="178">
        <f>БелАЗ_Б_1!K12</f>
        <v>0.85058935026636229</v>
      </c>
      <c r="L62" s="178">
        <f>БелАЗ_Б_1!L12</f>
        <v>0.89171695046930488</v>
      </c>
      <c r="M62" s="178">
        <f>БелАЗ_Б_1!M12</f>
        <v>0.85775576325469305</v>
      </c>
      <c r="N62" s="178">
        <f>БелАЗ_Б_1!N12</f>
        <v>0.85228053917216307</v>
      </c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87">
        <f>COUNT(E62:X62)</f>
        <v>10</v>
      </c>
      <c r="Z62" s="146">
        <f>SUM(E62:X62)/Y62</f>
        <v>0.88411536286571957</v>
      </c>
      <c r="AA62" s="217"/>
    </row>
    <row r="63" spans="1:27" x14ac:dyDescent="0.25">
      <c r="A63" s="139">
        <f t="shared" si="12"/>
        <v>0</v>
      </c>
      <c r="B63" s="30"/>
      <c r="C63" s="31">
        <f t="shared" si="18"/>
        <v>0</v>
      </c>
      <c r="D63" s="9" t="str">
        <f t="shared" si="21"/>
        <v>коэфф.</v>
      </c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87">
        <f t="shared" si="19"/>
        <v>0</v>
      </c>
      <c r="Z63" s="146" t="e">
        <f t="shared" si="20"/>
        <v>#DIV/0!</v>
      </c>
    </row>
    <row r="64" spans="1:27" x14ac:dyDescent="0.25">
      <c r="A64" s="139">
        <f t="shared" si="12"/>
        <v>0</v>
      </c>
      <c r="B64" s="30"/>
      <c r="C64" s="31">
        <f t="shared" si="18"/>
        <v>0</v>
      </c>
      <c r="D64" s="9" t="str">
        <f t="shared" si="21"/>
        <v>коэфф.</v>
      </c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87">
        <f t="shared" si="19"/>
        <v>0</v>
      </c>
      <c r="Z64" s="146" t="e">
        <f t="shared" si="20"/>
        <v>#DIV/0!</v>
      </c>
    </row>
    <row r="65" spans="1:26" x14ac:dyDescent="0.25">
      <c r="A65" s="139">
        <f t="shared" si="12"/>
        <v>0</v>
      </c>
      <c r="B65" s="30"/>
      <c r="C65" s="31">
        <f t="shared" si="18"/>
        <v>0</v>
      </c>
      <c r="D65" s="9" t="str">
        <f t="shared" si="21"/>
        <v>коэфф.</v>
      </c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87">
        <f t="shared" si="19"/>
        <v>0</v>
      </c>
      <c r="Z65" s="146" t="e">
        <f t="shared" si="20"/>
        <v>#DIV/0!</v>
      </c>
    </row>
    <row r="66" spans="1:26" x14ac:dyDescent="0.25">
      <c r="A66" s="139">
        <f t="shared" si="12"/>
        <v>0</v>
      </c>
      <c r="B66" s="30"/>
      <c r="C66" s="31">
        <f t="shared" si="18"/>
        <v>0</v>
      </c>
      <c r="D66" s="9" t="str">
        <f t="shared" si="21"/>
        <v>коэфф.</v>
      </c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87">
        <f t="shared" si="19"/>
        <v>0</v>
      </c>
      <c r="Z66" s="146" t="e">
        <f t="shared" si="20"/>
        <v>#DIV/0!</v>
      </c>
    </row>
    <row r="67" spans="1:26" x14ac:dyDescent="0.25">
      <c r="A67" s="139">
        <f t="shared" si="12"/>
        <v>0</v>
      </c>
      <c r="B67" s="30"/>
      <c r="C67" s="31">
        <f t="shared" si="18"/>
        <v>0</v>
      </c>
      <c r="D67" s="9" t="str">
        <f t="shared" si="21"/>
        <v>коэфф.</v>
      </c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87">
        <f t="shared" si="19"/>
        <v>0</v>
      </c>
      <c r="Z67" s="146" t="e">
        <f t="shared" si="20"/>
        <v>#DIV/0!</v>
      </c>
    </row>
    <row r="68" spans="1:26" x14ac:dyDescent="0.25">
      <c r="A68" s="139">
        <f t="shared" si="12"/>
        <v>0</v>
      </c>
      <c r="B68" s="30"/>
      <c r="C68" s="31">
        <f t="shared" si="18"/>
        <v>0</v>
      </c>
      <c r="D68" s="9" t="str">
        <f t="shared" si="21"/>
        <v>коэфф.</v>
      </c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87">
        <f t="shared" si="19"/>
        <v>0</v>
      </c>
      <c r="Z68" s="146" t="e">
        <f t="shared" si="20"/>
        <v>#DIV/0!</v>
      </c>
    </row>
    <row r="69" spans="1:26" x14ac:dyDescent="0.25">
      <c r="A69" s="139">
        <f t="shared" si="12"/>
        <v>0</v>
      </c>
      <c r="B69" s="30"/>
      <c r="C69" s="31">
        <f t="shared" si="18"/>
        <v>0</v>
      </c>
      <c r="D69" s="9" t="str">
        <f t="shared" si="21"/>
        <v>коэфф.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87">
        <f t="shared" si="19"/>
        <v>0</v>
      </c>
      <c r="Z69" s="146" t="e">
        <f t="shared" si="20"/>
        <v>#DIV/0!</v>
      </c>
    </row>
    <row r="70" spans="1:26" x14ac:dyDescent="0.25">
      <c r="A70" s="139">
        <f t="shared" si="12"/>
        <v>0</v>
      </c>
      <c r="B70" s="30"/>
      <c r="C70" s="31">
        <f t="shared" si="18"/>
        <v>0</v>
      </c>
      <c r="D70" s="9" t="str">
        <f t="shared" si="21"/>
        <v>коэфф.</v>
      </c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87">
        <f t="shared" si="19"/>
        <v>0</v>
      </c>
      <c r="Z70" s="146" t="e">
        <f t="shared" si="20"/>
        <v>#DIV/0!</v>
      </c>
    </row>
    <row r="71" spans="1:26" outlineLevel="1" x14ac:dyDescent="0.25">
      <c r="A71" s="139">
        <f t="shared" si="12"/>
        <v>1</v>
      </c>
      <c r="B71" s="68" t="s">
        <v>45</v>
      </c>
      <c r="C71" s="67" t="s">
        <v>108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179"/>
    </row>
    <row r="72" spans="1:26" outlineLevel="1" x14ac:dyDescent="0.25">
      <c r="A72" s="139">
        <f t="shared" si="12"/>
        <v>1</v>
      </c>
      <c r="B72" s="30"/>
      <c r="C72" s="31" t="str">
        <f>C56</f>
        <v>NHL NTE 240</v>
      </c>
      <c r="D72" s="9" t="s">
        <v>104</v>
      </c>
      <c r="E72" s="74">
        <f>E$6*E56</f>
        <v>8212.940555555555</v>
      </c>
      <c r="F72" s="74">
        <f t="shared" ref="F72:X86" si="22">F$6*F56</f>
        <v>8150.1349999999993</v>
      </c>
      <c r="G72" s="74">
        <f t="shared" si="22"/>
        <v>8067.1072222222219</v>
      </c>
      <c r="H72" s="74">
        <f t="shared" si="22"/>
        <v>7957.6349999999993</v>
      </c>
      <c r="I72" s="74">
        <f t="shared" si="22"/>
        <v>8175.9961111111106</v>
      </c>
      <c r="J72" s="74">
        <f t="shared" si="22"/>
        <v>8074.3016666666663</v>
      </c>
      <c r="K72" s="74">
        <f t="shared" si="22"/>
        <v>8157.9127777777767</v>
      </c>
      <c r="L72" s="74">
        <f t="shared" si="22"/>
        <v>7981.5516666666663</v>
      </c>
      <c r="M72" s="74">
        <f t="shared" si="22"/>
        <v>8033.4683333333323</v>
      </c>
      <c r="N72" s="74">
        <f t="shared" si="22"/>
        <v>8166.2738888888889</v>
      </c>
      <c r="O72" s="74">
        <f t="shared" si="22"/>
        <v>8012.0794444444437</v>
      </c>
      <c r="P72" s="74">
        <f t="shared" si="22"/>
        <v>8000.4127777777767</v>
      </c>
      <c r="Q72" s="74">
        <f t="shared" si="22"/>
        <v>8179.8849999999993</v>
      </c>
      <c r="R72" s="74">
        <f t="shared" si="22"/>
        <v>8170.1627777777776</v>
      </c>
      <c r="S72" s="74">
        <f t="shared" si="22"/>
        <v>7870.7183333333332</v>
      </c>
      <c r="T72" s="74">
        <f t="shared" si="22"/>
        <v>8107.940555555555</v>
      </c>
      <c r="U72" s="74">
        <f t="shared" si="22"/>
        <v>8183.7738888888889</v>
      </c>
      <c r="V72" s="74">
        <f t="shared" si="22"/>
        <v>7925.1627777777776</v>
      </c>
      <c r="W72" s="74">
        <f t="shared" si="22"/>
        <v>8185.7183333333332</v>
      </c>
      <c r="X72" s="74">
        <f t="shared" si="22"/>
        <v>8076.8294444444437</v>
      </c>
      <c r="Y72" s="179"/>
    </row>
    <row r="73" spans="1:26" outlineLevel="1" x14ac:dyDescent="0.25">
      <c r="A73" s="139">
        <f t="shared" si="12"/>
        <v>1</v>
      </c>
      <c r="B73" s="30"/>
      <c r="C73" s="31" t="str">
        <f t="shared" ref="C73:C86" si="23">C57</f>
        <v>Estar ESDE240 (ГПБ К)</v>
      </c>
      <c r="D73" s="9" t="str">
        <f>D72</f>
        <v>час.</v>
      </c>
      <c r="E73" s="74">
        <f t="shared" ref="E73:T86" si="24">E$6*E57</f>
        <v>7985.833333333333</v>
      </c>
      <c r="F73" s="74">
        <f t="shared" si="24"/>
        <v>7849.7222222222226</v>
      </c>
      <c r="G73" s="74">
        <f t="shared" si="24"/>
        <v>7434.583333333333</v>
      </c>
      <c r="H73" s="74">
        <f t="shared" si="24"/>
        <v>7057.3611111111113</v>
      </c>
      <c r="I73" s="74">
        <f t="shared" si="24"/>
        <v>7871.1111111111113</v>
      </c>
      <c r="J73" s="74">
        <f t="shared" si="24"/>
        <v>7201.25</v>
      </c>
      <c r="K73" s="74">
        <f t="shared" si="24"/>
        <v>7791.3888888888887</v>
      </c>
      <c r="L73" s="74">
        <f t="shared" si="24"/>
        <v>7105.9722222222226</v>
      </c>
      <c r="M73" s="74">
        <f t="shared" si="24"/>
        <v>7499.7222222222226</v>
      </c>
      <c r="N73" s="74">
        <f t="shared" si="24"/>
        <v>7305.2777777777774</v>
      </c>
      <c r="O73" s="74">
        <f t="shared" si="24"/>
        <v>0</v>
      </c>
      <c r="P73" s="74">
        <f t="shared" si="24"/>
        <v>0</v>
      </c>
      <c r="Q73" s="74">
        <f t="shared" si="24"/>
        <v>0</v>
      </c>
      <c r="R73" s="74">
        <f t="shared" si="24"/>
        <v>0</v>
      </c>
      <c r="S73" s="74">
        <f t="shared" si="24"/>
        <v>0</v>
      </c>
      <c r="T73" s="74">
        <f t="shared" si="24"/>
        <v>0</v>
      </c>
      <c r="U73" s="74">
        <f t="shared" si="22"/>
        <v>0</v>
      </c>
      <c r="V73" s="74">
        <f t="shared" si="22"/>
        <v>0</v>
      </c>
      <c r="W73" s="74">
        <f t="shared" si="22"/>
        <v>0</v>
      </c>
      <c r="X73" s="74">
        <f t="shared" si="22"/>
        <v>0</v>
      </c>
      <c r="Y73" s="179"/>
    </row>
    <row r="74" spans="1:26" outlineLevel="1" x14ac:dyDescent="0.25">
      <c r="A74" s="139">
        <f t="shared" si="12"/>
        <v>1</v>
      </c>
      <c r="B74" s="30"/>
      <c r="C74" s="31" t="str">
        <f t="shared" si="23"/>
        <v>SANY SET240S</v>
      </c>
      <c r="D74" s="9" t="str">
        <f t="shared" ref="D74:D86" si="25">D73</f>
        <v>час.</v>
      </c>
      <c r="E74" s="74">
        <f t="shared" si="24"/>
        <v>8196.8055555555547</v>
      </c>
      <c r="F74" s="74">
        <f t="shared" si="22"/>
        <v>7907.083333333333</v>
      </c>
      <c r="G74" s="74">
        <f t="shared" si="22"/>
        <v>7584.3055555555557</v>
      </c>
      <c r="H74" s="74">
        <f t="shared" si="22"/>
        <v>7914.8611111111113</v>
      </c>
      <c r="I74" s="74">
        <f t="shared" si="22"/>
        <v>7448.1944444444443</v>
      </c>
      <c r="J74" s="74">
        <f t="shared" si="22"/>
        <v>7914.8611111111113</v>
      </c>
      <c r="K74" s="74">
        <f t="shared" si="22"/>
        <v>7584.3055555555557</v>
      </c>
      <c r="L74" s="74">
        <f t="shared" si="22"/>
        <v>7914.8611111111113</v>
      </c>
      <c r="M74" s="74">
        <f t="shared" si="22"/>
        <v>7448.1944444444443</v>
      </c>
      <c r="N74" s="74">
        <f t="shared" si="22"/>
        <v>7749.583333333333</v>
      </c>
      <c r="O74" s="74">
        <f t="shared" si="22"/>
        <v>7564.8611111111113</v>
      </c>
      <c r="P74" s="74">
        <f t="shared" si="22"/>
        <v>7632.916666666667</v>
      </c>
      <c r="Q74" s="74">
        <f t="shared" si="22"/>
        <v>0</v>
      </c>
      <c r="R74" s="74">
        <f t="shared" si="22"/>
        <v>0</v>
      </c>
      <c r="S74" s="74">
        <f t="shared" si="22"/>
        <v>0</v>
      </c>
      <c r="T74" s="74">
        <f t="shared" si="22"/>
        <v>0</v>
      </c>
      <c r="U74" s="74">
        <f t="shared" si="22"/>
        <v>0</v>
      </c>
      <c r="V74" s="74">
        <f t="shared" si="22"/>
        <v>0</v>
      </c>
      <c r="W74" s="74">
        <f t="shared" si="22"/>
        <v>0</v>
      </c>
      <c r="X74" s="74">
        <f t="shared" si="22"/>
        <v>0</v>
      </c>
      <c r="Y74" s="179"/>
    </row>
    <row r="75" spans="1:26" outlineLevel="1" x14ac:dyDescent="0.25">
      <c r="A75" s="139">
        <f t="shared" si="12"/>
        <v>1</v>
      </c>
      <c r="B75" s="30"/>
      <c r="C75" s="31" t="str">
        <f t="shared" si="23"/>
        <v>TZCO TZE240</v>
      </c>
      <c r="D75" s="9" t="str">
        <f t="shared" si="25"/>
        <v>час.</v>
      </c>
      <c r="E75" s="74">
        <f t="shared" si="24"/>
        <v>7968.333333333333</v>
      </c>
      <c r="F75" s="74">
        <f t="shared" si="22"/>
        <v>7741.8055555555557</v>
      </c>
      <c r="G75" s="74">
        <f t="shared" si="22"/>
        <v>6780.2777777777774</v>
      </c>
      <c r="H75" s="74">
        <f t="shared" si="22"/>
        <v>7741.8055555555557</v>
      </c>
      <c r="I75" s="74">
        <f t="shared" si="22"/>
        <v>7968.333333333333</v>
      </c>
      <c r="J75" s="74">
        <f t="shared" si="22"/>
        <v>6553.75</v>
      </c>
      <c r="K75" s="74">
        <f t="shared" si="22"/>
        <v>7968.333333333333</v>
      </c>
      <c r="L75" s="74">
        <f t="shared" si="22"/>
        <v>7741.8055555555557</v>
      </c>
      <c r="M75" s="74">
        <f t="shared" si="22"/>
        <v>0</v>
      </c>
      <c r="N75" s="74">
        <f t="shared" si="22"/>
        <v>0</v>
      </c>
      <c r="O75" s="74">
        <f t="shared" si="22"/>
        <v>0</v>
      </c>
      <c r="P75" s="74">
        <f t="shared" si="22"/>
        <v>0</v>
      </c>
      <c r="Q75" s="74">
        <f t="shared" si="22"/>
        <v>0</v>
      </c>
      <c r="R75" s="74">
        <f t="shared" si="22"/>
        <v>0</v>
      </c>
      <c r="S75" s="74">
        <f t="shared" si="22"/>
        <v>0</v>
      </c>
      <c r="T75" s="74">
        <f t="shared" si="22"/>
        <v>0</v>
      </c>
      <c r="U75" s="74">
        <f t="shared" si="22"/>
        <v>0</v>
      </c>
      <c r="V75" s="74">
        <f t="shared" si="22"/>
        <v>0</v>
      </c>
      <c r="W75" s="74">
        <f t="shared" si="22"/>
        <v>0</v>
      </c>
      <c r="X75" s="74">
        <f t="shared" si="22"/>
        <v>0</v>
      </c>
      <c r="Y75" s="179"/>
    </row>
    <row r="76" spans="1:26" outlineLevel="1" x14ac:dyDescent="0.25">
      <c r="A76" s="139">
        <f t="shared" si="12"/>
        <v>1</v>
      </c>
      <c r="B76" s="30"/>
      <c r="C76" s="31" t="str">
        <f t="shared" si="23"/>
        <v>БелАЗ 7531 (ГПФК)</v>
      </c>
      <c r="D76" s="9" t="str">
        <f t="shared" si="25"/>
        <v>час.</v>
      </c>
      <c r="E76" s="74">
        <f t="shared" si="24"/>
        <v>7956.7444444444445</v>
      </c>
      <c r="F76" s="74">
        <f t="shared" si="22"/>
        <v>7759.3833333333332</v>
      </c>
      <c r="G76" s="74">
        <f t="shared" si="22"/>
        <v>7574.6611111111106</v>
      </c>
      <c r="H76" s="74">
        <f t="shared" si="22"/>
        <v>7661.5129629629628</v>
      </c>
      <c r="I76" s="74">
        <f t="shared" si="22"/>
        <v>7720.1703703703706</v>
      </c>
      <c r="J76" s="74">
        <f t="shared" si="22"/>
        <v>7408.0870370370376</v>
      </c>
      <c r="K76" s="74">
        <f t="shared" si="22"/>
        <v>7858.8740740740741</v>
      </c>
      <c r="L76" s="74">
        <f t="shared" si="22"/>
        <v>7486.5129629629628</v>
      </c>
      <c r="M76" s="74">
        <f t="shared" si="22"/>
        <v>7377.6240740740741</v>
      </c>
      <c r="N76" s="74">
        <f t="shared" si="22"/>
        <v>7545.4944444444445</v>
      </c>
      <c r="O76" s="74">
        <f t="shared" si="22"/>
        <v>0</v>
      </c>
      <c r="P76" s="74">
        <f t="shared" si="22"/>
        <v>0</v>
      </c>
      <c r="Q76" s="74">
        <f t="shared" si="22"/>
        <v>0</v>
      </c>
      <c r="R76" s="74">
        <f t="shared" si="22"/>
        <v>0</v>
      </c>
      <c r="S76" s="74">
        <f t="shared" si="22"/>
        <v>0</v>
      </c>
      <c r="T76" s="74">
        <f t="shared" si="22"/>
        <v>0</v>
      </c>
      <c r="U76" s="74">
        <f t="shared" si="22"/>
        <v>0</v>
      </c>
      <c r="V76" s="74">
        <f t="shared" si="22"/>
        <v>0</v>
      </c>
      <c r="W76" s="74">
        <f t="shared" si="22"/>
        <v>0</v>
      </c>
      <c r="X76" s="74">
        <f t="shared" si="22"/>
        <v>0</v>
      </c>
      <c r="Y76" s="179"/>
    </row>
    <row r="77" spans="1:26" outlineLevel="1" x14ac:dyDescent="0.25">
      <c r="A77" s="139">
        <f t="shared" si="12"/>
        <v>1</v>
      </c>
      <c r="B77" s="30"/>
      <c r="C77" s="31" t="str">
        <f t="shared" si="23"/>
        <v>XCMG 240</v>
      </c>
      <c r="D77" s="9" t="str">
        <f t="shared" si="25"/>
        <v>час.</v>
      </c>
      <c r="E77" s="74">
        <f t="shared" si="24"/>
        <v>0</v>
      </c>
      <c r="F77" s="74">
        <f t="shared" si="22"/>
        <v>0</v>
      </c>
      <c r="G77" s="74">
        <f t="shared" si="22"/>
        <v>0</v>
      </c>
      <c r="H77" s="74">
        <f t="shared" si="22"/>
        <v>0</v>
      </c>
      <c r="I77" s="74">
        <f t="shared" si="22"/>
        <v>0</v>
      </c>
      <c r="J77" s="74">
        <f t="shared" si="22"/>
        <v>0</v>
      </c>
      <c r="K77" s="74">
        <f t="shared" si="22"/>
        <v>0</v>
      </c>
      <c r="L77" s="74">
        <f t="shared" si="22"/>
        <v>0</v>
      </c>
      <c r="M77" s="74">
        <f t="shared" si="22"/>
        <v>0</v>
      </c>
      <c r="N77" s="74">
        <f t="shared" si="22"/>
        <v>0</v>
      </c>
      <c r="O77" s="74">
        <f t="shared" si="22"/>
        <v>0</v>
      </c>
      <c r="P77" s="74">
        <f t="shared" si="22"/>
        <v>0</v>
      </c>
      <c r="Q77" s="74">
        <f t="shared" si="22"/>
        <v>0</v>
      </c>
      <c r="R77" s="74">
        <f t="shared" si="22"/>
        <v>0</v>
      </c>
      <c r="S77" s="74">
        <f t="shared" si="22"/>
        <v>0</v>
      </c>
      <c r="T77" s="74">
        <f t="shared" si="22"/>
        <v>0</v>
      </c>
      <c r="U77" s="74">
        <f t="shared" si="22"/>
        <v>0</v>
      </c>
      <c r="V77" s="74">
        <f t="shared" si="22"/>
        <v>0</v>
      </c>
      <c r="W77" s="74">
        <f t="shared" si="22"/>
        <v>0</v>
      </c>
      <c r="X77" s="74">
        <f t="shared" si="22"/>
        <v>0</v>
      </c>
      <c r="Y77" s="179"/>
    </row>
    <row r="78" spans="1:26" outlineLevel="1" x14ac:dyDescent="0.25">
      <c r="A78" s="139">
        <f t="shared" si="12"/>
        <v>1</v>
      </c>
      <c r="B78" s="30"/>
      <c r="C78" s="31" t="str">
        <f t="shared" si="23"/>
        <v>БелАЗ 7531 (БТЛ)</v>
      </c>
      <c r="D78" s="9" t="str">
        <f t="shared" si="25"/>
        <v>час.</v>
      </c>
      <c r="E78" s="74">
        <f t="shared" si="24"/>
        <v>8142.9488194444439</v>
      </c>
      <c r="F78" s="74">
        <f t="shared" si="22"/>
        <v>7953.3849305555559</v>
      </c>
      <c r="G78" s="74">
        <f t="shared" si="22"/>
        <v>7878.8478935185185</v>
      </c>
      <c r="H78" s="74">
        <f t="shared" si="22"/>
        <v>7713.2460416666663</v>
      </c>
      <c r="I78" s="74">
        <f t="shared" si="22"/>
        <v>7894.0793750000003</v>
      </c>
      <c r="J78" s="74">
        <f t="shared" si="22"/>
        <v>7623.4775231481481</v>
      </c>
      <c r="K78" s="74">
        <f t="shared" si="22"/>
        <v>7451.1627083333333</v>
      </c>
      <c r="L78" s="74">
        <f t="shared" si="22"/>
        <v>7811.4404861111107</v>
      </c>
      <c r="M78" s="74">
        <f t="shared" si="22"/>
        <v>7513.9404861111107</v>
      </c>
      <c r="N78" s="74">
        <f t="shared" si="22"/>
        <v>7465.9775231481481</v>
      </c>
      <c r="O78" s="74">
        <f t="shared" si="22"/>
        <v>0</v>
      </c>
      <c r="P78" s="74">
        <f t="shared" si="22"/>
        <v>0</v>
      </c>
      <c r="Q78" s="74">
        <f t="shared" si="22"/>
        <v>0</v>
      </c>
      <c r="R78" s="74">
        <f t="shared" si="22"/>
        <v>0</v>
      </c>
      <c r="S78" s="74">
        <f t="shared" si="22"/>
        <v>0</v>
      </c>
      <c r="T78" s="74">
        <f t="shared" si="22"/>
        <v>0</v>
      </c>
      <c r="U78" s="74">
        <f t="shared" si="22"/>
        <v>0</v>
      </c>
      <c r="V78" s="74">
        <f t="shared" si="22"/>
        <v>0</v>
      </c>
      <c r="W78" s="74">
        <f t="shared" si="22"/>
        <v>0</v>
      </c>
      <c r="X78" s="74">
        <f t="shared" si="22"/>
        <v>0</v>
      </c>
      <c r="Y78" s="179"/>
    </row>
    <row r="79" spans="1:26" outlineLevel="1" x14ac:dyDescent="0.25">
      <c r="A79" s="139">
        <f t="shared" si="12"/>
        <v>0</v>
      </c>
      <c r="B79" s="30"/>
      <c r="C79" s="31">
        <f t="shared" si="23"/>
        <v>0</v>
      </c>
      <c r="D79" s="9" t="str">
        <f t="shared" si="25"/>
        <v>час.</v>
      </c>
      <c r="E79" s="74">
        <f t="shared" si="24"/>
        <v>0</v>
      </c>
      <c r="F79" s="74">
        <f t="shared" si="22"/>
        <v>0</v>
      </c>
      <c r="G79" s="74">
        <f t="shared" si="22"/>
        <v>0</v>
      </c>
      <c r="H79" s="74">
        <f t="shared" si="22"/>
        <v>0</v>
      </c>
      <c r="I79" s="74">
        <f t="shared" si="22"/>
        <v>0</v>
      </c>
      <c r="J79" s="74">
        <f t="shared" si="22"/>
        <v>0</v>
      </c>
      <c r="K79" s="74">
        <f t="shared" si="22"/>
        <v>0</v>
      </c>
      <c r="L79" s="74">
        <f t="shared" si="22"/>
        <v>0</v>
      </c>
      <c r="M79" s="74">
        <f t="shared" si="22"/>
        <v>0</v>
      </c>
      <c r="N79" s="74">
        <f t="shared" si="22"/>
        <v>0</v>
      </c>
      <c r="O79" s="74">
        <f t="shared" si="22"/>
        <v>0</v>
      </c>
      <c r="P79" s="74">
        <f t="shared" si="22"/>
        <v>0</v>
      </c>
      <c r="Q79" s="74">
        <f t="shared" si="22"/>
        <v>0</v>
      </c>
      <c r="R79" s="74">
        <f t="shared" si="22"/>
        <v>0</v>
      </c>
      <c r="S79" s="74">
        <f t="shared" si="22"/>
        <v>0</v>
      </c>
      <c r="T79" s="74">
        <f t="shared" si="22"/>
        <v>0</v>
      </c>
      <c r="U79" s="74">
        <f t="shared" si="22"/>
        <v>0</v>
      </c>
      <c r="V79" s="74">
        <f t="shared" si="22"/>
        <v>0</v>
      </c>
      <c r="W79" s="74">
        <f t="shared" si="22"/>
        <v>0</v>
      </c>
      <c r="X79" s="74">
        <f t="shared" si="22"/>
        <v>0</v>
      </c>
      <c r="Y79" s="179"/>
    </row>
    <row r="80" spans="1:26" outlineLevel="1" x14ac:dyDescent="0.25">
      <c r="A80" s="139">
        <f t="shared" si="12"/>
        <v>0</v>
      </c>
      <c r="B80" s="30"/>
      <c r="C80" s="31">
        <f t="shared" si="23"/>
        <v>0</v>
      </c>
      <c r="D80" s="9" t="str">
        <f t="shared" si="25"/>
        <v>час.</v>
      </c>
      <c r="E80" s="74">
        <f t="shared" si="24"/>
        <v>0</v>
      </c>
      <c r="F80" s="74">
        <f t="shared" si="22"/>
        <v>0</v>
      </c>
      <c r="G80" s="74">
        <f t="shared" si="22"/>
        <v>0</v>
      </c>
      <c r="H80" s="74">
        <f t="shared" si="22"/>
        <v>0</v>
      </c>
      <c r="I80" s="74">
        <f t="shared" si="22"/>
        <v>0</v>
      </c>
      <c r="J80" s="74">
        <f t="shared" si="22"/>
        <v>0</v>
      </c>
      <c r="K80" s="74">
        <f t="shared" si="22"/>
        <v>0</v>
      </c>
      <c r="L80" s="74">
        <f t="shared" si="22"/>
        <v>0</v>
      </c>
      <c r="M80" s="74">
        <f t="shared" si="22"/>
        <v>0</v>
      </c>
      <c r="N80" s="74">
        <f t="shared" si="22"/>
        <v>0</v>
      </c>
      <c r="O80" s="74">
        <f t="shared" si="22"/>
        <v>0</v>
      </c>
      <c r="P80" s="74">
        <f t="shared" si="22"/>
        <v>0</v>
      </c>
      <c r="Q80" s="74">
        <f t="shared" si="22"/>
        <v>0</v>
      </c>
      <c r="R80" s="74">
        <f t="shared" si="22"/>
        <v>0</v>
      </c>
      <c r="S80" s="74">
        <f t="shared" si="22"/>
        <v>0</v>
      </c>
      <c r="T80" s="74">
        <f t="shared" si="22"/>
        <v>0</v>
      </c>
      <c r="U80" s="74">
        <f t="shared" si="22"/>
        <v>0</v>
      </c>
      <c r="V80" s="74">
        <f t="shared" si="22"/>
        <v>0</v>
      </c>
      <c r="W80" s="74">
        <f t="shared" si="22"/>
        <v>0</v>
      </c>
      <c r="X80" s="74">
        <f t="shared" si="22"/>
        <v>0</v>
      </c>
      <c r="Y80" s="179"/>
    </row>
    <row r="81" spans="1:25" outlineLevel="1" x14ac:dyDescent="0.25">
      <c r="A81" s="139">
        <f t="shared" si="12"/>
        <v>0</v>
      </c>
      <c r="B81" s="30"/>
      <c r="C81" s="31">
        <f t="shared" si="23"/>
        <v>0</v>
      </c>
      <c r="D81" s="9" t="str">
        <f t="shared" si="25"/>
        <v>час.</v>
      </c>
      <c r="E81" s="74">
        <f t="shared" si="24"/>
        <v>0</v>
      </c>
      <c r="F81" s="74">
        <f t="shared" si="22"/>
        <v>0</v>
      </c>
      <c r="G81" s="74">
        <f t="shared" si="22"/>
        <v>0</v>
      </c>
      <c r="H81" s="74">
        <f t="shared" si="22"/>
        <v>0</v>
      </c>
      <c r="I81" s="74">
        <f t="shared" si="22"/>
        <v>0</v>
      </c>
      <c r="J81" s="74">
        <f t="shared" si="22"/>
        <v>0</v>
      </c>
      <c r="K81" s="74">
        <f t="shared" si="22"/>
        <v>0</v>
      </c>
      <c r="L81" s="74">
        <f t="shared" si="22"/>
        <v>0</v>
      </c>
      <c r="M81" s="74">
        <f t="shared" si="22"/>
        <v>0</v>
      </c>
      <c r="N81" s="74">
        <f t="shared" si="22"/>
        <v>0</v>
      </c>
      <c r="O81" s="74">
        <f t="shared" si="22"/>
        <v>0</v>
      </c>
      <c r="P81" s="74">
        <f t="shared" si="22"/>
        <v>0</v>
      </c>
      <c r="Q81" s="74">
        <f t="shared" si="22"/>
        <v>0</v>
      </c>
      <c r="R81" s="74">
        <f t="shared" si="22"/>
        <v>0</v>
      </c>
      <c r="S81" s="74">
        <f t="shared" si="22"/>
        <v>0</v>
      </c>
      <c r="T81" s="74">
        <f t="shared" si="22"/>
        <v>0</v>
      </c>
      <c r="U81" s="74">
        <f t="shared" si="22"/>
        <v>0</v>
      </c>
      <c r="V81" s="74">
        <f t="shared" si="22"/>
        <v>0</v>
      </c>
      <c r="W81" s="74">
        <f t="shared" si="22"/>
        <v>0</v>
      </c>
      <c r="X81" s="74">
        <f t="shared" si="22"/>
        <v>0</v>
      </c>
      <c r="Y81" s="179"/>
    </row>
    <row r="82" spans="1:25" outlineLevel="1" x14ac:dyDescent="0.25">
      <c r="A82" s="139">
        <f t="shared" si="12"/>
        <v>0</v>
      </c>
      <c r="B82" s="30"/>
      <c r="C82" s="31">
        <f t="shared" si="23"/>
        <v>0</v>
      </c>
      <c r="D82" s="9" t="str">
        <f t="shared" si="25"/>
        <v>час.</v>
      </c>
      <c r="E82" s="74">
        <f t="shared" si="24"/>
        <v>0</v>
      </c>
      <c r="F82" s="74">
        <f t="shared" si="22"/>
        <v>0</v>
      </c>
      <c r="G82" s="74">
        <f t="shared" si="22"/>
        <v>0</v>
      </c>
      <c r="H82" s="74">
        <f t="shared" si="22"/>
        <v>0</v>
      </c>
      <c r="I82" s="74">
        <f t="shared" si="22"/>
        <v>0</v>
      </c>
      <c r="J82" s="74">
        <f t="shared" si="22"/>
        <v>0</v>
      </c>
      <c r="K82" s="74">
        <f t="shared" si="22"/>
        <v>0</v>
      </c>
      <c r="L82" s="74">
        <f t="shared" si="22"/>
        <v>0</v>
      </c>
      <c r="M82" s="74">
        <f t="shared" si="22"/>
        <v>0</v>
      </c>
      <c r="N82" s="74">
        <f t="shared" si="22"/>
        <v>0</v>
      </c>
      <c r="O82" s="74">
        <f t="shared" si="22"/>
        <v>0</v>
      </c>
      <c r="P82" s="74">
        <f t="shared" si="22"/>
        <v>0</v>
      </c>
      <c r="Q82" s="74">
        <f t="shared" si="22"/>
        <v>0</v>
      </c>
      <c r="R82" s="74">
        <f t="shared" si="22"/>
        <v>0</v>
      </c>
      <c r="S82" s="74">
        <f t="shared" si="22"/>
        <v>0</v>
      </c>
      <c r="T82" s="74">
        <f t="shared" si="22"/>
        <v>0</v>
      </c>
      <c r="U82" s="74">
        <f t="shared" si="22"/>
        <v>0</v>
      </c>
      <c r="V82" s="74">
        <f t="shared" si="22"/>
        <v>0</v>
      </c>
      <c r="W82" s="74">
        <f t="shared" si="22"/>
        <v>0</v>
      </c>
      <c r="X82" s="74">
        <f t="shared" si="22"/>
        <v>0</v>
      </c>
      <c r="Y82" s="179"/>
    </row>
    <row r="83" spans="1:25" outlineLevel="1" x14ac:dyDescent="0.25">
      <c r="A83" s="139">
        <f t="shared" si="12"/>
        <v>0</v>
      </c>
      <c r="B83" s="30"/>
      <c r="C83" s="31">
        <f t="shared" si="23"/>
        <v>0</v>
      </c>
      <c r="D83" s="9" t="str">
        <f t="shared" si="25"/>
        <v>час.</v>
      </c>
      <c r="E83" s="74">
        <f t="shared" si="24"/>
        <v>0</v>
      </c>
      <c r="F83" s="74">
        <f t="shared" si="22"/>
        <v>0</v>
      </c>
      <c r="G83" s="74">
        <f t="shared" si="22"/>
        <v>0</v>
      </c>
      <c r="H83" s="74">
        <f t="shared" si="22"/>
        <v>0</v>
      </c>
      <c r="I83" s="74">
        <f t="shared" si="22"/>
        <v>0</v>
      </c>
      <c r="J83" s="74">
        <f t="shared" si="22"/>
        <v>0</v>
      </c>
      <c r="K83" s="74">
        <f t="shared" si="22"/>
        <v>0</v>
      </c>
      <c r="L83" s="74">
        <f t="shared" si="22"/>
        <v>0</v>
      </c>
      <c r="M83" s="74">
        <f t="shared" si="22"/>
        <v>0</v>
      </c>
      <c r="N83" s="74">
        <f t="shared" si="22"/>
        <v>0</v>
      </c>
      <c r="O83" s="74">
        <f t="shared" si="22"/>
        <v>0</v>
      </c>
      <c r="P83" s="74">
        <f t="shared" si="22"/>
        <v>0</v>
      </c>
      <c r="Q83" s="74">
        <f t="shared" si="22"/>
        <v>0</v>
      </c>
      <c r="R83" s="74">
        <f t="shared" si="22"/>
        <v>0</v>
      </c>
      <c r="S83" s="74">
        <f t="shared" si="22"/>
        <v>0</v>
      </c>
      <c r="T83" s="74">
        <f t="shared" si="22"/>
        <v>0</v>
      </c>
      <c r="U83" s="74">
        <f t="shared" si="22"/>
        <v>0</v>
      </c>
      <c r="V83" s="74">
        <f t="shared" si="22"/>
        <v>0</v>
      </c>
      <c r="W83" s="74">
        <f t="shared" si="22"/>
        <v>0</v>
      </c>
      <c r="X83" s="74">
        <f t="shared" si="22"/>
        <v>0</v>
      </c>
      <c r="Y83" s="179"/>
    </row>
    <row r="84" spans="1:25" outlineLevel="1" x14ac:dyDescent="0.25">
      <c r="A84" s="139">
        <f t="shared" si="12"/>
        <v>0</v>
      </c>
      <c r="B84" s="30"/>
      <c r="C84" s="31">
        <f t="shared" si="23"/>
        <v>0</v>
      </c>
      <c r="D84" s="9" t="str">
        <f t="shared" si="25"/>
        <v>час.</v>
      </c>
      <c r="E84" s="74">
        <f t="shared" si="24"/>
        <v>0</v>
      </c>
      <c r="F84" s="74">
        <f t="shared" si="22"/>
        <v>0</v>
      </c>
      <c r="G84" s="74">
        <f t="shared" si="22"/>
        <v>0</v>
      </c>
      <c r="H84" s="74">
        <f t="shared" si="22"/>
        <v>0</v>
      </c>
      <c r="I84" s="74">
        <f t="shared" si="22"/>
        <v>0</v>
      </c>
      <c r="J84" s="74">
        <f t="shared" si="22"/>
        <v>0</v>
      </c>
      <c r="K84" s="74">
        <f t="shared" si="22"/>
        <v>0</v>
      </c>
      <c r="L84" s="74">
        <f t="shared" si="22"/>
        <v>0</v>
      </c>
      <c r="M84" s="74">
        <f t="shared" si="22"/>
        <v>0</v>
      </c>
      <c r="N84" s="74">
        <f t="shared" si="22"/>
        <v>0</v>
      </c>
      <c r="O84" s="74">
        <f t="shared" si="22"/>
        <v>0</v>
      </c>
      <c r="P84" s="74">
        <f t="shared" si="22"/>
        <v>0</v>
      </c>
      <c r="Q84" s="74">
        <f t="shared" si="22"/>
        <v>0</v>
      </c>
      <c r="R84" s="74">
        <f t="shared" si="22"/>
        <v>0</v>
      </c>
      <c r="S84" s="74">
        <f t="shared" si="22"/>
        <v>0</v>
      </c>
      <c r="T84" s="74">
        <f t="shared" si="22"/>
        <v>0</v>
      </c>
      <c r="U84" s="74">
        <f t="shared" si="22"/>
        <v>0</v>
      </c>
      <c r="V84" s="74">
        <f t="shared" si="22"/>
        <v>0</v>
      </c>
      <c r="W84" s="74">
        <f t="shared" si="22"/>
        <v>0</v>
      </c>
      <c r="X84" s="74">
        <f t="shared" si="22"/>
        <v>0</v>
      </c>
      <c r="Y84" s="179"/>
    </row>
    <row r="85" spans="1:25" outlineLevel="1" x14ac:dyDescent="0.25">
      <c r="A85" s="139">
        <f t="shared" si="12"/>
        <v>0</v>
      </c>
      <c r="B85" s="30"/>
      <c r="C85" s="31">
        <f t="shared" si="23"/>
        <v>0</v>
      </c>
      <c r="D85" s="9" t="str">
        <f t="shared" si="25"/>
        <v>час.</v>
      </c>
      <c r="E85" s="74">
        <f t="shared" si="24"/>
        <v>0</v>
      </c>
      <c r="F85" s="74">
        <f t="shared" si="22"/>
        <v>0</v>
      </c>
      <c r="G85" s="74">
        <f t="shared" si="22"/>
        <v>0</v>
      </c>
      <c r="H85" s="74">
        <f t="shared" si="22"/>
        <v>0</v>
      </c>
      <c r="I85" s="74">
        <f t="shared" si="22"/>
        <v>0</v>
      </c>
      <c r="J85" s="74">
        <f t="shared" si="22"/>
        <v>0</v>
      </c>
      <c r="K85" s="74">
        <f t="shared" si="22"/>
        <v>0</v>
      </c>
      <c r="L85" s="74">
        <f t="shared" si="22"/>
        <v>0</v>
      </c>
      <c r="M85" s="74">
        <f t="shared" si="22"/>
        <v>0</v>
      </c>
      <c r="N85" s="74">
        <f t="shared" si="22"/>
        <v>0</v>
      </c>
      <c r="O85" s="74">
        <f t="shared" si="22"/>
        <v>0</v>
      </c>
      <c r="P85" s="74">
        <f t="shared" si="22"/>
        <v>0</v>
      </c>
      <c r="Q85" s="74">
        <f t="shared" si="22"/>
        <v>0</v>
      </c>
      <c r="R85" s="74">
        <f t="shared" si="22"/>
        <v>0</v>
      </c>
      <c r="S85" s="74">
        <f t="shared" si="22"/>
        <v>0</v>
      </c>
      <c r="T85" s="74">
        <f t="shared" si="22"/>
        <v>0</v>
      </c>
      <c r="U85" s="74">
        <f t="shared" si="22"/>
        <v>0</v>
      </c>
      <c r="V85" s="74">
        <f t="shared" si="22"/>
        <v>0</v>
      </c>
      <c r="W85" s="74">
        <f t="shared" si="22"/>
        <v>0</v>
      </c>
      <c r="X85" s="74">
        <f t="shared" si="22"/>
        <v>0</v>
      </c>
      <c r="Y85" s="179"/>
    </row>
    <row r="86" spans="1:25" outlineLevel="1" x14ac:dyDescent="0.25">
      <c r="A86" s="139">
        <f t="shared" si="12"/>
        <v>0</v>
      </c>
      <c r="B86" s="30"/>
      <c r="C86" s="31">
        <f t="shared" si="23"/>
        <v>0</v>
      </c>
      <c r="D86" s="9" t="str">
        <f t="shared" si="25"/>
        <v>час.</v>
      </c>
      <c r="E86" s="74">
        <f t="shared" si="24"/>
        <v>0</v>
      </c>
      <c r="F86" s="74">
        <f t="shared" si="22"/>
        <v>0</v>
      </c>
      <c r="G86" s="74">
        <f t="shared" si="22"/>
        <v>0</v>
      </c>
      <c r="H86" s="74">
        <f t="shared" si="22"/>
        <v>0</v>
      </c>
      <c r="I86" s="74">
        <f t="shared" si="22"/>
        <v>0</v>
      </c>
      <c r="J86" s="74">
        <f t="shared" ref="J86:X86" si="26">J$6*J70</f>
        <v>0</v>
      </c>
      <c r="K86" s="74">
        <f t="shared" si="26"/>
        <v>0</v>
      </c>
      <c r="L86" s="74">
        <f t="shared" si="26"/>
        <v>0</v>
      </c>
      <c r="M86" s="74">
        <f t="shared" si="26"/>
        <v>0</v>
      </c>
      <c r="N86" s="74">
        <f t="shared" si="26"/>
        <v>0</v>
      </c>
      <c r="O86" s="74">
        <f t="shared" si="26"/>
        <v>0</v>
      </c>
      <c r="P86" s="74">
        <f t="shared" si="26"/>
        <v>0</v>
      </c>
      <c r="Q86" s="74">
        <f t="shared" si="26"/>
        <v>0</v>
      </c>
      <c r="R86" s="74">
        <f t="shared" si="26"/>
        <v>0</v>
      </c>
      <c r="S86" s="74">
        <f t="shared" si="26"/>
        <v>0</v>
      </c>
      <c r="T86" s="74">
        <f t="shared" si="26"/>
        <v>0</v>
      </c>
      <c r="U86" s="74">
        <f t="shared" si="26"/>
        <v>0</v>
      </c>
      <c r="V86" s="74">
        <f t="shared" si="26"/>
        <v>0</v>
      </c>
      <c r="W86" s="74">
        <f t="shared" si="26"/>
        <v>0</v>
      </c>
      <c r="X86" s="74">
        <f t="shared" si="26"/>
        <v>0</v>
      </c>
      <c r="Y86" s="179"/>
    </row>
    <row r="87" spans="1:25" ht="27.2" x14ac:dyDescent="0.25">
      <c r="A87" s="139">
        <f t="shared" si="12"/>
        <v>1</v>
      </c>
      <c r="B87" s="68">
        <f>B55+1</f>
        <v>5</v>
      </c>
      <c r="C87" s="67" t="s">
        <v>109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179"/>
    </row>
    <row r="88" spans="1:25" x14ac:dyDescent="0.25">
      <c r="A88" s="139">
        <f t="shared" si="12"/>
        <v>1</v>
      </c>
      <c r="B88" s="30"/>
      <c r="C88" s="31" t="str">
        <f>C72</f>
        <v>NHL NTE 240</v>
      </c>
      <c r="D88" s="9" t="s">
        <v>110</v>
      </c>
      <c r="E88" s="461">
        <f>Производительность!E88</f>
        <v>50</v>
      </c>
      <c r="F88" s="461">
        <f>Производительность!F88</f>
        <v>50</v>
      </c>
      <c r="G88" s="461">
        <f>Производительность!G88</f>
        <v>50</v>
      </c>
      <c r="H88" s="461">
        <f>Производительность!H88</f>
        <v>50</v>
      </c>
      <c r="I88" s="461">
        <f>Производительность!I88</f>
        <v>50</v>
      </c>
      <c r="J88" s="461">
        <f>Производительность!J88</f>
        <v>50</v>
      </c>
      <c r="K88" s="461">
        <f>Производительность!K88</f>
        <v>50</v>
      </c>
      <c r="L88" s="461">
        <f>Производительность!L88</f>
        <v>50</v>
      </c>
      <c r="M88" s="461">
        <f>Производительность!M88</f>
        <v>50</v>
      </c>
      <c r="N88" s="461">
        <f>Производительность!N88</f>
        <v>50</v>
      </c>
      <c r="O88" s="461">
        <f>Производительность!O88</f>
        <v>50</v>
      </c>
      <c r="P88" s="461">
        <f>Производительность!P88</f>
        <v>50</v>
      </c>
      <c r="Q88" s="461">
        <f>Производительность!Q88</f>
        <v>50</v>
      </c>
      <c r="R88" s="461">
        <f>Производительность!R88</f>
        <v>50</v>
      </c>
      <c r="S88" s="461">
        <f>Производительность!S88</f>
        <v>50</v>
      </c>
      <c r="T88" s="461">
        <f>Производительность!T88</f>
        <v>50</v>
      </c>
      <c r="U88" s="461">
        <f>Производительность!U88</f>
        <v>50</v>
      </c>
      <c r="V88" s="461">
        <f>Производительность!V88</f>
        <v>50</v>
      </c>
      <c r="W88" s="461">
        <f>Производительность!W88</f>
        <v>50</v>
      </c>
      <c r="X88" s="461">
        <f>Производительность!X88</f>
        <v>50</v>
      </c>
      <c r="Y88" s="179"/>
    </row>
    <row r="89" spans="1:25" x14ac:dyDescent="0.25">
      <c r="A89" s="139">
        <f t="shared" si="12"/>
        <v>1</v>
      </c>
      <c r="B89" s="30"/>
      <c r="C89" s="31" t="str">
        <f t="shared" ref="C89:C102" si="27">C73</f>
        <v>Estar ESDE240 (ГПБ К)</v>
      </c>
      <c r="D89" s="9" t="str">
        <f>D88</f>
        <v>мин/см</v>
      </c>
      <c r="E89" s="461">
        <f>Производительность!E89</f>
        <v>50</v>
      </c>
      <c r="F89" s="461">
        <f>Производительность!F89</f>
        <v>50</v>
      </c>
      <c r="G89" s="461">
        <f>Производительность!G89</f>
        <v>50</v>
      </c>
      <c r="H89" s="461">
        <f>Производительность!H89</f>
        <v>50</v>
      </c>
      <c r="I89" s="461">
        <f>Производительность!I89</f>
        <v>50</v>
      </c>
      <c r="J89" s="461">
        <f>Производительность!J89</f>
        <v>50</v>
      </c>
      <c r="K89" s="461">
        <f>Производительность!K89</f>
        <v>50</v>
      </c>
      <c r="L89" s="461">
        <f>Производительность!L89</f>
        <v>50</v>
      </c>
      <c r="M89" s="461">
        <f>Производительность!M89</f>
        <v>50</v>
      </c>
      <c r="N89" s="461">
        <f>Производительность!N89</f>
        <v>50</v>
      </c>
      <c r="O89" s="461">
        <f>Производительность!O89</f>
        <v>50</v>
      </c>
      <c r="P89" s="461">
        <f>Производительность!P89</f>
        <v>50</v>
      </c>
      <c r="Q89" s="461">
        <f>Производительность!Q89</f>
        <v>50</v>
      </c>
      <c r="R89" s="461">
        <f>Производительность!R89</f>
        <v>50</v>
      </c>
      <c r="S89" s="461">
        <f>Производительность!S89</f>
        <v>50</v>
      </c>
      <c r="T89" s="461">
        <f>Производительность!T89</f>
        <v>50</v>
      </c>
      <c r="U89" s="461">
        <f>Производительность!U89</f>
        <v>50</v>
      </c>
      <c r="V89" s="461">
        <f>Производительность!V89</f>
        <v>50</v>
      </c>
      <c r="W89" s="461">
        <f>Производительность!W89</f>
        <v>50</v>
      </c>
      <c r="X89" s="461">
        <f>Производительность!X89</f>
        <v>50</v>
      </c>
      <c r="Y89" s="179"/>
    </row>
    <row r="90" spans="1:25" x14ac:dyDescent="0.25">
      <c r="A90" s="139">
        <f t="shared" si="12"/>
        <v>1</v>
      </c>
      <c r="B90" s="30"/>
      <c r="C90" s="31" t="str">
        <f t="shared" si="27"/>
        <v>SANY SET240S</v>
      </c>
      <c r="D90" s="9" t="str">
        <f t="shared" ref="D90:D102" si="28">D89</f>
        <v>мин/см</v>
      </c>
      <c r="E90" s="461">
        <f>Производительность!E90</f>
        <v>50</v>
      </c>
      <c r="F90" s="461">
        <f>Производительность!F90</f>
        <v>50</v>
      </c>
      <c r="G90" s="461">
        <f>Производительность!G90</f>
        <v>50</v>
      </c>
      <c r="H90" s="461">
        <f>Производительность!H90</f>
        <v>50</v>
      </c>
      <c r="I90" s="461">
        <f>Производительность!I90</f>
        <v>50</v>
      </c>
      <c r="J90" s="461">
        <f>Производительность!J90</f>
        <v>50</v>
      </c>
      <c r="K90" s="461">
        <f>Производительность!K90</f>
        <v>50</v>
      </c>
      <c r="L90" s="461">
        <f>Производительность!L90</f>
        <v>50</v>
      </c>
      <c r="M90" s="461">
        <f>Производительность!M90</f>
        <v>50</v>
      </c>
      <c r="N90" s="461">
        <f>Производительность!N90</f>
        <v>50</v>
      </c>
      <c r="O90" s="461">
        <f>Производительность!O90</f>
        <v>50</v>
      </c>
      <c r="P90" s="461">
        <f>Производительность!P90</f>
        <v>50</v>
      </c>
      <c r="Q90" s="461">
        <f>Производительность!Q90</f>
        <v>50</v>
      </c>
      <c r="R90" s="461">
        <f>Производительность!R90</f>
        <v>50</v>
      </c>
      <c r="S90" s="461">
        <f>Производительность!S90</f>
        <v>50</v>
      </c>
      <c r="T90" s="461">
        <f>Производительность!T90</f>
        <v>50</v>
      </c>
      <c r="U90" s="461">
        <f>Производительность!U90</f>
        <v>50</v>
      </c>
      <c r="V90" s="461">
        <f>Производительность!V90</f>
        <v>50</v>
      </c>
      <c r="W90" s="461">
        <f>Производительность!W90</f>
        <v>50</v>
      </c>
      <c r="X90" s="461">
        <f>Производительность!X90</f>
        <v>50</v>
      </c>
      <c r="Y90" s="179"/>
    </row>
    <row r="91" spans="1:25" x14ac:dyDescent="0.25">
      <c r="A91" s="139">
        <f t="shared" si="12"/>
        <v>1</v>
      </c>
      <c r="B91" s="30"/>
      <c r="C91" s="31" t="str">
        <f t="shared" si="27"/>
        <v>TZCO TZE240</v>
      </c>
      <c r="D91" s="9" t="str">
        <f t="shared" si="28"/>
        <v>мин/см</v>
      </c>
      <c r="E91" s="461">
        <f>Производительность!E91</f>
        <v>50</v>
      </c>
      <c r="F91" s="461">
        <f>Производительность!F91</f>
        <v>50</v>
      </c>
      <c r="G91" s="461">
        <f>Производительность!G91</f>
        <v>50</v>
      </c>
      <c r="H91" s="461">
        <f>Производительность!H91</f>
        <v>50</v>
      </c>
      <c r="I91" s="461">
        <f>Производительность!I91</f>
        <v>50</v>
      </c>
      <c r="J91" s="461">
        <f>Производительность!J91</f>
        <v>50</v>
      </c>
      <c r="K91" s="461">
        <f>Производительность!K91</f>
        <v>50</v>
      </c>
      <c r="L91" s="461">
        <f>Производительность!L91</f>
        <v>50</v>
      </c>
      <c r="M91" s="461">
        <f>Производительность!M91</f>
        <v>50</v>
      </c>
      <c r="N91" s="461">
        <f>Производительность!N91</f>
        <v>50</v>
      </c>
      <c r="O91" s="461">
        <f>Производительность!O91</f>
        <v>50</v>
      </c>
      <c r="P91" s="461">
        <f>Производительность!P91</f>
        <v>50</v>
      </c>
      <c r="Q91" s="461">
        <f>Производительность!Q91</f>
        <v>50</v>
      </c>
      <c r="R91" s="461">
        <f>Производительность!R91</f>
        <v>50</v>
      </c>
      <c r="S91" s="461">
        <f>Производительность!S91</f>
        <v>50</v>
      </c>
      <c r="T91" s="461">
        <f>Производительность!T91</f>
        <v>50</v>
      </c>
      <c r="U91" s="461">
        <f>Производительность!U91</f>
        <v>50</v>
      </c>
      <c r="V91" s="461">
        <f>Производительность!V91</f>
        <v>50</v>
      </c>
      <c r="W91" s="461">
        <f>Производительность!W91</f>
        <v>50</v>
      </c>
      <c r="X91" s="461">
        <f>Производительность!X91</f>
        <v>50</v>
      </c>
      <c r="Y91" s="179"/>
    </row>
    <row r="92" spans="1:25" x14ac:dyDescent="0.25">
      <c r="A92" s="139">
        <f t="shared" si="12"/>
        <v>1</v>
      </c>
      <c r="B92" s="30"/>
      <c r="C92" s="31" t="str">
        <f t="shared" si="27"/>
        <v>БелАЗ 7531 (ГПФК)</v>
      </c>
      <c r="D92" s="9" t="str">
        <f t="shared" si="28"/>
        <v>мин/см</v>
      </c>
      <c r="E92" s="461">
        <f>Производительность!E92</f>
        <v>50</v>
      </c>
      <c r="F92" s="461">
        <f>Производительность!F92</f>
        <v>50</v>
      </c>
      <c r="G92" s="461">
        <f>Производительность!G92</f>
        <v>50</v>
      </c>
      <c r="H92" s="461">
        <f>Производительность!H92</f>
        <v>50</v>
      </c>
      <c r="I92" s="461">
        <f>Производительность!I92</f>
        <v>50</v>
      </c>
      <c r="J92" s="461">
        <f>Производительность!J92</f>
        <v>50</v>
      </c>
      <c r="K92" s="461">
        <f>Производительность!K92</f>
        <v>50</v>
      </c>
      <c r="L92" s="461">
        <f>Производительность!L92</f>
        <v>50</v>
      </c>
      <c r="M92" s="461">
        <f>Производительность!M92</f>
        <v>50</v>
      </c>
      <c r="N92" s="461">
        <f>Производительность!N92</f>
        <v>50</v>
      </c>
      <c r="O92" s="461">
        <f>Производительность!O92</f>
        <v>50</v>
      </c>
      <c r="P92" s="461">
        <f>Производительность!P92</f>
        <v>50</v>
      </c>
      <c r="Q92" s="461">
        <f>Производительность!Q92</f>
        <v>50</v>
      </c>
      <c r="R92" s="461">
        <f>Производительность!R92</f>
        <v>50</v>
      </c>
      <c r="S92" s="461">
        <f>Производительность!S92</f>
        <v>50</v>
      </c>
      <c r="T92" s="461">
        <f>Производительность!T92</f>
        <v>50</v>
      </c>
      <c r="U92" s="461">
        <f>Производительность!U92</f>
        <v>50</v>
      </c>
      <c r="V92" s="461">
        <f>Производительность!V92</f>
        <v>50</v>
      </c>
      <c r="W92" s="461">
        <f>Производительность!W92</f>
        <v>50</v>
      </c>
      <c r="X92" s="461">
        <f>Производительность!X92</f>
        <v>50</v>
      </c>
      <c r="Y92" s="179"/>
    </row>
    <row r="93" spans="1:25" x14ac:dyDescent="0.25">
      <c r="A93" s="139">
        <f t="shared" si="12"/>
        <v>1</v>
      </c>
      <c r="B93" s="30"/>
      <c r="C93" s="31" t="str">
        <f t="shared" si="27"/>
        <v>XCMG 240</v>
      </c>
      <c r="D93" s="9" t="str">
        <f t="shared" si="28"/>
        <v>мин/см</v>
      </c>
      <c r="E93" s="461">
        <f>Производительность!E93</f>
        <v>50</v>
      </c>
      <c r="F93" s="461">
        <f>Производительность!F93</f>
        <v>50</v>
      </c>
      <c r="G93" s="461">
        <f>Производительность!G93</f>
        <v>50</v>
      </c>
      <c r="H93" s="461">
        <f>Производительность!H93</f>
        <v>50</v>
      </c>
      <c r="I93" s="461">
        <f>Производительность!I93</f>
        <v>50</v>
      </c>
      <c r="J93" s="461">
        <f>Производительность!J93</f>
        <v>50</v>
      </c>
      <c r="K93" s="461">
        <f>Производительность!K93</f>
        <v>50</v>
      </c>
      <c r="L93" s="461">
        <f>Производительность!L93</f>
        <v>50</v>
      </c>
      <c r="M93" s="461">
        <f>Производительность!M93</f>
        <v>50</v>
      </c>
      <c r="N93" s="461">
        <f>Производительность!N93</f>
        <v>50</v>
      </c>
      <c r="O93" s="461">
        <f>Производительность!O93</f>
        <v>50</v>
      </c>
      <c r="P93" s="461">
        <f>Производительность!P93</f>
        <v>50</v>
      </c>
      <c r="Q93" s="461">
        <f>Производительность!Q93</f>
        <v>50</v>
      </c>
      <c r="R93" s="461">
        <f>Производительность!R93</f>
        <v>50</v>
      </c>
      <c r="S93" s="461">
        <f>Производительность!S93</f>
        <v>50</v>
      </c>
      <c r="T93" s="461">
        <f>Производительность!T93</f>
        <v>50</v>
      </c>
      <c r="U93" s="461">
        <f>Производительность!U93</f>
        <v>50</v>
      </c>
      <c r="V93" s="461">
        <f>Производительность!V93</f>
        <v>50</v>
      </c>
      <c r="W93" s="461">
        <f>Производительность!W93</f>
        <v>50</v>
      </c>
      <c r="X93" s="461">
        <f>Производительность!X93</f>
        <v>50</v>
      </c>
      <c r="Y93" s="179"/>
    </row>
    <row r="94" spans="1:25" x14ac:dyDescent="0.25">
      <c r="A94" s="139">
        <f t="shared" si="12"/>
        <v>1</v>
      </c>
      <c r="B94" s="30"/>
      <c r="C94" s="31" t="str">
        <f t="shared" si="27"/>
        <v>БелАЗ 7531 (БТЛ)</v>
      </c>
      <c r="D94" s="9" t="str">
        <f t="shared" si="28"/>
        <v>мин/см</v>
      </c>
      <c r="E94" s="461">
        <f>Производительность!E94</f>
        <v>50</v>
      </c>
      <c r="F94" s="461">
        <f>Производительность!F94</f>
        <v>50</v>
      </c>
      <c r="G94" s="461">
        <f>Производительность!G94</f>
        <v>50</v>
      </c>
      <c r="H94" s="461">
        <f>Производительность!H94</f>
        <v>50</v>
      </c>
      <c r="I94" s="461">
        <f>Производительность!I94</f>
        <v>50</v>
      </c>
      <c r="J94" s="461">
        <f>Производительность!J94</f>
        <v>50</v>
      </c>
      <c r="K94" s="461">
        <f>Производительность!K94</f>
        <v>50</v>
      </c>
      <c r="L94" s="461">
        <f>Производительность!L94</f>
        <v>50</v>
      </c>
      <c r="M94" s="461">
        <f>Производительность!M94</f>
        <v>50</v>
      </c>
      <c r="N94" s="461">
        <f>Производительность!N94</f>
        <v>50</v>
      </c>
      <c r="O94" s="461">
        <f>Производительность!O94</f>
        <v>50</v>
      </c>
      <c r="P94" s="461">
        <f>Производительность!P94</f>
        <v>50</v>
      </c>
      <c r="Q94" s="461">
        <f>Производительность!Q94</f>
        <v>50</v>
      </c>
      <c r="R94" s="461">
        <f>Производительность!R94</f>
        <v>50</v>
      </c>
      <c r="S94" s="461">
        <f>Производительность!S94</f>
        <v>50</v>
      </c>
      <c r="T94" s="461">
        <f>Производительность!T94</f>
        <v>50</v>
      </c>
      <c r="U94" s="461">
        <f>Производительность!U94</f>
        <v>50</v>
      </c>
      <c r="V94" s="461">
        <f>Производительность!V94</f>
        <v>50</v>
      </c>
      <c r="W94" s="461">
        <f>Производительность!W94</f>
        <v>50</v>
      </c>
      <c r="X94" s="461">
        <f>Производительность!X94</f>
        <v>50</v>
      </c>
      <c r="Y94" s="179"/>
    </row>
    <row r="95" spans="1:25" x14ac:dyDescent="0.25">
      <c r="A95" s="139">
        <f t="shared" si="12"/>
        <v>0</v>
      </c>
      <c r="B95" s="30"/>
      <c r="C95" s="31">
        <f t="shared" si="27"/>
        <v>0</v>
      </c>
      <c r="D95" s="9" t="str">
        <f t="shared" si="28"/>
        <v>мин/см</v>
      </c>
      <c r="E95" s="461">
        <f>Производительность!E95</f>
        <v>0</v>
      </c>
      <c r="F95" s="461">
        <f>Производительность!F95</f>
        <v>0</v>
      </c>
      <c r="G95" s="461">
        <f>Производительность!G95</f>
        <v>0</v>
      </c>
      <c r="H95" s="461">
        <f>Производительность!H95</f>
        <v>0</v>
      </c>
      <c r="I95" s="461">
        <f>Производительность!I95</f>
        <v>0</v>
      </c>
      <c r="J95" s="461">
        <f>Производительность!J95</f>
        <v>0</v>
      </c>
      <c r="K95" s="461">
        <f>Производительность!K95</f>
        <v>0</v>
      </c>
      <c r="L95" s="461">
        <f>Производительность!L95</f>
        <v>0</v>
      </c>
      <c r="M95" s="461">
        <f>Производительность!M95</f>
        <v>0</v>
      </c>
      <c r="N95" s="461">
        <f>Производительность!N95</f>
        <v>0</v>
      </c>
      <c r="O95" s="461">
        <f>Производительность!O95</f>
        <v>0</v>
      </c>
      <c r="P95" s="461">
        <f>Производительность!P95</f>
        <v>0</v>
      </c>
      <c r="Q95" s="461">
        <f>Производительность!Q95</f>
        <v>0</v>
      </c>
      <c r="R95" s="461">
        <f>Производительность!R95</f>
        <v>0</v>
      </c>
      <c r="S95" s="461">
        <f>Производительность!S95</f>
        <v>0</v>
      </c>
      <c r="T95" s="461">
        <f>Производительность!T95</f>
        <v>0</v>
      </c>
      <c r="U95" s="461">
        <f>Производительность!U95</f>
        <v>0</v>
      </c>
      <c r="V95" s="461">
        <f>Производительность!V95</f>
        <v>0</v>
      </c>
      <c r="W95" s="461">
        <f>Производительность!W95</f>
        <v>0</v>
      </c>
      <c r="X95" s="461">
        <f>Производительность!X95</f>
        <v>0</v>
      </c>
      <c r="Y95" s="179"/>
    </row>
    <row r="96" spans="1:25" x14ac:dyDescent="0.25">
      <c r="A96" s="139">
        <f t="shared" si="12"/>
        <v>0</v>
      </c>
      <c r="B96" s="30"/>
      <c r="C96" s="31">
        <f t="shared" si="27"/>
        <v>0</v>
      </c>
      <c r="D96" s="9" t="str">
        <f t="shared" si="28"/>
        <v>мин/см</v>
      </c>
      <c r="E96" s="461">
        <f>Производительность!E96</f>
        <v>0</v>
      </c>
      <c r="F96" s="461">
        <f>Производительность!F96</f>
        <v>0</v>
      </c>
      <c r="G96" s="461">
        <f>Производительность!G96</f>
        <v>0</v>
      </c>
      <c r="H96" s="461">
        <f>Производительность!H96</f>
        <v>0</v>
      </c>
      <c r="I96" s="461">
        <f>Производительность!I96</f>
        <v>0</v>
      </c>
      <c r="J96" s="461">
        <f>Производительность!J96</f>
        <v>0</v>
      </c>
      <c r="K96" s="461">
        <f>Производительность!K96</f>
        <v>0</v>
      </c>
      <c r="L96" s="461">
        <f>Производительность!L96</f>
        <v>0</v>
      </c>
      <c r="M96" s="461">
        <f>Производительность!M96</f>
        <v>0</v>
      </c>
      <c r="N96" s="461">
        <f>Производительность!N96</f>
        <v>0</v>
      </c>
      <c r="O96" s="461">
        <f>Производительность!O96</f>
        <v>0</v>
      </c>
      <c r="P96" s="461">
        <f>Производительность!P96</f>
        <v>0</v>
      </c>
      <c r="Q96" s="461">
        <f>Производительность!Q96</f>
        <v>0</v>
      </c>
      <c r="R96" s="461">
        <f>Производительность!R96</f>
        <v>0</v>
      </c>
      <c r="S96" s="461">
        <f>Производительность!S96</f>
        <v>0</v>
      </c>
      <c r="T96" s="461">
        <f>Производительность!T96</f>
        <v>0</v>
      </c>
      <c r="U96" s="461">
        <f>Производительность!U96</f>
        <v>0</v>
      </c>
      <c r="V96" s="461">
        <f>Производительность!V96</f>
        <v>0</v>
      </c>
      <c r="W96" s="461">
        <f>Производительность!W96</f>
        <v>0</v>
      </c>
      <c r="X96" s="461">
        <f>Производительность!X96</f>
        <v>0</v>
      </c>
      <c r="Y96" s="179"/>
    </row>
    <row r="97" spans="1:25" x14ac:dyDescent="0.25">
      <c r="A97" s="139">
        <f t="shared" si="12"/>
        <v>0</v>
      </c>
      <c r="B97" s="30"/>
      <c r="C97" s="31">
        <f t="shared" si="27"/>
        <v>0</v>
      </c>
      <c r="D97" s="9" t="str">
        <f t="shared" si="28"/>
        <v>мин/см</v>
      </c>
      <c r="E97" s="461">
        <f>Производительность!E97</f>
        <v>0</v>
      </c>
      <c r="F97" s="461">
        <f>Производительность!F97</f>
        <v>0</v>
      </c>
      <c r="G97" s="461">
        <f>Производительность!G97</f>
        <v>0</v>
      </c>
      <c r="H97" s="461">
        <f>Производительность!H97</f>
        <v>0</v>
      </c>
      <c r="I97" s="461">
        <f>Производительность!I97</f>
        <v>0</v>
      </c>
      <c r="J97" s="461">
        <f>Производительность!J97</f>
        <v>0</v>
      </c>
      <c r="K97" s="461">
        <f>Производительность!K97</f>
        <v>0</v>
      </c>
      <c r="L97" s="461">
        <f>Производительность!L97</f>
        <v>0</v>
      </c>
      <c r="M97" s="461">
        <f>Производительность!M97</f>
        <v>0</v>
      </c>
      <c r="N97" s="461">
        <f>Производительность!N97</f>
        <v>0</v>
      </c>
      <c r="O97" s="461">
        <f>Производительность!O97</f>
        <v>0</v>
      </c>
      <c r="P97" s="461">
        <f>Производительность!P97</f>
        <v>0</v>
      </c>
      <c r="Q97" s="461">
        <f>Производительность!Q97</f>
        <v>0</v>
      </c>
      <c r="R97" s="461">
        <f>Производительность!R97</f>
        <v>0</v>
      </c>
      <c r="S97" s="461">
        <f>Производительность!S97</f>
        <v>0</v>
      </c>
      <c r="T97" s="461">
        <f>Производительность!T97</f>
        <v>0</v>
      </c>
      <c r="U97" s="461">
        <f>Производительность!U97</f>
        <v>0</v>
      </c>
      <c r="V97" s="461">
        <f>Производительность!V97</f>
        <v>0</v>
      </c>
      <c r="W97" s="461">
        <f>Производительность!W97</f>
        <v>0</v>
      </c>
      <c r="X97" s="461">
        <f>Производительность!X97</f>
        <v>0</v>
      </c>
      <c r="Y97" s="179"/>
    </row>
    <row r="98" spans="1:25" x14ac:dyDescent="0.25">
      <c r="A98" s="139">
        <f t="shared" si="12"/>
        <v>0</v>
      </c>
      <c r="B98" s="30"/>
      <c r="C98" s="31">
        <f t="shared" si="27"/>
        <v>0</v>
      </c>
      <c r="D98" s="9" t="str">
        <f t="shared" si="28"/>
        <v>мин/см</v>
      </c>
      <c r="E98" s="461">
        <f>Производительность!E98</f>
        <v>0</v>
      </c>
      <c r="F98" s="461">
        <f>Производительность!F98</f>
        <v>0</v>
      </c>
      <c r="G98" s="461">
        <f>Производительность!G98</f>
        <v>0</v>
      </c>
      <c r="H98" s="461">
        <f>Производительность!H98</f>
        <v>0</v>
      </c>
      <c r="I98" s="461">
        <f>Производительность!I98</f>
        <v>0</v>
      </c>
      <c r="J98" s="461">
        <f>Производительность!J98</f>
        <v>0</v>
      </c>
      <c r="K98" s="461">
        <f>Производительность!K98</f>
        <v>0</v>
      </c>
      <c r="L98" s="461">
        <f>Производительность!L98</f>
        <v>0</v>
      </c>
      <c r="M98" s="461">
        <f>Производительность!M98</f>
        <v>0</v>
      </c>
      <c r="N98" s="461">
        <f>Производительность!N98</f>
        <v>0</v>
      </c>
      <c r="O98" s="461">
        <f>Производительность!O98</f>
        <v>0</v>
      </c>
      <c r="P98" s="461">
        <f>Производительность!P98</f>
        <v>0</v>
      </c>
      <c r="Q98" s="461">
        <f>Производительность!Q98</f>
        <v>0</v>
      </c>
      <c r="R98" s="461">
        <f>Производительность!R98</f>
        <v>0</v>
      </c>
      <c r="S98" s="461">
        <f>Производительность!S98</f>
        <v>0</v>
      </c>
      <c r="T98" s="461">
        <f>Производительность!T98</f>
        <v>0</v>
      </c>
      <c r="U98" s="461">
        <f>Производительность!U98</f>
        <v>0</v>
      </c>
      <c r="V98" s="461">
        <f>Производительность!V98</f>
        <v>0</v>
      </c>
      <c r="W98" s="461">
        <f>Производительность!W98</f>
        <v>0</v>
      </c>
      <c r="X98" s="461">
        <f>Производительность!X98</f>
        <v>0</v>
      </c>
      <c r="Y98" s="179"/>
    </row>
    <row r="99" spans="1:25" x14ac:dyDescent="0.25">
      <c r="A99" s="139">
        <f t="shared" si="12"/>
        <v>0</v>
      </c>
      <c r="B99" s="30"/>
      <c r="C99" s="31">
        <f t="shared" si="27"/>
        <v>0</v>
      </c>
      <c r="D99" s="9" t="str">
        <f t="shared" si="28"/>
        <v>мин/см</v>
      </c>
      <c r="E99" s="461">
        <f>Производительность!E99</f>
        <v>0</v>
      </c>
      <c r="F99" s="461">
        <f>Производительность!F99</f>
        <v>0</v>
      </c>
      <c r="G99" s="461">
        <f>Производительность!G99</f>
        <v>0</v>
      </c>
      <c r="H99" s="461">
        <f>Производительность!H99</f>
        <v>0</v>
      </c>
      <c r="I99" s="461">
        <f>Производительность!I99</f>
        <v>0</v>
      </c>
      <c r="J99" s="461">
        <f>Производительность!J99</f>
        <v>0</v>
      </c>
      <c r="K99" s="461">
        <f>Производительность!K99</f>
        <v>0</v>
      </c>
      <c r="L99" s="461">
        <f>Производительность!L99</f>
        <v>0</v>
      </c>
      <c r="M99" s="461">
        <f>Производительность!M99</f>
        <v>0</v>
      </c>
      <c r="N99" s="461">
        <f>Производительность!N99</f>
        <v>0</v>
      </c>
      <c r="O99" s="461">
        <f>Производительность!O99</f>
        <v>0</v>
      </c>
      <c r="P99" s="461">
        <f>Производительность!P99</f>
        <v>0</v>
      </c>
      <c r="Q99" s="461">
        <f>Производительность!Q99</f>
        <v>0</v>
      </c>
      <c r="R99" s="461">
        <f>Производительность!R99</f>
        <v>0</v>
      </c>
      <c r="S99" s="461">
        <f>Производительность!S99</f>
        <v>0</v>
      </c>
      <c r="T99" s="461">
        <f>Производительность!T99</f>
        <v>0</v>
      </c>
      <c r="U99" s="461">
        <f>Производительность!U99</f>
        <v>0</v>
      </c>
      <c r="V99" s="461">
        <f>Производительность!V99</f>
        <v>0</v>
      </c>
      <c r="W99" s="461">
        <f>Производительность!W99</f>
        <v>0</v>
      </c>
      <c r="X99" s="461">
        <f>Производительность!X99</f>
        <v>0</v>
      </c>
      <c r="Y99" s="179"/>
    </row>
    <row r="100" spans="1:25" x14ac:dyDescent="0.25">
      <c r="A100" s="139">
        <f t="shared" si="12"/>
        <v>0</v>
      </c>
      <c r="B100" s="30"/>
      <c r="C100" s="31">
        <f t="shared" si="27"/>
        <v>0</v>
      </c>
      <c r="D100" s="9" t="str">
        <f t="shared" si="28"/>
        <v>мин/см</v>
      </c>
      <c r="E100" s="461">
        <f>Производительность!E100</f>
        <v>0</v>
      </c>
      <c r="F100" s="461">
        <f>Производительность!F100</f>
        <v>0</v>
      </c>
      <c r="G100" s="461">
        <f>Производительность!G100</f>
        <v>0</v>
      </c>
      <c r="H100" s="461">
        <f>Производительность!H100</f>
        <v>0</v>
      </c>
      <c r="I100" s="461">
        <f>Производительность!I100</f>
        <v>0</v>
      </c>
      <c r="J100" s="461">
        <f>Производительность!J100</f>
        <v>0</v>
      </c>
      <c r="K100" s="461">
        <f>Производительность!K100</f>
        <v>0</v>
      </c>
      <c r="L100" s="461">
        <f>Производительность!L100</f>
        <v>0</v>
      </c>
      <c r="M100" s="461">
        <f>Производительность!M100</f>
        <v>0</v>
      </c>
      <c r="N100" s="461">
        <f>Производительность!N100</f>
        <v>0</v>
      </c>
      <c r="O100" s="461">
        <f>Производительность!O100</f>
        <v>0</v>
      </c>
      <c r="P100" s="461">
        <f>Производительность!P100</f>
        <v>0</v>
      </c>
      <c r="Q100" s="461">
        <f>Производительность!Q100</f>
        <v>0</v>
      </c>
      <c r="R100" s="461">
        <f>Производительность!R100</f>
        <v>0</v>
      </c>
      <c r="S100" s="461">
        <f>Производительность!S100</f>
        <v>0</v>
      </c>
      <c r="T100" s="461">
        <f>Производительность!T100</f>
        <v>0</v>
      </c>
      <c r="U100" s="461">
        <f>Производительность!U100</f>
        <v>0</v>
      </c>
      <c r="V100" s="461">
        <f>Производительность!V100</f>
        <v>0</v>
      </c>
      <c r="W100" s="461">
        <f>Производительность!W100</f>
        <v>0</v>
      </c>
      <c r="X100" s="461">
        <f>Производительность!X100</f>
        <v>0</v>
      </c>
      <c r="Y100" s="179"/>
    </row>
    <row r="101" spans="1:25" x14ac:dyDescent="0.25">
      <c r="A101" s="139">
        <f t="shared" si="12"/>
        <v>0</v>
      </c>
      <c r="B101" s="30"/>
      <c r="C101" s="31">
        <f t="shared" si="27"/>
        <v>0</v>
      </c>
      <c r="D101" s="9" t="str">
        <f t="shared" si="28"/>
        <v>мин/см</v>
      </c>
      <c r="E101" s="461">
        <f>Производительность!E101</f>
        <v>0</v>
      </c>
      <c r="F101" s="461">
        <f>Производительность!F101</f>
        <v>0</v>
      </c>
      <c r="G101" s="461">
        <f>Производительность!G101</f>
        <v>0</v>
      </c>
      <c r="H101" s="461">
        <f>Производительность!H101</f>
        <v>0</v>
      </c>
      <c r="I101" s="461">
        <f>Производительность!I101</f>
        <v>0</v>
      </c>
      <c r="J101" s="461">
        <f>Производительность!J101</f>
        <v>0</v>
      </c>
      <c r="K101" s="461">
        <f>Производительность!K101</f>
        <v>0</v>
      </c>
      <c r="L101" s="461">
        <f>Производительность!L101</f>
        <v>0</v>
      </c>
      <c r="M101" s="461">
        <f>Производительность!M101</f>
        <v>0</v>
      </c>
      <c r="N101" s="461">
        <f>Производительность!N101</f>
        <v>0</v>
      </c>
      <c r="O101" s="461">
        <f>Производительность!O101</f>
        <v>0</v>
      </c>
      <c r="P101" s="461">
        <f>Производительность!P101</f>
        <v>0</v>
      </c>
      <c r="Q101" s="461">
        <f>Производительность!Q101</f>
        <v>0</v>
      </c>
      <c r="R101" s="461">
        <f>Производительность!R101</f>
        <v>0</v>
      </c>
      <c r="S101" s="461">
        <f>Производительность!S101</f>
        <v>0</v>
      </c>
      <c r="T101" s="461">
        <f>Производительность!T101</f>
        <v>0</v>
      </c>
      <c r="U101" s="461">
        <f>Производительность!U101</f>
        <v>0</v>
      </c>
      <c r="V101" s="461">
        <f>Производительность!V101</f>
        <v>0</v>
      </c>
      <c r="W101" s="461">
        <f>Производительность!W101</f>
        <v>0</v>
      </c>
      <c r="X101" s="461">
        <f>Производительность!X101</f>
        <v>0</v>
      </c>
      <c r="Y101" s="179"/>
    </row>
    <row r="102" spans="1:25" x14ac:dyDescent="0.25">
      <c r="A102" s="139">
        <f t="shared" si="12"/>
        <v>0</v>
      </c>
      <c r="B102" s="30"/>
      <c r="C102" s="31">
        <f t="shared" si="27"/>
        <v>0</v>
      </c>
      <c r="D102" s="9" t="str">
        <f t="shared" si="28"/>
        <v>мин/см</v>
      </c>
      <c r="E102" s="461">
        <f>Производительность!E102</f>
        <v>0</v>
      </c>
      <c r="F102" s="461">
        <f>Производительность!F102</f>
        <v>0</v>
      </c>
      <c r="G102" s="461">
        <f>Производительность!G102</f>
        <v>0</v>
      </c>
      <c r="H102" s="461">
        <f>Производительность!H102</f>
        <v>0</v>
      </c>
      <c r="I102" s="461">
        <f>Производительность!I102</f>
        <v>0</v>
      </c>
      <c r="J102" s="461">
        <f>Производительность!J102</f>
        <v>0</v>
      </c>
      <c r="K102" s="461">
        <f>Производительность!K102</f>
        <v>0</v>
      </c>
      <c r="L102" s="461">
        <f>Производительность!L102</f>
        <v>0</v>
      </c>
      <c r="M102" s="461">
        <f>Производительность!M102</f>
        <v>0</v>
      </c>
      <c r="N102" s="461">
        <f>Производительность!N102</f>
        <v>0</v>
      </c>
      <c r="O102" s="461">
        <f>Производительность!O102</f>
        <v>0</v>
      </c>
      <c r="P102" s="461">
        <f>Производительность!P102</f>
        <v>0</v>
      </c>
      <c r="Q102" s="461">
        <f>Производительность!Q102</f>
        <v>0</v>
      </c>
      <c r="R102" s="461">
        <f>Производительность!R102</f>
        <v>0</v>
      </c>
      <c r="S102" s="461">
        <f>Производительность!S102</f>
        <v>0</v>
      </c>
      <c r="T102" s="461">
        <f>Производительность!T102</f>
        <v>0</v>
      </c>
      <c r="U102" s="461">
        <f>Производительность!U102</f>
        <v>0</v>
      </c>
      <c r="V102" s="461">
        <f>Производительность!V102</f>
        <v>0</v>
      </c>
      <c r="W102" s="461">
        <f>Производительность!W102</f>
        <v>0</v>
      </c>
      <c r="X102" s="461">
        <f>Производительность!X102</f>
        <v>0</v>
      </c>
      <c r="Y102" s="179"/>
    </row>
    <row r="103" spans="1:25" x14ac:dyDescent="0.25">
      <c r="A103" s="139">
        <f t="shared" si="12"/>
        <v>1</v>
      </c>
      <c r="B103" s="68">
        <f>B87+1</f>
        <v>6</v>
      </c>
      <c r="C103" s="98" t="s">
        <v>111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179"/>
    </row>
    <row r="104" spans="1:25" x14ac:dyDescent="0.25">
      <c r="A104" s="139">
        <f t="shared" ref="A104:A167" si="29">A88</f>
        <v>1</v>
      </c>
      <c r="B104" s="30"/>
      <c r="C104" s="31" t="str">
        <f>C88</f>
        <v>NHL NTE 240</v>
      </c>
      <c r="D104" s="9" t="s">
        <v>110</v>
      </c>
      <c r="E104" s="461">
        <f>Производительность!E104</f>
        <v>52.380163934426228</v>
      </c>
      <c r="F104" s="461">
        <f>Производительность!F104</f>
        <v>52.380163934426228</v>
      </c>
      <c r="G104" s="461">
        <f>Производительность!G104</f>
        <v>47.462131147540987</v>
      </c>
      <c r="H104" s="461">
        <f>Производительность!H104</f>
        <v>47.462131147540987</v>
      </c>
      <c r="I104" s="461">
        <f>Производительность!I104</f>
        <v>47.462131147540987</v>
      </c>
      <c r="J104" s="461">
        <f>Производительность!J104</f>
        <v>47.462131147540987</v>
      </c>
      <c r="K104" s="461">
        <f>Производительность!K104</f>
        <v>47.462131147540987</v>
      </c>
      <c r="L104" s="461">
        <f>Производительность!L104</f>
        <v>47.462131147540987</v>
      </c>
      <c r="M104" s="461">
        <f>Производительность!M104</f>
        <v>47.462131147540987</v>
      </c>
      <c r="N104" s="461">
        <f>Производительность!N104</f>
        <v>47.462131147540987</v>
      </c>
      <c r="O104" s="461">
        <f>Производительность!O104</f>
        <v>47.462131147540987</v>
      </c>
      <c r="P104" s="461">
        <f>Производительность!P104</f>
        <v>47.462131147540987</v>
      </c>
      <c r="Q104" s="461">
        <f>Производительность!Q104</f>
        <v>47.462131147540987</v>
      </c>
      <c r="R104" s="461">
        <f>Производительность!R104</f>
        <v>47.462131147540987</v>
      </c>
      <c r="S104" s="461">
        <f>Производительность!S104</f>
        <v>47.462131147540987</v>
      </c>
      <c r="T104" s="461">
        <f>Производительность!T104</f>
        <v>47.462131147540987</v>
      </c>
      <c r="U104" s="461">
        <f>Производительность!U104</f>
        <v>47.462131147540987</v>
      </c>
      <c r="V104" s="461">
        <f>Производительность!V104</f>
        <v>47.462131147540987</v>
      </c>
      <c r="W104" s="461">
        <f>Производительность!W104</f>
        <v>47.462131147540987</v>
      </c>
      <c r="X104" s="461">
        <f>Производительность!X104</f>
        <v>47.462131147540987</v>
      </c>
      <c r="Y104" s="179"/>
    </row>
    <row r="105" spans="1:25" x14ac:dyDescent="0.25">
      <c r="A105" s="139">
        <f t="shared" si="29"/>
        <v>1</v>
      </c>
      <c r="B105" s="30"/>
      <c r="C105" s="31" t="str">
        <f t="shared" ref="C105:C118" si="30">C89</f>
        <v>Estar ESDE240 (ГПБ К)</v>
      </c>
      <c r="D105" s="9" t="str">
        <f>D104</f>
        <v>мин/см</v>
      </c>
      <c r="E105" s="461">
        <f>Производительность!E105</f>
        <v>52.380163934426228</v>
      </c>
      <c r="F105" s="461">
        <f>Производительность!F105</f>
        <v>52.380163934426228</v>
      </c>
      <c r="G105" s="461">
        <f>Производительность!G105</f>
        <v>47.462131147540987</v>
      </c>
      <c r="H105" s="461">
        <f>Производительность!H105</f>
        <v>47.462131147540987</v>
      </c>
      <c r="I105" s="461">
        <f>Производительность!I105</f>
        <v>47.462131147540987</v>
      </c>
      <c r="J105" s="461">
        <f>Производительность!J105</f>
        <v>47.462131147540987</v>
      </c>
      <c r="K105" s="461">
        <f>Производительность!K105</f>
        <v>47.462131147540987</v>
      </c>
      <c r="L105" s="461">
        <f>Производительность!L105</f>
        <v>47.462131147540987</v>
      </c>
      <c r="M105" s="461">
        <f>Производительность!M105</f>
        <v>47.462131147540987</v>
      </c>
      <c r="N105" s="461">
        <f>Производительность!N105</f>
        <v>47.462131147540987</v>
      </c>
      <c r="O105" s="461">
        <f>Производительность!O105</f>
        <v>47.462131147540987</v>
      </c>
      <c r="P105" s="461">
        <f>Производительность!P105</f>
        <v>47.462131147540987</v>
      </c>
      <c r="Q105" s="461">
        <f>Производительность!Q105</f>
        <v>47.462131147540987</v>
      </c>
      <c r="R105" s="461">
        <f>Производительность!R105</f>
        <v>47.462131147540987</v>
      </c>
      <c r="S105" s="461">
        <f>Производительность!S105</f>
        <v>47.462131147540987</v>
      </c>
      <c r="T105" s="461">
        <f>Производительность!T105</f>
        <v>47.462131147540987</v>
      </c>
      <c r="U105" s="461">
        <f>Производительность!U105</f>
        <v>47.462131147540987</v>
      </c>
      <c r="V105" s="461">
        <f>Производительность!V105</f>
        <v>47.462131147540987</v>
      </c>
      <c r="W105" s="461">
        <f>Производительность!W105</f>
        <v>47.462131147540987</v>
      </c>
      <c r="X105" s="461">
        <f>Производительность!X105</f>
        <v>47.462131147540987</v>
      </c>
      <c r="Y105" s="179"/>
    </row>
    <row r="106" spans="1:25" x14ac:dyDescent="0.25">
      <c r="A106" s="139">
        <f t="shared" si="29"/>
        <v>1</v>
      </c>
      <c r="B106" s="30"/>
      <c r="C106" s="31" t="str">
        <f t="shared" si="30"/>
        <v>SANY SET240S</v>
      </c>
      <c r="D106" s="9" t="str">
        <f t="shared" ref="D106:D118" si="31">D105</f>
        <v>мин/см</v>
      </c>
      <c r="E106" s="461">
        <f>Производительность!E106</f>
        <v>52.380163934426228</v>
      </c>
      <c r="F106" s="461">
        <f>Производительность!F106</f>
        <v>52.380163934426228</v>
      </c>
      <c r="G106" s="461">
        <f>Производительность!G106</f>
        <v>47.462131147540987</v>
      </c>
      <c r="H106" s="461">
        <f>Производительность!H106</f>
        <v>47.462131147540987</v>
      </c>
      <c r="I106" s="461">
        <f>Производительность!I106</f>
        <v>47.462131147540987</v>
      </c>
      <c r="J106" s="461">
        <f>Производительность!J106</f>
        <v>47.462131147540987</v>
      </c>
      <c r="K106" s="461">
        <f>Производительность!K106</f>
        <v>47.462131147540987</v>
      </c>
      <c r="L106" s="461">
        <f>Производительность!L106</f>
        <v>47.462131147540987</v>
      </c>
      <c r="M106" s="461">
        <f>Производительность!M106</f>
        <v>47.462131147540987</v>
      </c>
      <c r="N106" s="461">
        <f>Производительность!N106</f>
        <v>47.462131147540987</v>
      </c>
      <c r="O106" s="461">
        <f>Производительность!O106</f>
        <v>47.462131147540987</v>
      </c>
      <c r="P106" s="461">
        <f>Производительность!P106</f>
        <v>47.462131147540987</v>
      </c>
      <c r="Q106" s="461">
        <f>Производительность!Q106</f>
        <v>47.462131147540987</v>
      </c>
      <c r="R106" s="461">
        <f>Производительность!R106</f>
        <v>47.462131147540987</v>
      </c>
      <c r="S106" s="461">
        <f>Производительность!S106</f>
        <v>47.462131147540987</v>
      </c>
      <c r="T106" s="461">
        <f>Производительность!T106</f>
        <v>47.462131147540987</v>
      </c>
      <c r="U106" s="461">
        <f>Производительность!U106</f>
        <v>47.462131147540987</v>
      </c>
      <c r="V106" s="461">
        <f>Производительность!V106</f>
        <v>47.462131147540987</v>
      </c>
      <c r="W106" s="461">
        <f>Производительность!W106</f>
        <v>47.462131147540987</v>
      </c>
      <c r="X106" s="461">
        <f>Производительность!X106</f>
        <v>47.462131147540987</v>
      </c>
      <c r="Y106" s="179"/>
    </row>
    <row r="107" spans="1:25" x14ac:dyDescent="0.25">
      <c r="A107" s="139">
        <f t="shared" si="29"/>
        <v>1</v>
      </c>
      <c r="B107" s="30"/>
      <c r="C107" s="31" t="str">
        <f t="shared" si="30"/>
        <v>TZCO TZE240</v>
      </c>
      <c r="D107" s="9" t="str">
        <f t="shared" si="31"/>
        <v>мин/см</v>
      </c>
      <c r="E107" s="461">
        <f>Производительность!E107</f>
        <v>52.380163934426228</v>
      </c>
      <c r="F107" s="461">
        <f>Производительность!F107</f>
        <v>52.380163934426228</v>
      </c>
      <c r="G107" s="461">
        <f>Производительность!G107</f>
        <v>47.462131147540987</v>
      </c>
      <c r="H107" s="461">
        <f>Производительность!H107</f>
        <v>47.462131147540987</v>
      </c>
      <c r="I107" s="461">
        <f>Производительность!I107</f>
        <v>47.462131147540987</v>
      </c>
      <c r="J107" s="461">
        <f>Производительность!J107</f>
        <v>47.462131147540987</v>
      </c>
      <c r="K107" s="461">
        <f>Производительность!K107</f>
        <v>47.462131147540987</v>
      </c>
      <c r="L107" s="461">
        <f>Производительность!L107</f>
        <v>47.462131147540987</v>
      </c>
      <c r="M107" s="461">
        <f>Производительность!M107</f>
        <v>47.462131147540987</v>
      </c>
      <c r="N107" s="461">
        <f>Производительность!N107</f>
        <v>47.462131147540987</v>
      </c>
      <c r="O107" s="461">
        <f>Производительность!O107</f>
        <v>47.462131147540987</v>
      </c>
      <c r="P107" s="461">
        <f>Производительность!P107</f>
        <v>47.462131147540987</v>
      </c>
      <c r="Q107" s="461">
        <f>Производительность!Q107</f>
        <v>47.462131147540987</v>
      </c>
      <c r="R107" s="461">
        <f>Производительность!R107</f>
        <v>47.462131147540987</v>
      </c>
      <c r="S107" s="461">
        <f>Производительность!S107</f>
        <v>47.462131147540987</v>
      </c>
      <c r="T107" s="461">
        <f>Производительность!T107</f>
        <v>47.462131147540987</v>
      </c>
      <c r="U107" s="461">
        <f>Производительность!U107</f>
        <v>47.462131147540987</v>
      </c>
      <c r="V107" s="461">
        <f>Производительность!V107</f>
        <v>47.462131147540987</v>
      </c>
      <c r="W107" s="461">
        <f>Производительность!W107</f>
        <v>47.462131147540987</v>
      </c>
      <c r="X107" s="461">
        <f>Производительность!X107</f>
        <v>47.462131147540987</v>
      </c>
      <c r="Y107" s="179"/>
    </row>
    <row r="108" spans="1:25" x14ac:dyDescent="0.25">
      <c r="A108" s="139">
        <f t="shared" si="29"/>
        <v>1</v>
      </c>
      <c r="B108" s="30"/>
      <c r="C108" s="31" t="str">
        <f t="shared" si="30"/>
        <v>БелАЗ 7531 (ГПФК)</v>
      </c>
      <c r="D108" s="9" t="str">
        <f t="shared" si="31"/>
        <v>мин/см</v>
      </c>
      <c r="E108" s="461">
        <f>Производительность!E108</f>
        <v>52.380163934426228</v>
      </c>
      <c r="F108" s="461">
        <f>Производительность!F108</f>
        <v>52.380163934426228</v>
      </c>
      <c r="G108" s="461">
        <f>Производительность!G108</f>
        <v>47.462131147540987</v>
      </c>
      <c r="H108" s="461">
        <f>Производительность!H108</f>
        <v>47.462131147540987</v>
      </c>
      <c r="I108" s="461">
        <f>Производительность!I108</f>
        <v>47.462131147540987</v>
      </c>
      <c r="J108" s="461">
        <f>Производительность!J108</f>
        <v>47.462131147540987</v>
      </c>
      <c r="K108" s="461">
        <f>Производительность!K108</f>
        <v>47.462131147540987</v>
      </c>
      <c r="L108" s="461">
        <f>Производительность!L108</f>
        <v>47.462131147540987</v>
      </c>
      <c r="M108" s="461">
        <f>Производительность!M108</f>
        <v>47.462131147540987</v>
      </c>
      <c r="N108" s="461">
        <f>Производительность!N108</f>
        <v>47.462131147540987</v>
      </c>
      <c r="O108" s="461">
        <f>Производительность!O108</f>
        <v>47.462131147540987</v>
      </c>
      <c r="P108" s="461">
        <f>Производительность!P108</f>
        <v>47.462131147540987</v>
      </c>
      <c r="Q108" s="461">
        <f>Производительность!Q108</f>
        <v>47.462131147540987</v>
      </c>
      <c r="R108" s="461">
        <f>Производительность!R108</f>
        <v>47.462131147540987</v>
      </c>
      <c r="S108" s="461">
        <f>Производительность!S108</f>
        <v>47.462131147540987</v>
      </c>
      <c r="T108" s="461">
        <f>Производительность!T108</f>
        <v>47.462131147540987</v>
      </c>
      <c r="U108" s="461">
        <f>Производительность!U108</f>
        <v>47.462131147540987</v>
      </c>
      <c r="V108" s="461">
        <f>Производительность!V108</f>
        <v>47.462131147540987</v>
      </c>
      <c r="W108" s="461">
        <f>Производительность!W108</f>
        <v>47.462131147540987</v>
      </c>
      <c r="X108" s="461">
        <f>Производительность!X108</f>
        <v>47.462131147540987</v>
      </c>
      <c r="Y108" s="179"/>
    </row>
    <row r="109" spans="1:25" x14ac:dyDescent="0.25">
      <c r="A109" s="139">
        <f t="shared" si="29"/>
        <v>1</v>
      </c>
      <c r="B109" s="30"/>
      <c r="C109" s="31" t="str">
        <f t="shared" si="30"/>
        <v>XCMG 240</v>
      </c>
      <c r="D109" s="9" t="str">
        <f t="shared" si="31"/>
        <v>мин/см</v>
      </c>
      <c r="E109" s="461">
        <f>Производительность!E109</f>
        <v>52.380163934426228</v>
      </c>
      <c r="F109" s="461">
        <f>Производительность!F109</f>
        <v>52.380163934426228</v>
      </c>
      <c r="G109" s="461">
        <f>Производительность!G109</f>
        <v>47.462131147540987</v>
      </c>
      <c r="H109" s="461">
        <f>Производительность!H109</f>
        <v>47.462131147540987</v>
      </c>
      <c r="I109" s="461">
        <f>Производительность!I109</f>
        <v>47.462131147540987</v>
      </c>
      <c r="J109" s="461">
        <f>Производительность!J109</f>
        <v>47.462131147540987</v>
      </c>
      <c r="K109" s="461">
        <f>Производительность!K109</f>
        <v>47.462131147540987</v>
      </c>
      <c r="L109" s="461">
        <f>Производительность!L109</f>
        <v>47.462131147540987</v>
      </c>
      <c r="M109" s="461">
        <f>Производительность!M109</f>
        <v>47.462131147540987</v>
      </c>
      <c r="N109" s="461">
        <f>Производительность!N109</f>
        <v>47.462131147540987</v>
      </c>
      <c r="O109" s="461">
        <f>Производительность!O109</f>
        <v>47.462131147540987</v>
      </c>
      <c r="P109" s="461">
        <f>Производительность!P109</f>
        <v>47.462131147540987</v>
      </c>
      <c r="Q109" s="461">
        <f>Производительность!Q109</f>
        <v>47.462131147540987</v>
      </c>
      <c r="R109" s="461">
        <f>Производительность!R109</f>
        <v>47.462131147540987</v>
      </c>
      <c r="S109" s="461">
        <f>Производительность!S109</f>
        <v>47.462131147540987</v>
      </c>
      <c r="T109" s="461">
        <f>Производительность!T109</f>
        <v>47.462131147540987</v>
      </c>
      <c r="U109" s="461">
        <f>Производительность!U109</f>
        <v>47.462131147540987</v>
      </c>
      <c r="V109" s="461">
        <f>Производительность!V109</f>
        <v>47.462131147540987</v>
      </c>
      <c r="W109" s="461">
        <f>Производительность!W109</f>
        <v>47.462131147540987</v>
      </c>
      <c r="X109" s="461">
        <f>Производительность!X109</f>
        <v>47.462131147540987</v>
      </c>
      <c r="Y109" s="179"/>
    </row>
    <row r="110" spans="1:25" x14ac:dyDescent="0.25">
      <c r="A110" s="139">
        <f t="shared" si="29"/>
        <v>1</v>
      </c>
      <c r="B110" s="30"/>
      <c r="C110" s="31" t="str">
        <f t="shared" si="30"/>
        <v>БелАЗ 7531 (БТЛ)</v>
      </c>
      <c r="D110" s="9" t="str">
        <f t="shared" si="31"/>
        <v>мин/см</v>
      </c>
      <c r="E110" s="461">
        <f>Производительность!E110</f>
        <v>52.380163934426228</v>
      </c>
      <c r="F110" s="461">
        <f>Производительность!F110</f>
        <v>52.380163934426228</v>
      </c>
      <c r="G110" s="461">
        <f>Производительность!G110</f>
        <v>47.462131147540987</v>
      </c>
      <c r="H110" s="461">
        <f>Производительность!H110</f>
        <v>47.462131147540987</v>
      </c>
      <c r="I110" s="461">
        <f>Производительность!I110</f>
        <v>47.462131147540987</v>
      </c>
      <c r="J110" s="461">
        <f>Производительность!J110</f>
        <v>47.462131147540987</v>
      </c>
      <c r="K110" s="461">
        <f>Производительность!K110</f>
        <v>47.462131147540987</v>
      </c>
      <c r="L110" s="461">
        <f>Производительность!L110</f>
        <v>47.462131147540987</v>
      </c>
      <c r="M110" s="461">
        <f>Производительность!M110</f>
        <v>47.462131147540987</v>
      </c>
      <c r="N110" s="461">
        <f>Производительность!N110</f>
        <v>47.462131147540987</v>
      </c>
      <c r="O110" s="461">
        <f>Производительность!O110</f>
        <v>47.462131147540987</v>
      </c>
      <c r="P110" s="461">
        <f>Производительность!P110</f>
        <v>47.462131147540987</v>
      </c>
      <c r="Q110" s="461">
        <f>Производительность!Q110</f>
        <v>47.462131147540987</v>
      </c>
      <c r="R110" s="461">
        <f>Производительность!R110</f>
        <v>47.462131147540987</v>
      </c>
      <c r="S110" s="461">
        <f>Производительность!S110</f>
        <v>47.462131147540987</v>
      </c>
      <c r="T110" s="461">
        <f>Производительность!T110</f>
        <v>47.462131147540987</v>
      </c>
      <c r="U110" s="461">
        <f>Производительность!U110</f>
        <v>47.462131147540987</v>
      </c>
      <c r="V110" s="461">
        <f>Производительность!V110</f>
        <v>47.462131147540987</v>
      </c>
      <c r="W110" s="461">
        <f>Производительность!W110</f>
        <v>47.462131147540987</v>
      </c>
      <c r="X110" s="461">
        <f>Производительность!X110</f>
        <v>47.462131147540987</v>
      </c>
      <c r="Y110" s="179"/>
    </row>
    <row r="111" spans="1:25" x14ac:dyDescent="0.25">
      <c r="A111" s="139">
        <f t="shared" si="29"/>
        <v>0</v>
      </c>
      <c r="B111" s="30"/>
      <c r="C111" s="31">
        <f t="shared" si="30"/>
        <v>0</v>
      </c>
      <c r="D111" s="9" t="str">
        <f t="shared" si="31"/>
        <v>мин/см</v>
      </c>
      <c r="E111" s="461">
        <f>Производительность!E111</f>
        <v>0</v>
      </c>
      <c r="F111" s="461">
        <f>Производительность!F111</f>
        <v>0</v>
      </c>
      <c r="G111" s="461">
        <f>Производительность!G111</f>
        <v>0</v>
      </c>
      <c r="H111" s="461">
        <f>Производительность!H111</f>
        <v>0</v>
      </c>
      <c r="I111" s="461">
        <f>Производительность!I111</f>
        <v>0</v>
      </c>
      <c r="J111" s="461">
        <f>Производительность!J111</f>
        <v>0</v>
      </c>
      <c r="K111" s="461">
        <f>Производительность!K111</f>
        <v>0</v>
      </c>
      <c r="L111" s="461">
        <f>Производительность!L111</f>
        <v>0</v>
      </c>
      <c r="M111" s="461">
        <f>Производительность!M111</f>
        <v>0</v>
      </c>
      <c r="N111" s="461">
        <f>Производительность!N111</f>
        <v>0</v>
      </c>
      <c r="O111" s="461">
        <f>Производительность!O111</f>
        <v>0</v>
      </c>
      <c r="P111" s="461">
        <f>Производительность!P111</f>
        <v>0</v>
      </c>
      <c r="Q111" s="461">
        <f>Производительность!Q111</f>
        <v>0</v>
      </c>
      <c r="R111" s="461">
        <f>Производительность!R111</f>
        <v>0</v>
      </c>
      <c r="S111" s="461">
        <f>Производительность!S111</f>
        <v>0</v>
      </c>
      <c r="T111" s="461">
        <f>Производительность!T111</f>
        <v>0</v>
      </c>
      <c r="U111" s="461">
        <f>Производительность!U111</f>
        <v>0</v>
      </c>
      <c r="V111" s="461">
        <f>Производительность!V111</f>
        <v>0</v>
      </c>
      <c r="W111" s="461">
        <f>Производительность!W111</f>
        <v>0</v>
      </c>
      <c r="X111" s="461">
        <f>Производительность!X111</f>
        <v>0</v>
      </c>
      <c r="Y111" s="179"/>
    </row>
    <row r="112" spans="1:25" x14ac:dyDescent="0.25">
      <c r="A112" s="139">
        <f t="shared" si="29"/>
        <v>0</v>
      </c>
      <c r="B112" s="30"/>
      <c r="C112" s="31">
        <f t="shared" si="30"/>
        <v>0</v>
      </c>
      <c r="D112" s="9" t="str">
        <f t="shared" si="31"/>
        <v>мин/см</v>
      </c>
      <c r="E112" s="461">
        <f>Производительность!E112</f>
        <v>0</v>
      </c>
      <c r="F112" s="461">
        <f>Производительность!F112</f>
        <v>0</v>
      </c>
      <c r="G112" s="461">
        <f>Производительность!G112</f>
        <v>0</v>
      </c>
      <c r="H112" s="461">
        <f>Производительность!H112</f>
        <v>0</v>
      </c>
      <c r="I112" s="461">
        <f>Производительность!I112</f>
        <v>0</v>
      </c>
      <c r="J112" s="461">
        <f>Производительность!J112</f>
        <v>0</v>
      </c>
      <c r="K112" s="461">
        <f>Производительность!K112</f>
        <v>0</v>
      </c>
      <c r="L112" s="461">
        <f>Производительность!L112</f>
        <v>0</v>
      </c>
      <c r="M112" s="461">
        <f>Производительность!M112</f>
        <v>0</v>
      </c>
      <c r="N112" s="461">
        <f>Производительность!N112</f>
        <v>0</v>
      </c>
      <c r="O112" s="461">
        <f>Производительность!O112</f>
        <v>0</v>
      </c>
      <c r="P112" s="461">
        <f>Производительность!P112</f>
        <v>0</v>
      </c>
      <c r="Q112" s="461">
        <f>Производительность!Q112</f>
        <v>0</v>
      </c>
      <c r="R112" s="461">
        <f>Производительность!R112</f>
        <v>0</v>
      </c>
      <c r="S112" s="461">
        <f>Производительность!S112</f>
        <v>0</v>
      </c>
      <c r="T112" s="461">
        <f>Производительность!T112</f>
        <v>0</v>
      </c>
      <c r="U112" s="461">
        <f>Производительность!U112</f>
        <v>0</v>
      </c>
      <c r="V112" s="461">
        <f>Производительность!V112</f>
        <v>0</v>
      </c>
      <c r="W112" s="461">
        <f>Производительность!W112</f>
        <v>0</v>
      </c>
      <c r="X112" s="461">
        <f>Производительность!X112</f>
        <v>0</v>
      </c>
      <c r="Y112" s="179"/>
    </row>
    <row r="113" spans="1:26" x14ac:dyDescent="0.25">
      <c r="A113" s="139">
        <f t="shared" si="29"/>
        <v>0</v>
      </c>
      <c r="B113" s="30"/>
      <c r="C113" s="31">
        <f t="shared" si="30"/>
        <v>0</v>
      </c>
      <c r="D113" s="9" t="str">
        <f t="shared" si="31"/>
        <v>мин/см</v>
      </c>
      <c r="E113" s="461">
        <f>Производительность!E113</f>
        <v>0</v>
      </c>
      <c r="F113" s="461">
        <f>Производительность!F113</f>
        <v>0</v>
      </c>
      <c r="G113" s="461">
        <f>Производительность!G113</f>
        <v>0</v>
      </c>
      <c r="H113" s="461">
        <f>Производительность!H113</f>
        <v>0</v>
      </c>
      <c r="I113" s="461">
        <f>Производительность!I113</f>
        <v>0</v>
      </c>
      <c r="J113" s="461">
        <f>Производительность!J113</f>
        <v>0</v>
      </c>
      <c r="K113" s="461">
        <f>Производительность!K113</f>
        <v>0</v>
      </c>
      <c r="L113" s="461">
        <f>Производительность!L113</f>
        <v>0</v>
      </c>
      <c r="M113" s="461">
        <f>Производительность!M113</f>
        <v>0</v>
      </c>
      <c r="N113" s="461">
        <f>Производительность!N113</f>
        <v>0</v>
      </c>
      <c r="O113" s="461">
        <f>Производительность!O113</f>
        <v>0</v>
      </c>
      <c r="P113" s="461">
        <f>Производительность!P113</f>
        <v>0</v>
      </c>
      <c r="Q113" s="461">
        <f>Производительность!Q113</f>
        <v>0</v>
      </c>
      <c r="R113" s="461">
        <f>Производительность!R113</f>
        <v>0</v>
      </c>
      <c r="S113" s="461">
        <f>Производительность!S113</f>
        <v>0</v>
      </c>
      <c r="T113" s="461">
        <f>Производительность!T113</f>
        <v>0</v>
      </c>
      <c r="U113" s="461">
        <f>Производительность!U113</f>
        <v>0</v>
      </c>
      <c r="V113" s="461">
        <f>Производительность!V113</f>
        <v>0</v>
      </c>
      <c r="W113" s="461">
        <f>Производительность!W113</f>
        <v>0</v>
      </c>
      <c r="X113" s="461">
        <f>Производительность!X113</f>
        <v>0</v>
      </c>
      <c r="Y113" s="179"/>
    </row>
    <row r="114" spans="1:26" x14ac:dyDescent="0.25">
      <c r="A114" s="139">
        <f t="shared" si="29"/>
        <v>0</v>
      </c>
      <c r="B114" s="30"/>
      <c r="C114" s="31">
        <f t="shared" si="30"/>
        <v>0</v>
      </c>
      <c r="D114" s="9" t="str">
        <f t="shared" si="31"/>
        <v>мин/см</v>
      </c>
      <c r="E114" s="461">
        <f>Производительность!E114</f>
        <v>0</v>
      </c>
      <c r="F114" s="461">
        <f>Производительность!F114</f>
        <v>0</v>
      </c>
      <c r="G114" s="461">
        <f>Производительность!G114</f>
        <v>0</v>
      </c>
      <c r="H114" s="461">
        <f>Производительность!H114</f>
        <v>0</v>
      </c>
      <c r="I114" s="461">
        <f>Производительность!I114</f>
        <v>0</v>
      </c>
      <c r="J114" s="461">
        <f>Производительность!J114</f>
        <v>0</v>
      </c>
      <c r="K114" s="461">
        <f>Производительность!K114</f>
        <v>0</v>
      </c>
      <c r="L114" s="461">
        <f>Производительность!L114</f>
        <v>0</v>
      </c>
      <c r="M114" s="461">
        <f>Производительность!M114</f>
        <v>0</v>
      </c>
      <c r="N114" s="461">
        <f>Производительность!N114</f>
        <v>0</v>
      </c>
      <c r="O114" s="461">
        <f>Производительность!O114</f>
        <v>0</v>
      </c>
      <c r="P114" s="461">
        <f>Производительность!P114</f>
        <v>0</v>
      </c>
      <c r="Q114" s="461">
        <f>Производительность!Q114</f>
        <v>0</v>
      </c>
      <c r="R114" s="461">
        <f>Производительность!R114</f>
        <v>0</v>
      </c>
      <c r="S114" s="461">
        <f>Производительность!S114</f>
        <v>0</v>
      </c>
      <c r="T114" s="461">
        <f>Производительность!T114</f>
        <v>0</v>
      </c>
      <c r="U114" s="461">
        <f>Производительность!U114</f>
        <v>0</v>
      </c>
      <c r="V114" s="461">
        <f>Производительность!V114</f>
        <v>0</v>
      </c>
      <c r="W114" s="461">
        <f>Производительность!W114</f>
        <v>0</v>
      </c>
      <c r="X114" s="461">
        <f>Производительность!X114</f>
        <v>0</v>
      </c>
      <c r="Y114" s="179"/>
    </row>
    <row r="115" spans="1:26" x14ac:dyDescent="0.25">
      <c r="A115" s="139">
        <f t="shared" si="29"/>
        <v>0</v>
      </c>
      <c r="B115" s="30"/>
      <c r="C115" s="31">
        <f t="shared" si="30"/>
        <v>0</v>
      </c>
      <c r="D115" s="9" t="str">
        <f t="shared" si="31"/>
        <v>мин/см</v>
      </c>
      <c r="E115" s="461">
        <f>Производительность!E115</f>
        <v>0</v>
      </c>
      <c r="F115" s="461">
        <f>Производительность!F115</f>
        <v>0</v>
      </c>
      <c r="G115" s="461">
        <f>Производительность!G115</f>
        <v>0</v>
      </c>
      <c r="H115" s="461">
        <f>Производительность!H115</f>
        <v>0</v>
      </c>
      <c r="I115" s="461">
        <f>Производительность!I115</f>
        <v>0</v>
      </c>
      <c r="J115" s="461">
        <f>Производительность!J115</f>
        <v>0</v>
      </c>
      <c r="K115" s="461">
        <f>Производительность!K115</f>
        <v>0</v>
      </c>
      <c r="L115" s="461">
        <f>Производительность!L115</f>
        <v>0</v>
      </c>
      <c r="M115" s="461">
        <f>Производительность!M115</f>
        <v>0</v>
      </c>
      <c r="N115" s="461">
        <f>Производительность!N115</f>
        <v>0</v>
      </c>
      <c r="O115" s="461">
        <f>Производительность!O115</f>
        <v>0</v>
      </c>
      <c r="P115" s="461">
        <f>Производительность!P115</f>
        <v>0</v>
      </c>
      <c r="Q115" s="461">
        <f>Производительность!Q115</f>
        <v>0</v>
      </c>
      <c r="R115" s="461">
        <f>Производительность!R115</f>
        <v>0</v>
      </c>
      <c r="S115" s="461">
        <f>Производительность!S115</f>
        <v>0</v>
      </c>
      <c r="T115" s="461">
        <f>Производительность!T115</f>
        <v>0</v>
      </c>
      <c r="U115" s="461">
        <f>Производительность!U115</f>
        <v>0</v>
      </c>
      <c r="V115" s="461">
        <f>Производительность!V115</f>
        <v>0</v>
      </c>
      <c r="W115" s="461">
        <f>Производительность!W115</f>
        <v>0</v>
      </c>
      <c r="X115" s="461">
        <f>Производительность!X115</f>
        <v>0</v>
      </c>
      <c r="Y115" s="179"/>
    </row>
    <row r="116" spans="1:26" x14ac:dyDescent="0.25">
      <c r="A116" s="139">
        <f t="shared" si="29"/>
        <v>0</v>
      </c>
      <c r="B116" s="30"/>
      <c r="C116" s="31">
        <f t="shared" si="30"/>
        <v>0</v>
      </c>
      <c r="D116" s="9" t="str">
        <f t="shared" si="31"/>
        <v>мин/см</v>
      </c>
      <c r="E116" s="461">
        <f>Производительность!E116</f>
        <v>0</v>
      </c>
      <c r="F116" s="461">
        <f>Производительность!F116</f>
        <v>0</v>
      </c>
      <c r="G116" s="461">
        <f>Производительность!G116</f>
        <v>0</v>
      </c>
      <c r="H116" s="461">
        <f>Производительность!H116</f>
        <v>0</v>
      </c>
      <c r="I116" s="461">
        <f>Производительность!I116</f>
        <v>0</v>
      </c>
      <c r="J116" s="461">
        <f>Производительность!J116</f>
        <v>0</v>
      </c>
      <c r="K116" s="461">
        <f>Производительность!K116</f>
        <v>0</v>
      </c>
      <c r="L116" s="461">
        <f>Производительность!L116</f>
        <v>0</v>
      </c>
      <c r="M116" s="461">
        <f>Производительность!M116</f>
        <v>0</v>
      </c>
      <c r="N116" s="461">
        <f>Производительность!N116</f>
        <v>0</v>
      </c>
      <c r="O116" s="461">
        <f>Производительность!O116</f>
        <v>0</v>
      </c>
      <c r="P116" s="461">
        <f>Производительность!P116</f>
        <v>0</v>
      </c>
      <c r="Q116" s="461">
        <f>Производительность!Q116</f>
        <v>0</v>
      </c>
      <c r="R116" s="461">
        <f>Производительность!R116</f>
        <v>0</v>
      </c>
      <c r="S116" s="461">
        <f>Производительность!S116</f>
        <v>0</v>
      </c>
      <c r="T116" s="461">
        <f>Производительность!T116</f>
        <v>0</v>
      </c>
      <c r="U116" s="461">
        <f>Производительность!U116</f>
        <v>0</v>
      </c>
      <c r="V116" s="461">
        <f>Производительность!V116</f>
        <v>0</v>
      </c>
      <c r="W116" s="461">
        <f>Производительность!W116</f>
        <v>0</v>
      </c>
      <c r="X116" s="461">
        <f>Производительность!X116</f>
        <v>0</v>
      </c>
      <c r="Y116" s="179"/>
    </row>
    <row r="117" spans="1:26" x14ac:dyDescent="0.25">
      <c r="A117" s="139">
        <f t="shared" si="29"/>
        <v>0</v>
      </c>
      <c r="B117" s="30"/>
      <c r="C117" s="31">
        <f t="shared" si="30"/>
        <v>0</v>
      </c>
      <c r="D117" s="9" t="str">
        <f t="shared" si="31"/>
        <v>мин/см</v>
      </c>
      <c r="E117" s="461">
        <f>Производительность!E117</f>
        <v>0</v>
      </c>
      <c r="F117" s="461">
        <f>Производительность!F117</f>
        <v>0</v>
      </c>
      <c r="G117" s="461">
        <f>Производительность!G117</f>
        <v>0</v>
      </c>
      <c r="H117" s="461">
        <f>Производительность!H117</f>
        <v>0</v>
      </c>
      <c r="I117" s="461">
        <f>Производительность!I117</f>
        <v>0</v>
      </c>
      <c r="J117" s="461">
        <f>Производительность!J117</f>
        <v>0</v>
      </c>
      <c r="K117" s="461">
        <f>Производительность!K117</f>
        <v>0</v>
      </c>
      <c r="L117" s="461">
        <f>Производительность!L117</f>
        <v>0</v>
      </c>
      <c r="M117" s="461">
        <f>Производительность!M117</f>
        <v>0</v>
      </c>
      <c r="N117" s="461">
        <f>Производительность!N117</f>
        <v>0</v>
      </c>
      <c r="O117" s="461">
        <f>Производительность!O117</f>
        <v>0</v>
      </c>
      <c r="P117" s="461">
        <f>Производительность!P117</f>
        <v>0</v>
      </c>
      <c r="Q117" s="461">
        <f>Производительность!Q117</f>
        <v>0</v>
      </c>
      <c r="R117" s="461">
        <f>Производительность!R117</f>
        <v>0</v>
      </c>
      <c r="S117" s="461">
        <f>Производительность!S117</f>
        <v>0</v>
      </c>
      <c r="T117" s="461">
        <f>Производительность!T117</f>
        <v>0</v>
      </c>
      <c r="U117" s="461">
        <f>Производительность!U117</f>
        <v>0</v>
      </c>
      <c r="V117" s="461">
        <f>Производительность!V117</f>
        <v>0</v>
      </c>
      <c r="W117" s="461">
        <f>Производительность!W117</f>
        <v>0</v>
      </c>
      <c r="X117" s="461">
        <f>Производительность!X117</f>
        <v>0</v>
      </c>
      <c r="Y117" s="179"/>
    </row>
    <row r="118" spans="1:26" x14ac:dyDescent="0.25">
      <c r="A118" s="139">
        <f t="shared" si="29"/>
        <v>0</v>
      </c>
      <c r="B118" s="30"/>
      <c r="C118" s="31">
        <f t="shared" si="30"/>
        <v>0</v>
      </c>
      <c r="D118" s="9" t="str">
        <f t="shared" si="31"/>
        <v>мин/см</v>
      </c>
      <c r="E118" s="461">
        <f>Производительность!E118</f>
        <v>0</v>
      </c>
      <c r="F118" s="461">
        <f>Производительность!F118</f>
        <v>0</v>
      </c>
      <c r="G118" s="461">
        <f>Производительность!G118</f>
        <v>0</v>
      </c>
      <c r="H118" s="461">
        <f>Производительность!H118</f>
        <v>0</v>
      </c>
      <c r="I118" s="461">
        <f>Производительность!I118</f>
        <v>0</v>
      </c>
      <c r="J118" s="461">
        <f>Производительность!J118</f>
        <v>0</v>
      </c>
      <c r="K118" s="461">
        <f>Производительность!K118</f>
        <v>0</v>
      </c>
      <c r="L118" s="461">
        <f>Производительность!L118</f>
        <v>0</v>
      </c>
      <c r="M118" s="461">
        <f>Производительность!M118</f>
        <v>0</v>
      </c>
      <c r="N118" s="461">
        <f>Производительность!N118</f>
        <v>0</v>
      </c>
      <c r="O118" s="461">
        <f>Производительность!O118</f>
        <v>0</v>
      </c>
      <c r="P118" s="461">
        <f>Производительность!P118</f>
        <v>0</v>
      </c>
      <c r="Q118" s="461">
        <f>Производительность!Q118</f>
        <v>0</v>
      </c>
      <c r="R118" s="461">
        <f>Производительность!R118</f>
        <v>0</v>
      </c>
      <c r="S118" s="461">
        <f>Производительность!S118</f>
        <v>0</v>
      </c>
      <c r="T118" s="461">
        <f>Производительность!T118</f>
        <v>0</v>
      </c>
      <c r="U118" s="461">
        <f>Производительность!U118</f>
        <v>0</v>
      </c>
      <c r="V118" s="461">
        <f>Производительность!V118</f>
        <v>0</v>
      </c>
      <c r="W118" s="461">
        <f>Производительность!W118</f>
        <v>0</v>
      </c>
      <c r="X118" s="461">
        <f>Производительность!X118</f>
        <v>0</v>
      </c>
      <c r="Y118" s="179"/>
    </row>
    <row r="119" spans="1:26" x14ac:dyDescent="0.25">
      <c r="A119" s="139">
        <f t="shared" si="29"/>
        <v>1</v>
      </c>
      <c r="B119" s="68">
        <f>B103+1</f>
        <v>7</v>
      </c>
      <c r="C119" s="98" t="s">
        <v>52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179"/>
    </row>
    <row r="120" spans="1:26" x14ac:dyDescent="0.25">
      <c r="A120" s="139">
        <f t="shared" si="29"/>
        <v>1</v>
      </c>
      <c r="B120" s="30"/>
      <c r="C120" s="31" t="str">
        <f>C104</f>
        <v>NHL NTE 240</v>
      </c>
      <c r="D120" s="9" t="s">
        <v>17</v>
      </c>
      <c r="E120" s="142">
        <f>(E72-(E88+E104)/60*(E72/12))/E$6</f>
        <v>0.8042356353910648</v>
      </c>
      <c r="F120" s="142">
        <f t="shared" ref="F120:X134" si="32">(F72-(F88+F104)/60*(F72/12))/F$6</f>
        <v>0.79808552806511524</v>
      </c>
      <c r="G120" s="142">
        <f t="shared" si="32"/>
        <v>0.79624551907764185</v>
      </c>
      <c r="H120" s="142">
        <f t="shared" si="32"/>
        <v>0.78544031170816475</v>
      </c>
      <c r="I120" s="142">
        <f t="shared" si="32"/>
        <v>0.80699314985367565</v>
      </c>
      <c r="J120" s="142">
        <f t="shared" si="32"/>
        <v>0.79695563039677264</v>
      </c>
      <c r="K120" s="142">
        <f t="shared" si="32"/>
        <v>0.8052082754569414</v>
      </c>
      <c r="L120" s="142">
        <f t="shared" si="32"/>
        <v>0.78780095203932943</v>
      </c>
      <c r="M120" s="142">
        <f t="shared" si="32"/>
        <v>0.79292526885575987</v>
      </c>
      <c r="N120" s="142">
        <f t="shared" si="32"/>
        <v>0.80603353996295846</v>
      </c>
      <c r="O120" s="142">
        <f t="shared" si="32"/>
        <v>0.79081412709618171</v>
      </c>
      <c r="P120" s="142">
        <f t="shared" si="32"/>
        <v>0.78966259522732096</v>
      </c>
      <c r="Q120" s="142">
        <f t="shared" si="32"/>
        <v>0.80737699380996264</v>
      </c>
      <c r="R120" s="142">
        <f t="shared" si="32"/>
        <v>0.80641738391924533</v>
      </c>
      <c r="S120" s="142">
        <f t="shared" si="32"/>
        <v>0.77686139928515208</v>
      </c>
      <c r="T120" s="142">
        <f t="shared" si="32"/>
        <v>0.80027588061865451</v>
      </c>
      <c r="U120" s="142">
        <f t="shared" si="32"/>
        <v>0.80776083776624963</v>
      </c>
      <c r="V120" s="142">
        <f t="shared" si="32"/>
        <v>0.78223521467316903</v>
      </c>
      <c r="W120" s="142">
        <f t="shared" si="32"/>
        <v>0.80795275974439307</v>
      </c>
      <c r="X120" s="142">
        <f t="shared" si="32"/>
        <v>0.79720512896835904</v>
      </c>
      <c r="Y120" s="179"/>
      <c r="Z120" s="146">
        <f>SUM(E120:X120)/Y56</f>
        <v>0.79732430659580567</v>
      </c>
    </row>
    <row r="121" spans="1:26" x14ac:dyDescent="0.25">
      <c r="A121" s="139">
        <f t="shared" si="29"/>
        <v>1</v>
      </c>
      <c r="B121" s="30"/>
      <c r="C121" s="31" t="str">
        <f t="shared" ref="C121:C134" si="33">C105</f>
        <v>Estar ESDE240 (ГПБ К)</v>
      </c>
      <c r="D121" s="9" t="str">
        <f>D120</f>
        <v>коэфф.</v>
      </c>
      <c r="E121" s="142">
        <f t="shared" ref="E121:T134" si="34">(E73-(E89+E105)/60*(E73/12))/E$6</f>
        <v>0.7819966188134716</v>
      </c>
      <c r="F121" s="142">
        <f t="shared" si="34"/>
        <v>0.76866821284392139</v>
      </c>
      <c r="G121" s="142">
        <f t="shared" si="34"/>
        <v>0.73381368343152964</v>
      </c>
      <c r="H121" s="142">
        <f t="shared" si="34"/>
        <v>0.69658081967169794</v>
      </c>
      <c r="I121" s="142">
        <f t="shared" si="34"/>
        <v>0.77690016752473712</v>
      </c>
      <c r="J121" s="142">
        <f t="shared" si="34"/>
        <v>0.71078304605431419</v>
      </c>
      <c r="K121" s="142">
        <f t="shared" si="34"/>
        <v>0.76903136642085512</v>
      </c>
      <c r="L121" s="142">
        <f t="shared" si="34"/>
        <v>0.70137886912528458</v>
      </c>
      <c r="M121" s="142">
        <f t="shared" si="34"/>
        <v>0.74024306969933573</v>
      </c>
      <c r="N121" s="142">
        <f t="shared" si="34"/>
        <v>0.7210508718849894</v>
      </c>
      <c r="O121" s="142">
        <f t="shared" si="34"/>
        <v>0</v>
      </c>
      <c r="P121" s="142">
        <f t="shared" si="34"/>
        <v>0</v>
      </c>
      <c r="Q121" s="142">
        <f t="shared" si="34"/>
        <v>0</v>
      </c>
      <c r="R121" s="142">
        <f t="shared" si="34"/>
        <v>0</v>
      </c>
      <c r="S121" s="142">
        <f t="shared" si="34"/>
        <v>0</v>
      </c>
      <c r="T121" s="142">
        <f t="shared" si="34"/>
        <v>0</v>
      </c>
      <c r="U121" s="142">
        <f t="shared" si="32"/>
        <v>0</v>
      </c>
      <c r="V121" s="142">
        <f t="shared" si="32"/>
        <v>0</v>
      </c>
      <c r="W121" s="142">
        <f t="shared" si="32"/>
        <v>0</v>
      </c>
      <c r="X121" s="142">
        <f t="shared" si="32"/>
        <v>0</v>
      </c>
      <c r="Y121" s="179"/>
      <c r="Z121" s="146">
        <f t="shared" ref="Z121:Z134" si="35">SUM(E121:X121)/Y57</f>
        <v>0.74004467254701367</v>
      </c>
    </row>
    <row r="122" spans="1:26" x14ac:dyDescent="0.25">
      <c r="A122" s="139">
        <f t="shared" si="29"/>
        <v>1</v>
      </c>
      <c r="B122" s="30"/>
      <c r="C122" s="31" t="str">
        <f t="shared" si="33"/>
        <v>SANY SET240S</v>
      </c>
      <c r="D122" s="9" t="str">
        <f t="shared" ref="D122:D134" si="36">D121</f>
        <v>коэфф.</v>
      </c>
      <c r="E122" s="142">
        <f t="shared" si="34"/>
        <v>0.80265564806627443</v>
      </c>
      <c r="F122" s="142">
        <f t="shared" si="32"/>
        <v>0.77428518393108892</v>
      </c>
      <c r="G122" s="142">
        <f t="shared" si="32"/>
        <v>0.74859167574857644</v>
      </c>
      <c r="H122" s="142">
        <f t="shared" si="32"/>
        <v>0.78121841203296505</v>
      </c>
      <c r="I122" s="142">
        <f t="shared" si="32"/>
        <v>0.73515713727853393</v>
      </c>
      <c r="J122" s="142">
        <f t="shared" si="32"/>
        <v>0.78121841203296505</v>
      </c>
      <c r="K122" s="142">
        <f t="shared" si="32"/>
        <v>0.74859167574857644</v>
      </c>
      <c r="L122" s="142">
        <f t="shared" si="32"/>
        <v>0.78121841203296505</v>
      </c>
      <c r="M122" s="142">
        <f t="shared" si="32"/>
        <v>0.73515713727853393</v>
      </c>
      <c r="N122" s="142">
        <f t="shared" si="32"/>
        <v>0.76490504389077063</v>
      </c>
      <c r="O122" s="142">
        <f t="shared" si="32"/>
        <v>0.74667245596714182</v>
      </c>
      <c r="P122" s="142">
        <f t="shared" si="32"/>
        <v>0.75338972520216296</v>
      </c>
      <c r="Q122" s="142">
        <f t="shared" si="32"/>
        <v>0</v>
      </c>
      <c r="R122" s="142">
        <f t="shared" si="32"/>
        <v>0</v>
      </c>
      <c r="S122" s="142">
        <f t="shared" si="32"/>
        <v>0</v>
      </c>
      <c r="T122" s="142">
        <f t="shared" si="32"/>
        <v>0</v>
      </c>
      <c r="U122" s="142">
        <f t="shared" si="32"/>
        <v>0</v>
      </c>
      <c r="V122" s="142">
        <f t="shared" si="32"/>
        <v>0</v>
      </c>
      <c r="W122" s="142">
        <f t="shared" si="32"/>
        <v>0</v>
      </c>
      <c r="X122" s="142">
        <f t="shared" si="32"/>
        <v>0</v>
      </c>
      <c r="Y122" s="179"/>
      <c r="Z122" s="146">
        <f t="shared" si="35"/>
        <v>0.7627550766008796</v>
      </c>
    </row>
    <row r="123" spans="1:26" x14ac:dyDescent="0.25">
      <c r="A123" s="139">
        <f t="shared" si="29"/>
        <v>1</v>
      </c>
      <c r="B123" s="30"/>
      <c r="C123" s="31" t="str">
        <f t="shared" si="33"/>
        <v>TZCO TZE240</v>
      </c>
      <c r="D123" s="9" t="str">
        <f t="shared" si="36"/>
        <v>коэфф.</v>
      </c>
      <c r="E123" s="142">
        <f t="shared" si="34"/>
        <v>0.7802829666173865</v>
      </c>
      <c r="F123" s="142">
        <f t="shared" si="32"/>
        <v>0.75810069096806354</v>
      </c>
      <c r="G123" s="142">
        <f t="shared" si="32"/>
        <v>0.66923193778625445</v>
      </c>
      <c r="H123" s="142">
        <f t="shared" si="32"/>
        <v>0.76413735597819687</v>
      </c>
      <c r="I123" s="142">
        <f t="shared" si="32"/>
        <v>0.78649626643191017</v>
      </c>
      <c r="J123" s="142">
        <f t="shared" si="32"/>
        <v>0.64687302733254115</v>
      </c>
      <c r="K123" s="142">
        <f t="shared" si="32"/>
        <v>0.78649626643191017</v>
      </c>
      <c r="L123" s="142">
        <f t="shared" si="32"/>
        <v>0.76413735597819687</v>
      </c>
      <c r="M123" s="142">
        <f t="shared" si="32"/>
        <v>0</v>
      </c>
      <c r="N123" s="142">
        <f t="shared" si="32"/>
        <v>0</v>
      </c>
      <c r="O123" s="142">
        <f t="shared" si="32"/>
        <v>0</v>
      </c>
      <c r="P123" s="142">
        <f t="shared" si="32"/>
        <v>0</v>
      </c>
      <c r="Q123" s="142">
        <f t="shared" si="32"/>
        <v>0</v>
      </c>
      <c r="R123" s="142">
        <f t="shared" si="32"/>
        <v>0</v>
      </c>
      <c r="S123" s="142">
        <f t="shared" si="32"/>
        <v>0</v>
      </c>
      <c r="T123" s="142">
        <f t="shared" si="32"/>
        <v>0</v>
      </c>
      <c r="U123" s="142">
        <f t="shared" si="32"/>
        <v>0</v>
      </c>
      <c r="V123" s="142">
        <f t="shared" si="32"/>
        <v>0</v>
      </c>
      <c r="W123" s="142">
        <f t="shared" si="32"/>
        <v>0</v>
      </c>
      <c r="X123" s="142">
        <f t="shared" si="32"/>
        <v>0</v>
      </c>
      <c r="Y123" s="179"/>
      <c r="Z123" s="146">
        <f t="shared" si="35"/>
        <v>0.74446948344055741</v>
      </c>
    </row>
    <row r="124" spans="1:26" x14ac:dyDescent="0.25">
      <c r="A124" s="139">
        <f t="shared" si="29"/>
        <v>1</v>
      </c>
      <c r="B124" s="30"/>
      <c r="C124" s="31" t="str">
        <f t="shared" si="33"/>
        <v>БелАЗ 7531 (ГПФК)</v>
      </c>
      <c r="D124" s="9" t="str">
        <f t="shared" si="36"/>
        <v>коэфф.</v>
      </c>
      <c r="E124" s="142">
        <f t="shared" si="34"/>
        <v>0.77914814805197918</v>
      </c>
      <c r="F124" s="142">
        <f t="shared" si="32"/>
        <v>0.75982195939613117</v>
      </c>
      <c r="G124" s="142">
        <f t="shared" si="32"/>
        <v>0.74763974273698475</v>
      </c>
      <c r="H124" s="142">
        <f t="shared" si="32"/>
        <v>0.75621225776072609</v>
      </c>
      <c r="I124" s="142">
        <f t="shared" si="32"/>
        <v>0.76200190410138724</v>
      </c>
      <c r="J124" s="142">
        <f t="shared" si="32"/>
        <v>0.73119842660936152</v>
      </c>
      <c r="K124" s="142">
        <f t="shared" si="32"/>
        <v>0.77569233854228758</v>
      </c>
      <c r="L124" s="142">
        <f t="shared" si="32"/>
        <v>0.73893927972781437</v>
      </c>
      <c r="M124" s="142">
        <f t="shared" si="32"/>
        <v>0.72819164895178057</v>
      </c>
      <c r="N124" s="142">
        <f t="shared" si="32"/>
        <v>0.74476091306483283</v>
      </c>
      <c r="O124" s="142">
        <f t="shared" si="32"/>
        <v>0</v>
      </c>
      <c r="P124" s="142">
        <f t="shared" si="32"/>
        <v>0</v>
      </c>
      <c r="Q124" s="142">
        <f t="shared" si="32"/>
        <v>0</v>
      </c>
      <c r="R124" s="142">
        <f t="shared" si="32"/>
        <v>0</v>
      </c>
      <c r="S124" s="142">
        <f t="shared" si="32"/>
        <v>0</v>
      </c>
      <c r="T124" s="142">
        <f t="shared" si="32"/>
        <v>0</v>
      </c>
      <c r="U124" s="142">
        <f t="shared" si="32"/>
        <v>0</v>
      </c>
      <c r="V124" s="142">
        <f t="shared" si="32"/>
        <v>0</v>
      </c>
      <c r="W124" s="142">
        <f t="shared" si="32"/>
        <v>0</v>
      </c>
      <c r="X124" s="142">
        <f t="shared" si="32"/>
        <v>0</v>
      </c>
      <c r="Y124" s="179"/>
      <c r="Z124" s="146">
        <f t="shared" si="35"/>
        <v>0.7523606618943286</v>
      </c>
    </row>
    <row r="125" spans="1:26" x14ac:dyDescent="0.25">
      <c r="A125" s="139">
        <f t="shared" si="29"/>
        <v>1</v>
      </c>
      <c r="B125" s="30"/>
      <c r="C125" s="31" t="str">
        <f t="shared" si="33"/>
        <v>XCMG 240</v>
      </c>
      <c r="D125" s="9" t="str">
        <f t="shared" si="36"/>
        <v>коэфф.</v>
      </c>
      <c r="E125" s="142">
        <f t="shared" si="34"/>
        <v>0</v>
      </c>
      <c r="F125" s="142">
        <f t="shared" si="32"/>
        <v>0</v>
      </c>
      <c r="G125" s="142">
        <f t="shared" si="32"/>
        <v>0</v>
      </c>
      <c r="H125" s="142">
        <f t="shared" si="32"/>
        <v>0</v>
      </c>
      <c r="I125" s="142">
        <f t="shared" si="32"/>
        <v>0</v>
      </c>
      <c r="J125" s="142">
        <f t="shared" si="32"/>
        <v>0</v>
      </c>
      <c r="K125" s="142">
        <f t="shared" si="32"/>
        <v>0</v>
      </c>
      <c r="L125" s="142">
        <f t="shared" si="32"/>
        <v>0</v>
      </c>
      <c r="M125" s="142">
        <f t="shared" si="32"/>
        <v>0</v>
      </c>
      <c r="N125" s="142">
        <f t="shared" si="32"/>
        <v>0</v>
      </c>
      <c r="O125" s="142">
        <f t="shared" si="32"/>
        <v>0</v>
      </c>
      <c r="P125" s="142">
        <f t="shared" si="32"/>
        <v>0</v>
      </c>
      <c r="Q125" s="142">
        <f t="shared" si="32"/>
        <v>0</v>
      </c>
      <c r="R125" s="142">
        <f t="shared" si="32"/>
        <v>0</v>
      </c>
      <c r="S125" s="142">
        <f t="shared" si="32"/>
        <v>0</v>
      </c>
      <c r="T125" s="142">
        <f t="shared" si="32"/>
        <v>0</v>
      </c>
      <c r="U125" s="142">
        <f t="shared" si="32"/>
        <v>0</v>
      </c>
      <c r="V125" s="142">
        <f t="shared" si="32"/>
        <v>0</v>
      </c>
      <c r="W125" s="142">
        <f t="shared" si="32"/>
        <v>0</v>
      </c>
      <c r="X125" s="142">
        <f t="shared" si="32"/>
        <v>0</v>
      </c>
      <c r="Y125" s="179"/>
      <c r="Z125" s="146" t="e">
        <f t="shared" si="35"/>
        <v>#DIV/0!</v>
      </c>
    </row>
    <row r="126" spans="1:26" x14ac:dyDescent="0.25">
      <c r="A126" s="139">
        <f t="shared" si="29"/>
        <v>1</v>
      </c>
      <c r="B126" s="30"/>
      <c r="C126" s="31" t="str">
        <f t="shared" si="33"/>
        <v>БелАЗ 7531 (БТЛ)</v>
      </c>
      <c r="D126" s="9" t="str">
        <f t="shared" si="36"/>
        <v>коэфф.</v>
      </c>
      <c r="E126" s="142">
        <f t="shared" si="34"/>
        <v>0.7973818358313729</v>
      </c>
      <c r="F126" s="142">
        <f t="shared" si="32"/>
        <v>0.77881917443178073</v>
      </c>
      <c r="G126" s="142">
        <f t="shared" si="32"/>
        <v>0.77766380908227173</v>
      </c>
      <c r="H126" s="142">
        <f t="shared" si="32"/>
        <v>0.76131845394372011</v>
      </c>
      <c r="I126" s="142">
        <f t="shared" si="32"/>
        <v>0.77916719791106226</v>
      </c>
      <c r="J126" s="142">
        <f t="shared" si="32"/>
        <v>0.75245805595276372</v>
      </c>
      <c r="K126" s="142">
        <f t="shared" si="32"/>
        <v>0.73545011303252628</v>
      </c>
      <c r="L126" s="142">
        <f t="shared" si="32"/>
        <v>0.77101051383996499</v>
      </c>
      <c r="M126" s="142">
        <f t="shared" si="32"/>
        <v>0.74164645118401518</v>
      </c>
      <c r="N126" s="142">
        <f t="shared" si="32"/>
        <v>0.73691237572314316</v>
      </c>
      <c r="O126" s="142">
        <f t="shared" si="32"/>
        <v>0</v>
      </c>
      <c r="P126" s="142">
        <f t="shared" si="32"/>
        <v>0</v>
      </c>
      <c r="Q126" s="142">
        <f t="shared" si="32"/>
        <v>0</v>
      </c>
      <c r="R126" s="142">
        <f t="shared" si="32"/>
        <v>0</v>
      </c>
      <c r="S126" s="142">
        <f t="shared" si="32"/>
        <v>0</v>
      </c>
      <c r="T126" s="142">
        <f t="shared" si="32"/>
        <v>0</v>
      </c>
      <c r="U126" s="142">
        <f t="shared" si="32"/>
        <v>0</v>
      </c>
      <c r="V126" s="142">
        <f t="shared" si="32"/>
        <v>0</v>
      </c>
      <c r="W126" s="142">
        <f t="shared" si="32"/>
        <v>0</v>
      </c>
      <c r="X126" s="142">
        <f t="shared" si="32"/>
        <v>0</v>
      </c>
      <c r="Y126" s="179"/>
      <c r="Z126" s="146">
        <f t="shared" si="35"/>
        <v>0.76318279809326217</v>
      </c>
    </row>
    <row r="127" spans="1:26" x14ac:dyDescent="0.25">
      <c r="A127" s="139">
        <f t="shared" si="29"/>
        <v>0</v>
      </c>
      <c r="B127" s="30"/>
      <c r="C127" s="31">
        <f t="shared" si="33"/>
        <v>0</v>
      </c>
      <c r="D127" s="9" t="str">
        <f t="shared" si="36"/>
        <v>коэфф.</v>
      </c>
      <c r="E127" s="142">
        <f t="shared" si="34"/>
        <v>0</v>
      </c>
      <c r="F127" s="142">
        <f t="shared" si="32"/>
        <v>0</v>
      </c>
      <c r="G127" s="142">
        <f t="shared" si="32"/>
        <v>0</v>
      </c>
      <c r="H127" s="142">
        <f t="shared" si="32"/>
        <v>0</v>
      </c>
      <c r="I127" s="142">
        <f t="shared" si="32"/>
        <v>0</v>
      </c>
      <c r="J127" s="142">
        <f t="shared" si="32"/>
        <v>0</v>
      </c>
      <c r="K127" s="142">
        <f t="shared" si="32"/>
        <v>0</v>
      </c>
      <c r="L127" s="142">
        <f t="shared" si="32"/>
        <v>0</v>
      </c>
      <c r="M127" s="142">
        <f t="shared" si="32"/>
        <v>0</v>
      </c>
      <c r="N127" s="142">
        <f t="shared" si="32"/>
        <v>0</v>
      </c>
      <c r="O127" s="142">
        <f t="shared" si="32"/>
        <v>0</v>
      </c>
      <c r="P127" s="142">
        <f t="shared" si="32"/>
        <v>0</v>
      </c>
      <c r="Q127" s="142">
        <f t="shared" si="32"/>
        <v>0</v>
      </c>
      <c r="R127" s="142">
        <f t="shared" si="32"/>
        <v>0</v>
      </c>
      <c r="S127" s="142">
        <f t="shared" si="32"/>
        <v>0</v>
      </c>
      <c r="T127" s="142">
        <f t="shared" si="32"/>
        <v>0</v>
      </c>
      <c r="U127" s="142">
        <f t="shared" si="32"/>
        <v>0</v>
      </c>
      <c r="V127" s="142">
        <f t="shared" si="32"/>
        <v>0</v>
      </c>
      <c r="W127" s="142">
        <f t="shared" si="32"/>
        <v>0</v>
      </c>
      <c r="X127" s="142">
        <f t="shared" si="32"/>
        <v>0</v>
      </c>
      <c r="Y127" s="179"/>
      <c r="Z127" s="146" t="e">
        <f t="shared" si="35"/>
        <v>#DIV/0!</v>
      </c>
    </row>
    <row r="128" spans="1:26" x14ac:dyDescent="0.25">
      <c r="A128" s="139">
        <f t="shared" si="29"/>
        <v>0</v>
      </c>
      <c r="B128" s="30"/>
      <c r="C128" s="31">
        <f t="shared" si="33"/>
        <v>0</v>
      </c>
      <c r="D128" s="9" t="str">
        <f t="shared" si="36"/>
        <v>коэфф.</v>
      </c>
      <c r="E128" s="142">
        <f t="shared" si="34"/>
        <v>0</v>
      </c>
      <c r="F128" s="142">
        <f t="shared" si="32"/>
        <v>0</v>
      </c>
      <c r="G128" s="142">
        <f t="shared" si="32"/>
        <v>0</v>
      </c>
      <c r="H128" s="142">
        <f t="shared" si="32"/>
        <v>0</v>
      </c>
      <c r="I128" s="142">
        <f t="shared" si="32"/>
        <v>0</v>
      </c>
      <c r="J128" s="142">
        <f t="shared" si="32"/>
        <v>0</v>
      </c>
      <c r="K128" s="142">
        <f t="shared" si="32"/>
        <v>0</v>
      </c>
      <c r="L128" s="142">
        <f t="shared" si="32"/>
        <v>0</v>
      </c>
      <c r="M128" s="142">
        <f t="shared" si="32"/>
        <v>0</v>
      </c>
      <c r="N128" s="142">
        <f t="shared" si="32"/>
        <v>0</v>
      </c>
      <c r="O128" s="142">
        <f t="shared" si="32"/>
        <v>0</v>
      </c>
      <c r="P128" s="142">
        <f t="shared" si="32"/>
        <v>0</v>
      </c>
      <c r="Q128" s="142">
        <f t="shared" si="32"/>
        <v>0</v>
      </c>
      <c r="R128" s="142">
        <f t="shared" si="32"/>
        <v>0</v>
      </c>
      <c r="S128" s="142">
        <f t="shared" si="32"/>
        <v>0</v>
      </c>
      <c r="T128" s="142">
        <f t="shared" si="32"/>
        <v>0</v>
      </c>
      <c r="U128" s="142">
        <f t="shared" si="32"/>
        <v>0</v>
      </c>
      <c r="V128" s="142">
        <f t="shared" si="32"/>
        <v>0</v>
      </c>
      <c r="W128" s="142">
        <f t="shared" si="32"/>
        <v>0</v>
      </c>
      <c r="X128" s="142">
        <f t="shared" si="32"/>
        <v>0</v>
      </c>
      <c r="Y128" s="179"/>
      <c r="Z128" s="146" t="e">
        <f t="shared" si="35"/>
        <v>#DIV/0!</v>
      </c>
    </row>
    <row r="129" spans="1:26" x14ac:dyDescent="0.25">
      <c r="A129" s="139">
        <f t="shared" si="29"/>
        <v>0</v>
      </c>
      <c r="B129" s="30"/>
      <c r="C129" s="31">
        <f t="shared" si="33"/>
        <v>0</v>
      </c>
      <c r="D129" s="9" t="str">
        <f t="shared" si="36"/>
        <v>коэфф.</v>
      </c>
      <c r="E129" s="142">
        <f t="shared" si="34"/>
        <v>0</v>
      </c>
      <c r="F129" s="142">
        <f t="shared" si="32"/>
        <v>0</v>
      </c>
      <c r="G129" s="142">
        <f t="shared" si="32"/>
        <v>0</v>
      </c>
      <c r="H129" s="142">
        <f t="shared" si="32"/>
        <v>0</v>
      </c>
      <c r="I129" s="142">
        <f t="shared" si="32"/>
        <v>0</v>
      </c>
      <c r="J129" s="142">
        <f t="shared" si="32"/>
        <v>0</v>
      </c>
      <c r="K129" s="142">
        <f t="shared" si="32"/>
        <v>0</v>
      </c>
      <c r="L129" s="142">
        <f t="shared" si="32"/>
        <v>0</v>
      </c>
      <c r="M129" s="142">
        <f t="shared" si="32"/>
        <v>0</v>
      </c>
      <c r="N129" s="142">
        <f t="shared" si="32"/>
        <v>0</v>
      </c>
      <c r="O129" s="142">
        <f t="shared" si="32"/>
        <v>0</v>
      </c>
      <c r="P129" s="142">
        <f t="shared" si="32"/>
        <v>0</v>
      </c>
      <c r="Q129" s="142">
        <f t="shared" si="32"/>
        <v>0</v>
      </c>
      <c r="R129" s="142">
        <f t="shared" si="32"/>
        <v>0</v>
      </c>
      <c r="S129" s="142">
        <f t="shared" si="32"/>
        <v>0</v>
      </c>
      <c r="T129" s="142">
        <f t="shared" si="32"/>
        <v>0</v>
      </c>
      <c r="U129" s="142">
        <f t="shared" si="32"/>
        <v>0</v>
      </c>
      <c r="V129" s="142">
        <f t="shared" si="32"/>
        <v>0</v>
      </c>
      <c r="W129" s="142">
        <f t="shared" si="32"/>
        <v>0</v>
      </c>
      <c r="X129" s="142">
        <f t="shared" si="32"/>
        <v>0</v>
      </c>
      <c r="Y129" s="179"/>
      <c r="Z129" s="146" t="e">
        <f t="shared" si="35"/>
        <v>#DIV/0!</v>
      </c>
    </row>
    <row r="130" spans="1:26" x14ac:dyDescent="0.25">
      <c r="A130" s="139">
        <f t="shared" si="29"/>
        <v>0</v>
      </c>
      <c r="B130" s="30"/>
      <c r="C130" s="31">
        <f t="shared" si="33"/>
        <v>0</v>
      </c>
      <c r="D130" s="9" t="str">
        <f t="shared" si="36"/>
        <v>коэфф.</v>
      </c>
      <c r="E130" s="142">
        <f t="shared" si="34"/>
        <v>0</v>
      </c>
      <c r="F130" s="142">
        <f t="shared" si="32"/>
        <v>0</v>
      </c>
      <c r="G130" s="142">
        <f t="shared" si="32"/>
        <v>0</v>
      </c>
      <c r="H130" s="142">
        <f t="shared" si="32"/>
        <v>0</v>
      </c>
      <c r="I130" s="142">
        <f t="shared" si="32"/>
        <v>0</v>
      </c>
      <c r="J130" s="142">
        <f t="shared" si="32"/>
        <v>0</v>
      </c>
      <c r="K130" s="142">
        <f t="shared" si="32"/>
        <v>0</v>
      </c>
      <c r="L130" s="142">
        <f t="shared" si="32"/>
        <v>0</v>
      </c>
      <c r="M130" s="142">
        <f t="shared" si="32"/>
        <v>0</v>
      </c>
      <c r="N130" s="142">
        <f t="shared" si="32"/>
        <v>0</v>
      </c>
      <c r="O130" s="142">
        <f t="shared" si="32"/>
        <v>0</v>
      </c>
      <c r="P130" s="142">
        <f t="shared" si="32"/>
        <v>0</v>
      </c>
      <c r="Q130" s="142">
        <f t="shared" si="32"/>
        <v>0</v>
      </c>
      <c r="R130" s="142">
        <f t="shared" si="32"/>
        <v>0</v>
      </c>
      <c r="S130" s="142">
        <f t="shared" si="32"/>
        <v>0</v>
      </c>
      <c r="T130" s="142">
        <f t="shared" si="32"/>
        <v>0</v>
      </c>
      <c r="U130" s="142">
        <f t="shared" si="32"/>
        <v>0</v>
      </c>
      <c r="V130" s="142">
        <f t="shared" si="32"/>
        <v>0</v>
      </c>
      <c r="W130" s="142">
        <f t="shared" si="32"/>
        <v>0</v>
      </c>
      <c r="X130" s="142">
        <f t="shared" si="32"/>
        <v>0</v>
      </c>
      <c r="Y130" s="179"/>
      <c r="Z130" s="146" t="e">
        <f t="shared" si="35"/>
        <v>#DIV/0!</v>
      </c>
    </row>
    <row r="131" spans="1:26" x14ac:dyDescent="0.25">
      <c r="A131" s="139">
        <f t="shared" si="29"/>
        <v>0</v>
      </c>
      <c r="B131" s="30"/>
      <c r="C131" s="31">
        <f t="shared" si="33"/>
        <v>0</v>
      </c>
      <c r="D131" s="9" t="str">
        <f t="shared" si="36"/>
        <v>коэфф.</v>
      </c>
      <c r="E131" s="142">
        <f t="shared" si="34"/>
        <v>0</v>
      </c>
      <c r="F131" s="142">
        <f t="shared" si="32"/>
        <v>0</v>
      </c>
      <c r="G131" s="142">
        <f t="shared" si="32"/>
        <v>0</v>
      </c>
      <c r="H131" s="142">
        <f t="shared" si="32"/>
        <v>0</v>
      </c>
      <c r="I131" s="142">
        <f t="shared" si="32"/>
        <v>0</v>
      </c>
      <c r="J131" s="142">
        <f t="shared" si="32"/>
        <v>0</v>
      </c>
      <c r="K131" s="142">
        <f t="shared" si="32"/>
        <v>0</v>
      </c>
      <c r="L131" s="142">
        <f t="shared" si="32"/>
        <v>0</v>
      </c>
      <c r="M131" s="142">
        <f t="shared" si="32"/>
        <v>0</v>
      </c>
      <c r="N131" s="142">
        <f t="shared" si="32"/>
        <v>0</v>
      </c>
      <c r="O131" s="142">
        <f t="shared" si="32"/>
        <v>0</v>
      </c>
      <c r="P131" s="142">
        <f t="shared" si="32"/>
        <v>0</v>
      </c>
      <c r="Q131" s="142">
        <f t="shared" si="32"/>
        <v>0</v>
      </c>
      <c r="R131" s="142">
        <f t="shared" si="32"/>
        <v>0</v>
      </c>
      <c r="S131" s="142">
        <f t="shared" si="32"/>
        <v>0</v>
      </c>
      <c r="T131" s="142">
        <f t="shared" si="32"/>
        <v>0</v>
      </c>
      <c r="U131" s="142">
        <f t="shared" si="32"/>
        <v>0</v>
      </c>
      <c r="V131" s="142">
        <f t="shared" si="32"/>
        <v>0</v>
      </c>
      <c r="W131" s="142">
        <f t="shared" si="32"/>
        <v>0</v>
      </c>
      <c r="X131" s="142">
        <f t="shared" si="32"/>
        <v>0</v>
      </c>
      <c r="Y131" s="179"/>
      <c r="Z131" s="146" t="e">
        <f t="shared" si="35"/>
        <v>#DIV/0!</v>
      </c>
    </row>
    <row r="132" spans="1:26" x14ac:dyDescent="0.25">
      <c r="A132" s="139">
        <f t="shared" si="29"/>
        <v>0</v>
      </c>
      <c r="B132" s="30"/>
      <c r="C132" s="31">
        <f t="shared" si="33"/>
        <v>0</v>
      </c>
      <c r="D132" s="9" t="str">
        <f t="shared" si="36"/>
        <v>коэфф.</v>
      </c>
      <c r="E132" s="142">
        <f t="shared" si="34"/>
        <v>0</v>
      </c>
      <c r="F132" s="142">
        <f t="shared" si="32"/>
        <v>0</v>
      </c>
      <c r="G132" s="142">
        <f t="shared" si="32"/>
        <v>0</v>
      </c>
      <c r="H132" s="142">
        <f t="shared" si="32"/>
        <v>0</v>
      </c>
      <c r="I132" s="142">
        <f t="shared" si="32"/>
        <v>0</v>
      </c>
      <c r="J132" s="142">
        <f t="shared" si="32"/>
        <v>0</v>
      </c>
      <c r="K132" s="142">
        <f t="shared" si="32"/>
        <v>0</v>
      </c>
      <c r="L132" s="142">
        <f t="shared" si="32"/>
        <v>0</v>
      </c>
      <c r="M132" s="142">
        <f t="shared" si="32"/>
        <v>0</v>
      </c>
      <c r="N132" s="142">
        <f t="shared" si="32"/>
        <v>0</v>
      </c>
      <c r="O132" s="142">
        <f t="shared" si="32"/>
        <v>0</v>
      </c>
      <c r="P132" s="142">
        <f t="shared" si="32"/>
        <v>0</v>
      </c>
      <c r="Q132" s="142">
        <f t="shared" si="32"/>
        <v>0</v>
      </c>
      <c r="R132" s="142">
        <f t="shared" si="32"/>
        <v>0</v>
      </c>
      <c r="S132" s="142">
        <f t="shared" si="32"/>
        <v>0</v>
      </c>
      <c r="T132" s="142">
        <f t="shared" si="32"/>
        <v>0</v>
      </c>
      <c r="U132" s="142">
        <f t="shared" si="32"/>
        <v>0</v>
      </c>
      <c r="V132" s="142">
        <f t="shared" si="32"/>
        <v>0</v>
      </c>
      <c r="W132" s="142">
        <f t="shared" si="32"/>
        <v>0</v>
      </c>
      <c r="X132" s="142">
        <f t="shared" si="32"/>
        <v>0</v>
      </c>
      <c r="Y132" s="179"/>
      <c r="Z132" s="146" t="e">
        <f t="shared" si="35"/>
        <v>#DIV/0!</v>
      </c>
    </row>
    <row r="133" spans="1:26" x14ac:dyDescent="0.25">
      <c r="A133" s="139">
        <f t="shared" si="29"/>
        <v>0</v>
      </c>
      <c r="B133" s="30"/>
      <c r="C133" s="31">
        <f t="shared" si="33"/>
        <v>0</v>
      </c>
      <c r="D133" s="9" t="str">
        <f t="shared" si="36"/>
        <v>коэфф.</v>
      </c>
      <c r="E133" s="142">
        <f t="shared" si="34"/>
        <v>0</v>
      </c>
      <c r="F133" s="142">
        <f t="shared" si="32"/>
        <v>0</v>
      </c>
      <c r="G133" s="142">
        <f t="shared" si="32"/>
        <v>0</v>
      </c>
      <c r="H133" s="142">
        <f t="shared" si="32"/>
        <v>0</v>
      </c>
      <c r="I133" s="142">
        <f t="shared" si="32"/>
        <v>0</v>
      </c>
      <c r="J133" s="142">
        <f t="shared" si="32"/>
        <v>0</v>
      </c>
      <c r="K133" s="142">
        <f t="shared" si="32"/>
        <v>0</v>
      </c>
      <c r="L133" s="142">
        <f t="shared" si="32"/>
        <v>0</v>
      </c>
      <c r="M133" s="142">
        <f t="shared" si="32"/>
        <v>0</v>
      </c>
      <c r="N133" s="142">
        <f t="shared" si="32"/>
        <v>0</v>
      </c>
      <c r="O133" s="142">
        <f t="shared" si="32"/>
        <v>0</v>
      </c>
      <c r="P133" s="142">
        <f t="shared" si="32"/>
        <v>0</v>
      </c>
      <c r="Q133" s="142">
        <f t="shared" si="32"/>
        <v>0</v>
      </c>
      <c r="R133" s="142">
        <f t="shared" si="32"/>
        <v>0</v>
      </c>
      <c r="S133" s="142">
        <f t="shared" si="32"/>
        <v>0</v>
      </c>
      <c r="T133" s="142">
        <f t="shared" si="32"/>
        <v>0</v>
      </c>
      <c r="U133" s="142">
        <f t="shared" si="32"/>
        <v>0</v>
      </c>
      <c r="V133" s="142">
        <f t="shared" si="32"/>
        <v>0</v>
      </c>
      <c r="W133" s="142">
        <f t="shared" si="32"/>
        <v>0</v>
      </c>
      <c r="X133" s="142">
        <f t="shared" si="32"/>
        <v>0</v>
      </c>
      <c r="Y133" s="179"/>
      <c r="Z133" s="146" t="e">
        <f t="shared" si="35"/>
        <v>#DIV/0!</v>
      </c>
    </row>
    <row r="134" spans="1:26" x14ac:dyDescent="0.25">
      <c r="A134" s="139">
        <f t="shared" si="29"/>
        <v>0</v>
      </c>
      <c r="B134" s="30"/>
      <c r="C134" s="31">
        <f t="shared" si="33"/>
        <v>0</v>
      </c>
      <c r="D134" s="9" t="str">
        <f t="shared" si="36"/>
        <v>коэфф.</v>
      </c>
      <c r="E134" s="142">
        <f t="shared" si="34"/>
        <v>0</v>
      </c>
      <c r="F134" s="142">
        <f t="shared" si="32"/>
        <v>0</v>
      </c>
      <c r="G134" s="142">
        <f t="shared" si="32"/>
        <v>0</v>
      </c>
      <c r="H134" s="142">
        <f t="shared" si="32"/>
        <v>0</v>
      </c>
      <c r="I134" s="142">
        <f t="shared" si="32"/>
        <v>0</v>
      </c>
      <c r="J134" s="142">
        <f t="shared" ref="J134:X134" si="37">(J86-(J102+J118)/60*(J86/12))/J$6</f>
        <v>0</v>
      </c>
      <c r="K134" s="142">
        <f t="shared" si="37"/>
        <v>0</v>
      </c>
      <c r="L134" s="142">
        <f t="shared" si="37"/>
        <v>0</v>
      </c>
      <c r="M134" s="142">
        <f t="shared" si="37"/>
        <v>0</v>
      </c>
      <c r="N134" s="142">
        <f t="shared" si="37"/>
        <v>0</v>
      </c>
      <c r="O134" s="142">
        <f t="shared" si="37"/>
        <v>0</v>
      </c>
      <c r="P134" s="142">
        <f t="shared" si="37"/>
        <v>0</v>
      </c>
      <c r="Q134" s="142">
        <f t="shared" si="37"/>
        <v>0</v>
      </c>
      <c r="R134" s="142">
        <f t="shared" si="37"/>
        <v>0</v>
      </c>
      <c r="S134" s="142">
        <f t="shared" si="37"/>
        <v>0</v>
      </c>
      <c r="T134" s="142">
        <f t="shared" si="37"/>
        <v>0</v>
      </c>
      <c r="U134" s="142">
        <f t="shared" si="37"/>
        <v>0</v>
      </c>
      <c r="V134" s="142">
        <f t="shared" si="37"/>
        <v>0</v>
      </c>
      <c r="W134" s="142">
        <f t="shared" si="37"/>
        <v>0</v>
      </c>
      <c r="X134" s="142">
        <f t="shared" si="37"/>
        <v>0</v>
      </c>
      <c r="Y134" s="179"/>
      <c r="Z134" s="146" t="e">
        <f t="shared" si="35"/>
        <v>#DIV/0!</v>
      </c>
    </row>
    <row r="135" spans="1:26" outlineLevel="1" x14ac:dyDescent="0.25">
      <c r="A135" s="139">
        <f t="shared" si="29"/>
        <v>1</v>
      </c>
      <c r="B135" s="68" t="s">
        <v>45</v>
      </c>
      <c r="C135" s="98" t="s">
        <v>112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179"/>
    </row>
    <row r="136" spans="1:26" outlineLevel="1" x14ac:dyDescent="0.25">
      <c r="A136" s="139">
        <f t="shared" si="29"/>
        <v>1</v>
      </c>
      <c r="B136" s="30"/>
      <c r="C136" s="31" t="str">
        <f>C120</f>
        <v>NHL NTE 240</v>
      </c>
      <c r="D136" s="9" t="s">
        <v>104</v>
      </c>
      <c r="E136" s="74">
        <f>E$6*E120</f>
        <v>7045.1041660257279</v>
      </c>
      <c r="F136" s="74">
        <f t="shared" ref="F136:X150" si="38">F$6*F120</f>
        <v>6991.2292258504094</v>
      </c>
      <c r="G136" s="74">
        <f t="shared" si="38"/>
        <v>6975.1107471201431</v>
      </c>
      <c r="H136" s="74">
        <f t="shared" si="38"/>
        <v>6880.4571305635236</v>
      </c>
      <c r="I136" s="74">
        <f t="shared" si="38"/>
        <v>7069.2599927181991</v>
      </c>
      <c r="J136" s="74">
        <f t="shared" si="38"/>
        <v>6981.3313222757288</v>
      </c>
      <c r="K136" s="74">
        <f t="shared" si="38"/>
        <v>7053.624493002807</v>
      </c>
      <c r="L136" s="74">
        <f t="shared" si="38"/>
        <v>6901.1363398645262</v>
      </c>
      <c r="M136" s="74">
        <f t="shared" si="38"/>
        <v>6946.0253551764563</v>
      </c>
      <c r="N136" s="74">
        <f t="shared" si="38"/>
        <v>7060.8538100755159</v>
      </c>
      <c r="O136" s="74">
        <f t="shared" si="38"/>
        <v>6927.5317533625521</v>
      </c>
      <c r="P136" s="74">
        <f t="shared" si="38"/>
        <v>6917.444334191332</v>
      </c>
      <c r="Q136" s="74">
        <f t="shared" si="38"/>
        <v>7072.6224657752728</v>
      </c>
      <c r="R136" s="74">
        <f t="shared" si="38"/>
        <v>7064.2162831325895</v>
      </c>
      <c r="S136" s="74">
        <f t="shared" si="38"/>
        <v>6805.3058577379325</v>
      </c>
      <c r="T136" s="74">
        <f t="shared" si="38"/>
        <v>7010.4167142194137</v>
      </c>
      <c r="U136" s="74">
        <f t="shared" si="38"/>
        <v>7075.9849388323464</v>
      </c>
      <c r="V136" s="74">
        <f t="shared" si="38"/>
        <v>6852.3804805369609</v>
      </c>
      <c r="W136" s="74">
        <f t="shared" si="38"/>
        <v>7077.6661753608832</v>
      </c>
      <c r="X136" s="74">
        <f t="shared" si="38"/>
        <v>6983.5169297628254</v>
      </c>
      <c r="Y136" s="179"/>
    </row>
    <row r="137" spans="1:26" outlineLevel="1" x14ac:dyDescent="0.25">
      <c r="A137" s="139">
        <f t="shared" si="29"/>
        <v>1</v>
      </c>
      <c r="B137" s="30"/>
      <c r="C137" s="31" t="str">
        <f t="shared" ref="C137:C150" si="39">C121</f>
        <v>Estar ESDE240 (ГПБ К)</v>
      </c>
      <c r="D137" s="9" t="str">
        <f>D136</f>
        <v>час.</v>
      </c>
      <c r="E137" s="74">
        <f t="shared" ref="E137:T150" si="40">E$6*E121</f>
        <v>6850.2903808060109</v>
      </c>
      <c r="F137" s="74">
        <f t="shared" si="40"/>
        <v>6733.5335445127512</v>
      </c>
      <c r="G137" s="74">
        <f t="shared" si="40"/>
        <v>6428.2078668601998</v>
      </c>
      <c r="H137" s="74">
        <f t="shared" si="40"/>
        <v>6102.0479803240742</v>
      </c>
      <c r="I137" s="74">
        <f t="shared" si="40"/>
        <v>6805.645467516697</v>
      </c>
      <c r="J137" s="74">
        <f t="shared" si="40"/>
        <v>6226.4594834357922</v>
      </c>
      <c r="K137" s="74">
        <f t="shared" si="40"/>
        <v>6736.7147698466906</v>
      </c>
      <c r="L137" s="74">
        <f t="shared" si="40"/>
        <v>6144.0788935374931</v>
      </c>
      <c r="M137" s="74">
        <f t="shared" si="40"/>
        <v>6484.5292905661809</v>
      </c>
      <c r="N137" s="74">
        <f t="shared" si="40"/>
        <v>6316.4056377125071</v>
      </c>
      <c r="O137" s="74">
        <f t="shared" si="40"/>
        <v>0</v>
      </c>
      <c r="P137" s="74">
        <f t="shared" si="40"/>
        <v>0</v>
      </c>
      <c r="Q137" s="74">
        <f t="shared" si="40"/>
        <v>0</v>
      </c>
      <c r="R137" s="74">
        <f t="shared" si="40"/>
        <v>0</v>
      </c>
      <c r="S137" s="74">
        <f t="shared" si="40"/>
        <v>0</v>
      </c>
      <c r="T137" s="74">
        <f t="shared" si="40"/>
        <v>0</v>
      </c>
      <c r="U137" s="74">
        <f t="shared" si="38"/>
        <v>0</v>
      </c>
      <c r="V137" s="74">
        <f t="shared" si="38"/>
        <v>0</v>
      </c>
      <c r="W137" s="74">
        <f t="shared" si="38"/>
        <v>0</v>
      </c>
      <c r="X137" s="74">
        <f t="shared" si="38"/>
        <v>0</v>
      </c>
      <c r="Y137" s="179"/>
    </row>
    <row r="138" spans="1:26" outlineLevel="1" x14ac:dyDescent="0.25">
      <c r="A138" s="139">
        <f t="shared" si="29"/>
        <v>1</v>
      </c>
      <c r="B138" s="30"/>
      <c r="C138" s="31" t="str">
        <f t="shared" si="39"/>
        <v>SANY SET240S</v>
      </c>
      <c r="D138" s="9" t="str">
        <f t="shared" ref="D138:D150" si="41">D137</f>
        <v>час.</v>
      </c>
      <c r="E138" s="74">
        <f t="shared" si="40"/>
        <v>7031.2634770605637</v>
      </c>
      <c r="F138" s="74">
        <f t="shared" si="38"/>
        <v>6782.7382112363393</v>
      </c>
      <c r="G138" s="74">
        <f t="shared" si="38"/>
        <v>6557.6630795575293</v>
      </c>
      <c r="H138" s="74">
        <f t="shared" si="38"/>
        <v>6843.4732894087738</v>
      </c>
      <c r="I138" s="74">
        <f t="shared" si="38"/>
        <v>6439.9765225599576</v>
      </c>
      <c r="J138" s="74">
        <f t="shared" si="38"/>
        <v>6843.4732894087738</v>
      </c>
      <c r="K138" s="74">
        <f t="shared" si="38"/>
        <v>6557.6630795575293</v>
      </c>
      <c r="L138" s="74">
        <f t="shared" si="38"/>
        <v>6843.4732894087738</v>
      </c>
      <c r="M138" s="74">
        <f t="shared" si="38"/>
        <v>6439.9765225599576</v>
      </c>
      <c r="N138" s="74">
        <f t="shared" si="38"/>
        <v>6700.5681844831506</v>
      </c>
      <c r="O138" s="74">
        <f t="shared" si="38"/>
        <v>6540.8507142721628</v>
      </c>
      <c r="P138" s="74">
        <f t="shared" si="38"/>
        <v>6599.6939927709473</v>
      </c>
      <c r="Q138" s="74">
        <f t="shared" si="38"/>
        <v>0</v>
      </c>
      <c r="R138" s="74">
        <f t="shared" si="38"/>
        <v>0</v>
      </c>
      <c r="S138" s="74">
        <f t="shared" si="38"/>
        <v>0</v>
      </c>
      <c r="T138" s="74">
        <f t="shared" si="38"/>
        <v>0</v>
      </c>
      <c r="U138" s="74">
        <f t="shared" si="38"/>
        <v>0</v>
      </c>
      <c r="V138" s="74">
        <f t="shared" si="38"/>
        <v>0</v>
      </c>
      <c r="W138" s="74">
        <f t="shared" si="38"/>
        <v>0</v>
      </c>
      <c r="X138" s="74">
        <f t="shared" si="38"/>
        <v>0</v>
      </c>
      <c r="Y138" s="179"/>
    </row>
    <row r="139" spans="1:26" outlineLevel="1" x14ac:dyDescent="0.25">
      <c r="A139" s="139">
        <f t="shared" si="29"/>
        <v>1</v>
      </c>
      <c r="B139" s="30"/>
      <c r="C139" s="31" t="str">
        <f t="shared" si="39"/>
        <v>TZCO TZE240</v>
      </c>
      <c r="D139" s="9" t="str">
        <f t="shared" si="41"/>
        <v>час.</v>
      </c>
      <c r="E139" s="74">
        <f t="shared" si="40"/>
        <v>6835.2787875683061</v>
      </c>
      <c r="F139" s="74">
        <f t="shared" si="38"/>
        <v>6640.962052880237</v>
      </c>
      <c r="G139" s="74">
        <f t="shared" si="38"/>
        <v>5862.4717750075888</v>
      </c>
      <c r="H139" s="74">
        <f t="shared" si="38"/>
        <v>6693.8432383690042</v>
      </c>
      <c r="I139" s="74">
        <f t="shared" si="38"/>
        <v>6889.7072939435329</v>
      </c>
      <c r="J139" s="74">
        <f t="shared" si="38"/>
        <v>5666.6077194330601</v>
      </c>
      <c r="K139" s="74">
        <f t="shared" si="38"/>
        <v>6889.7072939435329</v>
      </c>
      <c r="L139" s="74">
        <f t="shared" si="38"/>
        <v>6693.8432383690042</v>
      </c>
      <c r="M139" s="74">
        <f t="shared" si="38"/>
        <v>0</v>
      </c>
      <c r="N139" s="74">
        <f t="shared" si="38"/>
        <v>0</v>
      </c>
      <c r="O139" s="74">
        <f t="shared" si="38"/>
        <v>0</v>
      </c>
      <c r="P139" s="74">
        <f t="shared" si="38"/>
        <v>0</v>
      </c>
      <c r="Q139" s="74">
        <f t="shared" si="38"/>
        <v>0</v>
      </c>
      <c r="R139" s="74">
        <f t="shared" si="38"/>
        <v>0</v>
      </c>
      <c r="S139" s="74">
        <f t="shared" si="38"/>
        <v>0</v>
      </c>
      <c r="T139" s="74">
        <f t="shared" si="38"/>
        <v>0</v>
      </c>
      <c r="U139" s="74">
        <f t="shared" si="38"/>
        <v>0</v>
      </c>
      <c r="V139" s="74">
        <f t="shared" si="38"/>
        <v>0</v>
      </c>
      <c r="W139" s="74">
        <f t="shared" si="38"/>
        <v>0</v>
      </c>
      <c r="X139" s="74">
        <f t="shared" si="38"/>
        <v>0</v>
      </c>
      <c r="Y139" s="179"/>
    </row>
    <row r="140" spans="1:26" outlineLevel="1" x14ac:dyDescent="0.25">
      <c r="A140" s="139">
        <f t="shared" si="29"/>
        <v>1</v>
      </c>
      <c r="B140" s="30"/>
      <c r="C140" s="31" t="str">
        <f t="shared" si="39"/>
        <v>БелАЗ 7531 (ГПФК)</v>
      </c>
      <c r="D140" s="9" t="str">
        <f t="shared" si="41"/>
        <v>час.</v>
      </c>
      <c r="E140" s="74">
        <f t="shared" si="40"/>
        <v>6825.3377769353374</v>
      </c>
      <c r="F140" s="74">
        <f t="shared" si="38"/>
        <v>6656.040364310109</v>
      </c>
      <c r="G140" s="74">
        <f t="shared" si="38"/>
        <v>6549.3241463759859</v>
      </c>
      <c r="H140" s="74">
        <f t="shared" si="38"/>
        <v>6624.4193779839607</v>
      </c>
      <c r="I140" s="74">
        <f t="shared" si="38"/>
        <v>6675.1366799281523</v>
      </c>
      <c r="J140" s="74">
        <f t="shared" si="38"/>
        <v>6405.2982170980067</v>
      </c>
      <c r="K140" s="74">
        <f t="shared" si="38"/>
        <v>6795.0648856304397</v>
      </c>
      <c r="L140" s="74">
        <f t="shared" si="38"/>
        <v>6473.1080904156543</v>
      </c>
      <c r="M140" s="74">
        <f t="shared" si="38"/>
        <v>6378.9588448175982</v>
      </c>
      <c r="N140" s="74">
        <f t="shared" si="38"/>
        <v>6524.1055984479353</v>
      </c>
      <c r="O140" s="74">
        <f t="shared" si="38"/>
        <v>0</v>
      </c>
      <c r="P140" s="74">
        <f t="shared" si="38"/>
        <v>0</v>
      </c>
      <c r="Q140" s="74">
        <f t="shared" si="38"/>
        <v>0</v>
      </c>
      <c r="R140" s="74">
        <f t="shared" si="38"/>
        <v>0</v>
      </c>
      <c r="S140" s="74">
        <f t="shared" si="38"/>
        <v>0</v>
      </c>
      <c r="T140" s="74">
        <f t="shared" si="38"/>
        <v>0</v>
      </c>
      <c r="U140" s="74">
        <f t="shared" si="38"/>
        <v>0</v>
      </c>
      <c r="V140" s="74">
        <f t="shared" si="38"/>
        <v>0</v>
      </c>
      <c r="W140" s="74">
        <f t="shared" si="38"/>
        <v>0</v>
      </c>
      <c r="X140" s="74">
        <f t="shared" si="38"/>
        <v>0</v>
      </c>
      <c r="Y140" s="179"/>
    </row>
    <row r="141" spans="1:26" outlineLevel="1" x14ac:dyDescent="0.25">
      <c r="A141" s="139">
        <f t="shared" si="29"/>
        <v>1</v>
      </c>
      <c r="B141" s="30"/>
      <c r="C141" s="31" t="str">
        <f t="shared" si="39"/>
        <v>XCMG 240</v>
      </c>
      <c r="D141" s="9" t="str">
        <f t="shared" si="41"/>
        <v>час.</v>
      </c>
      <c r="E141" s="74">
        <f t="shared" si="40"/>
        <v>0</v>
      </c>
      <c r="F141" s="74">
        <f t="shared" si="38"/>
        <v>0</v>
      </c>
      <c r="G141" s="74">
        <f t="shared" si="38"/>
        <v>0</v>
      </c>
      <c r="H141" s="74">
        <f t="shared" si="38"/>
        <v>0</v>
      </c>
      <c r="I141" s="74">
        <f t="shared" si="38"/>
        <v>0</v>
      </c>
      <c r="J141" s="74">
        <f t="shared" si="38"/>
        <v>0</v>
      </c>
      <c r="K141" s="74">
        <f t="shared" si="38"/>
        <v>0</v>
      </c>
      <c r="L141" s="74">
        <f t="shared" si="38"/>
        <v>0</v>
      </c>
      <c r="M141" s="74">
        <f t="shared" si="38"/>
        <v>0</v>
      </c>
      <c r="N141" s="74">
        <f t="shared" si="38"/>
        <v>0</v>
      </c>
      <c r="O141" s="74">
        <f t="shared" si="38"/>
        <v>0</v>
      </c>
      <c r="P141" s="74">
        <f t="shared" si="38"/>
        <v>0</v>
      </c>
      <c r="Q141" s="74">
        <f t="shared" si="38"/>
        <v>0</v>
      </c>
      <c r="R141" s="74">
        <f t="shared" si="38"/>
        <v>0</v>
      </c>
      <c r="S141" s="74">
        <f t="shared" si="38"/>
        <v>0</v>
      </c>
      <c r="T141" s="74">
        <f t="shared" si="38"/>
        <v>0</v>
      </c>
      <c r="U141" s="74">
        <f t="shared" si="38"/>
        <v>0</v>
      </c>
      <c r="V141" s="74">
        <f t="shared" si="38"/>
        <v>0</v>
      </c>
      <c r="W141" s="74">
        <f t="shared" si="38"/>
        <v>0</v>
      </c>
      <c r="X141" s="74">
        <f t="shared" si="38"/>
        <v>0</v>
      </c>
      <c r="Y141" s="179"/>
    </row>
    <row r="142" spans="1:26" outlineLevel="1" x14ac:dyDescent="0.25">
      <c r="A142" s="139">
        <f t="shared" si="29"/>
        <v>1</v>
      </c>
      <c r="B142" s="30"/>
      <c r="C142" s="31" t="str">
        <f t="shared" si="39"/>
        <v>БелАЗ 7531 (БТЛ)</v>
      </c>
      <c r="D142" s="9" t="str">
        <f t="shared" si="41"/>
        <v>час.</v>
      </c>
      <c r="E142" s="74">
        <f t="shared" si="40"/>
        <v>6985.0648818828267</v>
      </c>
      <c r="F142" s="74">
        <f t="shared" si="38"/>
        <v>6822.4559680223992</v>
      </c>
      <c r="G142" s="74">
        <f t="shared" si="38"/>
        <v>6812.3349675607005</v>
      </c>
      <c r="H142" s="74">
        <f t="shared" si="38"/>
        <v>6669.1496565469879</v>
      </c>
      <c r="I142" s="74">
        <f t="shared" si="38"/>
        <v>6825.5046537009057</v>
      </c>
      <c r="J142" s="74">
        <f t="shared" si="38"/>
        <v>6591.5325701462098</v>
      </c>
      <c r="K142" s="74">
        <f t="shared" si="38"/>
        <v>6442.5429901649304</v>
      </c>
      <c r="L142" s="74">
        <f t="shared" si="38"/>
        <v>6754.0521012380932</v>
      </c>
      <c r="M142" s="74">
        <f t="shared" si="38"/>
        <v>6496.822912371973</v>
      </c>
      <c r="N142" s="74">
        <f t="shared" si="38"/>
        <v>6455.3524113347339</v>
      </c>
      <c r="O142" s="74">
        <f t="shared" si="38"/>
        <v>0</v>
      </c>
      <c r="P142" s="74">
        <f t="shared" si="38"/>
        <v>0</v>
      </c>
      <c r="Q142" s="74">
        <f t="shared" si="38"/>
        <v>0</v>
      </c>
      <c r="R142" s="74">
        <f t="shared" si="38"/>
        <v>0</v>
      </c>
      <c r="S142" s="74">
        <f t="shared" si="38"/>
        <v>0</v>
      </c>
      <c r="T142" s="74">
        <f t="shared" si="38"/>
        <v>0</v>
      </c>
      <c r="U142" s="74">
        <f t="shared" si="38"/>
        <v>0</v>
      </c>
      <c r="V142" s="74">
        <f t="shared" si="38"/>
        <v>0</v>
      </c>
      <c r="W142" s="74">
        <f t="shared" si="38"/>
        <v>0</v>
      </c>
      <c r="X142" s="74">
        <f t="shared" si="38"/>
        <v>0</v>
      </c>
      <c r="Y142" s="179"/>
    </row>
    <row r="143" spans="1:26" outlineLevel="1" x14ac:dyDescent="0.25">
      <c r="A143" s="139">
        <f t="shared" si="29"/>
        <v>0</v>
      </c>
      <c r="B143" s="30"/>
      <c r="C143" s="31">
        <f t="shared" si="39"/>
        <v>0</v>
      </c>
      <c r="D143" s="9" t="str">
        <f t="shared" si="41"/>
        <v>час.</v>
      </c>
      <c r="E143" s="74">
        <f t="shared" si="40"/>
        <v>0</v>
      </c>
      <c r="F143" s="74">
        <f t="shared" si="38"/>
        <v>0</v>
      </c>
      <c r="G143" s="74">
        <f t="shared" si="38"/>
        <v>0</v>
      </c>
      <c r="H143" s="74">
        <f t="shared" si="38"/>
        <v>0</v>
      </c>
      <c r="I143" s="74">
        <f t="shared" si="38"/>
        <v>0</v>
      </c>
      <c r="J143" s="74">
        <f t="shared" si="38"/>
        <v>0</v>
      </c>
      <c r="K143" s="74">
        <f t="shared" si="38"/>
        <v>0</v>
      </c>
      <c r="L143" s="74">
        <f t="shared" si="38"/>
        <v>0</v>
      </c>
      <c r="M143" s="74">
        <f t="shared" si="38"/>
        <v>0</v>
      </c>
      <c r="N143" s="74">
        <f t="shared" si="38"/>
        <v>0</v>
      </c>
      <c r="O143" s="74">
        <f t="shared" si="38"/>
        <v>0</v>
      </c>
      <c r="P143" s="74">
        <f t="shared" si="38"/>
        <v>0</v>
      </c>
      <c r="Q143" s="74">
        <f t="shared" si="38"/>
        <v>0</v>
      </c>
      <c r="R143" s="74">
        <f t="shared" si="38"/>
        <v>0</v>
      </c>
      <c r="S143" s="74">
        <f t="shared" si="38"/>
        <v>0</v>
      </c>
      <c r="T143" s="74">
        <f t="shared" si="38"/>
        <v>0</v>
      </c>
      <c r="U143" s="74">
        <f t="shared" si="38"/>
        <v>0</v>
      </c>
      <c r="V143" s="74">
        <f t="shared" si="38"/>
        <v>0</v>
      </c>
      <c r="W143" s="74">
        <f t="shared" si="38"/>
        <v>0</v>
      </c>
      <c r="X143" s="74">
        <f t="shared" si="38"/>
        <v>0</v>
      </c>
      <c r="Y143" s="179"/>
    </row>
    <row r="144" spans="1:26" outlineLevel="1" x14ac:dyDescent="0.25">
      <c r="A144" s="139">
        <f t="shared" si="29"/>
        <v>0</v>
      </c>
      <c r="B144" s="30"/>
      <c r="C144" s="31">
        <f t="shared" si="39"/>
        <v>0</v>
      </c>
      <c r="D144" s="9" t="str">
        <f t="shared" si="41"/>
        <v>час.</v>
      </c>
      <c r="E144" s="74">
        <f t="shared" si="40"/>
        <v>0</v>
      </c>
      <c r="F144" s="74">
        <f t="shared" si="38"/>
        <v>0</v>
      </c>
      <c r="G144" s="74">
        <f t="shared" si="38"/>
        <v>0</v>
      </c>
      <c r="H144" s="74">
        <f t="shared" si="38"/>
        <v>0</v>
      </c>
      <c r="I144" s="74">
        <f t="shared" si="38"/>
        <v>0</v>
      </c>
      <c r="J144" s="74">
        <f t="shared" si="38"/>
        <v>0</v>
      </c>
      <c r="K144" s="74">
        <f t="shared" si="38"/>
        <v>0</v>
      </c>
      <c r="L144" s="74">
        <f t="shared" si="38"/>
        <v>0</v>
      </c>
      <c r="M144" s="74">
        <f t="shared" si="38"/>
        <v>0</v>
      </c>
      <c r="N144" s="74">
        <f t="shared" si="38"/>
        <v>0</v>
      </c>
      <c r="O144" s="74">
        <f t="shared" si="38"/>
        <v>0</v>
      </c>
      <c r="P144" s="74">
        <f t="shared" si="38"/>
        <v>0</v>
      </c>
      <c r="Q144" s="74">
        <f t="shared" si="38"/>
        <v>0</v>
      </c>
      <c r="R144" s="74">
        <f t="shared" si="38"/>
        <v>0</v>
      </c>
      <c r="S144" s="74">
        <f t="shared" si="38"/>
        <v>0</v>
      </c>
      <c r="T144" s="74">
        <f t="shared" si="38"/>
        <v>0</v>
      </c>
      <c r="U144" s="74">
        <f t="shared" si="38"/>
        <v>0</v>
      </c>
      <c r="V144" s="74">
        <f t="shared" si="38"/>
        <v>0</v>
      </c>
      <c r="W144" s="74">
        <f t="shared" si="38"/>
        <v>0</v>
      </c>
      <c r="X144" s="74">
        <f t="shared" si="38"/>
        <v>0</v>
      </c>
      <c r="Y144" s="179"/>
    </row>
    <row r="145" spans="1:25" outlineLevel="1" x14ac:dyDescent="0.25">
      <c r="A145" s="139">
        <f t="shared" si="29"/>
        <v>0</v>
      </c>
      <c r="B145" s="30"/>
      <c r="C145" s="31">
        <f t="shared" si="39"/>
        <v>0</v>
      </c>
      <c r="D145" s="9" t="str">
        <f t="shared" si="41"/>
        <v>час.</v>
      </c>
      <c r="E145" s="74">
        <f t="shared" si="40"/>
        <v>0</v>
      </c>
      <c r="F145" s="74">
        <f t="shared" si="38"/>
        <v>0</v>
      </c>
      <c r="G145" s="74">
        <f t="shared" si="38"/>
        <v>0</v>
      </c>
      <c r="H145" s="74">
        <f t="shared" si="38"/>
        <v>0</v>
      </c>
      <c r="I145" s="74">
        <f t="shared" si="38"/>
        <v>0</v>
      </c>
      <c r="J145" s="74">
        <f t="shared" si="38"/>
        <v>0</v>
      </c>
      <c r="K145" s="74">
        <f t="shared" si="38"/>
        <v>0</v>
      </c>
      <c r="L145" s="74">
        <f t="shared" si="38"/>
        <v>0</v>
      </c>
      <c r="M145" s="74">
        <f t="shared" si="38"/>
        <v>0</v>
      </c>
      <c r="N145" s="74">
        <f t="shared" si="38"/>
        <v>0</v>
      </c>
      <c r="O145" s="74">
        <f t="shared" si="38"/>
        <v>0</v>
      </c>
      <c r="P145" s="74">
        <f t="shared" si="38"/>
        <v>0</v>
      </c>
      <c r="Q145" s="74">
        <f t="shared" si="38"/>
        <v>0</v>
      </c>
      <c r="R145" s="74">
        <f t="shared" si="38"/>
        <v>0</v>
      </c>
      <c r="S145" s="74">
        <f t="shared" si="38"/>
        <v>0</v>
      </c>
      <c r="T145" s="74">
        <f t="shared" si="38"/>
        <v>0</v>
      </c>
      <c r="U145" s="74">
        <f t="shared" si="38"/>
        <v>0</v>
      </c>
      <c r="V145" s="74">
        <f t="shared" si="38"/>
        <v>0</v>
      </c>
      <c r="W145" s="74">
        <f t="shared" si="38"/>
        <v>0</v>
      </c>
      <c r="X145" s="74">
        <f t="shared" si="38"/>
        <v>0</v>
      </c>
      <c r="Y145" s="179"/>
    </row>
    <row r="146" spans="1:25" outlineLevel="1" x14ac:dyDescent="0.25">
      <c r="A146" s="139">
        <f t="shared" si="29"/>
        <v>0</v>
      </c>
      <c r="B146" s="30"/>
      <c r="C146" s="31">
        <f t="shared" si="39"/>
        <v>0</v>
      </c>
      <c r="D146" s="9" t="str">
        <f t="shared" si="41"/>
        <v>час.</v>
      </c>
      <c r="E146" s="74">
        <f t="shared" si="40"/>
        <v>0</v>
      </c>
      <c r="F146" s="74">
        <f t="shared" si="38"/>
        <v>0</v>
      </c>
      <c r="G146" s="74">
        <f t="shared" si="38"/>
        <v>0</v>
      </c>
      <c r="H146" s="74">
        <f t="shared" si="38"/>
        <v>0</v>
      </c>
      <c r="I146" s="74">
        <f t="shared" si="38"/>
        <v>0</v>
      </c>
      <c r="J146" s="74">
        <f t="shared" si="38"/>
        <v>0</v>
      </c>
      <c r="K146" s="74">
        <f t="shared" si="38"/>
        <v>0</v>
      </c>
      <c r="L146" s="74">
        <f t="shared" si="38"/>
        <v>0</v>
      </c>
      <c r="M146" s="74">
        <f t="shared" si="38"/>
        <v>0</v>
      </c>
      <c r="N146" s="74">
        <f t="shared" si="38"/>
        <v>0</v>
      </c>
      <c r="O146" s="74">
        <f t="shared" si="38"/>
        <v>0</v>
      </c>
      <c r="P146" s="74">
        <f t="shared" si="38"/>
        <v>0</v>
      </c>
      <c r="Q146" s="74">
        <f t="shared" si="38"/>
        <v>0</v>
      </c>
      <c r="R146" s="74">
        <f t="shared" si="38"/>
        <v>0</v>
      </c>
      <c r="S146" s="74">
        <f t="shared" si="38"/>
        <v>0</v>
      </c>
      <c r="T146" s="74">
        <f t="shared" si="38"/>
        <v>0</v>
      </c>
      <c r="U146" s="74">
        <f t="shared" si="38"/>
        <v>0</v>
      </c>
      <c r="V146" s="74">
        <f t="shared" si="38"/>
        <v>0</v>
      </c>
      <c r="W146" s="74">
        <f t="shared" si="38"/>
        <v>0</v>
      </c>
      <c r="X146" s="74">
        <f t="shared" si="38"/>
        <v>0</v>
      </c>
      <c r="Y146" s="179"/>
    </row>
    <row r="147" spans="1:25" outlineLevel="1" x14ac:dyDescent="0.25">
      <c r="A147" s="139">
        <f t="shared" si="29"/>
        <v>0</v>
      </c>
      <c r="B147" s="30"/>
      <c r="C147" s="31">
        <f t="shared" si="39"/>
        <v>0</v>
      </c>
      <c r="D147" s="9" t="str">
        <f t="shared" si="41"/>
        <v>час.</v>
      </c>
      <c r="E147" s="74">
        <f t="shared" si="40"/>
        <v>0</v>
      </c>
      <c r="F147" s="74">
        <f t="shared" si="38"/>
        <v>0</v>
      </c>
      <c r="G147" s="74">
        <f t="shared" si="38"/>
        <v>0</v>
      </c>
      <c r="H147" s="74">
        <f t="shared" si="38"/>
        <v>0</v>
      </c>
      <c r="I147" s="74">
        <f t="shared" si="38"/>
        <v>0</v>
      </c>
      <c r="J147" s="74">
        <f t="shared" si="38"/>
        <v>0</v>
      </c>
      <c r="K147" s="74">
        <f t="shared" si="38"/>
        <v>0</v>
      </c>
      <c r="L147" s="74">
        <f t="shared" si="38"/>
        <v>0</v>
      </c>
      <c r="M147" s="74">
        <f t="shared" si="38"/>
        <v>0</v>
      </c>
      <c r="N147" s="74">
        <f t="shared" si="38"/>
        <v>0</v>
      </c>
      <c r="O147" s="74">
        <f t="shared" si="38"/>
        <v>0</v>
      </c>
      <c r="P147" s="74">
        <f t="shared" si="38"/>
        <v>0</v>
      </c>
      <c r="Q147" s="74">
        <f t="shared" si="38"/>
        <v>0</v>
      </c>
      <c r="R147" s="74">
        <f t="shared" si="38"/>
        <v>0</v>
      </c>
      <c r="S147" s="74">
        <f t="shared" si="38"/>
        <v>0</v>
      </c>
      <c r="T147" s="74">
        <f t="shared" si="38"/>
        <v>0</v>
      </c>
      <c r="U147" s="74">
        <f t="shared" si="38"/>
        <v>0</v>
      </c>
      <c r="V147" s="74">
        <f t="shared" si="38"/>
        <v>0</v>
      </c>
      <c r="W147" s="74">
        <f t="shared" si="38"/>
        <v>0</v>
      </c>
      <c r="X147" s="74">
        <f t="shared" si="38"/>
        <v>0</v>
      </c>
      <c r="Y147" s="179"/>
    </row>
    <row r="148" spans="1:25" outlineLevel="1" x14ac:dyDescent="0.25">
      <c r="A148" s="139">
        <f t="shared" si="29"/>
        <v>0</v>
      </c>
      <c r="B148" s="30"/>
      <c r="C148" s="31">
        <f t="shared" si="39"/>
        <v>0</v>
      </c>
      <c r="D148" s="9" t="str">
        <f t="shared" si="41"/>
        <v>час.</v>
      </c>
      <c r="E148" s="74">
        <f t="shared" si="40"/>
        <v>0</v>
      </c>
      <c r="F148" s="74">
        <f t="shared" si="38"/>
        <v>0</v>
      </c>
      <c r="G148" s="74">
        <f t="shared" si="38"/>
        <v>0</v>
      </c>
      <c r="H148" s="74">
        <f t="shared" si="38"/>
        <v>0</v>
      </c>
      <c r="I148" s="74">
        <f t="shared" si="38"/>
        <v>0</v>
      </c>
      <c r="J148" s="74">
        <f t="shared" si="38"/>
        <v>0</v>
      </c>
      <c r="K148" s="74">
        <f t="shared" si="38"/>
        <v>0</v>
      </c>
      <c r="L148" s="74">
        <f t="shared" si="38"/>
        <v>0</v>
      </c>
      <c r="M148" s="74">
        <f t="shared" si="38"/>
        <v>0</v>
      </c>
      <c r="N148" s="74">
        <f t="shared" si="38"/>
        <v>0</v>
      </c>
      <c r="O148" s="74">
        <f t="shared" si="38"/>
        <v>0</v>
      </c>
      <c r="P148" s="74">
        <f t="shared" si="38"/>
        <v>0</v>
      </c>
      <c r="Q148" s="74">
        <f t="shared" si="38"/>
        <v>0</v>
      </c>
      <c r="R148" s="74">
        <f t="shared" si="38"/>
        <v>0</v>
      </c>
      <c r="S148" s="74">
        <f t="shared" si="38"/>
        <v>0</v>
      </c>
      <c r="T148" s="74">
        <f t="shared" si="38"/>
        <v>0</v>
      </c>
      <c r="U148" s="74">
        <f t="shared" si="38"/>
        <v>0</v>
      </c>
      <c r="V148" s="74">
        <f t="shared" si="38"/>
        <v>0</v>
      </c>
      <c r="W148" s="74">
        <f t="shared" si="38"/>
        <v>0</v>
      </c>
      <c r="X148" s="74">
        <f t="shared" si="38"/>
        <v>0</v>
      </c>
      <c r="Y148" s="179"/>
    </row>
    <row r="149" spans="1:25" outlineLevel="1" x14ac:dyDescent="0.25">
      <c r="A149" s="139">
        <f t="shared" si="29"/>
        <v>0</v>
      </c>
      <c r="B149" s="30"/>
      <c r="C149" s="31">
        <f t="shared" si="39"/>
        <v>0</v>
      </c>
      <c r="D149" s="9" t="str">
        <f t="shared" si="41"/>
        <v>час.</v>
      </c>
      <c r="E149" s="74">
        <f t="shared" si="40"/>
        <v>0</v>
      </c>
      <c r="F149" s="74">
        <f t="shared" si="38"/>
        <v>0</v>
      </c>
      <c r="G149" s="74">
        <f t="shared" si="38"/>
        <v>0</v>
      </c>
      <c r="H149" s="74">
        <f t="shared" si="38"/>
        <v>0</v>
      </c>
      <c r="I149" s="74">
        <f t="shared" si="38"/>
        <v>0</v>
      </c>
      <c r="J149" s="74">
        <f t="shared" si="38"/>
        <v>0</v>
      </c>
      <c r="K149" s="74">
        <f t="shared" si="38"/>
        <v>0</v>
      </c>
      <c r="L149" s="74">
        <f t="shared" si="38"/>
        <v>0</v>
      </c>
      <c r="M149" s="74">
        <f t="shared" si="38"/>
        <v>0</v>
      </c>
      <c r="N149" s="74">
        <f t="shared" si="38"/>
        <v>0</v>
      </c>
      <c r="O149" s="74">
        <f t="shared" si="38"/>
        <v>0</v>
      </c>
      <c r="P149" s="74">
        <f t="shared" si="38"/>
        <v>0</v>
      </c>
      <c r="Q149" s="74">
        <f t="shared" si="38"/>
        <v>0</v>
      </c>
      <c r="R149" s="74">
        <f t="shared" si="38"/>
        <v>0</v>
      </c>
      <c r="S149" s="74">
        <f t="shared" si="38"/>
        <v>0</v>
      </c>
      <c r="T149" s="74">
        <f t="shared" si="38"/>
        <v>0</v>
      </c>
      <c r="U149" s="74">
        <f t="shared" si="38"/>
        <v>0</v>
      </c>
      <c r="V149" s="74">
        <f t="shared" si="38"/>
        <v>0</v>
      </c>
      <c r="W149" s="74">
        <f t="shared" si="38"/>
        <v>0</v>
      </c>
      <c r="X149" s="74">
        <f t="shared" si="38"/>
        <v>0</v>
      </c>
      <c r="Y149" s="179"/>
    </row>
    <row r="150" spans="1:25" outlineLevel="1" x14ac:dyDescent="0.25">
      <c r="A150" s="139">
        <f t="shared" si="29"/>
        <v>0</v>
      </c>
      <c r="B150" s="30"/>
      <c r="C150" s="31">
        <f t="shared" si="39"/>
        <v>0</v>
      </c>
      <c r="D150" s="9" t="str">
        <f t="shared" si="41"/>
        <v>час.</v>
      </c>
      <c r="E150" s="74">
        <f t="shared" si="40"/>
        <v>0</v>
      </c>
      <c r="F150" s="74">
        <f t="shared" si="38"/>
        <v>0</v>
      </c>
      <c r="G150" s="74">
        <f t="shared" si="38"/>
        <v>0</v>
      </c>
      <c r="H150" s="74">
        <f t="shared" si="38"/>
        <v>0</v>
      </c>
      <c r="I150" s="74">
        <f t="shared" si="38"/>
        <v>0</v>
      </c>
      <c r="J150" s="74">
        <f t="shared" ref="J150:X150" si="42">J$6*J134</f>
        <v>0</v>
      </c>
      <c r="K150" s="74">
        <f t="shared" si="42"/>
        <v>0</v>
      </c>
      <c r="L150" s="74">
        <f t="shared" si="42"/>
        <v>0</v>
      </c>
      <c r="M150" s="74">
        <f t="shared" si="42"/>
        <v>0</v>
      </c>
      <c r="N150" s="74">
        <f t="shared" si="42"/>
        <v>0</v>
      </c>
      <c r="O150" s="74">
        <f t="shared" si="42"/>
        <v>0</v>
      </c>
      <c r="P150" s="74">
        <f t="shared" si="42"/>
        <v>0</v>
      </c>
      <c r="Q150" s="74">
        <f t="shared" si="42"/>
        <v>0</v>
      </c>
      <c r="R150" s="74">
        <f t="shared" si="42"/>
        <v>0</v>
      </c>
      <c r="S150" s="74">
        <f t="shared" si="42"/>
        <v>0</v>
      </c>
      <c r="T150" s="74">
        <f t="shared" si="42"/>
        <v>0</v>
      </c>
      <c r="U150" s="74">
        <f t="shared" si="42"/>
        <v>0</v>
      </c>
      <c r="V150" s="74">
        <f t="shared" si="42"/>
        <v>0</v>
      </c>
      <c r="W150" s="74">
        <f t="shared" si="42"/>
        <v>0</v>
      </c>
      <c r="X150" s="74">
        <f t="shared" si="42"/>
        <v>0</v>
      </c>
      <c r="Y150" s="179"/>
    </row>
    <row r="151" spans="1:25" x14ac:dyDescent="0.25">
      <c r="A151" s="139">
        <f t="shared" si="29"/>
        <v>1</v>
      </c>
      <c r="B151" s="68">
        <f>B119+1</f>
        <v>8</v>
      </c>
      <c r="C151" s="98" t="s">
        <v>113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179"/>
    </row>
    <row r="152" spans="1:25" x14ac:dyDescent="0.25">
      <c r="A152" s="139">
        <f t="shared" si="29"/>
        <v>1</v>
      </c>
      <c r="B152" s="30"/>
      <c r="C152" s="31" t="str">
        <f>C136</f>
        <v>NHL NTE 240</v>
      </c>
      <c r="D152" s="9" t="s">
        <v>21</v>
      </c>
      <c r="E152" s="459">
        <f>Производительность!E152</f>
        <v>22.46</v>
      </c>
      <c r="F152" s="459">
        <f>Производительность!F152</f>
        <v>22.46</v>
      </c>
      <c r="G152" s="459">
        <f>Производительность!G152</f>
        <v>22.46</v>
      </c>
      <c r="H152" s="459">
        <f>Производительность!H152</f>
        <v>22.46</v>
      </c>
      <c r="I152" s="459">
        <f>Производительность!I152</f>
        <v>22.46</v>
      </c>
      <c r="J152" s="459">
        <f>Производительность!J152</f>
        <v>22.46</v>
      </c>
      <c r="K152" s="459">
        <f>Производительность!K152</f>
        <v>22.46</v>
      </c>
      <c r="L152" s="459">
        <f>Производительность!L152</f>
        <v>22.46</v>
      </c>
      <c r="M152" s="459">
        <f>Производительность!M152</f>
        <v>22.46</v>
      </c>
      <c r="N152" s="459">
        <f>Производительность!N152</f>
        <v>22.46</v>
      </c>
      <c r="O152" s="459">
        <f>Производительность!O152</f>
        <v>22.46</v>
      </c>
      <c r="P152" s="459">
        <f>Производительность!P152</f>
        <v>22.46</v>
      </c>
      <c r="Q152" s="459">
        <f>Производительность!Q152</f>
        <v>22.46</v>
      </c>
      <c r="R152" s="459">
        <f>Производительность!R152</f>
        <v>22.46</v>
      </c>
      <c r="S152" s="459">
        <f>Производительность!S152</f>
        <v>22.46</v>
      </c>
      <c r="T152" s="459">
        <f>Производительность!T152</f>
        <v>22.46</v>
      </c>
      <c r="U152" s="459">
        <f>Производительность!U152</f>
        <v>22.46</v>
      </c>
      <c r="V152" s="459">
        <f>Производительность!V152</f>
        <v>22.46</v>
      </c>
      <c r="W152" s="459">
        <f>Производительность!W152</f>
        <v>22.46</v>
      </c>
      <c r="X152" s="459">
        <f>Производительность!X152</f>
        <v>22.46</v>
      </c>
      <c r="Y152" s="179"/>
    </row>
    <row r="153" spans="1:25" x14ac:dyDescent="0.25">
      <c r="A153" s="139">
        <f t="shared" si="29"/>
        <v>1</v>
      </c>
      <c r="B153" s="30"/>
      <c r="C153" s="31" t="str">
        <f t="shared" ref="C153:C166" si="43">C137</f>
        <v>Estar ESDE240 (ГПБ К)</v>
      </c>
      <c r="D153" s="9" t="str">
        <f>D152</f>
        <v>км/час</v>
      </c>
      <c r="E153" s="459">
        <f>Производительность!E153</f>
        <v>22.46</v>
      </c>
      <c r="F153" s="459">
        <f>Производительность!F153</f>
        <v>22.46</v>
      </c>
      <c r="G153" s="459">
        <f>Производительность!G153</f>
        <v>22.46</v>
      </c>
      <c r="H153" s="459">
        <f>Производительность!H153</f>
        <v>22.46</v>
      </c>
      <c r="I153" s="459">
        <f>Производительность!I153</f>
        <v>22.46</v>
      </c>
      <c r="J153" s="459">
        <f>Производительность!J153</f>
        <v>22.46</v>
      </c>
      <c r="K153" s="459">
        <f>Производительность!K153</f>
        <v>22.46</v>
      </c>
      <c r="L153" s="459">
        <f>Производительность!L153</f>
        <v>22.46</v>
      </c>
      <c r="M153" s="459">
        <f>Производительность!M153</f>
        <v>22.46</v>
      </c>
      <c r="N153" s="459">
        <f>Производительность!N153</f>
        <v>22.46</v>
      </c>
      <c r="O153" s="459">
        <f>Производительность!O153</f>
        <v>22.46</v>
      </c>
      <c r="P153" s="459">
        <f>Производительность!P153</f>
        <v>22.46</v>
      </c>
      <c r="Q153" s="459">
        <f>Производительность!Q153</f>
        <v>22.46</v>
      </c>
      <c r="R153" s="459">
        <f>Производительность!R153</f>
        <v>22.46</v>
      </c>
      <c r="S153" s="459">
        <f>Производительность!S153</f>
        <v>22.46</v>
      </c>
      <c r="T153" s="459">
        <f>Производительность!T153</f>
        <v>22.46</v>
      </c>
      <c r="U153" s="459">
        <f>Производительность!U153</f>
        <v>22.46</v>
      </c>
      <c r="V153" s="459">
        <f>Производительность!V153</f>
        <v>22.46</v>
      </c>
      <c r="W153" s="459">
        <f>Производительность!W153</f>
        <v>22.46</v>
      </c>
      <c r="X153" s="459">
        <f>Производительность!X153</f>
        <v>22.46</v>
      </c>
      <c r="Y153" s="179"/>
    </row>
    <row r="154" spans="1:25" x14ac:dyDescent="0.25">
      <c r="A154" s="139">
        <f t="shared" si="29"/>
        <v>1</v>
      </c>
      <c r="B154" s="30"/>
      <c r="C154" s="31" t="str">
        <f t="shared" si="43"/>
        <v>SANY SET240S</v>
      </c>
      <c r="D154" s="9" t="str">
        <f t="shared" ref="D154:D166" si="44">D153</f>
        <v>км/час</v>
      </c>
      <c r="E154" s="459">
        <f>Производительность!E154</f>
        <v>22.46</v>
      </c>
      <c r="F154" s="459">
        <f>Производительность!F154</f>
        <v>22.46</v>
      </c>
      <c r="G154" s="459">
        <f>Производительность!G154</f>
        <v>22.46</v>
      </c>
      <c r="H154" s="459">
        <f>Производительность!H154</f>
        <v>22.46</v>
      </c>
      <c r="I154" s="459">
        <f>Производительность!I154</f>
        <v>22.46</v>
      </c>
      <c r="J154" s="459">
        <f>Производительность!J154</f>
        <v>22.46</v>
      </c>
      <c r="K154" s="459">
        <f>Производительность!K154</f>
        <v>22.46</v>
      </c>
      <c r="L154" s="459">
        <f>Производительность!L154</f>
        <v>22.46</v>
      </c>
      <c r="M154" s="459">
        <f>Производительность!M154</f>
        <v>22.46</v>
      </c>
      <c r="N154" s="459">
        <f>Производительность!N154</f>
        <v>22.46</v>
      </c>
      <c r="O154" s="459">
        <f>Производительность!O154</f>
        <v>22.46</v>
      </c>
      <c r="P154" s="459">
        <f>Производительность!P154</f>
        <v>22.46</v>
      </c>
      <c r="Q154" s="459">
        <f>Производительность!Q154</f>
        <v>22.46</v>
      </c>
      <c r="R154" s="459">
        <f>Производительность!R154</f>
        <v>22.46</v>
      </c>
      <c r="S154" s="459">
        <f>Производительность!S154</f>
        <v>22.46</v>
      </c>
      <c r="T154" s="459">
        <f>Производительность!T154</f>
        <v>22.46</v>
      </c>
      <c r="U154" s="459">
        <f>Производительность!U154</f>
        <v>22.46</v>
      </c>
      <c r="V154" s="459">
        <f>Производительность!V154</f>
        <v>22.46</v>
      </c>
      <c r="W154" s="459">
        <f>Производительность!W154</f>
        <v>22.46</v>
      </c>
      <c r="X154" s="459">
        <f>Производительность!X154</f>
        <v>22.46</v>
      </c>
      <c r="Y154" s="179"/>
    </row>
    <row r="155" spans="1:25" x14ac:dyDescent="0.25">
      <c r="A155" s="139">
        <f t="shared" si="29"/>
        <v>1</v>
      </c>
      <c r="B155" s="30"/>
      <c r="C155" s="31" t="str">
        <f t="shared" si="43"/>
        <v>TZCO TZE240</v>
      </c>
      <c r="D155" s="9" t="str">
        <f t="shared" si="44"/>
        <v>км/час</v>
      </c>
      <c r="E155" s="459">
        <f>Производительность!E155</f>
        <v>22.46</v>
      </c>
      <c r="F155" s="459">
        <f>Производительность!F155</f>
        <v>22.46</v>
      </c>
      <c r="G155" s="459">
        <f>Производительность!G155</f>
        <v>22.46</v>
      </c>
      <c r="H155" s="459">
        <f>Производительность!H155</f>
        <v>22.46</v>
      </c>
      <c r="I155" s="459">
        <f>Производительность!I155</f>
        <v>22.46</v>
      </c>
      <c r="J155" s="459">
        <f>Производительность!J155</f>
        <v>22.46</v>
      </c>
      <c r="K155" s="459">
        <f>Производительность!K155</f>
        <v>22.46</v>
      </c>
      <c r="L155" s="459">
        <f>Производительность!L155</f>
        <v>22.46</v>
      </c>
      <c r="M155" s="459">
        <f>Производительность!M155</f>
        <v>22.46</v>
      </c>
      <c r="N155" s="459">
        <f>Производительность!N155</f>
        <v>22.46</v>
      </c>
      <c r="O155" s="459">
        <f>Производительность!O155</f>
        <v>22.46</v>
      </c>
      <c r="P155" s="459">
        <f>Производительность!P155</f>
        <v>22.46</v>
      </c>
      <c r="Q155" s="459">
        <f>Производительность!Q155</f>
        <v>22.46</v>
      </c>
      <c r="R155" s="459">
        <f>Производительность!R155</f>
        <v>22.46</v>
      </c>
      <c r="S155" s="459">
        <f>Производительность!S155</f>
        <v>22.46</v>
      </c>
      <c r="T155" s="459">
        <f>Производительность!T155</f>
        <v>22.46</v>
      </c>
      <c r="U155" s="459">
        <f>Производительность!U155</f>
        <v>22.46</v>
      </c>
      <c r="V155" s="459">
        <f>Производительность!V155</f>
        <v>22.46</v>
      </c>
      <c r="W155" s="459">
        <f>Производительность!W155</f>
        <v>22.46</v>
      </c>
      <c r="X155" s="459">
        <f>Производительность!X155</f>
        <v>22.46</v>
      </c>
      <c r="Y155" s="179"/>
    </row>
    <row r="156" spans="1:25" x14ac:dyDescent="0.25">
      <c r="A156" s="139">
        <f t="shared" si="29"/>
        <v>1</v>
      </c>
      <c r="B156" s="30"/>
      <c r="C156" s="31" t="str">
        <f t="shared" si="43"/>
        <v>БелАЗ 7531 (ГПФК)</v>
      </c>
      <c r="D156" s="9" t="str">
        <f t="shared" si="44"/>
        <v>км/час</v>
      </c>
      <c r="E156" s="459">
        <f>Производительность!E156</f>
        <v>22.46</v>
      </c>
      <c r="F156" s="459">
        <f>Производительность!F156</f>
        <v>22.46</v>
      </c>
      <c r="G156" s="459">
        <f>Производительность!G156</f>
        <v>22.46</v>
      </c>
      <c r="H156" s="459">
        <f>Производительность!H156</f>
        <v>22.46</v>
      </c>
      <c r="I156" s="459">
        <f>Производительность!I156</f>
        <v>22.46</v>
      </c>
      <c r="J156" s="459">
        <f>Производительность!J156</f>
        <v>22.46</v>
      </c>
      <c r="K156" s="459">
        <f>Производительность!K156</f>
        <v>22.46</v>
      </c>
      <c r="L156" s="459">
        <f>Производительность!L156</f>
        <v>22.46</v>
      </c>
      <c r="M156" s="459">
        <f>Производительность!M156</f>
        <v>22.46</v>
      </c>
      <c r="N156" s="459">
        <f>Производительность!N156</f>
        <v>22.46</v>
      </c>
      <c r="O156" s="459">
        <f>Производительность!O156</f>
        <v>22.46</v>
      </c>
      <c r="P156" s="459">
        <f>Производительность!P156</f>
        <v>22.46</v>
      </c>
      <c r="Q156" s="459">
        <f>Производительность!Q156</f>
        <v>22.46</v>
      </c>
      <c r="R156" s="459">
        <f>Производительность!R156</f>
        <v>22.46</v>
      </c>
      <c r="S156" s="459">
        <f>Производительность!S156</f>
        <v>22.46</v>
      </c>
      <c r="T156" s="459">
        <f>Производительность!T156</f>
        <v>22.46</v>
      </c>
      <c r="U156" s="459">
        <f>Производительность!U156</f>
        <v>22.46</v>
      </c>
      <c r="V156" s="459">
        <f>Производительность!V156</f>
        <v>22.46</v>
      </c>
      <c r="W156" s="459">
        <f>Производительность!W156</f>
        <v>22.46</v>
      </c>
      <c r="X156" s="459">
        <f>Производительность!X156</f>
        <v>22.46</v>
      </c>
      <c r="Y156" s="179"/>
    </row>
    <row r="157" spans="1:25" x14ac:dyDescent="0.25">
      <c r="A157" s="139">
        <f t="shared" si="29"/>
        <v>1</v>
      </c>
      <c r="B157" s="30"/>
      <c r="C157" s="31" t="str">
        <f t="shared" si="43"/>
        <v>XCMG 240</v>
      </c>
      <c r="D157" s="9" t="str">
        <f t="shared" si="44"/>
        <v>км/час</v>
      </c>
      <c r="E157" s="459">
        <f>Производительность!E157</f>
        <v>22.46</v>
      </c>
      <c r="F157" s="459">
        <f>Производительность!F157</f>
        <v>22.46</v>
      </c>
      <c r="G157" s="459">
        <f>Производительность!G157</f>
        <v>22.46</v>
      </c>
      <c r="H157" s="459">
        <f>Производительность!H157</f>
        <v>22.46</v>
      </c>
      <c r="I157" s="459">
        <f>Производительность!I157</f>
        <v>22.46</v>
      </c>
      <c r="J157" s="459">
        <f>Производительность!J157</f>
        <v>22.46</v>
      </c>
      <c r="K157" s="459">
        <f>Производительность!K157</f>
        <v>22.46</v>
      </c>
      <c r="L157" s="459">
        <f>Производительность!L157</f>
        <v>22.46</v>
      </c>
      <c r="M157" s="459">
        <f>Производительность!M157</f>
        <v>22.46</v>
      </c>
      <c r="N157" s="459">
        <f>Производительность!N157</f>
        <v>22.46</v>
      </c>
      <c r="O157" s="459">
        <f>Производительность!O157</f>
        <v>22.46</v>
      </c>
      <c r="P157" s="459">
        <f>Производительность!P157</f>
        <v>22.46</v>
      </c>
      <c r="Q157" s="459">
        <f>Производительность!Q157</f>
        <v>22.46</v>
      </c>
      <c r="R157" s="459">
        <f>Производительность!R157</f>
        <v>22.46</v>
      </c>
      <c r="S157" s="459">
        <f>Производительность!S157</f>
        <v>22.46</v>
      </c>
      <c r="T157" s="459">
        <f>Производительность!T157</f>
        <v>22.46</v>
      </c>
      <c r="U157" s="459">
        <f>Производительность!U157</f>
        <v>22.46</v>
      </c>
      <c r="V157" s="459">
        <f>Производительность!V157</f>
        <v>22.46</v>
      </c>
      <c r="W157" s="459">
        <f>Производительность!W157</f>
        <v>22.46</v>
      </c>
      <c r="X157" s="459">
        <f>Производительность!X157</f>
        <v>22.46</v>
      </c>
      <c r="Y157" s="179"/>
    </row>
    <row r="158" spans="1:25" x14ac:dyDescent="0.25">
      <c r="A158" s="139">
        <f t="shared" si="29"/>
        <v>1</v>
      </c>
      <c r="B158" s="30"/>
      <c r="C158" s="31" t="str">
        <f t="shared" si="43"/>
        <v>БелАЗ 7531 (БТЛ)</v>
      </c>
      <c r="D158" s="9" t="str">
        <f t="shared" si="44"/>
        <v>км/час</v>
      </c>
      <c r="E158" s="459">
        <f>Производительность!E158</f>
        <v>22.46</v>
      </c>
      <c r="F158" s="459">
        <f>Производительность!F158</f>
        <v>22.46</v>
      </c>
      <c r="G158" s="459">
        <f>Производительность!G158</f>
        <v>22.46</v>
      </c>
      <c r="H158" s="459">
        <f>Производительность!H158</f>
        <v>22.46</v>
      </c>
      <c r="I158" s="459">
        <f>Производительность!I158</f>
        <v>22.46</v>
      </c>
      <c r="J158" s="459">
        <f>Производительность!J158</f>
        <v>22.46</v>
      </c>
      <c r="K158" s="459">
        <f>Производительность!K158</f>
        <v>22.46</v>
      </c>
      <c r="L158" s="459">
        <f>Производительность!L158</f>
        <v>22.46</v>
      </c>
      <c r="M158" s="459">
        <f>Производительность!M158</f>
        <v>22.46</v>
      </c>
      <c r="N158" s="459">
        <f>Производительность!N158</f>
        <v>22.46</v>
      </c>
      <c r="O158" s="459">
        <f>Производительность!O158</f>
        <v>22.46</v>
      </c>
      <c r="P158" s="459">
        <f>Производительность!P158</f>
        <v>22.46</v>
      </c>
      <c r="Q158" s="459">
        <f>Производительность!Q158</f>
        <v>22.46</v>
      </c>
      <c r="R158" s="459">
        <f>Производительность!R158</f>
        <v>22.46</v>
      </c>
      <c r="S158" s="459">
        <f>Производительность!S158</f>
        <v>22.46</v>
      </c>
      <c r="T158" s="459">
        <f>Производительность!T158</f>
        <v>22.46</v>
      </c>
      <c r="U158" s="459">
        <f>Производительность!U158</f>
        <v>22.46</v>
      </c>
      <c r="V158" s="459">
        <f>Производительность!V158</f>
        <v>22.46</v>
      </c>
      <c r="W158" s="459">
        <f>Производительность!W158</f>
        <v>22.46</v>
      </c>
      <c r="X158" s="459">
        <f>Производительность!X158</f>
        <v>22.46</v>
      </c>
      <c r="Y158" s="179"/>
    </row>
    <row r="159" spans="1:25" x14ac:dyDescent="0.25">
      <c r="A159" s="139">
        <f t="shared" si="29"/>
        <v>0</v>
      </c>
      <c r="B159" s="30"/>
      <c r="C159" s="31">
        <f t="shared" si="43"/>
        <v>0</v>
      </c>
      <c r="D159" s="9" t="str">
        <f t="shared" si="44"/>
        <v>км/час</v>
      </c>
      <c r="E159" s="459">
        <f>Производительность!E159</f>
        <v>0</v>
      </c>
      <c r="F159" s="459">
        <f>Производительность!F159</f>
        <v>0</v>
      </c>
      <c r="G159" s="459">
        <f>Производительность!G159</f>
        <v>0</v>
      </c>
      <c r="H159" s="459">
        <f>Производительность!H159</f>
        <v>0</v>
      </c>
      <c r="I159" s="459">
        <f>Производительность!I159</f>
        <v>0</v>
      </c>
      <c r="J159" s="459">
        <f>Производительность!J159</f>
        <v>0</v>
      </c>
      <c r="K159" s="459">
        <f>Производительность!K159</f>
        <v>0</v>
      </c>
      <c r="L159" s="459">
        <f>Производительность!L159</f>
        <v>0</v>
      </c>
      <c r="M159" s="459">
        <f>Производительность!M159</f>
        <v>0</v>
      </c>
      <c r="N159" s="459">
        <f>Производительность!N159</f>
        <v>0</v>
      </c>
      <c r="O159" s="459">
        <f>Производительность!O159</f>
        <v>0</v>
      </c>
      <c r="P159" s="459">
        <f>Производительность!P159</f>
        <v>0</v>
      </c>
      <c r="Q159" s="459">
        <f>Производительность!Q159</f>
        <v>0</v>
      </c>
      <c r="R159" s="459">
        <f>Производительность!R159</f>
        <v>0</v>
      </c>
      <c r="S159" s="459">
        <f>Производительность!S159</f>
        <v>0</v>
      </c>
      <c r="T159" s="459">
        <f>Производительность!T159</f>
        <v>0</v>
      </c>
      <c r="U159" s="459">
        <f>Производительность!U159</f>
        <v>0</v>
      </c>
      <c r="V159" s="459">
        <f>Производительность!V159</f>
        <v>0</v>
      </c>
      <c r="W159" s="459">
        <f>Производительность!W159</f>
        <v>0</v>
      </c>
      <c r="X159" s="459">
        <f>Производительность!X159</f>
        <v>0</v>
      </c>
      <c r="Y159" s="179"/>
    </row>
    <row r="160" spans="1:25" x14ac:dyDescent="0.25">
      <c r="A160" s="139">
        <f t="shared" si="29"/>
        <v>0</v>
      </c>
      <c r="B160" s="30"/>
      <c r="C160" s="31">
        <f t="shared" si="43"/>
        <v>0</v>
      </c>
      <c r="D160" s="9" t="str">
        <f t="shared" si="44"/>
        <v>км/час</v>
      </c>
      <c r="E160" s="459">
        <f>Производительность!E160</f>
        <v>0</v>
      </c>
      <c r="F160" s="459">
        <f>Производительность!F160</f>
        <v>0</v>
      </c>
      <c r="G160" s="459">
        <f>Производительность!G160</f>
        <v>0</v>
      </c>
      <c r="H160" s="459">
        <f>Производительность!H160</f>
        <v>0</v>
      </c>
      <c r="I160" s="459">
        <f>Производительность!I160</f>
        <v>0</v>
      </c>
      <c r="J160" s="459">
        <f>Производительность!J160</f>
        <v>0</v>
      </c>
      <c r="K160" s="459">
        <f>Производительность!K160</f>
        <v>0</v>
      </c>
      <c r="L160" s="459">
        <f>Производительность!L160</f>
        <v>0</v>
      </c>
      <c r="M160" s="459">
        <f>Производительность!M160</f>
        <v>0</v>
      </c>
      <c r="N160" s="459">
        <f>Производительность!N160</f>
        <v>0</v>
      </c>
      <c r="O160" s="459">
        <f>Производительность!O160</f>
        <v>0</v>
      </c>
      <c r="P160" s="459">
        <f>Производительность!P160</f>
        <v>0</v>
      </c>
      <c r="Q160" s="459">
        <f>Производительность!Q160</f>
        <v>0</v>
      </c>
      <c r="R160" s="459">
        <f>Производительность!R160</f>
        <v>0</v>
      </c>
      <c r="S160" s="459">
        <f>Производительность!S160</f>
        <v>0</v>
      </c>
      <c r="T160" s="459">
        <f>Производительность!T160</f>
        <v>0</v>
      </c>
      <c r="U160" s="459">
        <f>Производительность!U160</f>
        <v>0</v>
      </c>
      <c r="V160" s="459">
        <f>Производительность!V160</f>
        <v>0</v>
      </c>
      <c r="W160" s="459">
        <f>Производительность!W160</f>
        <v>0</v>
      </c>
      <c r="X160" s="459">
        <f>Производительность!X160</f>
        <v>0</v>
      </c>
      <c r="Y160" s="179"/>
    </row>
    <row r="161" spans="1:25" x14ac:dyDescent="0.25">
      <c r="A161" s="139">
        <f t="shared" si="29"/>
        <v>0</v>
      </c>
      <c r="B161" s="30"/>
      <c r="C161" s="31">
        <f t="shared" si="43"/>
        <v>0</v>
      </c>
      <c r="D161" s="9" t="str">
        <f t="shared" si="44"/>
        <v>км/час</v>
      </c>
      <c r="E161" s="459">
        <f>Производительность!E161</f>
        <v>0</v>
      </c>
      <c r="F161" s="459">
        <f>Производительность!F161</f>
        <v>0</v>
      </c>
      <c r="G161" s="459">
        <f>Производительность!G161</f>
        <v>0</v>
      </c>
      <c r="H161" s="459">
        <f>Производительность!H161</f>
        <v>0</v>
      </c>
      <c r="I161" s="459">
        <f>Производительность!I161</f>
        <v>0</v>
      </c>
      <c r="J161" s="459">
        <f>Производительность!J161</f>
        <v>0</v>
      </c>
      <c r="K161" s="459">
        <f>Производительность!K161</f>
        <v>0</v>
      </c>
      <c r="L161" s="459">
        <f>Производительность!L161</f>
        <v>0</v>
      </c>
      <c r="M161" s="459">
        <f>Производительность!M161</f>
        <v>0</v>
      </c>
      <c r="N161" s="459">
        <f>Производительность!N161</f>
        <v>0</v>
      </c>
      <c r="O161" s="459">
        <f>Производительность!O161</f>
        <v>0</v>
      </c>
      <c r="P161" s="459">
        <f>Производительность!P161</f>
        <v>0</v>
      </c>
      <c r="Q161" s="459">
        <f>Производительность!Q161</f>
        <v>0</v>
      </c>
      <c r="R161" s="459">
        <f>Производительность!R161</f>
        <v>0</v>
      </c>
      <c r="S161" s="459">
        <f>Производительность!S161</f>
        <v>0</v>
      </c>
      <c r="T161" s="459">
        <f>Производительность!T161</f>
        <v>0</v>
      </c>
      <c r="U161" s="459">
        <f>Производительность!U161</f>
        <v>0</v>
      </c>
      <c r="V161" s="459">
        <f>Производительность!V161</f>
        <v>0</v>
      </c>
      <c r="W161" s="459">
        <f>Производительность!W161</f>
        <v>0</v>
      </c>
      <c r="X161" s="459">
        <f>Производительность!X161</f>
        <v>0</v>
      </c>
      <c r="Y161" s="179"/>
    </row>
    <row r="162" spans="1:25" x14ac:dyDescent="0.25">
      <c r="A162" s="139">
        <f t="shared" si="29"/>
        <v>0</v>
      </c>
      <c r="B162" s="30"/>
      <c r="C162" s="31">
        <f t="shared" si="43"/>
        <v>0</v>
      </c>
      <c r="D162" s="9" t="str">
        <f t="shared" si="44"/>
        <v>км/час</v>
      </c>
      <c r="E162" s="459">
        <f>Производительность!E162</f>
        <v>0</v>
      </c>
      <c r="F162" s="459">
        <f>Производительность!F162</f>
        <v>0</v>
      </c>
      <c r="G162" s="459">
        <f>Производительность!G162</f>
        <v>0</v>
      </c>
      <c r="H162" s="459">
        <f>Производительность!H162</f>
        <v>0</v>
      </c>
      <c r="I162" s="459">
        <f>Производительность!I162</f>
        <v>0</v>
      </c>
      <c r="J162" s="459">
        <f>Производительность!J162</f>
        <v>0</v>
      </c>
      <c r="K162" s="459">
        <f>Производительность!K162</f>
        <v>0</v>
      </c>
      <c r="L162" s="459">
        <f>Производительность!L162</f>
        <v>0</v>
      </c>
      <c r="M162" s="459">
        <f>Производительность!M162</f>
        <v>0</v>
      </c>
      <c r="N162" s="459">
        <f>Производительность!N162</f>
        <v>0</v>
      </c>
      <c r="O162" s="459">
        <f>Производительность!O162</f>
        <v>0</v>
      </c>
      <c r="P162" s="459">
        <f>Производительность!P162</f>
        <v>0</v>
      </c>
      <c r="Q162" s="459">
        <f>Производительность!Q162</f>
        <v>0</v>
      </c>
      <c r="R162" s="459">
        <f>Производительность!R162</f>
        <v>0</v>
      </c>
      <c r="S162" s="459">
        <f>Производительность!S162</f>
        <v>0</v>
      </c>
      <c r="T162" s="459">
        <f>Производительность!T162</f>
        <v>0</v>
      </c>
      <c r="U162" s="459">
        <f>Производительность!U162</f>
        <v>0</v>
      </c>
      <c r="V162" s="459">
        <f>Производительность!V162</f>
        <v>0</v>
      </c>
      <c r="W162" s="459">
        <f>Производительность!W162</f>
        <v>0</v>
      </c>
      <c r="X162" s="459">
        <f>Производительность!X162</f>
        <v>0</v>
      </c>
      <c r="Y162" s="179"/>
    </row>
    <row r="163" spans="1:25" x14ac:dyDescent="0.25">
      <c r="A163" s="139">
        <f t="shared" si="29"/>
        <v>0</v>
      </c>
      <c r="B163" s="30"/>
      <c r="C163" s="31">
        <f t="shared" si="43"/>
        <v>0</v>
      </c>
      <c r="D163" s="9" t="str">
        <f t="shared" si="44"/>
        <v>км/час</v>
      </c>
      <c r="E163" s="459">
        <f>Производительность!E163</f>
        <v>0</v>
      </c>
      <c r="F163" s="459">
        <f>Производительность!F163</f>
        <v>0</v>
      </c>
      <c r="G163" s="459">
        <f>Производительность!G163</f>
        <v>0</v>
      </c>
      <c r="H163" s="459">
        <f>Производительность!H163</f>
        <v>0</v>
      </c>
      <c r="I163" s="459">
        <f>Производительность!I163</f>
        <v>0</v>
      </c>
      <c r="J163" s="459">
        <f>Производительность!J163</f>
        <v>0</v>
      </c>
      <c r="K163" s="459">
        <f>Производительность!K163</f>
        <v>0</v>
      </c>
      <c r="L163" s="459">
        <f>Производительность!L163</f>
        <v>0</v>
      </c>
      <c r="M163" s="459">
        <f>Производительность!M163</f>
        <v>0</v>
      </c>
      <c r="N163" s="459">
        <f>Производительность!N163</f>
        <v>0</v>
      </c>
      <c r="O163" s="459">
        <f>Производительность!O163</f>
        <v>0</v>
      </c>
      <c r="P163" s="459">
        <f>Производительность!P163</f>
        <v>0</v>
      </c>
      <c r="Q163" s="459">
        <f>Производительность!Q163</f>
        <v>0</v>
      </c>
      <c r="R163" s="459">
        <f>Производительность!R163</f>
        <v>0</v>
      </c>
      <c r="S163" s="459">
        <f>Производительность!S163</f>
        <v>0</v>
      </c>
      <c r="T163" s="459">
        <f>Производительность!T163</f>
        <v>0</v>
      </c>
      <c r="U163" s="459">
        <f>Производительность!U163</f>
        <v>0</v>
      </c>
      <c r="V163" s="459">
        <f>Производительность!V163</f>
        <v>0</v>
      </c>
      <c r="W163" s="459">
        <f>Производительность!W163</f>
        <v>0</v>
      </c>
      <c r="X163" s="459">
        <f>Производительность!X163</f>
        <v>0</v>
      </c>
      <c r="Y163" s="179"/>
    </row>
    <row r="164" spans="1:25" x14ac:dyDescent="0.25">
      <c r="A164" s="139">
        <f t="shared" si="29"/>
        <v>0</v>
      </c>
      <c r="B164" s="30"/>
      <c r="C164" s="31">
        <f t="shared" si="43"/>
        <v>0</v>
      </c>
      <c r="D164" s="9" t="str">
        <f t="shared" si="44"/>
        <v>км/час</v>
      </c>
      <c r="E164" s="459">
        <f>Производительность!E164</f>
        <v>0</v>
      </c>
      <c r="F164" s="459">
        <f>Производительность!F164</f>
        <v>0</v>
      </c>
      <c r="G164" s="459">
        <f>Производительность!G164</f>
        <v>0</v>
      </c>
      <c r="H164" s="459">
        <f>Производительность!H164</f>
        <v>0</v>
      </c>
      <c r="I164" s="459">
        <f>Производительность!I164</f>
        <v>0</v>
      </c>
      <c r="J164" s="459">
        <f>Производительность!J164</f>
        <v>0</v>
      </c>
      <c r="K164" s="459">
        <f>Производительность!K164</f>
        <v>0</v>
      </c>
      <c r="L164" s="459">
        <f>Производительность!L164</f>
        <v>0</v>
      </c>
      <c r="M164" s="459">
        <f>Производительность!M164</f>
        <v>0</v>
      </c>
      <c r="N164" s="459">
        <f>Производительность!N164</f>
        <v>0</v>
      </c>
      <c r="O164" s="459">
        <f>Производительность!O164</f>
        <v>0</v>
      </c>
      <c r="P164" s="459">
        <f>Производительность!P164</f>
        <v>0</v>
      </c>
      <c r="Q164" s="459">
        <f>Производительность!Q164</f>
        <v>0</v>
      </c>
      <c r="R164" s="459">
        <f>Производительность!R164</f>
        <v>0</v>
      </c>
      <c r="S164" s="459">
        <f>Производительность!S164</f>
        <v>0</v>
      </c>
      <c r="T164" s="459">
        <f>Производительность!T164</f>
        <v>0</v>
      </c>
      <c r="U164" s="459">
        <f>Производительность!U164</f>
        <v>0</v>
      </c>
      <c r="V164" s="459">
        <f>Производительность!V164</f>
        <v>0</v>
      </c>
      <c r="W164" s="459">
        <f>Производительность!W164</f>
        <v>0</v>
      </c>
      <c r="X164" s="459">
        <f>Производительность!X164</f>
        <v>0</v>
      </c>
      <c r="Y164" s="179"/>
    </row>
    <row r="165" spans="1:25" x14ac:dyDescent="0.25">
      <c r="A165" s="139">
        <f t="shared" si="29"/>
        <v>0</v>
      </c>
      <c r="B165" s="30"/>
      <c r="C165" s="31">
        <f t="shared" si="43"/>
        <v>0</v>
      </c>
      <c r="D165" s="9" t="str">
        <f t="shared" si="44"/>
        <v>км/час</v>
      </c>
      <c r="E165" s="459">
        <f>Производительность!E165</f>
        <v>0</v>
      </c>
      <c r="F165" s="459">
        <f>Производительность!F165</f>
        <v>0</v>
      </c>
      <c r="G165" s="459">
        <f>Производительность!G165</f>
        <v>0</v>
      </c>
      <c r="H165" s="459">
        <f>Производительность!H165</f>
        <v>0</v>
      </c>
      <c r="I165" s="459">
        <f>Производительность!I165</f>
        <v>0</v>
      </c>
      <c r="J165" s="459">
        <f>Производительность!J165</f>
        <v>0</v>
      </c>
      <c r="K165" s="459">
        <f>Производительность!K165</f>
        <v>0</v>
      </c>
      <c r="L165" s="459">
        <f>Производительность!L165</f>
        <v>0</v>
      </c>
      <c r="M165" s="459">
        <f>Производительность!M165</f>
        <v>0</v>
      </c>
      <c r="N165" s="459">
        <f>Производительность!N165</f>
        <v>0</v>
      </c>
      <c r="O165" s="459">
        <f>Производительность!O165</f>
        <v>0</v>
      </c>
      <c r="P165" s="459">
        <f>Производительность!P165</f>
        <v>0</v>
      </c>
      <c r="Q165" s="459">
        <f>Производительность!Q165</f>
        <v>0</v>
      </c>
      <c r="R165" s="459">
        <f>Производительность!R165</f>
        <v>0</v>
      </c>
      <c r="S165" s="459">
        <f>Производительность!S165</f>
        <v>0</v>
      </c>
      <c r="T165" s="459">
        <f>Производительность!T165</f>
        <v>0</v>
      </c>
      <c r="U165" s="459">
        <f>Производительность!U165</f>
        <v>0</v>
      </c>
      <c r="V165" s="459">
        <f>Производительность!V165</f>
        <v>0</v>
      </c>
      <c r="W165" s="459">
        <f>Производительность!W165</f>
        <v>0</v>
      </c>
      <c r="X165" s="459">
        <f>Производительность!X165</f>
        <v>0</v>
      </c>
      <c r="Y165" s="179"/>
    </row>
    <row r="166" spans="1:25" x14ac:dyDescent="0.25">
      <c r="A166" s="139">
        <f t="shared" si="29"/>
        <v>0</v>
      </c>
      <c r="B166" s="30"/>
      <c r="C166" s="31">
        <f t="shared" si="43"/>
        <v>0</v>
      </c>
      <c r="D166" s="9" t="str">
        <f t="shared" si="44"/>
        <v>км/час</v>
      </c>
      <c r="E166" s="459">
        <f>Производительность!E166</f>
        <v>0</v>
      </c>
      <c r="F166" s="459">
        <f>Производительность!F166</f>
        <v>0</v>
      </c>
      <c r="G166" s="459">
        <f>Производительность!G166</f>
        <v>0</v>
      </c>
      <c r="H166" s="459">
        <f>Производительность!H166</f>
        <v>0</v>
      </c>
      <c r="I166" s="459">
        <f>Производительность!I166</f>
        <v>0</v>
      </c>
      <c r="J166" s="459">
        <f>Производительность!J166</f>
        <v>0</v>
      </c>
      <c r="K166" s="459">
        <f>Производительность!K166</f>
        <v>0</v>
      </c>
      <c r="L166" s="459">
        <f>Производительность!L166</f>
        <v>0</v>
      </c>
      <c r="M166" s="459">
        <f>Производительность!M166</f>
        <v>0</v>
      </c>
      <c r="N166" s="459">
        <f>Производительность!N166</f>
        <v>0</v>
      </c>
      <c r="O166" s="459">
        <f>Производительность!O166</f>
        <v>0</v>
      </c>
      <c r="P166" s="459">
        <f>Производительность!P166</f>
        <v>0</v>
      </c>
      <c r="Q166" s="459">
        <f>Производительность!Q166</f>
        <v>0</v>
      </c>
      <c r="R166" s="459">
        <f>Производительность!R166</f>
        <v>0</v>
      </c>
      <c r="S166" s="459">
        <f>Производительность!S166</f>
        <v>0</v>
      </c>
      <c r="T166" s="459">
        <f>Производительность!T166</f>
        <v>0</v>
      </c>
      <c r="U166" s="459">
        <f>Производительность!U166</f>
        <v>0</v>
      </c>
      <c r="V166" s="459">
        <f>Производительность!V166</f>
        <v>0</v>
      </c>
      <c r="W166" s="459">
        <f>Производительность!W166</f>
        <v>0</v>
      </c>
      <c r="X166" s="459">
        <f>Производительность!X166</f>
        <v>0</v>
      </c>
      <c r="Y166" s="179"/>
    </row>
    <row r="167" spans="1:25" x14ac:dyDescent="0.25">
      <c r="A167" s="139">
        <f t="shared" si="29"/>
        <v>1</v>
      </c>
      <c r="B167" s="68">
        <f>B151+1</f>
        <v>9</v>
      </c>
      <c r="C167" s="98" t="s">
        <v>114</v>
      </c>
      <c r="D167" s="9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179"/>
    </row>
    <row r="168" spans="1:25" x14ac:dyDescent="0.25">
      <c r="A168" s="139">
        <f t="shared" ref="A168:A231" si="45">A152</f>
        <v>1</v>
      </c>
      <c r="B168" s="30"/>
      <c r="C168" s="31" t="str">
        <f>C152</f>
        <v>NHL NTE 240</v>
      </c>
      <c r="D168" s="9" t="s">
        <v>115</v>
      </c>
      <c r="E168" s="74">
        <f>E184+E200+E216</f>
        <v>24.639986337701309</v>
      </c>
      <c r="F168" s="74">
        <f t="shared" ref="F168:X182" si="46">F184+F200+F216</f>
        <v>26.404397357964598</v>
      </c>
      <c r="G168" s="74">
        <f t="shared" si="46"/>
        <v>30.020865828591035</v>
      </c>
      <c r="H168" s="74">
        <f t="shared" si="46"/>
        <v>29.268600127385554</v>
      </c>
      <c r="I168" s="74">
        <f t="shared" si="46"/>
        <v>34.019977484896572</v>
      </c>
      <c r="J168" s="74">
        <f t="shared" si="46"/>
        <v>37.016779792827812</v>
      </c>
      <c r="K168" s="74">
        <f t="shared" si="46"/>
        <v>32.010933776724514</v>
      </c>
      <c r="L168" s="74">
        <f t="shared" si="46"/>
        <v>32.582928055469118</v>
      </c>
      <c r="M168" s="74">
        <f t="shared" si="46"/>
        <v>37.16611153249638</v>
      </c>
      <c r="N168" s="74">
        <f t="shared" si="46"/>
        <v>34.151142493110086</v>
      </c>
      <c r="O168" s="74">
        <f t="shared" si="46"/>
        <v>33.723784520551668</v>
      </c>
      <c r="P168" s="74">
        <f t="shared" si="46"/>
        <v>39.050862486337785</v>
      </c>
      <c r="Q168" s="74">
        <f>Q184+Q200+Q216</f>
        <v>39.557298696470752</v>
      </c>
      <c r="R168" s="74">
        <f t="shared" si="46"/>
        <v>40.708014041870058</v>
      </c>
      <c r="S168" s="74">
        <f t="shared" si="46"/>
        <v>40.456704514975677</v>
      </c>
      <c r="T168" s="74">
        <f t="shared" si="46"/>
        <v>38.375159002248758</v>
      </c>
      <c r="U168" s="74">
        <f t="shared" si="46"/>
        <v>30.074668977320936</v>
      </c>
      <c r="V168" s="74">
        <f t="shared" si="46"/>
        <v>33.146622746606255</v>
      </c>
      <c r="W168" s="74">
        <f t="shared" si="46"/>
        <v>40.312127947500812</v>
      </c>
      <c r="X168" s="74">
        <f t="shared" si="46"/>
        <v>44.647919543218066</v>
      </c>
      <c r="Y168" s="179"/>
    </row>
    <row r="169" spans="1:25" x14ac:dyDescent="0.25">
      <c r="A169" s="139">
        <f t="shared" si="45"/>
        <v>1</v>
      </c>
      <c r="B169" s="30"/>
      <c r="C169" s="31" t="str">
        <f t="shared" ref="C169:C182" si="47">C153</f>
        <v>Estar ESDE240 (ГПБ К)</v>
      </c>
      <c r="D169" s="9" t="str">
        <f>D168</f>
        <v>мин</v>
      </c>
      <c r="E169" s="74">
        <f t="shared" ref="E169:T182" si="48">E185+E201+E217</f>
        <v>24.639986337701309</v>
      </c>
      <c r="F169" s="74">
        <f t="shared" si="48"/>
        <v>26.404397357964598</v>
      </c>
      <c r="G169" s="74">
        <f t="shared" si="48"/>
        <v>30.020865828591035</v>
      </c>
      <c r="H169" s="74">
        <f t="shared" si="48"/>
        <v>29.268600127385554</v>
      </c>
      <c r="I169" s="74">
        <f t="shared" si="48"/>
        <v>34.019977484896572</v>
      </c>
      <c r="J169" s="74">
        <f t="shared" si="48"/>
        <v>37.016779792827812</v>
      </c>
      <c r="K169" s="74">
        <f t="shared" si="48"/>
        <v>32.010933776724514</v>
      </c>
      <c r="L169" s="74">
        <f t="shared" si="48"/>
        <v>32.582928055469118</v>
      </c>
      <c r="M169" s="74">
        <f t="shared" si="48"/>
        <v>37.16611153249638</v>
      </c>
      <c r="N169" s="74">
        <f t="shared" si="48"/>
        <v>34.151142493110086</v>
      </c>
      <c r="O169" s="74">
        <f t="shared" si="48"/>
        <v>33.723784520551668</v>
      </c>
      <c r="P169" s="74">
        <f t="shared" si="48"/>
        <v>39.050862486337785</v>
      </c>
      <c r="Q169" s="74">
        <f t="shared" si="48"/>
        <v>39.557298696470752</v>
      </c>
      <c r="R169" s="74">
        <f t="shared" si="48"/>
        <v>40.708014041870058</v>
      </c>
      <c r="S169" s="74">
        <f t="shared" si="48"/>
        <v>40.456704514975677</v>
      </c>
      <c r="T169" s="74">
        <f t="shared" si="48"/>
        <v>38.375159002248758</v>
      </c>
      <c r="U169" s="74">
        <f t="shared" si="46"/>
        <v>30.074668977320936</v>
      </c>
      <c r="V169" s="74">
        <f t="shared" si="46"/>
        <v>33.146622746606255</v>
      </c>
      <c r="W169" s="74">
        <f t="shared" si="46"/>
        <v>40.312127947500812</v>
      </c>
      <c r="X169" s="74">
        <f t="shared" si="46"/>
        <v>44.647919543218066</v>
      </c>
      <c r="Y169" s="179"/>
    </row>
    <row r="170" spans="1:25" x14ac:dyDescent="0.25">
      <c r="A170" s="139">
        <f t="shared" si="45"/>
        <v>1</v>
      </c>
      <c r="B170" s="30"/>
      <c r="C170" s="31" t="str">
        <f t="shared" si="47"/>
        <v>SANY SET240S</v>
      </c>
      <c r="D170" s="9" t="str">
        <f t="shared" ref="D170:D182" si="49">D169</f>
        <v>мин</v>
      </c>
      <c r="E170" s="74">
        <f t="shared" si="48"/>
        <v>24.639986337701309</v>
      </c>
      <c r="F170" s="74">
        <f t="shared" si="46"/>
        <v>26.404397357964598</v>
      </c>
      <c r="G170" s="74">
        <f t="shared" si="46"/>
        <v>30.020865828591035</v>
      </c>
      <c r="H170" s="74">
        <f t="shared" si="46"/>
        <v>29.268600127385554</v>
      </c>
      <c r="I170" s="74">
        <f t="shared" si="46"/>
        <v>34.019977484896572</v>
      </c>
      <c r="J170" s="74">
        <f t="shared" si="46"/>
        <v>37.016779792827812</v>
      </c>
      <c r="K170" s="74">
        <f t="shared" si="46"/>
        <v>32.010933776724514</v>
      </c>
      <c r="L170" s="74">
        <f t="shared" si="46"/>
        <v>32.582928055469118</v>
      </c>
      <c r="M170" s="74">
        <f t="shared" si="46"/>
        <v>37.16611153249638</v>
      </c>
      <c r="N170" s="74">
        <f t="shared" si="46"/>
        <v>34.151142493110086</v>
      </c>
      <c r="O170" s="74">
        <f t="shared" si="46"/>
        <v>33.723784520551668</v>
      </c>
      <c r="P170" s="74">
        <f t="shared" si="46"/>
        <v>39.050862486337785</v>
      </c>
      <c r="Q170" s="74">
        <f t="shared" si="46"/>
        <v>39.557298696470752</v>
      </c>
      <c r="R170" s="74">
        <f t="shared" si="46"/>
        <v>40.708014041870058</v>
      </c>
      <c r="S170" s="74">
        <f t="shared" si="46"/>
        <v>40.456704514975677</v>
      </c>
      <c r="T170" s="74">
        <f t="shared" si="46"/>
        <v>38.375159002248758</v>
      </c>
      <c r="U170" s="74">
        <f t="shared" si="46"/>
        <v>30.074668977320936</v>
      </c>
      <c r="V170" s="74">
        <f t="shared" si="46"/>
        <v>33.146622746606255</v>
      </c>
      <c r="W170" s="74">
        <f t="shared" si="46"/>
        <v>40.312127947500812</v>
      </c>
      <c r="X170" s="74">
        <f t="shared" si="46"/>
        <v>44.647919543218066</v>
      </c>
      <c r="Y170" s="179"/>
    </row>
    <row r="171" spans="1:25" x14ac:dyDescent="0.25">
      <c r="A171" s="139">
        <f t="shared" si="45"/>
        <v>1</v>
      </c>
      <c r="B171" s="30"/>
      <c r="C171" s="31" t="str">
        <f t="shared" si="47"/>
        <v>TZCO TZE240</v>
      </c>
      <c r="D171" s="9" t="str">
        <f t="shared" si="49"/>
        <v>мин</v>
      </c>
      <c r="E171" s="74">
        <f t="shared" si="48"/>
        <v>24.639986337701309</v>
      </c>
      <c r="F171" s="74">
        <f t="shared" si="46"/>
        <v>26.404397357964598</v>
      </c>
      <c r="G171" s="74">
        <f t="shared" si="46"/>
        <v>30.020865828591035</v>
      </c>
      <c r="H171" s="74">
        <f t="shared" si="46"/>
        <v>29.268600127385554</v>
      </c>
      <c r="I171" s="74">
        <f t="shared" si="46"/>
        <v>34.019977484896572</v>
      </c>
      <c r="J171" s="74">
        <f t="shared" si="46"/>
        <v>37.016779792827812</v>
      </c>
      <c r="K171" s="74">
        <f t="shared" si="46"/>
        <v>32.010933776724514</v>
      </c>
      <c r="L171" s="74">
        <f t="shared" si="46"/>
        <v>32.582928055469118</v>
      </c>
      <c r="M171" s="74">
        <f t="shared" si="46"/>
        <v>37.16611153249638</v>
      </c>
      <c r="N171" s="74">
        <f t="shared" si="46"/>
        <v>34.151142493110086</v>
      </c>
      <c r="O171" s="74">
        <f t="shared" si="46"/>
        <v>33.723784520551668</v>
      </c>
      <c r="P171" s="74">
        <f t="shared" si="46"/>
        <v>39.050862486337785</v>
      </c>
      <c r="Q171" s="74">
        <f t="shared" si="46"/>
        <v>39.557298696470752</v>
      </c>
      <c r="R171" s="74">
        <f t="shared" si="46"/>
        <v>40.708014041870058</v>
      </c>
      <c r="S171" s="74">
        <f t="shared" si="46"/>
        <v>40.456704514975677</v>
      </c>
      <c r="T171" s="74">
        <f t="shared" si="46"/>
        <v>38.375159002248758</v>
      </c>
      <c r="U171" s="74">
        <f t="shared" si="46"/>
        <v>30.074668977320936</v>
      </c>
      <c r="V171" s="74">
        <f t="shared" si="46"/>
        <v>33.146622746606255</v>
      </c>
      <c r="W171" s="74">
        <f t="shared" si="46"/>
        <v>40.312127947500812</v>
      </c>
      <c r="X171" s="74">
        <f t="shared" si="46"/>
        <v>44.647919543218066</v>
      </c>
      <c r="Y171" s="179"/>
    </row>
    <row r="172" spans="1:25" x14ac:dyDescent="0.25">
      <c r="A172" s="139">
        <f t="shared" si="45"/>
        <v>1</v>
      </c>
      <c r="B172" s="30"/>
      <c r="C172" s="31" t="str">
        <f t="shared" si="47"/>
        <v>БелАЗ 7531 (ГПФК)</v>
      </c>
      <c r="D172" s="9" t="str">
        <f t="shared" si="49"/>
        <v>мин</v>
      </c>
      <c r="E172" s="74">
        <f t="shared" si="48"/>
        <v>24.639986337701309</v>
      </c>
      <c r="F172" s="74">
        <f t="shared" si="46"/>
        <v>26.404397357964598</v>
      </c>
      <c r="G172" s="74">
        <f t="shared" si="46"/>
        <v>30.020865828591035</v>
      </c>
      <c r="H172" s="74">
        <f t="shared" si="46"/>
        <v>29.268600127385554</v>
      </c>
      <c r="I172" s="74">
        <f t="shared" si="46"/>
        <v>34.019977484896572</v>
      </c>
      <c r="J172" s="74">
        <f t="shared" si="46"/>
        <v>37.016779792827812</v>
      </c>
      <c r="K172" s="74">
        <f t="shared" si="46"/>
        <v>32.010933776724514</v>
      </c>
      <c r="L172" s="74">
        <f t="shared" si="46"/>
        <v>32.582928055469118</v>
      </c>
      <c r="M172" s="74">
        <f t="shared" si="46"/>
        <v>37.16611153249638</v>
      </c>
      <c r="N172" s="74">
        <f t="shared" si="46"/>
        <v>34.151142493110086</v>
      </c>
      <c r="O172" s="74">
        <f t="shared" si="46"/>
        <v>33.723784520551668</v>
      </c>
      <c r="P172" s="74">
        <f t="shared" si="46"/>
        <v>39.050862486337785</v>
      </c>
      <c r="Q172" s="74">
        <f t="shared" si="46"/>
        <v>39.557298696470752</v>
      </c>
      <c r="R172" s="74">
        <f t="shared" si="46"/>
        <v>40.708014041870058</v>
      </c>
      <c r="S172" s="74">
        <f t="shared" si="46"/>
        <v>40.456704514975677</v>
      </c>
      <c r="T172" s="74">
        <f t="shared" si="46"/>
        <v>38.375159002248758</v>
      </c>
      <c r="U172" s="74">
        <f t="shared" si="46"/>
        <v>30.074668977320936</v>
      </c>
      <c r="V172" s="74">
        <f t="shared" si="46"/>
        <v>33.146622746606255</v>
      </c>
      <c r="W172" s="74">
        <f t="shared" si="46"/>
        <v>40.312127947500812</v>
      </c>
      <c r="X172" s="74">
        <f t="shared" si="46"/>
        <v>44.647919543218066</v>
      </c>
      <c r="Y172" s="179"/>
    </row>
    <row r="173" spans="1:25" x14ac:dyDescent="0.25">
      <c r="A173" s="139">
        <f t="shared" si="45"/>
        <v>1</v>
      </c>
      <c r="B173" s="30"/>
      <c r="C173" s="31" t="str">
        <f t="shared" si="47"/>
        <v>XCMG 240</v>
      </c>
      <c r="D173" s="9" t="str">
        <f t="shared" si="49"/>
        <v>мин</v>
      </c>
      <c r="E173" s="74">
        <f t="shared" si="48"/>
        <v>24.639986337701309</v>
      </c>
      <c r="F173" s="74">
        <f t="shared" si="46"/>
        <v>26.404397357964598</v>
      </c>
      <c r="G173" s="74">
        <f t="shared" si="46"/>
        <v>30.020865828591035</v>
      </c>
      <c r="H173" s="74">
        <f t="shared" si="46"/>
        <v>29.268600127385554</v>
      </c>
      <c r="I173" s="74">
        <f t="shared" si="46"/>
        <v>34.019977484896572</v>
      </c>
      <c r="J173" s="74">
        <f t="shared" si="46"/>
        <v>37.016779792827812</v>
      </c>
      <c r="K173" s="74">
        <f t="shared" si="46"/>
        <v>32.010933776724514</v>
      </c>
      <c r="L173" s="74">
        <f t="shared" si="46"/>
        <v>32.582928055469118</v>
      </c>
      <c r="M173" s="74">
        <f t="shared" si="46"/>
        <v>37.16611153249638</v>
      </c>
      <c r="N173" s="74">
        <f t="shared" si="46"/>
        <v>34.151142493110086</v>
      </c>
      <c r="O173" s="74">
        <f t="shared" si="46"/>
        <v>33.723784520551668</v>
      </c>
      <c r="P173" s="74">
        <f t="shared" si="46"/>
        <v>39.050862486337785</v>
      </c>
      <c r="Q173" s="74">
        <f t="shared" si="46"/>
        <v>39.557298696470752</v>
      </c>
      <c r="R173" s="74">
        <f t="shared" si="46"/>
        <v>40.708014041870058</v>
      </c>
      <c r="S173" s="74">
        <f t="shared" si="46"/>
        <v>40.456704514975677</v>
      </c>
      <c r="T173" s="74">
        <f t="shared" si="46"/>
        <v>38.375159002248758</v>
      </c>
      <c r="U173" s="74">
        <f t="shared" si="46"/>
        <v>30.074668977320936</v>
      </c>
      <c r="V173" s="74">
        <f t="shared" si="46"/>
        <v>33.146622746606255</v>
      </c>
      <c r="W173" s="74">
        <f t="shared" si="46"/>
        <v>40.312127947500812</v>
      </c>
      <c r="X173" s="74">
        <f t="shared" si="46"/>
        <v>44.647919543218066</v>
      </c>
      <c r="Y173" s="179"/>
    </row>
    <row r="174" spans="1:25" x14ac:dyDescent="0.25">
      <c r="A174" s="139">
        <f t="shared" si="45"/>
        <v>1</v>
      </c>
      <c r="B174" s="30"/>
      <c r="C174" s="31" t="str">
        <f t="shared" si="47"/>
        <v>БелАЗ 7531 (БТЛ)</v>
      </c>
      <c r="D174" s="9" t="str">
        <f t="shared" si="49"/>
        <v>мин</v>
      </c>
      <c r="E174" s="74">
        <f t="shared" si="48"/>
        <v>24.639986337701309</v>
      </c>
      <c r="F174" s="74">
        <f t="shared" si="46"/>
        <v>26.404397357964598</v>
      </c>
      <c r="G174" s="74">
        <f t="shared" si="46"/>
        <v>30.020865828591035</v>
      </c>
      <c r="H174" s="74">
        <f t="shared" si="46"/>
        <v>29.268600127385554</v>
      </c>
      <c r="I174" s="74">
        <f t="shared" si="46"/>
        <v>34.019977484896572</v>
      </c>
      <c r="J174" s="74">
        <f t="shared" si="46"/>
        <v>37.016779792827812</v>
      </c>
      <c r="K174" s="74">
        <f t="shared" si="46"/>
        <v>32.010933776724514</v>
      </c>
      <c r="L174" s="74">
        <f t="shared" si="46"/>
        <v>32.582928055469118</v>
      </c>
      <c r="M174" s="74">
        <f t="shared" si="46"/>
        <v>37.16611153249638</v>
      </c>
      <c r="N174" s="74">
        <f t="shared" si="46"/>
        <v>34.151142493110086</v>
      </c>
      <c r="O174" s="74">
        <f t="shared" si="46"/>
        <v>33.723784520551668</v>
      </c>
      <c r="P174" s="74">
        <f t="shared" si="46"/>
        <v>39.050862486337785</v>
      </c>
      <c r="Q174" s="74">
        <f t="shared" si="46"/>
        <v>39.557298696470752</v>
      </c>
      <c r="R174" s="74">
        <f t="shared" si="46"/>
        <v>40.708014041870058</v>
      </c>
      <c r="S174" s="74">
        <f t="shared" si="46"/>
        <v>40.456704514975677</v>
      </c>
      <c r="T174" s="74">
        <f t="shared" si="46"/>
        <v>38.375159002248758</v>
      </c>
      <c r="U174" s="74">
        <f t="shared" si="46"/>
        <v>30.074668977320936</v>
      </c>
      <c r="V174" s="74">
        <f t="shared" si="46"/>
        <v>33.146622746606255</v>
      </c>
      <c r="W174" s="74">
        <f t="shared" si="46"/>
        <v>40.312127947500812</v>
      </c>
      <c r="X174" s="74">
        <f t="shared" si="46"/>
        <v>44.647919543218066</v>
      </c>
      <c r="Y174" s="179"/>
    </row>
    <row r="175" spans="1:25" x14ac:dyDescent="0.25">
      <c r="A175" s="139">
        <f t="shared" si="45"/>
        <v>0</v>
      </c>
      <c r="B175" s="30"/>
      <c r="C175" s="31">
        <f t="shared" si="47"/>
        <v>0</v>
      </c>
      <c r="D175" s="9" t="str">
        <f t="shared" si="49"/>
        <v>мин</v>
      </c>
      <c r="E175" s="74">
        <f t="shared" si="48"/>
        <v>0</v>
      </c>
      <c r="F175" s="74">
        <f t="shared" si="46"/>
        <v>0</v>
      </c>
      <c r="G175" s="74">
        <f t="shared" si="46"/>
        <v>0</v>
      </c>
      <c r="H175" s="74">
        <f t="shared" si="46"/>
        <v>0</v>
      </c>
      <c r="I175" s="74">
        <f t="shared" si="46"/>
        <v>0</v>
      </c>
      <c r="J175" s="74">
        <f t="shared" si="46"/>
        <v>0</v>
      </c>
      <c r="K175" s="74">
        <f t="shared" si="46"/>
        <v>0</v>
      </c>
      <c r="L175" s="74">
        <f t="shared" si="46"/>
        <v>0</v>
      </c>
      <c r="M175" s="74">
        <f t="shared" si="46"/>
        <v>0</v>
      </c>
      <c r="N175" s="74">
        <f t="shared" si="46"/>
        <v>0</v>
      </c>
      <c r="O175" s="74">
        <f t="shared" si="46"/>
        <v>0</v>
      </c>
      <c r="P175" s="74">
        <f t="shared" si="46"/>
        <v>0</v>
      </c>
      <c r="Q175" s="74">
        <f t="shared" si="46"/>
        <v>0</v>
      </c>
      <c r="R175" s="74">
        <f t="shared" si="46"/>
        <v>0</v>
      </c>
      <c r="S175" s="74">
        <f t="shared" si="46"/>
        <v>0</v>
      </c>
      <c r="T175" s="74">
        <f t="shared" si="46"/>
        <v>0</v>
      </c>
      <c r="U175" s="74">
        <f t="shared" si="46"/>
        <v>0</v>
      </c>
      <c r="V175" s="74">
        <f t="shared" si="46"/>
        <v>0</v>
      </c>
      <c r="W175" s="74">
        <f t="shared" si="46"/>
        <v>0</v>
      </c>
      <c r="X175" s="74">
        <f t="shared" si="46"/>
        <v>0</v>
      </c>
      <c r="Y175" s="179"/>
    </row>
    <row r="176" spans="1:25" x14ac:dyDescent="0.25">
      <c r="A176" s="139">
        <f t="shared" si="45"/>
        <v>0</v>
      </c>
      <c r="B176" s="30"/>
      <c r="C176" s="31">
        <f t="shared" si="47"/>
        <v>0</v>
      </c>
      <c r="D176" s="9" t="str">
        <f t="shared" si="49"/>
        <v>мин</v>
      </c>
      <c r="E176" s="74">
        <f t="shared" si="48"/>
        <v>0</v>
      </c>
      <c r="F176" s="74">
        <f t="shared" si="46"/>
        <v>0</v>
      </c>
      <c r="G176" s="74">
        <f t="shared" si="46"/>
        <v>0</v>
      </c>
      <c r="H176" s="74">
        <f t="shared" si="46"/>
        <v>0</v>
      </c>
      <c r="I176" s="74">
        <f t="shared" si="46"/>
        <v>0</v>
      </c>
      <c r="J176" s="74">
        <f t="shared" si="46"/>
        <v>0</v>
      </c>
      <c r="K176" s="74">
        <f t="shared" si="46"/>
        <v>0</v>
      </c>
      <c r="L176" s="74">
        <f t="shared" si="46"/>
        <v>0</v>
      </c>
      <c r="M176" s="74">
        <f t="shared" si="46"/>
        <v>0</v>
      </c>
      <c r="N176" s="74">
        <f t="shared" si="46"/>
        <v>0</v>
      </c>
      <c r="O176" s="74">
        <f t="shared" si="46"/>
        <v>0</v>
      </c>
      <c r="P176" s="74">
        <f t="shared" si="46"/>
        <v>0</v>
      </c>
      <c r="Q176" s="74">
        <f t="shared" si="46"/>
        <v>0</v>
      </c>
      <c r="R176" s="74">
        <f t="shared" si="46"/>
        <v>0</v>
      </c>
      <c r="S176" s="74">
        <f t="shared" si="46"/>
        <v>0</v>
      </c>
      <c r="T176" s="74">
        <f t="shared" si="46"/>
        <v>0</v>
      </c>
      <c r="U176" s="74">
        <f t="shared" si="46"/>
        <v>0</v>
      </c>
      <c r="V176" s="74">
        <f t="shared" si="46"/>
        <v>0</v>
      </c>
      <c r="W176" s="74">
        <f t="shared" si="46"/>
        <v>0</v>
      </c>
      <c r="X176" s="74">
        <f t="shared" si="46"/>
        <v>0</v>
      </c>
      <c r="Y176" s="179"/>
    </row>
    <row r="177" spans="1:25" x14ac:dyDescent="0.25">
      <c r="A177" s="139">
        <f t="shared" si="45"/>
        <v>0</v>
      </c>
      <c r="B177" s="30"/>
      <c r="C177" s="31">
        <f t="shared" si="47"/>
        <v>0</v>
      </c>
      <c r="D177" s="9" t="str">
        <f t="shared" si="49"/>
        <v>мин</v>
      </c>
      <c r="E177" s="74">
        <f t="shared" si="48"/>
        <v>0</v>
      </c>
      <c r="F177" s="74">
        <f t="shared" si="46"/>
        <v>0</v>
      </c>
      <c r="G177" s="74">
        <f t="shared" si="46"/>
        <v>0</v>
      </c>
      <c r="H177" s="74">
        <f t="shared" si="46"/>
        <v>0</v>
      </c>
      <c r="I177" s="74">
        <f t="shared" si="46"/>
        <v>0</v>
      </c>
      <c r="J177" s="74">
        <f t="shared" si="46"/>
        <v>0</v>
      </c>
      <c r="K177" s="74">
        <f t="shared" si="46"/>
        <v>0</v>
      </c>
      <c r="L177" s="74">
        <f t="shared" si="46"/>
        <v>0</v>
      </c>
      <c r="M177" s="74">
        <f t="shared" si="46"/>
        <v>0</v>
      </c>
      <c r="N177" s="74">
        <f t="shared" si="46"/>
        <v>0</v>
      </c>
      <c r="O177" s="74">
        <f t="shared" si="46"/>
        <v>0</v>
      </c>
      <c r="P177" s="74">
        <f t="shared" si="46"/>
        <v>0</v>
      </c>
      <c r="Q177" s="74">
        <f t="shared" si="46"/>
        <v>0</v>
      </c>
      <c r="R177" s="74">
        <f t="shared" si="46"/>
        <v>0</v>
      </c>
      <c r="S177" s="74">
        <f t="shared" si="46"/>
        <v>0</v>
      </c>
      <c r="T177" s="74">
        <f t="shared" si="46"/>
        <v>0</v>
      </c>
      <c r="U177" s="74">
        <f t="shared" si="46"/>
        <v>0</v>
      </c>
      <c r="V177" s="74">
        <f t="shared" si="46"/>
        <v>0</v>
      </c>
      <c r="W177" s="74">
        <f t="shared" si="46"/>
        <v>0</v>
      </c>
      <c r="X177" s="74">
        <f t="shared" si="46"/>
        <v>0</v>
      </c>
      <c r="Y177" s="179"/>
    </row>
    <row r="178" spans="1:25" x14ac:dyDescent="0.25">
      <c r="A178" s="139">
        <f t="shared" si="45"/>
        <v>0</v>
      </c>
      <c r="B178" s="30"/>
      <c r="C178" s="31">
        <f t="shared" si="47"/>
        <v>0</v>
      </c>
      <c r="D178" s="9" t="str">
        <f t="shared" si="49"/>
        <v>мин</v>
      </c>
      <c r="E178" s="74">
        <f t="shared" si="48"/>
        <v>0</v>
      </c>
      <c r="F178" s="74">
        <f t="shared" si="46"/>
        <v>0</v>
      </c>
      <c r="G178" s="74">
        <f t="shared" si="46"/>
        <v>0</v>
      </c>
      <c r="H178" s="74">
        <f t="shared" si="46"/>
        <v>0</v>
      </c>
      <c r="I178" s="74">
        <f t="shared" si="46"/>
        <v>0</v>
      </c>
      <c r="J178" s="74">
        <f t="shared" si="46"/>
        <v>0</v>
      </c>
      <c r="K178" s="74">
        <f t="shared" si="46"/>
        <v>0</v>
      </c>
      <c r="L178" s="74">
        <f t="shared" si="46"/>
        <v>0</v>
      </c>
      <c r="M178" s="74">
        <f t="shared" si="46"/>
        <v>0</v>
      </c>
      <c r="N178" s="74">
        <f t="shared" si="46"/>
        <v>0</v>
      </c>
      <c r="O178" s="74">
        <f t="shared" si="46"/>
        <v>0</v>
      </c>
      <c r="P178" s="74">
        <f t="shared" si="46"/>
        <v>0</v>
      </c>
      <c r="Q178" s="74">
        <f t="shared" si="46"/>
        <v>0</v>
      </c>
      <c r="R178" s="74">
        <f t="shared" si="46"/>
        <v>0</v>
      </c>
      <c r="S178" s="74">
        <f t="shared" si="46"/>
        <v>0</v>
      </c>
      <c r="T178" s="74">
        <f t="shared" si="46"/>
        <v>0</v>
      </c>
      <c r="U178" s="74">
        <f t="shared" si="46"/>
        <v>0</v>
      </c>
      <c r="V178" s="74">
        <f t="shared" si="46"/>
        <v>0</v>
      </c>
      <c r="W178" s="74">
        <f t="shared" si="46"/>
        <v>0</v>
      </c>
      <c r="X178" s="74">
        <f t="shared" si="46"/>
        <v>0</v>
      </c>
      <c r="Y178" s="179"/>
    </row>
    <row r="179" spans="1:25" x14ac:dyDescent="0.25">
      <c r="A179" s="139">
        <f t="shared" si="45"/>
        <v>0</v>
      </c>
      <c r="B179" s="30"/>
      <c r="C179" s="31">
        <f t="shared" si="47"/>
        <v>0</v>
      </c>
      <c r="D179" s="9" t="str">
        <f t="shared" si="49"/>
        <v>мин</v>
      </c>
      <c r="E179" s="74">
        <f t="shared" si="48"/>
        <v>0</v>
      </c>
      <c r="F179" s="74">
        <f t="shared" si="46"/>
        <v>0</v>
      </c>
      <c r="G179" s="74">
        <f t="shared" si="46"/>
        <v>0</v>
      </c>
      <c r="H179" s="74">
        <f t="shared" si="46"/>
        <v>0</v>
      </c>
      <c r="I179" s="74">
        <f t="shared" si="46"/>
        <v>0</v>
      </c>
      <c r="J179" s="74">
        <f t="shared" si="46"/>
        <v>0</v>
      </c>
      <c r="K179" s="74">
        <f t="shared" si="46"/>
        <v>0</v>
      </c>
      <c r="L179" s="74">
        <f t="shared" si="46"/>
        <v>0</v>
      </c>
      <c r="M179" s="74">
        <f t="shared" si="46"/>
        <v>0</v>
      </c>
      <c r="N179" s="74">
        <f t="shared" si="46"/>
        <v>0</v>
      </c>
      <c r="O179" s="74">
        <f t="shared" si="46"/>
        <v>0</v>
      </c>
      <c r="P179" s="74">
        <f t="shared" si="46"/>
        <v>0</v>
      </c>
      <c r="Q179" s="74">
        <f t="shared" si="46"/>
        <v>0</v>
      </c>
      <c r="R179" s="74">
        <f t="shared" si="46"/>
        <v>0</v>
      </c>
      <c r="S179" s="74">
        <f t="shared" si="46"/>
        <v>0</v>
      </c>
      <c r="T179" s="74">
        <f t="shared" si="46"/>
        <v>0</v>
      </c>
      <c r="U179" s="74">
        <f t="shared" si="46"/>
        <v>0</v>
      </c>
      <c r="V179" s="74">
        <f t="shared" si="46"/>
        <v>0</v>
      </c>
      <c r="W179" s="74">
        <f t="shared" si="46"/>
        <v>0</v>
      </c>
      <c r="X179" s="74">
        <f t="shared" si="46"/>
        <v>0</v>
      </c>
      <c r="Y179" s="179"/>
    </row>
    <row r="180" spans="1:25" x14ac:dyDescent="0.25">
      <c r="A180" s="139">
        <f t="shared" si="45"/>
        <v>0</v>
      </c>
      <c r="B180" s="30"/>
      <c r="C180" s="31">
        <f t="shared" si="47"/>
        <v>0</v>
      </c>
      <c r="D180" s="9" t="str">
        <f t="shared" si="49"/>
        <v>мин</v>
      </c>
      <c r="E180" s="74">
        <f t="shared" si="48"/>
        <v>0</v>
      </c>
      <c r="F180" s="74">
        <f t="shared" si="46"/>
        <v>0</v>
      </c>
      <c r="G180" s="74">
        <f t="shared" si="46"/>
        <v>0</v>
      </c>
      <c r="H180" s="74">
        <f t="shared" si="46"/>
        <v>0</v>
      </c>
      <c r="I180" s="74">
        <f t="shared" si="46"/>
        <v>0</v>
      </c>
      <c r="J180" s="74">
        <f t="shared" si="46"/>
        <v>0</v>
      </c>
      <c r="K180" s="74">
        <f t="shared" si="46"/>
        <v>0</v>
      </c>
      <c r="L180" s="74">
        <f t="shared" si="46"/>
        <v>0</v>
      </c>
      <c r="M180" s="74">
        <f t="shared" si="46"/>
        <v>0</v>
      </c>
      <c r="N180" s="74">
        <f t="shared" si="46"/>
        <v>0</v>
      </c>
      <c r="O180" s="74">
        <f t="shared" si="46"/>
        <v>0</v>
      </c>
      <c r="P180" s="74">
        <f t="shared" si="46"/>
        <v>0</v>
      </c>
      <c r="Q180" s="74">
        <f t="shared" si="46"/>
        <v>0</v>
      </c>
      <c r="R180" s="74">
        <f t="shared" si="46"/>
        <v>0</v>
      </c>
      <c r="S180" s="74">
        <f t="shared" si="46"/>
        <v>0</v>
      </c>
      <c r="T180" s="74">
        <f t="shared" si="46"/>
        <v>0</v>
      </c>
      <c r="U180" s="74">
        <f t="shared" si="46"/>
        <v>0</v>
      </c>
      <c r="V180" s="74">
        <f t="shared" si="46"/>
        <v>0</v>
      </c>
      <c r="W180" s="74">
        <f t="shared" si="46"/>
        <v>0</v>
      </c>
      <c r="X180" s="74">
        <f t="shared" si="46"/>
        <v>0</v>
      </c>
      <c r="Y180" s="179"/>
    </row>
    <row r="181" spans="1:25" x14ac:dyDescent="0.25">
      <c r="A181" s="139">
        <f t="shared" si="45"/>
        <v>0</v>
      </c>
      <c r="B181" s="30"/>
      <c r="C181" s="31">
        <f t="shared" si="47"/>
        <v>0</v>
      </c>
      <c r="D181" s="9" t="str">
        <f t="shared" si="49"/>
        <v>мин</v>
      </c>
      <c r="E181" s="74">
        <f t="shared" si="48"/>
        <v>0</v>
      </c>
      <c r="F181" s="74">
        <f t="shared" si="46"/>
        <v>0</v>
      </c>
      <c r="G181" s="74">
        <f t="shared" si="46"/>
        <v>0</v>
      </c>
      <c r="H181" s="74">
        <f t="shared" si="46"/>
        <v>0</v>
      </c>
      <c r="I181" s="74">
        <f t="shared" si="46"/>
        <v>0</v>
      </c>
      <c r="J181" s="74">
        <f t="shared" si="46"/>
        <v>0</v>
      </c>
      <c r="K181" s="74">
        <f t="shared" si="46"/>
        <v>0</v>
      </c>
      <c r="L181" s="74">
        <f t="shared" si="46"/>
        <v>0</v>
      </c>
      <c r="M181" s="74">
        <f t="shared" si="46"/>
        <v>0</v>
      </c>
      <c r="N181" s="74">
        <f t="shared" si="46"/>
        <v>0</v>
      </c>
      <c r="O181" s="74">
        <f t="shared" si="46"/>
        <v>0</v>
      </c>
      <c r="P181" s="74">
        <f t="shared" si="46"/>
        <v>0</v>
      </c>
      <c r="Q181" s="74">
        <f t="shared" si="46"/>
        <v>0</v>
      </c>
      <c r="R181" s="74">
        <f t="shared" si="46"/>
        <v>0</v>
      </c>
      <c r="S181" s="74">
        <f t="shared" si="46"/>
        <v>0</v>
      </c>
      <c r="T181" s="74">
        <f t="shared" si="46"/>
        <v>0</v>
      </c>
      <c r="U181" s="74">
        <f t="shared" si="46"/>
        <v>0</v>
      </c>
      <c r="V181" s="74">
        <f t="shared" si="46"/>
        <v>0</v>
      </c>
      <c r="W181" s="74">
        <f t="shared" si="46"/>
        <v>0</v>
      </c>
      <c r="X181" s="74">
        <f t="shared" si="46"/>
        <v>0</v>
      </c>
      <c r="Y181" s="179"/>
    </row>
    <row r="182" spans="1:25" x14ac:dyDescent="0.25">
      <c r="A182" s="139">
        <f t="shared" si="45"/>
        <v>0</v>
      </c>
      <c r="B182" s="30"/>
      <c r="C182" s="31">
        <f t="shared" si="47"/>
        <v>0</v>
      </c>
      <c r="D182" s="9" t="str">
        <f t="shared" si="49"/>
        <v>мин</v>
      </c>
      <c r="E182" s="74">
        <f t="shared" si="48"/>
        <v>0</v>
      </c>
      <c r="F182" s="74">
        <f t="shared" si="46"/>
        <v>0</v>
      </c>
      <c r="G182" s="74">
        <f t="shared" si="46"/>
        <v>0</v>
      </c>
      <c r="H182" s="74">
        <f t="shared" si="46"/>
        <v>0</v>
      </c>
      <c r="I182" s="74">
        <f t="shared" si="46"/>
        <v>0</v>
      </c>
      <c r="J182" s="74">
        <f t="shared" si="46"/>
        <v>0</v>
      </c>
      <c r="K182" s="74">
        <f t="shared" ref="K182:X182" si="50">K198+K214+K230</f>
        <v>0</v>
      </c>
      <c r="L182" s="74">
        <f t="shared" si="50"/>
        <v>0</v>
      </c>
      <c r="M182" s="74">
        <f t="shared" si="50"/>
        <v>0</v>
      </c>
      <c r="N182" s="74">
        <f t="shared" si="50"/>
        <v>0</v>
      </c>
      <c r="O182" s="74">
        <f t="shared" si="50"/>
        <v>0</v>
      </c>
      <c r="P182" s="74">
        <f t="shared" si="50"/>
        <v>0</v>
      </c>
      <c r="Q182" s="74">
        <f t="shared" si="50"/>
        <v>0</v>
      </c>
      <c r="R182" s="74">
        <f t="shared" si="50"/>
        <v>0</v>
      </c>
      <c r="S182" s="74">
        <f t="shared" si="50"/>
        <v>0</v>
      </c>
      <c r="T182" s="74">
        <f t="shared" si="50"/>
        <v>0</v>
      </c>
      <c r="U182" s="74">
        <f t="shared" si="50"/>
        <v>0</v>
      </c>
      <c r="V182" s="74">
        <f t="shared" si="50"/>
        <v>0</v>
      </c>
      <c r="W182" s="74">
        <f t="shared" si="50"/>
        <v>0</v>
      </c>
      <c r="X182" s="74">
        <f t="shared" si="50"/>
        <v>0</v>
      </c>
      <c r="Y182" s="179"/>
    </row>
    <row r="183" spans="1:25" x14ac:dyDescent="0.25">
      <c r="A183" s="139">
        <f t="shared" si="45"/>
        <v>1</v>
      </c>
      <c r="B183" s="9">
        <f>B167+0.1</f>
        <v>9.1</v>
      </c>
      <c r="C183" s="147" t="s">
        <v>116</v>
      </c>
      <c r="D183" s="9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179"/>
    </row>
    <row r="184" spans="1:25" x14ac:dyDescent="0.25">
      <c r="A184" s="139">
        <f t="shared" si="45"/>
        <v>1</v>
      </c>
      <c r="B184" s="30"/>
      <c r="C184" s="31" t="str">
        <f>C168</f>
        <v>NHL NTE 240</v>
      </c>
      <c r="D184" s="9" t="s">
        <v>115</v>
      </c>
      <c r="E184" s="462">
        <f>Производительность!E184</f>
        <v>7.8999999999999995</v>
      </c>
      <c r="F184" s="149">
        <f>E184</f>
        <v>7.8999999999999995</v>
      </c>
      <c r="G184" s="149">
        <f t="shared" ref="G184:V184" si="51">F184</f>
        <v>7.8999999999999995</v>
      </c>
      <c r="H184" s="149">
        <f t="shared" si="51"/>
        <v>7.8999999999999995</v>
      </c>
      <c r="I184" s="149">
        <f t="shared" si="51"/>
        <v>7.8999999999999995</v>
      </c>
      <c r="J184" s="149">
        <f t="shared" si="51"/>
        <v>7.8999999999999995</v>
      </c>
      <c r="K184" s="149">
        <f t="shared" si="51"/>
        <v>7.8999999999999995</v>
      </c>
      <c r="L184" s="149">
        <f t="shared" si="51"/>
        <v>7.8999999999999995</v>
      </c>
      <c r="M184" s="149">
        <f t="shared" si="51"/>
        <v>7.8999999999999995</v>
      </c>
      <c r="N184" s="149">
        <f t="shared" si="51"/>
        <v>7.8999999999999995</v>
      </c>
      <c r="O184" s="149">
        <f t="shared" si="51"/>
        <v>7.8999999999999995</v>
      </c>
      <c r="P184" s="149">
        <f t="shared" si="51"/>
        <v>7.8999999999999995</v>
      </c>
      <c r="Q184" s="149">
        <f t="shared" si="51"/>
        <v>7.8999999999999995</v>
      </c>
      <c r="R184" s="149">
        <f t="shared" si="51"/>
        <v>7.8999999999999995</v>
      </c>
      <c r="S184" s="149">
        <f t="shared" si="51"/>
        <v>7.8999999999999995</v>
      </c>
      <c r="T184" s="149">
        <f t="shared" si="51"/>
        <v>7.8999999999999995</v>
      </c>
      <c r="U184" s="149">
        <f t="shared" si="51"/>
        <v>7.8999999999999995</v>
      </c>
      <c r="V184" s="149">
        <f t="shared" si="51"/>
        <v>7.8999999999999995</v>
      </c>
      <c r="W184" s="149">
        <f t="shared" ref="V184:X198" si="52">V184</f>
        <v>7.8999999999999995</v>
      </c>
      <c r="X184" s="149">
        <f t="shared" si="52"/>
        <v>7.8999999999999995</v>
      </c>
      <c r="Y184" s="179"/>
    </row>
    <row r="185" spans="1:25" x14ac:dyDescent="0.25">
      <c r="A185" s="139">
        <f t="shared" si="45"/>
        <v>1</v>
      </c>
      <c r="B185" s="30"/>
      <c r="C185" s="31" t="str">
        <f t="shared" ref="C185:C198" si="53">C169</f>
        <v>Estar ESDE240 (ГПБ К)</v>
      </c>
      <c r="D185" s="9" t="str">
        <f>D184</f>
        <v>мин</v>
      </c>
      <c r="E185" s="462">
        <f>Производительность!E185</f>
        <v>7.8999999999999995</v>
      </c>
      <c r="F185" s="149">
        <f t="shared" ref="F185:U198" si="54">E185</f>
        <v>7.8999999999999995</v>
      </c>
      <c r="G185" s="149">
        <f t="shared" si="54"/>
        <v>7.8999999999999995</v>
      </c>
      <c r="H185" s="149">
        <f t="shared" si="54"/>
        <v>7.8999999999999995</v>
      </c>
      <c r="I185" s="149">
        <f t="shared" si="54"/>
        <v>7.8999999999999995</v>
      </c>
      <c r="J185" s="149">
        <f t="shared" si="54"/>
        <v>7.8999999999999995</v>
      </c>
      <c r="K185" s="149">
        <f t="shared" si="54"/>
        <v>7.8999999999999995</v>
      </c>
      <c r="L185" s="149">
        <f t="shared" si="54"/>
        <v>7.8999999999999995</v>
      </c>
      <c r="M185" s="149">
        <f t="shared" si="54"/>
        <v>7.8999999999999995</v>
      </c>
      <c r="N185" s="149">
        <f t="shared" si="54"/>
        <v>7.8999999999999995</v>
      </c>
      <c r="O185" s="149">
        <f t="shared" si="54"/>
        <v>7.8999999999999995</v>
      </c>
      <c r="P185" s="149">
        <f t="shared" si="54"/>
        <v>7.8999999999999995</v>
      </c>
      <c r="Q185" s="149">
        <f t="shared" si="54"/>
        <v>7.8999999999999995</v>
      </c>
      <c r="R185" s="149">
        <f t="shared" si="54"/>
        <v>7.8999999999999995</v>
      </c>
      <c r="S185" s="149">
        <f t="shared" si="54"/>
        <v>7.8999999999999995</v>
      </c>
      <c r="T185" s="149">
        <f t="shared" si="54"/>
        <v>7.8999999999999995</v>
      </c>
      <c r="U185" s="149">
        <f t="shared" si="54"/>
        <v>7.8999999999999995</v>
      </c>
      <c r="V185" s="149">
        <f t="shared" si="52"/>
        <v>7.8999999999999995</v>
      </c>
      <c r="W185" s="149">
        <f t="shared" si="52"/>
        <v>7.8999999999999995</v>
      </c>
      <c r="X185" s="149">
        <f t="shared" si="52"/>
        <v>7.8999999999999995</v>
      </c>
      <c r="Y185" s="179"/>
    </row>
    <row r="186" spans="1:25" x14ac:dyDescent="0.25">
      <c r="A186" s="139">
        <f t="shared" si="45"/>
        <v>1</v>
      </c>
      <c r="B186" s="30"/>
      <c r="C186" s="31" t="str">
        <f t="shared" si="53"/>
        <v>SANY SET240S</v>
      </c>
      <c r="D186" s="9" t="str">
        <f t="shared" ref="D186:D198" si="55">D185</f>
        <v>мин</v>
      </c>
      <c r="E186" s="462">
        <f>Производительность!E186</f>
        <v>7.8999999999999995</v>
      </c>
      <c r="F186" s="149">
        <f t="shared" si="54"/>
        <v>7.8999999999999995</v>
      </c>
      <c r="G186" s="149">
        <f t="shared" si="54"/>
        <v>7.8999999999999995</v>
      </c>
      <c r="H186" s="149">
        <f t="shared" si="54"/>
        <v>7.8999999999999995</v>
      </c>
      <c r="I186" s="149">
        <f t="shared" si="54"/>
        <v>7.8999999999999995</v>
      </c>
      <c r="J186" s="149">
        <f t="shared" si="54"/>
        <v>7.8999999999999995</v>
      </c>
      <c r="K186" s="149">
        <f t="shared" si="54"/>
        <v>7.8999999999999995</v>
      </c>
      <c r="L186" s="149">
        <f t="shared" si="54"/>
        <v>7.8999999999999995</v>
      </c>
      <c r="M186" s="149">
        <f t="shared" si="54"/>
        <v>7.8999999999999995</v>
      </c>
      <c r="N186" s="149">
        <f t="shared" si="54"/>
        <v>7.8999999999999995</v>
      </c>
      <c r="O186" s="149">
        <f t="shared" si="54"/>
        <v>7.8999999999999995</v>
      </c>
      <c r="P186" s="149">
        <f t="shared" si="54"/>
        <v>7.8999999999999995</v>
      </c>
      <c r="Q186" s="149">
        <f t="shared" si="54"/>
        <v>7.8999999999999995</v>
      </c>
      <c r="R186" s="149">
        <f t="shared" si="54"/>
        <v>7.8999999999999995</v>
      </c>
      <c r="S186" s="149">
        <f t="shared" si="54"/>
        <v>7.8999999999999995</v>
      </c>
      <c r="T186" s="149">
        <f t="shared" si="54"/>
        <v>7.8999999999999995</v>
      </c>
      <c r="U186" s="149">
        <f t="shared" si="54"/>
        <v>7.8999999999999995</v>
      </c>
      <c r="V186" s="149">
        <f t="shared" si="52"/>
        <v>7.8999999999999995</v>
      </c>
      <c r="W186" s="149">
        <f t="shared" si="52"/>
        <v>7.8999999999999995</v>
      </c>
      <c r="X186" s="149">
        <f t="shared" si="52"/>
        <v>7.8999999999999995</v>
      </c>
      <c r="Y186" s="179"/>
    </row>
    <row r="187" spans="1:25" x14ac:dyDescent="0.25">
      <c r="A187" s="139">
        <f t="shared" si="45"/>
        <v>1</v>
      </c>
      <c r="B187" s="30"/>
      <c r="C187" s="31" t="str">
        <f t="shared" si="53"/>
        <v>TZCO TZE240</v>
      </c>
      <c r="D187" s="9" t="str">
        <f t="shared" si="55"/>
        <v>мин</v>
      </c>
      <c r="E187" s="462">
        <f>Производительность!E187</f>
        <v>7.8999999999999995</v>
      </c>
      <c r="F187" s="149">
        <f t="shared" si="54"/>
        <v>7.8999999999999995</v>
      </c>
      <c r="G187" s="149">
        <f t="shared" si="54"/>
        <v>7.8999999999999995</v>
      </c>
      <c r="H187" s="149">
        <f t="shared" si="54"/>
        <v>7.8999999999999995</v>
      </c>
      <c r="I187" s="149">
        <f t="shared" si="54"/>
        <v>7.8999999999999995</v>
      </c>
      <c r="J187" s="149">
        <f t="shared" si="54"/>
        <v>7.8999999999999995</v>
      </c>
      <c r="K187" s="149">
        <f t="shared" si="54"/>
        <v>7.8999999999999995</v>
      </c>
      <c r="L187" s="149">
        <f t="shared" si="54"/>
        <v>7.8999999999999995</v>
      </c>
      <c r="M187" s="149">
        <f t="shared" si="54"/>
        <v>7.8999999999999995</v>
      </c>
      <c r="N187" s="149">
        <f t="shared" si="54"/>
        <v>7.8999999999999995</v>
      </c>
      <c r="O187" s="149">
        <f t="shared" si="54"/>
        <v>7.8999999999999995</v>
      </c>
      <c r="P187" s="149">
        <f t="shared" si="54"/>
        <v>7.8999999999999995</v>
      </c>
      <c r="Q187" s="149">
        <f t="shared" si="54"/>
        <v>7.8999999999999995</v>
      </c>
      <c r="R187" s="149">
        <f t="shared" si="54"/>
        <v>7.8999999999999995</v>
      </c>
      <c r="S187" s="149">
        <f t="shared" si="54"/>
        <v>7.8999999999999995</v>
      </c>
      <c r="T187" s="149">
        <f t="shared" si="54"/>
        <v>7.8999999999999995</v>
      </c>
      <c r="U187" s="149">
        <f t="shared" si="54"/>
        <v>7.8999999999999995</v>
      </c>
      <c r="V187" s="149">
        <f t="shared" si="52"/>
        <v>7.8999999999999995</v>
      </c>
      <c r="W187" s="149">
        <f t="shared" si="52"/>
        <v>7.8999999999999995</v>
      </c>
      <c r="X187" s="149">
        <f t="shared" si="52"/>
        <v>7.8999999999999995</v>
      </c>
      <c r="Y187" s="179"/>
    </row>
    <row r="188" spans="1:25" x14ac:dyDescent="0.25">
      <c r="A188" s="139">
        <f t="shared" si="45"/>
        <v>1</v>
      </c>
      <c r="B188" s="30"/>
      <c r="C188" s="31" t="str">
        <f t="shared" si="53"/>
        <v>БелАЗ 7531 (ГПФК)</v>
      </c>
      <c r="D188" s="9" t="str">
        <f t="shared" si="55"/>
        <v>мин</v>
      </c>
      <c r="E188" s="462">
        <f>Производительность!E188</f>
        <v>7.8999999999999995</v>
      </c>
      <c r="F188" s="149">
        <f t="shared" si="54"/>
        <v>7.8999999999999995</v>
      </c>
      <c r="G188" s="149">
        <f t="shared" si="54"/>
        <v>7.8999999999999995</v>
      </c>
      <c r="H188" s="149">
        <f t="shared" si="54"/>
        <v>7.8999999999999995</v>
      </c>
      <c r="I188" s="149">
        <f t="shared" si="54"/>
        <v>7.8999999999999995</v>
      </c>
      <c r="J188" s="149">
        <f t="shared" si="54"/>
        <v>7.8999999999999995</v>
      </c>
      <c r="K188" s="149">
        <f t="shared" si="54"/>
        <v>7.8999999999999995</v>
      </c>
      <c r="L188" s="149">
        <f t="shared" si="54"/>
        <v>7.8999999999999995</v>
      </c>
      <c r="M188" s="149">
        <f t="shared" si="54"/>
        <v>7.8999999999999995</v>
      </c>
      <c r="N188" s="149">
        <f t="shared" si="54"/>
        <v>7.8999999999999995</v>
      </c>
      <c r="O188" s="149">
        <f t="shared" si="54"/>
        <v>7.8999999999999995</v>
      </c>
      <c r="P188" s="149">
        <f t="shared" si="54"/>
        <v>7.8999999999999995</v>
      </c>
      <c r="Q188" s="149">
        <f t="shared" si="54"/>
        <v>7.8999999999999995</v>
      </c>
      <c r="R188" s="149">
        <f t="shared" si="54"/>
        <v>7.8999999999999995</v>
      </c>
      <c r="S188" s="149">
        <f t="shared" si="54"/>
        <v>7.8999999999999995</v>
      </c>
      <c r="T188" s="149">
        <f t="shared" si="54"/>
        <v>7.8999999999999995</v>
      </c>
      <c r="U188" s="149">
        <f t="shared" si="54"/>
        <v>7.8999999999999995</v>
      </c>
      <c r="V188" s="149">
        <f t="shared" si="52"/>
        <v>7.8999999999999995</v>
      </c>
      <c r="W188" s="149">
        <f t="shared" si="52"/>
        <v>7.8999999999999995</v>
      </c>
      <c r="X188" s="149">
        <f t="shared" si="52"/>
        <v>7.8999999999999995</v>
      </c>
      <c r="Y188" s="179"/>
    </row>
    <row r="189" spans="1:25" x14ac:dyDescent="0.25">
      <c r="A189" s="139">
        <f t="shared" si="45"/>
        <v>1</v>
      </c>
      <c r="B189" s="30"/>
      <c r="C189" s="31" t="str">
        <f t="shared" si="53"/>
        <v>XCMG 240</v>
      </c>
      <c r="D189" s="9" t="str">
        <f t="shared" si="55"/>
        <v>мин</v>
      </c>
      <c r="E189" s="462">
        <f>Производительность!E189</f>
        <v>7.8999999999999995</v>
      </c>
      <c r="F189" s="149">
        <f t="shared" si="54"/>
        <v>7.8999999999999995</v>
      </c>
      <c r="G189" s="149">
        <f t="shared" si="54"/>
        <v>7.8999999999999995</v>
      </c>
      <c r="H189" s="149">
        <f t="shared" si="54"/>
        <v>7.8999999999999995</v>
      </c>
      <c r="I189" s="149">
        <f t="shared" si="54"/>
        <v>7.8999999999999995</v>
      </c>
      <c r="J189" s="149">
        <f t="shared" si="54"/>
        <v>7.8999999999999995</v>
      </c>
      <c r="K189" s="149">
        <f t="shared" si="54"/>
        <v>7.8999999999999995</v>
      </c>
      <c r="L189" s="149">
        <f t="shared" si="54"/>
        <v>7.8999999999999995</v>
      </c>
      <c r="M189" s="149">
        <f t="shared" si="54"/>
        <v>7.8999999999999995</v>
      </c>
      <c r="N189" s="149">
        <f t="shared" si="54"/>
        <v>7.8999999999999995</v>
      </c>
      <c r="O189" s="149">
        <f t="shared" si="54"/>
        <v>7.8999999999999995</v>
      </c>
      <c r="P189" s="149">
        <f t="shared" si="54"/>
        <v>7.8999999999999995</v>
      </c>
      <c r="Q189" s="149">
        <f t="shared" si="54"/>
        <v>7.8999999999999995</v>
      </c>
      <c r="R189" s="149">
        <f t="shared" si="54"/>
        <v>7.8999999999999995</v>
      </c>
      <c r="S189" s="149">
        <f t="shared" si="54"/>
        <v>7.8999999999999995</v>
      </c>
      <c r="T189" s="149">
        <f t="shared" si="54"/>
        <v>7.8999999999999995</v>
      </c>
      <c r="U189" s="149">
        <f t="shared" si="54"/>
        <v>7.8999999999999995</v>
      </c>
      <c r="V189" s="149">
        <f t="shared" si="52"/>
        <v>7.8999999999999995</v>
      </c>
      <c r="W189" s="149">
        <f t="shared" si="52"/>
        <v>7.8999999999999995</v>
      </c>
      <c r="X189" s="149">
        <f t="shared" si="52"/>
        <v>7.8999999999999995</v>
      </c>
      <c r="Y189" s="179"/>
    </row>
    <row r="190" spans="1:25" x14ac:dyDescent="0.25">
      <c r="A190" s="139">
        <f t="shared" si="45"/>
        <v>1</v>
      </c>
      <c r="B190" s="30"/>
      <c r="C190" s="31" t="str">
        <f t="shared" si="53"/>
        <v>БелАЗ 7531 (БТЛ)</v>
      </c>
      <c r="D190" s="9" t="str">
        <f t="shared" si="55"/>
        <v>мин</v>
      </c>
      <c r="E190" s="462">
        <f>Производительность!E190</f>
        <v>7.8999999999999995</v>
      </c>
      <c r="F190" s="149">
        <f t="shared" si="54"/>
        <v>7.8999999999999995</v>
      </c>
      <c r="G190" s="149">
        <f t="shared" si="54"/>
        <v>7.8999999999999995</v>
      </c>
      <c r="H190" s="149">
        <f t="shared" si="54"/>
        <v>7.8999999999999995</v>
      </c>
      <c r="I190" s="149">
        <f t="shared" si="54"/>
        <v>7.8999999999999995</v>
      </c>
      <c r="J190" s="149">
        <f t="shared" si="54"/>
        <v>7.8999999999999995</v>
      </c>
      <c r="K190" s="149">
        <f t="shared" si="54"/>
        <v>7.8999999999999995</v>
      </c>
      <c r="L190" s="149">
        <f t="shared" si="54"/>
        <v>7.8999999999999995</v>
      </c>
      <c r="M190" s="149">
        <f t="shared" si="54"/>
        <v>7.8999999999999995</v>
      </c>
      <c r="N190" s="149">
        <f t="shared" si="54"/>
        <v>7.8999999999999995</v>
      </c>
      <c r="O190" s="149">
        <f t="shared" si="54"/>
        <v>7.8999999999999995</v>
      </c>
      <c r="P190" s="149">
        <f t="shared" si="54"/>
        <v>7.8999999999999995</v>
      </c>
      <c r="Q190" s="149">
        <f t="shared" si="54"/>
        <v>7.8999999999999995</v>
      </c>
      <c r="R190" s="149">
        <f t="shared" si="54"/>
        <v>7.8999999999999995</v>
      </c>
      <c r="S190" s="149">
        <f t="shared" si="54"/>
        <v>7.8999999999999995</v>
      </c>
      <c r="T190" s="149">
        <f t="shared" si="54"/>
        <v>7.8999999999999995</v>
      </c>
      <c r="U190" s="149">
        <f t="shared" si="54"/>
        <v>7.8999999999999995</v>
      </c>
      <c r="V190" s="149">
        <f t="shared" si="52"/>
        <v>7.8999999999999995</v>
      </c>
      <c r="W190" s="149">
        <f t="shared" si="52"/>
        <v>7.8999999999999995</v>
      </c>
      <c r="X190" s="149">
        <f t="shared" si="52"/>
        <v>7.8999999999999995</v>
      </c>
      <c r="Y190" s="179"/>
    </row>
    <row r="191" spans="1:25" x14ac:dyDescent="0.25">
      <c r="A191" s="139">
        <f t="shared" si="45"/>
        <v>0</v>
      </c>
      <c r="B191" s="30"/>
      <c r="C191" s="31">
        <f t="shared" si="53"/>
        <v>0</v>
      </c>
      <c r="D191" s="9" t="str">
        <f t="shared" si="55"/>
        <v>мин</v>
      </c>
      <c r="E191" s="462">
        <f>Производительность!E191</f>
        <v>0</v>
      </c>
      <c r="F191" s="149">
        <f t="shared" si="54"/>
        <v>0</v>
      </c>
      <c r="G191" s="149">
        <f t="shared" si="54"/>
        <v>0</v>
      </c>
      <c r="H191" s="149">
        <f t="shared" si="54"/>
        <v>0</v>
      </c>
      <c r="I191" s="149">
        <f t="shared" si="54"/>
        <v>0</v>
      </c>
      <c r="J191" s="149">
        <f t="shared" si="54"/>
        <v>0</v>
      </c>
      <c r="K191" s="149">
        <f t="shared" si="54"/>
        <v>0</v>
      </c>
      <c r="L191" s="149">
        <f t="shared" si="54"/>
        <v>0</v>
      </c>
      <c r="M191" s="149">
        <f t="shared" si="54"/>
        <v>0</v>
      </c>
      <c r="N191" s="149">
        <f t="shared" si="54"/>
        <v>0</v>
      </c>
      <c r="O191" s="149">
        <f t="shared" si="54"/>
        <v>0</v>
      </c>
      <c r="P191" s="149">
        <f t="shared" si="54"/>
        <v>0</v>
      </c>
      <c r="Q191" s="149">
        <f t="shared" si="54"/>
        <v>0</v>
      </c>
      <c r="R191" s="149">
        <f t="shared" si="54"/>
        <v>0</v>
      </c>
      <c r="S191" s="149">
        <f t="shared" si="54"/>
        <v>0</v>
      </c>
      <c r="T191" s="149">
        <f t="shared" si="54"/>
        <v>0</v>
      </c>
      <c r="U191" s="149">
        <f t="shared" si="54"/>
        <v>0</v>
      </c>
      <c r="V191" s="149">
        <f t="shared" si="52"/>
        <v>0</v>
      </c>
      <c r="W191" s="149">
        <f t="shared" si="52"/>
        <v>0</v>
      </c>
      <c r="X191" s="149">
        <f t="shared" si="52"/>
        <v>0</v>
      </c>
      <c r="Y191" s="179"/>
    </row>
    <row r="192" spans="1:25" x14ac:dyDescent="0.25">
      <c r="A192" s="139">
        <f t="shared" si="45"/>
        <v>0</v>
      </c>
      <c r="B192" s="30"/>
      <c r="C192" s="31">
        <f t="shared" si="53"/>
        <v>0</v>
      </c>
      <c r="D192" s="9" t="str">
        <f t="shared" si="55"/>
        <v>мин</v>
      </c>
      <c r="E192" s="462">
        <f>Производительность!E192</f>
        <v>0</v>
      </c>
      <c r="F192" s="149">
        <f t="shared" si="54"/>
        <v>0</v>
      </c>
      <c r="G192" s="149">
        <f t="shared" si="54"/>
        <v>0</v>
      </c>
      <c r="H192" s="149">
        <f t="shared" si="54"/>
        <v>0</v>
      </c>
      <c r="I192" s="149">
        <f t="shared" si="54"/>
        <v>0</v>
      </c>
      <c r="J192" s="149">
        <f t="shared" si="54"/>
        <v>0</v>
      </c>
      <c r="K192" s="149">
        <f t="shared" si="54"/>
        <v>0</v>
      </c>
      <c r="L192" s="149">
        <f t="shared" si="54"/>
        <v>0</v>
      </c>
      <c r="M192" s="149">
        <f t="shared" si="54"/>
        <v>0</v>
      </c>
      <c r="N192" s="149">
        <f t="shared" si="54"/>
        <v>0</v>
      </c>
      <c r="O192" s="149">
        <f t="shared" si="54"/>
        <v>0</v>
      </c>
      <c r="P192" s="149">
        <f t="shared" si="54"/>
        <v>0</v>
      </c>
      <c r="Q192" s="149">
        <f t="shared" si="54"/>
        <v>0</v>
      </c>
      <c r="R192" s="149">
        <f t="shared" si="54"/>
        <v>0</v>
      </c>
      <c r="S192" s="149">
        <f t="shared" si="54"/>
        <v>0</v>
      </c>
      <c r="T192" s="149">
        <f t="shared" si="54"/>
        <v>0</v>
      </c>
      <c r="U192" s="149">
        <f t="shared" si="54"/>
        <v>0</v>
      </c>
      <c r="V192" s="149">
        <f t="shared" si="52"/>
        <v>0</v>
      </c>
      <c r="W192" s="149">
        <f t="shared" si="52"/>
        <v>0</v>
      </c>
      <c r="X192" s="149">
        <f t="shared" si="52"/>
        <v>0</v>
      </c>
      <c r="Y192" s="179"/>
    </row>
    <row r="193" spans="1:25" x14ac:dyDescent="0.25">
      <c r="A193" s="139">
        <f t="shared" si="45"/>
        <v>0</v>
      </c>
      <c r="B193" s="30"/>
      <c r="C193" s="31">
        <f t="shared" si="53"/>
        <v>0</v>
      </c>
      <c r="D193" s="9" t="str">
        <f t="shared" si="55"/>
        <v>мин</v>
      </c>
      <c r="E193" s="462">
        <f>Производительность!E193</f>
        <v>0</v>
      </c>
      <c r="F193" s="149">
        <f t="shared" si="54"/>
        <v>0</v>
      </c>
      <c r="G193" s="149">
        <f t="shared" si="54"/>
        <v>0</v>
      </c>
      <c r="H193" s="149">
        <f t="shared" si="54"/>
        <v>0</v>
      </c>
      <c r="I193" s="149">
        <f t="shared" si="54"/>
        <v>0</v>
      </c>
      <c r="J193" s="149">
        <f t="shared" si="54"/>
        <v>0</v>
      </c>
      <c r="K193" s="149">
        <f t="shared" si="54"/>
        <v>0</v>
      </c>
      <c r="L193" s="149">
        <f t="shared" si="54"/>
        <v>0</v>
      </c>
      <c r="M193" s="149">
        <f t="shared" si="54"/>
        <v>0</v>
      </c>
      <c r="N193" s="149">
        <f t="shared" si="54"/>
        <v>0</v>
      </c>
      <c r="O193" s="149">
        <f t="shared" si="54"/>
        <v>0</v>
      </c>
      <c r="P193" s="149">
        <f t="shared" si="54"/>
        <v>0</v>
      </c>
      <c r="Q193" s="149">
        <f t="shared" si="54"/>
        <v>0</v>
      </c>
      <c r="R193" s="149">
        <f t="shared" si="54"/>
        <v>0</v>
      </c>
      <c r="S193" s="149">
        <f t="shared" si="54"/>
        <v>0</v>
      </c>
      <c r="T193" s="149">
        <f t="shared" si="54"/>
        <v>0</v>
      </c>
      <c r="U193" s="149">
        <f t="shared" si="54"/>
        <v>0</v>
      </c>
      <c r="V193" s="149">
        <f t="shared" si="52"/>
        <v>0</v>
      </c>
      <c r="W193" s="149">
        <f t="shared" si="52"/>
        <v>0</v>
      </c>
      <c r="X193" s="149">
        <f t="shared" si="52"/>
        <v>0</v>
      </c>
      <c r="Y193" s="179"/>
    </row>
    <row r="194" spans="1:25" x14ac:dyDescent="0.25">
      <c r="A194" s="139">
        <f t="shared" si="45"/>
        <v>0</v>
      </c>
      <c r="B194" s="30"/>
      <c r="C194" s="31">
        <f t="shared" si="53"/>
        <v>0</v>
      </c>
      <c r="D194" s="9" t="str">
        <f t="shared" si="55"/>
        <v>мин</v>
      </c>
      <c r="E194" s="462">
        <f>Производительность!E194</f>
        <v>0</v>
      </c>
      <c r="F194" s="149">
        <f t="shared" si="54"/>
        <v>0</v>
      </c>
      <c r="G194" s="149">
        <f t="shared" si="54"/>
        <v>0</v>
      </c>
      <c r="H194" s="149">
        <f t="shared" si="54"/>
        <v>0</v>
      </c>
      <c r="I194" s="149">
        <f t="shared" si="54"/>
        <v>0</v>
      </c>
      <c r="J194" s="149">
        <f t="shared" si="54"/>
        <v>0</v>
      </c>
      <c r="K194" s="149">
        <f t="shared" si="54"/>
        <v>0</v>
      </c>
      <c r="L194" s="149">
        <f t="shared" si="54"/>
        <v>0</v>
      </c>
      <c r="M194" s="149">
        <f t="shared" si="54"/>
        <v>0</v>
      </c>
      <c r="N194" s="149">
        <f t="shared" si="54"/>
        <v>0</v>
      </c>
      <c r="O194" s="149">
        <f t="shared" si="54"/>
        <v>0</v>
      </c>
      <c r="P194" s="149">
        <f t="shared" si="54"/>
        <v>0</v>
      </c>
      <c r="Q194" s="149">
        <f t="shared" si="54"/>
        <v>0</v>
      </c>
      <c r="R194" s="149">
        <f t="shared" si="54"/>
        <v>0</v>
      </c>
      <c r="S194" s="149">
        <f t="shared" si="54"/>
        <v>0</v>
      </c>
      <c r="T194" s="149">
        <f t="shared" si="54"/>
        <v>0</v>
      </c>
      <c r="U194" s="149">
        <f t="shared" si="54"/>
        <v>0</v>
      </c>
      <c r="V194" s="149">
        <f t="shared" si="52"/>
        <v>0</v>
      </c>
      <c r="W194" s="149">
        <f t="shared" si="52"/>
        <v>0</v>
      </c>
      <c r="X194" s="149">
        <f t="shared" si="52"/>
        <v>0</v>
      </c>
      <c r="Y194" s="179"/>
    </row>
    <row r="195" spans="1:25" x14ac:dyDescent="0.25">
      <c r="A195" s="139">
        <f t="shared" si="45"/>
        <v>0</v>
      </c>
      <c r="B195" s="30"/>
      <c r="C195" s="31">
        <f t="shared" si="53"/>
        <v>0</v>
      </c>
      <c r="D195" s="9" t="str">
        <f t="shared" si="55"/>
        <v>мин</v>
      </c>
      <c r="E195" s="462">
        <f>Производительность!E195</f>
        <v>0</v>
      </c>
      <c r="F195" s="149">
        <f t="shared" si="54"/>
        <v>0</v>
      </c>
      <c r="G195" s="149">
        <f t="shared" si="54"/>
        <v>0</v>
      </c>
      <c r="H195" s="149">
        <f t="shared" si="54"/>
        <v>0</v>
      </c>
      <c r="I195" s="149">
        <f t="shared" si="54"/>
        <v>0</v>
      </c>
      <c r="J195" s="149">
        <f t="shared" si="54"/>
        <v>0</v>
      </c>
      <c r="K195" s="149">
        <f t="shared" si="54"/>
        <v>0</v>
      </c>
      <c r="L195" s="149">
        <f t="shared" si="54"/>
        <v>0</v>
      </c>
      <c r="M195" s="149">
        <f t="shared" si="54"/>
        <v>0</v>
      </c>
      <c r="N195" s="149">
        <f t="shared" si="54"/>
        <v>0</v>
      </c>
      <c r="O195" s="149">
        <f t="shared" si="54"/>
        <v>0</v>
      </c>
      <c r="P195" s="149">
        <f t="shared" si="54"/>
        <v>0</v>
      </c>
      <c r="Q195" s="149">
        <f t="shared" si="54"/>
        <v>0</v>
      </c>
      <c r="R195" s="149">
        <f t="shared" si="54"/>
        <v>0</v>
      </c>
      <c r="S195" s="149">
        <f t="shared" si="54"/>
        <v>0</v>
      </c>
      <c r="T195" s="149">
        <f t="shared" si="54"/>
        <v>0</v>
      </c>
      <c r="U195" s="149">
        <f t="shared" si="54"/>
        <v>0</v>
      </c>
      <c r="V195" s="149">
        <f t="shared" si="52"/>
        <v>0</v>
      </c>
      <c r="W195" s="149">
        <f t="shared" si="52"/>
        <v>0</v>
      </c>
      <c r="X195" s="149">
        <f t="shared" si="52"/>
        <v>0</v>
      </c>
      <c r="Y195" s="179"/>
    </row>
    <row r="196" spans="1:25" x14ac:dyDescent="0.25">
      <c r="A196" s="139">
        <f t="shared" si="45"/>
        <v>0</v>
      </c>
      <c r="B196" s="30"/>
      <c r="C196" s="31">
        <f t="shared" si="53"/>
        <v>0</v>
      </c>
      <c r="D196" s="9" t="str">
        <f t="shared" si="55"/>
        <v>мин</v>
      </c>
      <c r="E196" s="462">
        <f>Производительность!E196</f>
        <v>0</v>
      </c>
      <c r="F196" s="149">
        <f t="shared" si="54"/>
        <v>0</v>
      </c>
      <c r="G196" s="149">
        <f t="shared" si="54"/>
        <v>0</v>
      </c>
      <c r="H196" s="149">
        <f t="shared" si="54"/>
        <v>0</v>
      </c>
      <c r="I196" s="149">
        <f t="shared" si="54"/>
        <v>0</v>
      </c>
      <c r="J196" s="149">
        <f t="shared" si="54"/>
        <v>0</v>
      </c>
      <c r="K196" s="149">
        <f t="shared" si="54"/>
        <v>0</v>
      </c>
      <c r="L196" s="149">
        <f t="shared" si="54"/>
        <v>0</v>
      </c>
      <c r="M196" s="149">
        <f t="shared" si="54"/>
        <v>0</v>
      </c>
      <c r="N196" s="149">
        <f t="shared" si="54"/>
        <v>0</v>
      </c>
      <c r="O196" s="149">
        <f t="shared" si="54"/>
        <v>0</v>
      </c>
      <c r="P196" s="149">
        <f t="shared" si="54"/>
        <v>0</v>
      </c>
      <c r="Q196" s="149">
        <f t="shared" si="54"/>
        <v>0</v>
      </c>
      <c r="R196" s="149">
        <f t="shared" si="54"/>
        <v>0</v>
      </c>
      <c r="S196" s="149">
        <f t="shared" si="54"/>
        <v>0</v>
      </c>
      <c r="T196" s="149">
        <f t="shared" si="54"/>
        <v>0</v>
      </c>
      <c r="U196" s="149">
        <f t="shared" si="54"/>
        <v>0</v>
      </c>
      <c r="V196" s="149">
        <f t="shared" si="52"/>
        <v>0</v>
      </c>
      <c r="W196" s="149">
        <f t="shared" si="52"/>
        <v>0</v>
      </c>
      <c r="X196" s="149">
        <f t="shared" si="52"/>
        <v>0</v>
      </c>
      <c r="Y196" s="179"/>
    </row>
    <row r="197" spans="1:25" x14ac:dyDescent="0.25">
      <c r="A197" s="139">
        <f t="shared" si="45"/>
        <v>0</v>
      </c>
      <c r="B197" s="30"/>
      <c r="C197" s="31">
        <f t="shared" si="53"/>
        <v>0</v>
      </c>
      <c r="D197" s="9" t="str">
        <f t="shared" si="55"/>
        <v>мин</v>
      </c>
      <c r="E197" s="462">
        <f>Производительность!E197</f>
        <v>0</v>
      </c>
      <c r="F197" s="149">
        <f t="shared" si="54"/>
        <v>0</v>
      </c>
      <c r="G197" s="149">
        <f t="shared" si="54"/>
        <v>0</v>
      </c>
      <c r="H197" s="149">
        <f t="shared" si="54"/>
        <v>0</v>
      </c>
      <c r="I197" s="149">
        <f t="shared" si="54"/>
        <v>0</v>
      </c>
      <c r="J197" s="149">
        <f t="shared" si="54"/>
        <v>0</v>
      </c>
      <c r="K197" s="149">
        <f t="shared" si="54"/>
        <v>0</v>
      </c>
      <c r="L197" s="149">
        <f t="shared" si="54"/>
        <v>0</v>
      </c>
      <c r="M197" s="149">
        <f t="shared" si="54"/>
        <v>0</v>
      </c>
      <c r="N197" s="149">
        <f t="shared" si="54"/>
        <v>0</v>
      </c>
      <c r="O197" s="149">
        <f t="shared" si="54"/>
        <v>0</v>
      </c>
      <c r="P197" s="149">
        <f t="shared" si="54"/>
        <v>0</v>
      </c>
      <c r="Q197" s="149">
        <f t="shared" si="54"/>
        <v>0</v>
      </c>
      <c r="R197" s="149">
        <f t="shared" si="54"/>
        <v>0</v>
      </c>
      <c r="S197" s="149">
        <f t="shared" si="54"/>
        <v>0</v>
      </c>
      <c r="T197" s="149">
        <f t="shared" si="54"/>
        <v>0</v>
      </c>
      <c r="U197" s="149">
        <f t="shared" si="54"/>
        <v>0</v>
      </c>
      <c r="V197" s="149">
        <f t="shared" si="52"/>
        <v>0</v>
      </c>
      <c r="W197" s="149">
        <f t="shared" si="52"/>
        <v>0</v>
      </c>
      <c r="X197" s="149">
        <f t="shared" si="52"/>
        <v>0</v>
      </c>
      <c r="Y197" s="179"/>
    </row>
    <row r="198" spans="1:25" x14ac:dyDescent="0.25">
      <c r="A198" s="139">
        <f t="shared" si="45"/>
        <v>0</v>
      </c>
      <c r="B198" s="30"/>
      <c r="C198" s="31">
        <f t="shared" si="53"/>
        <v>0</v>
      </c>
      <c r="D198" s="9" t="str">
        <f t="shared" si="55"/>
        <v>мин</v>
      </c>
      <c r="E198" s="462">
        <f>Производительность!E198</f>
        <v>0</v>
      </c>
      <c r="F198" s="149">
        <f t="shared" si="54"/>
        <v>0</v>
      </c>
      <c r="G198" s="149">
        <f t="shared" si="54"/>
        <v>0</v>
      </c>
      <c r="H198" s="149">
        <f t="shared" si="54"/>
        <v>0</v>
      </c>
      <c r="I198" s="149">
        <f t="shared" si="54"/>
        <v>0</v>
      </c>
      <c r="J198" s="149">
        <f t="shared" si="54"/>
        <v>0</v>
      </c>
      <c r="K198" s="149">
        <f t="shared" si="54"/>
        <v>0</v>
      </c>
      <c r="L198" s="149">
        <f t="shared" si="54"/>
        <v>0</v>
      </c>
      <c r="M198" s="149">
        <f t="shared" si="54"/>
        <v>0</v>
      </c>
      <c r="N198" s="149">
        <f t="shared" si="54"/>
        <v>0</v>
      </c>
      <c r="O198" s="149">
        <f t="shared" si="54"/>
        <v>0</v>
      </c>
      <c r="P198" s="149">
        <f t="shared" si="54"/>
        <v>0</v>
      </c>
      <c r="Q198" s="149">
        <f t="shared" si="54"/>
        <v>0</v>
      </c>
      <c r="R198" s="149">
        <f t="shared" si="54"/>
        <v>0</v>
      </c>
      <c r="S198" s="149">
        <f t="shared" si="54"/>
        <v>0</v>
      </c>
      <c r="T198" s="149">
        <f t="shared" si="54"/>
        <v>0</v>
      </c>
      <c r="U198" s="149">
        <f t="shared" si="54"/>
        <v>0</v>
      </c>
      <c r="V198" s="149">
        <f t="shared" si="52"/>
        <v>0</v>
      </c>
      <c r="W198" s="149">
        <f t="shared" si="52"/>
        <v>0</v>
      </c>
      <c r="X198" s="149">
        <f t="shared" si="52"/>
        <v>0</v>
      </c>
      <c r="Y198" s="179"/>
    </row>
    <row r="199" spans="1:25" x14ac:dyDescent="0.25">
      <c r="A199" s="139">
        <f t="shared" si="45"/>
        <v>1</v>
      </c>
      <c r="B199" s="9">
        <f>B183+0.1</f>
        <v>9.1999999999999993</v>
      </c>
      <c r="C199" s="147" t="s">
        <v>117</v>
      </c>
      <c r="D199" s="9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179"/>
    </row>
    <row r="200" spans="1:25" x14ac:dyDescent="0.25">
      <c r="A200" s="139">
        <f t="shared" si="45"/>
        <v>1</v>
      </c>
      <c r="B200" s="30"/>
      <c r="C200" s="31" t="str">
        <f>C184</f>
        <v>NHL NTE 240</v>
      </c>
      <c r="D200" s="9" t="s">
        <v>115</v>
      </c>
      <c r="E200" s="462">
        <f>Производительность!E200</f>
        <v>0.5</v>
      </c>
      <c r="F200" s="120">
        <f>E200</f>
        <v>0.5</v>
      </c>
      <c r="G200" s="120">
        <f t="shared" ref="G200:V200" si="56">F200</f>
        <v>0.5</v>
      </c>
      <c r="H200" s="120">
        <f t="shared" si="56"/>
        <v>0.5</v>
      </c>
      <c r="I200" s="120">
        <f t="shared" si="56"/>
        <v>0.5</v>
      </c>
      <c r="J200" s="120">
        <f t="shared" si="56"/>
        <v>0.5</v>
      </c>
      <c r="K200" s="120">
        <f t="shared" si="56"/>
        <v>0.5</v>
      </c>
      <c r="L200" s="120">
        <f t="shared" si="56"/>
        <v>0.5</v>
      </c>
      <c r="M200" s="120">
        <f t="shared" si="56"/>
        <v>0.5</v>
      </c>
      <c r="N200" s="120">
        <f t="shared" si="56"/>
        <v>0.5</v>
      </c>
      <c r="O200" s="120">
        <f t="shared" si="56"/>
        <v>0.5</v>
      </c>
      <c r="P200" s="120">
        <f t="shared" si="56"/>
        <v>0.5</v>
      </c>
      <c r="Q200" s="120">
        <f t="shared" si="56"/>
        <v>0.5</v>
      </c>
      <c r="R200" s="120">
        <f t="shared" si="56"/>
        <v>0.5</v>
      </c>
      <c r="S200" s="120">
        <f t="shared" si="56"/>
        <v>0.5</v>
      </c>
      <c r="T200" s="120">
        <f t="shared" si="56"/>
        <v>0.5</v>
      </c>
      <c r="U200" s="120">
        <f t="shared" si="56"/>
        <v>0.5</v>
      </c>
      <c r="V200" s="120">
        <f t="shared" si="56"/>
        <v>0.5</v>
      </c>
      <c r="W200" s="120">
        <f t="shared" ref="V200:X214" si="57">V200</f>
        <v>0.5</v>
      </c>
      <c r="X200" s="120">
        <f t="shared" si="57"/>
        <v>0.5</v>
      </c>
      <c r="Y200" s="179"/>
    </row>
    <row r="201" spans="1:25" x14ac:dyDescent="0.25">
      <c r="A201" s="139">
        <f t="shared" si="45"/>
        <v>1</v>
      </c>
      <c r="B201" s="30"/>
      <c r="C201" s="31" t="str">
        <f t="shared" ref="C201:C214" si="58">C185</f>
        <v>Estar ESDE240 (ГПБ К)</v>
      </c>
      <c r="D201" s="9" t="str">
        <f>D200</f>
        <v>мин</v>
      </c>
      <c r="E201" s="462">
        <f>Производительность!E201</f>
        <v>0.5</v>
      </c>
      <c r="F201" s="120">
        <f t="shared" ref="F201:U214" si="59">E201</f>
        <v>0.5</v>
      </c>
      <c r="G201" s="120">
        <f t="shared" si="59"/>
        <v>0.5</v>
      </c>
      <c r="H201" s="120">
        <f t="shared" si="59"/>
        <v>0.5</v>
      </c>
      <c r="I201" s="120">
        <f t="shared" si="59"/>
        <v>0.5</v>
      </c>
      <c r="J201" s="120">
        <f t="shared" si="59"/>
        <v>0.5</v>
      </c>
      <c r="K201" s="120">
        <f t="shared" si="59"/>
        <v>0.5</v>
      </c>
      <c r="L201" s="120">
        <f t="shared" si="59"/>
        <v>0.5</v>
      </c>
      <c r="M201" s="120">
        <f t="shared" si="59"/>
        <v>0.5</v>
      </c>
      <c r="N201" s="120">
        <f t="shared" si="59"/>
        <v>0.5</v>
      </c>
      <c r="O201" s="120">
        <f t="shared" si="59"/>
        <v>0.5</v>
      </c>
      <c r="P201" s="120">
        <f t="shared" si="59"/>
        <v>0.5</v>
      </c>
      <c r="Q201" s="120">
        <f t="shared" si="59"/>
        <v>0.5</v>
      </c>
      <c r="R201" s="120">
        <f t="shared" si="59"/>
        <v>0.5</v>
      </c>
      <c r="S201" s="120">
        <f t="shared" si="59"/>
        <v>0.5</v>
      </c>
      <c r="T201" s="120">
        <f t="shared" si="59"/>
        <v>0.5</v>
      </c>
      <c r="U201" s="120">
        <f t="shared" si="59"/>
        <v>0.5</v>
      </c>
      <c r="V201" s="120">
        <f t="shared" si="57"/>
        <v>0.5</v>
      </c>
      <c r="W201" s="120">
        <f t="shared" si="57"/>
        <v>0.5</v>
      </c>
      <c r="X201" s="120">
        <f t="shared" si="57"/>
        <v>0.5</v>
      </c>
      <c r="Y201" s="179"/>
    </row>
    <row r="202" spans="1:25" x14ac:dyDescent="0.25">
      <c r="A202" s="139">
        <f t="shared" si="45"/>
        <v>1</v>
      </c>
      <c r="B202" s="30"/>
      <c r="C202" s="31" t="str">
        <f t="shared" si="58"/>
        <v>SANY SET240S</v>
      </c>
      <c r="D202" s="9" t="str">
        <f t="shared" ref="D202:D214" si="60">D201</f>
        <v>мин</v>
      </c>
      <c r="E202" s="462">
        <f>Производительность!E202</f>
        <v>0.5</v>
      </c>
      <c r="F202" s="120">
        <f t="shared" si="59"/>
        <v>0.5</v>
      </c>
      <c r="G202" s="120">
        <f t="shared" si="59"/>
        <v>0.5</v>
      </c>
      <c r="H202" s="120">
        <f t="shared" si="59"/>
        <v>0.5</v>
      </c>
      <c r="I202" s="120">
        <f t="shared" si="59"/>
        <v>0.5</v>
      </c>
      <c r="J202" s="120">
        <f t="shared" si="59"/>
        <v>0.5</v>
      </c>
      <c r="K202" s="120">
        <f t="shared" si="59"/>
        <v>0.5</v>
      </c>
      <c r="L202" s="120">
        <f t="shared" si="59"/>
        <v>0.5</v>
      </c>
      <c r="M202" s="120">
        <f t="shared" si="59"/>
        <v>0.5</v>
      </c>
      <c r="N202" s="120">
        <f t="shared" si="59"/>
        <v>0.5</v>
      </c>
      <c r="O202" s="120">
        <f t="shared" si="59"/>
        <v>0.5</v>
      </c>
      <c r="P202" s="120">
        <f t="shared" si="59"/>
        <v>0.5</v>
      </c>
      <c r="Q202" s="120">
        <f t="shared" si="59"/>
        <v>0.5</v>
      </c>
      <c r="R202" s="120">
        <f t="shared" si="59"/>
        <v>0.5</v>
      </c>
      <c r="S202" s="120">
        <f t="shared" si="59"/>
        <v>0.5</v>
      </c>
      <c r="T202" s="120">
        <f t="shared" si="59"/>
        <v>0.5</v>
      </c>
      <c r="U202" s="120">
        <f t="shared" si="59"/>
        <v>0.5</v>
      </c>
      <c r="V202" s="120">
        <f t="shared" si="57"/>
        <v>0.5</v>
      </c>
      <c r="W202" s="120">
        <f t="shared" si="57"/>
        <v>0.5</v>
      </c>
      <c r="X202" s="120">
        <f t="shared" si="57"/>
        <v>0.5</v>
      </c>
      <c r="Y202" s="179"/>
    </row>
    <row r="203" spans="1:25" x14ac:dyDescent="0.25">
      <c r="A203" s="139">
        <f t="shared" si="45"/>
        <v>1</v>
      </c>
      <c r="B203" s="30"/>
      <c r="C203" s="31" t="str">
        <f t="shared" si="58"/>
        <v>TZCO TZE240</v>
      </c>
      <c r="D203" s="9" t="str">
        <f t="shared" si="60"/>
        <v>мин</v>
      </c>
      <c r="E203" s="462">
        <f>Производительность!E203</f>
        <v>0.5</v>
      </c>
      <c r="F203" s="120">
        <f t="shared" si="59"/>
        <v>0.5</v>
      </c>
      <c r="G203" s="120">
        <f t="shared" si="59"/>
        <v>0.5</v>
      </c>
      <c r="H203" s="120">
        <f t="shared" si="59"/>
        <v>0.5</v>
      </c>
      <c r="I203" s="120">
        <f t="shared" si="59"/>
        <v>0.5</v>
      </c>
      <c r="J203" s="120">
        <f t="shared" si="59"/>
        <v>0.5</v>
      </c>
      <c r="K203" s="120">
        <f t="shared" si="59"/>
        <v>0.5</v>
      </c>
      <c r="L203" s="120">
        <f t="shared" si="59"/>
        <v>0.5</v>
      </c>
      <c r="M203" s="120">
        <f t="shared" si="59"/>
        <v>0.5</v>
      </c>
      <c r="N203" s="120">
        <f t="shared" si="59"/>
        <v>0.5</v>
      </c>
      <c r="O203" s="120">
        <f t="shared" si="59"/>
        <v>0.5</v>
      </c>
      <c r="P203" s="120">
        <f t="shared" si="59"/>
        <v>0.5</v>
      </c>
      <c r="Q203" s="120">
        <f t="shared" si="59"/>
        <v>0.5</v>
      </c>
      <c r="R203" s="120">
        <f t="shared" si="59"/>
        <v>0.5</v>
      </c>
      <c r="S203" s="120">
        <f t="shared" si="59"/>
        <v>0.5</v>
      </c>
      <c r="T203" s="120">
        <f t="shared" si="59"/>
        <v>0.5</v>
      </c>
      <c r="U203" s="120">
        <f t="shared" si="59"/>
        <v>0.5</v>
      </c>
      <c r="V203" s="120">
        <f t="shared" si="57"/>
        <v>0.5</v>
      </c>
      <c r="W203" s="120">
        <f t="shared" si="57"/>
        <v>0.5</v>
      </c>
      <c r="X203" s="120">
        <f t="shared" si="57"/>
        <v>0.5</v>
      </c>
      <c r="Y203" s="179"/>
    </row>
    <row r="204" spans="1:25" x14ac:dyDescent="0.25">
      <c r="A204" s="139">
        <f t="shared" si="45"/>
        <v>1</v>
      </c>
      <c r="B204" s="30"/>
      <c r="C204" s="31" t="str">
        <f t="shared" si="58"/>
        <v>БелАЗ 7531 (ГПФК)</v>
      </c>
      <c r="D204" s="9" t="str">
        <f t="shared" si="60"/>
        <v>мин</v>
      </c>
      <c r="E204" s="462">
        <f>Производительность!E204</f>
        <v>0.5</v>
      </c>
      <c r="F204" s="120">
        <f t="shared" si="59"/>
        <v>0.5</v>
      </c>
      <c r="G204" s="120">
        <f t="shared" si="59"/>
        <v>0.5</v>
      </c>
      <c r="H204" s="120">
        <f t="shared" si="59"/>
        <v>0.5</v>
      </c>
      <c r="I204" s="120">
        <f t="shared" si="59"/>
        <v>0.5</v>
      </c>
      <c r="J204" s="120">
        <f t="shared" si="59"/>
        <v>0.5</v>
      </c>
      <c r="K204" s="120">
        <f t="shared" si="59"/>
        <v>0.5</v>
      </c>
      <c r="L204" s="120">
        <f t="shared" si="59"/>
        <v>0.5</v>
      </c>
      <c r="M204" s="120">
        <f t="shared" si="59"/>
        <v>0.5</v>
      </c>
      <c r="N204" s="120">
        <f t="shared" si="59"/>
        <v>0.5</v>
      </c>
      <c r="O204" s="120">
        <f t="shared" si="59"/>
        <v>0.5</v>
      </c>
      <c r="P204" s="120">
        <f t="shared" si="59"/>
        <v>0.5</v>
      </c>
      <c r="Q204" s="120">
        <f t="shared" si="59"/>
        <v>0.5</v>
      </c>
      <c r="R204" s="120">
        <f t="shared" si="59"/>
        <v>0.5</v>
      </c>
      <c r="S204" s="120">
        <f t="shared" si="59"/>
        <v>0.5</v>
      </c>
      <c r="T204" s="120">
        <f t="shared" si="59"/>
        <v>0.5</v>
      </c>
      <c r="U204" s="120">
        <f t="shared" si="59"/>
        <v>0.5</v>
      </c>
      <c r="V204" s="120">
        <f t="shared" si="57"/>
        <v>0.5</v>
      </c>
      <c r="W204" s="120">
        <f t="shared" si="57"/>
        <v>0.5</v>
      </c>
      <c r="X204" s="120">
        <f t="shared" si="57"/>
        <v>0.5</v>
      </c>
      <c r="Y204" s="179"/>
    </row>
    <row r="205" spans="1:25" x14ac:dyDescent="0.25">
      <c r="A205" s="139">
        <f t="shared" si="45"/>
        <v>1</v>
      </c>
      <c r="B205" s="30"/>
      <c r="C205" s="31" t="str">
        <f t="shared" si="58"/>
        <v>XCMG 240</v>
      </c>
      <c r="D205" s="9" t="str">
        <f t="shared" si="60"/>
        <v>мин</v>
      </c>
      <c r="E205" s="462">
        <f>Производительность!E205</f>
        <v>0.5</v>
      </c>
      <c r="F205" s="120">
        <f t="shared" si="59"/>
        <v>0.5</v>
      </c>
      <c r="G205" s="120">
        <f t="shared" si="59"/>
        <v>0.5</v>
      </c>
      <c r="H205" s="120">
        <f t="shared" si="59"/>
        <v>0.5</v>
      </c>
      <c r="I205" s="120">
        <f t="shared" si="59"/>
        <v>0.5</v>
      </c>
      <c r="J205" s="120">
        <f t="shared" si="59"/>
        <v>0.5</v>
      </c>
      <c r="K205" s="120">
        <f t="shared" si="59"/>
        <v>0.5</v>
      </c>
      <c r="L205" s="120">
        <f t="shared" si="59"/>
        <v>0.5</v>
      </c>
      <c r="M205" s="120">
        <f t="shared" si="59"/>
        <v>0.5</v>
      </c>
      <c r="N205" s="120">
        <f t="shared" si="59"/>
        <v>0.5</v>
      </c>
      <c r="O205" s="120">
        <f t="shared" si="59"/>
        <v>0.5</v>
      </c>
      <c r="P205" s="120">
        <f t="shared" si="59"/>
        <v>0.5</v>
      </c>
      <c r="Q205" s="120">
        <f t="shared" si="59"/>
        <v>0.5</v>
      </c>
      <c r="R205" s="120">
        <f t="shared" si="59"/>
        <v>0.5</v>
      </c>
      <c r="S205" s="120">
        <f t="shared" si="59"/>
        <v>0.5</v>
      </c>
      <c r="T205" s="120">
        <f t="shared" si="59"/>
        <v>0.5</v>
      </c>
      <c r="U205" s="120">
        <f t="shared" si="59"/>
        <v>0.5</v>
      </c>
      <c r="V205" s="120">
        <f t="shared" si="57"/>
        <v>0.5</v>
      </c>
      <c r="W205" s="120">
        <f t="shared" si="57"/>
        <v>0.5</v>
      </c>
      <c r="X205" s="120">
        <f t="shared" si="57"/>
        <v>0.5</v>
      </c>
      <c r="Y205" s="179"/>
    </row>
    <row r="206" spans="1:25" x14ac:dyDescent="0.25">
      <c r="A206" s="139">
        <f t="shared" si="45"/>
        <v>1</v>
      </c>
      <c r="B206" s="30"/>
      <c r="C206" s="31" t="str">
        <f t="shared" si="58"/>
        <v>БелАЗ 7531 (БТЛ)</v>
      </c>
      <c r="D206" s="9" t="str">
        <f t="shared" si="60"/>
        <v>мин</v>
      </c>
      <c r="E206" s="462">
        <f>Производительность!E206</f>
        <v>0.5</v>
      </c>
      <c r="F206" s="120">
        <f t="shared" si="59"/>
        <v>0.5</v>
      </c>
      <c r="G206" s="120">
        <f t="shared" si="59"/>
        <v>0.5</v>
      </c>
      <c r="H206" s="120">
        <f t="shared" si="59"/>
        <v>0.5</v>
      </c>
      <c r="I206" s="120">
        <f t="shared" si="59"/>
        <v>0.5</v>
      </c>
      <c r="J206" s="120">
        <f t="shared" si="59"/>
        <v>0.5</v>
      </c>
      <c r="K206" s="120">
        <f t="shared" si="59"/>
        <v>0.5</v>
      </c>
      <c r="L206" s="120">
        <f t="shared" si="59"/>
        <v>0.5</v>
      </c>
      <c r="M206" s="120">
        <f t="shared" si="59"/>
        <v>0.5</v>
      </c>
      <c r="N206" s="120">
        <f t="shared" si="59"/>
        <v>0.5</v>
      </c>
      <c r="O206" s="120">
        <f t="shared" si="59"/>
        <v>0.5</v>
      </c>
      <c r="P206" s="120">
        <f t="shared" si="59"/>
        <v>0.5</v>
      </c>
      <c r="Q206" s="120">
        <f t="shared" si="59"/>
        <v>0.5</v>
      </c>
      <c r="R206" s="120">
        <f t="shared" si="59"/>
        <v>0.5</v>
      </c>
      <c r="S206" s="120">
        <f t="shared" si="59"/>
        <v>0.5</v>
      </c>
      <c r="T206" s="120">
        <f t="shared" si="59"/>
        <v>0.5</v>
      </c>
      <c r="U206" s="120">
        <f t="shared" si="59"/>
        <v>0.5</v>
      </c>
      <c r="V206" s="120">
        <f t="shared" si="57"/>
        <v>0.5</v>
      </c>
      <c r="W206" s="120">
        <f t="shared" si="57"/>
        <v>0.5</v>
      </c>
      <c r="X206" s="120">
        <f t="shared" si="57"/>
        <v>0.5</v>
      </c>
      <c r="Y206" s="179"/>
    </row>
    <row r="207" spans="1:25" x14ac:dyDescent="0.25">
      <c r="A207" s="139">
        <f t="shared" si="45"/>
        <v>0</v>
      </c>
      <c r="B207" s="30"/>
      <c r="C207" s="31">
        <f t="shared" si="58"/>
        <v>0</v>
      </c>
      <c r="D207" s="9" t="str">
        <f t="shared" si="60"/>
        <v>мин</v>
      </c>
      <c r="E207" s="462">
        <f>Производительность!E207</f>
        <v>0</v>
      </c>
      <c r="F207" s="120">
        <f t="shared" si="59"/>
        <v>0</v>
      </c>
      <c r="G207" s="120">
        <f t="shared" si="59"/>
        <v>0</v>
      </c>
      <c r="H207" s="120">
        <f t="shared" si="59"/>
        <v>0</v>
      </c>
      <c r="I207" s="120">
        <f t="shared" si="59"/>
        <v>0</v>
      </c>
      <c r="J207" s="120">
        <f t="shared" si="59"/>
        <v>0</v>
      </c>
      <c r="K207" s="120">
        <f t="shared" si="59"/>
        <v>0</v>
      </c>
      <c r="L207" s="120">
        <f t="shared" si="59"/>
        <v>0</v>
      </c>
      <c r="M207" s="120">
        <f t="shared" si="59"/>
        <v>0</v>
      </c>
      <c r="N207" s="120">
        <f t="shared" si="59"/>
        <v>0</v>
      </c>
      <c r="O207" s="120">
        <f t="shared" si="59"/>
        <v>0</v>
      </c>
      <c r="P207" s="120">
        <f t="shared" si="59"/>
        <v>0</v>
      </c>
      <c r="Q207" s="120">
        <f t="shared" si="59"/>
        <v>0</v>
      </c>
      <c r="R207" s="120">
        <f t="shared" si="59"/>
        <v>0</v>
      </c>
      <c r="S207" s="120">
        <f t="shared" si="59"/>
        <v>0</v>
      </c>
      <c r="T207" s="120">
        <f t="shared" si="59"/>
        <v>0</v>
      </c>
      <c r="U207" s="120">
        <f t="shared" si="59"/>
        <v>0</v>
      </c>
      <c r="V207" s="120">
        <f t="shared" si="57"/>
        <v>0</v>
      </c>
      <c r="W207" s="120">
        <f t="shared" si="57"/>
        <v>0</v>
      </c>
      <c r="X207" s="120">
        <f t="shared" si="57"/>
        <v>0</v>
      </c>
      <c r="Y207" s="179"/>
    </row>
    <row r="208" spans="1:25" x14ac:dyDescent="0.25">
      <c r="A208" s="139">
        <f t="shared" si="45"/>
        <v>0</v>
      </c>
      <c r="B208" s="30"/>
      <c r="C208" s="31">
        <f t="shared" si="58"/>
        <v>0</v>
      </c>
      <c r="D208" s="9" t="str">
        <f t="shared" si="60"/>
        <v>мин</v>
      </c>
      <c r="E208" s="462">
        <f>Производительность!E208</f>
        <v>0</v>
      </c>
      <c r="F208" s="120">
        <f t="shared" si="59"/>
        <v>0</v>
      </c>
      <c r="G208" s="120">
        <f t="shared" si="59"/>
        <v>0</v>
      </c>
      <c r="H208" s="120">
        <f t="shared" si="59"/>
        <v>0</v>
      </c>
      <c r="I208" s="120">
        <f t="shared" si="59"/>
        <v>0</v>
      </c>
      <c r="J208" s="120">
        <f t="shared" si="59"/>
        <v>0</v>
      </c>
      <c r="K208" s="120">
        <f t="shared" si="59"/>
        <v>0</v>
      </c>
      <c r="L208" s="120">
        <f t="shared" si="59"/>
        <v>0</v>
      </c>
      <c r="M208" s="120">
        <f t="shared" si="59"/>
        <v>0</v>
      </c>
      <c r="N208" s="120">
        <f t="shared" si="59"/>
        <v>0</v>
      </c>
      <c r="O208" s="120">
        <f t="shared" si="59"/>
        <v>0</v>
      </c>
      <c r="P208" s="120">
        <f t="shared" si="59"/>
        <v>0</v>
      </c>
      <c r="Q208" s="120">
        <f t="shared" si="59"/>
        <v>0</v>
      </c>
      <c r="R208" s="120">
        <f t="shared" si="59"/>
        <v>0</v>
      </c>
      <c r="S208" s="120">
        <f t="shared" si="59"/>
        <v>0</v>
      </c>
      <c r="T208" s="120">
        <f t="shared" si="59"/>
        <v>0</v>
      </c>
      <c r="U208" s="120">
        <f t="shared" si="59"/>
        <v>0</v>
      </c>
      <c r="V208" s="120">
        <f t="shared" si="57"/>
        <v>0</v>
      </c>
      <c r="W208" s="120">
        <f t="shared" si="57"/>
        <v>0</v>
      </c>
      <c r="X208" s="120">
        <f t="shared" si="57"/>
        <v>0</v>
      </c>
      <c r="Y208" s="179"/>
    </row>
    <row r="209" spans="1:25" x14ac:dyDescent="0.25">
      <c r="A209" s="139">
        <f t="shared" si="45"/>
        <v>0</v>
      </c>
      <c r="B209" s="30"/>
      <c r="C209" s="31">
        <f t="shared" si="58"/>
        <v>0</v>
      </c>
      <c r="D209" s="9" t="str">
        <f t="shared" si="60"/>
        <v>мин</v>
      </c>
      <c r="E209" s="462">
        <f>Производительность!E209</f>
        <v>0</v>
      </c>
      <c r="F209" s="120">
        <f t="shared" si="59"/>
        <v>0</v>
      </c>
      <c r="G209" s="120">
        <f t="shared" si="59"/>
        <v>0</v>
      </c>
      <c r="H209" s="120">
        <f t="shared" si="59"/>
        <v>0</v>
      </c>
      <c r="I209" s="120">
        <f t="shared" si="59"/>
        <v>0</v>
      </c>
      <c r="J209" s="120">
        <f t="shared" si="59"/>
        <v>0</v>
      </c>
      <c r="K209" s="120">
        <f t="shared" si="59"/>
        <v>0</v>
      </c>
      <c r="L209" s="120">
        <f t="shared" si="59"/>
        <v>0</v>
      </c>
      <c r="M209" s="120">
        <f t="shared" si="59"/>
        <v>0</v>
      </c>
      <c r="N209" s="120">
        <f t="shared" si="59"/>
        <v>0</v>
      </c>
      <c r="O209" s="120">
        <f t="shared" si="59"/>
        <v>0</v>
      </c>
      <c r="P209" s="120">
        <f t="shared" si="59"/>
        <v>0</v>
      </c>
      <c r="Q209" s="120">
        <f t="shared" si="59"/>
        <v>0</v>
      </c>
      <c r="R209" s="120">
        <f t="shared" si="59"/>
        <v>0</v>
      </c>
      <c r="S209" s="120">
        <f t="shared" si="59"/>
        <v>0</v>
      </c>
      <c r="T209" s="120">
        <f t="shared" si="59"/>
        <v>0</v>
      </c>
      <c r="U209" s="120">
        <f t="shared" si="59"/>
        <v>0</v>
      </c>
      <c r="V209" s="120">
        <f t="shared" si="57"/>
        <v>0</v>
      </c>
      <c r="W209" s="120">
        <f t="shared" si="57"/>
        <v>0</v>
      </c>
      <c r="X209" s="120">
        <f t="shared" si="57"/>
        <v>0</v>
      </c>
      <c r="Y209" s="179"/>
    </row>
    <row r="210" spans="1:25" x14ac:dyDescent="0.25">
      <c r="A210" s="139">
        <f t="shared" si="45"/>
        <v>0</v>
      </c>
      <c r="B210" s="30"/>
      <c r="C210" s="31">
        <f t="shared" si="58"/>
        <v>0</v>
      </c>
      <c r="D210" s="9" t="str">
        <f t="shared" si="60"/>
        <v>мин</v>
      </c>
      <c r="E210" s="462">
        <f>Производительность!E210</f>
        <v>0</v>
      </c>
      <c r="F210" s="120">
        <f t="shared" si="59"/>
        <v>0</v>
      </c>
      <c r="G210" s="120">
        <f t="shared" si="59"/>
        <v>0</v>
      </c>
      <c r="H210" s="120">
        <f t="shared" si="59"/>
        <v>0</v>
      </c>
      <c r="I210" s="120">
        <f t="shared" si="59"/>
        <v>0</v>
      </c>
      <c r="J210" s="120">
        <f t="shared" si="59"/>
        <v>0</v>
      </c>
      <c r="K210" s="120">
        <f t="shared" si="59"/>
        <v>0</v>
      </c>
      <c r="L210" s="120">
        <f t="shared" si="59"/>
        <v>0</v>
      </c>
      <c r="M210" s="120">
        <f t="shared" si="59"/>
        <v>0</v>
      </c>
      <c r="N210" s="120">
        <f t="shared" si="59"/>
        <v>0</v>
      </c>
      <c r="O210" s="120">
        <f t="shared" si="59"/>
        <v>0</v>
      </c>
      <c r="P210" s="120">
        <f t="shared" si="59"/>
        <v>0</v>
      </c>
      <c r="Q210" s="120">
        <f t="shared" si="59"/>
        <v>0</v>
      </c>
      <c r="R210" s="120">
        <f t="shared" si="59"/>
        <v>0</v>
      </c>
      <c r="S210" s="120">
        <f t="shared" si="59"/>
        <v>0</v>
      </c>
      <c r="T210" s="120">
        <f t="shared" si="59"/>
        <v>0</v>
      </c>
      <c r="U210" s="120">
        <f t="shared" si="59"/>
        <v>0</v>
      </c>
      <c r="V210" s="120">
        <f t="shared" si="57"/>
        <v>0</v>
      </c>
      <c r="W210" s="120">
        <f t="shared" si="57"/>
        <v>0</v>
      </c>
      <c r="X210" s="120">
        <f t="shared" si="57"/>
        <v>0</v>
      </c>
      <c r="Y210" s="179"/>
    </row>
    <row r="211" spans="1:25" x14ac:dyDescent="0.25">
      <c r="A211" s="139">
        <f t="shared" si="45"/>
        <v>0</v>
      </c>
      <c r="B211" s="30"/>
      <c r="C211" s="31">
        <f t="shared" si="58"/>
        <v>0</v>
      </c>
      <c r="D211" s="9" t="str">
        <f t="shared" si="60"/>
        <v>мин</v>
      </c>
      <c r="E211" s="462">
        <f>Производительность!E211</f>
        <v>0</v>
      </c>
      <c r="F211" s="120">
        <f t="shared" si="59"/>
        <v>0</v>
      </c>
      <c r="G211" s="120">
        <f t="shared" si="59"/>
        <v>0</v>
      </c>
      <c r="H211" s="120">
        <f t="shared" si="59"/>
        <v>0</v>
      </c>
      <c r="I211" s="120">
        <f t="shared" si="59"/>
        <v>0</v>
      </c>
      <c r="J211" s="120">
        <f t="shared" si="59"/>
        <v>0</v>
      </c>
      <c r="K211" s="120">
        <f t="shared" si="59"/>
        <v>0</v>
      </c>
      <c r="L211" s="120">
        <f t="shared" si="59"/>
        <v>0</v>
      </c>
      <c r="M211" s="120">
        <f t="shared" si="59"/>
        <v>0</v>
      </c>
      <c r="N211" s="120">
        <f t="shared" si="59"/>
        <v>0</v>
      </c>
      <c r="O211" s="120">
        <f t="shared" si="59"/>
        <v>0</v>
      </c>
      <c r="P211" s="120">
        <f t="shared" si="59"/>
        <v>0</v>
      </c>
      <c r="Q211" s="120">
        <f t="shared" si="59"/>
        <v>0</v>
      </c>
      <c r="R211" s="120">
        <f t="shared" si="59"/>
        <v>0</v>
      </c>
      <c r="S211" s="120">
        <f t="shared" si="59"/>
        <v>0</v>
      </c>
      <c r="T211" s="120">
        <f t="shared" si="59"/>
        <v>0</v>
      </c>
      <c r="U211" s="120">
        <f t="shared" si="59"/>
        <v>0</v>
      </c>
      <c r="V211" s="120">
        <f t="shared" si="57"/>
        <v>0</v>
      </c>
      <c r="W211" s="120">
        <f t="shared" si="57"/>
        <v>0</v>
      </c>
      <c r="X211" s="120">
        <f t="shared" si="57"/>
        <v>0</v>
      </c>
      <c r="Y211" s="179"/>
    </row>
    <row r="212" spans="1:25" x14ac:dyDescent="0.25">
      <c r="A212" s="139">
        <f t="shared" si="45"/>
        <v>0</v>
      </c>
      <c r="B212" s="30"/>
      <c r="C212" s="31">
        <f t="shared" si="58"/>
        <v>0</v>
      </c>
      <c r="D212" s="9" t="str">
        <f t="shared" si="60"/>
        <v>мин</v>
      </c>
      <c r="E212" s="462">
        <f>Производительность!E212</f>
        <v>0</v>
      </c>
      <c r="F212" s="120">
        <f t="shared" si="59"/>
        <v>0</v>
      </c>
      <c r="G212" s="120">
        <f t="shared" si="59"/>
        <v>0</v>
      </c>
      <c r="H212" s="120">
        <f t="shared" si="59"/>
        <v>0</v>
      </c>
      <c r="I212" s="120">
        <f t="shared" si="59"/>
        <v>0</v>
      </c>
      <c r="J212" s="120">
        <f t="shared" si="59"/>
        <v>0</v>
      </c>
      <c r="K212" s="120">
        <f t="shared" si="59"/>
        <v>0</v>
      </c>
      <c r="L212" s="120">
        <f t="shared" si="59"/>
        <v>0</v>
      </c>
      <c r="M212" s="120">
        <f t="shared" si="59"/>
        <v>0</v>
      </c>
      <c r="N212" s="120">
        <f t="shared" si="59"/>
        <v>0</v>
      </c>
      <c r="O212" s="120">
        <f t="shared" si="59"/>
        <v>0</v>
      </c>
      <c r="P212" s="120">
        <f t="shared" si="59"/>
        <v>0</v>
      </c>
      <c r="Q212" s="120">
        <f t="shared" si="59"/>
        <v>0</v>
      </c>
      <c r="R212" s="120">
        <f t="shared" si="59"/>
        <v>0</v>
      </c>
      <c r="S212" s="120">
        <f t="shared" si="59"/>
        <v>0</v>
      </c>
      <c r="T212" s="120">
        <f t="shared" si="59"/>
        <v>0</v>
      </c>
      <c r="U212" s="120">
        <f t="shared" si="59"/>
        <v>0</v>
      </c>
      <c r="V212" s="120">
        <f t="shared" si="57"/>
        <v>0</v>
      </c>
      <c r="W212" s="120">
        <f t="shared" si="57"/>
        <v>0</v>
      </c>
      <c r="X212" s="120">
        <f t="shared" si="57"/>
        <v>0</v>
      </c>
      <c r="Y212" s="179"/>
    </row>
    <row r="213" spans="1:25" x14ac:dyDescent="0.25">
      <c r="A213" s="139">
        <f t="shared" si="45"/>
        <v>0</v>
      </c>
      <c r="B213" s="30"/>
      <c r="C213" s="31">
        <f t="shared" si="58"/>
        <v>0</v>
      </c>
      <c r="D213" s="9" t="str">
        <f t="shared" si="60"/>
        <v>мин</v>
      </c>
      <c r="E213" s="462">
        <f>Производительность!E213</f>
        <v>0</v>
      </c>
      <c r="F213" s="120">
        <f t="shared" si="59"/>
        <v>0</v>
      </c>
      <c r="G213" s="120">
        <f t="shared" si="59"/>
        <v>0</v>
      </c>
      <c r="H213" s="120">
        <f t="shared" si="59"/>
        <v>0</v>
      </c>
      <c r="I213" s="120">
        <f t="shared" si="59"/>
        <v>0</v>
      </c>
      <c r="J213" s="120">
        <f t="shared" si="59"/>
        <v>0</v>
      </c>
      <c r="K213" s="120">
        <f t="shared" si="59"/>
        <v>0</v>
      </c>
      <c r="L213" s="120">
        <f t="shared" si="59"/>
        <v>0</v>
      </c>
      <c r="M213" s="120">
        <f t="shared" si="59"/>
        <v>0</v>
      </c>
      <c r="N213" s="120">
        <f t="shared" si="59"/>
        <v>0</v>
      </c>
      <c r="O213" s="120">
        <f t="shared" si="59"/>
        <v>0</v>
      </c>
      <c r="P213" s="120">
        <f t="shared" si="59"/>
        <v>0</v>
      </c>
      <c r="Q213" s="120">
        <f t="shared" si="59"/>
        <v>0</v>
      </c>
      <c r="R213" s="120">
        <f t="shared" si="59"/>
        <v>0</v>
      </c>
      <c r="S213" s="120">
        <f t="shared" si="59"/>
        <v>0</v>
      </c>
      <c r="T213" s="120">
        <f t="shared" si="59"/>
        <v>0</v>
      </c>
      <c r="U213" s="120">
        <f t="shared" si="59"/>
        <v>0</v>
      </c>
      <c r="V213" s="120">
        <f t="shared" si="57"/>
        <v>0</v>
      </c>
      <c r="W213" s="120">
        <f t="shared" si="57"/>
        <v>0</v>
      </c>
      <c r="X213" s="120">
        <f t="shared" si="57"/>
        <v>0</v>
      </c>
      <c r="Y213" s="179"/>
    </row>
    <row r="214" spans="1:25" x14ac:dyDescent="0.25">
      <c r="A214" s="139">
        <f t="shared" si="45"/>
        <v>0</v>
      </c>
      <c r="B214" s="30"/>
      <c r="C214" s="31">
        <f t="shared" si="58"/>
        <v>0</v>
      </c>
      <c r="D214" s="9" t="str">
        <f t="shared" si="60"/>
        <v>мин</v>
      </c>
      <c r="E214" s="462">
        <f>Производительность!E214</f>
        <v>0</v>
      </c>
      <c r="F214" s="120">
        <f t="shared" si="59"/>
        <v>0</v>
      </c>
      <c r="G214" s="120">
        <f t="shared" si="59"/>
        <v>0</v>
      </c>
      <c r="H214" s="120">
        <f t="shared" si="59"/>
        <v>0</v>
      </c>
      <c r="I214" s="120">
        <f t="shared" si="59"/>
        <v>0</v>
      </c>
      <c r="J214" s="120">
        <f t="shared" si="59"/>
        <v>0</v>
      </c>
      <c r="K214" s="120">
        <f t="shared" si="59"/>
        <v>0</v>
      </c>
      <c r="L214" s="120">
        <f t="shared" si="59"/>
        <v>0</v>
      </c>
      <c r="M214" s="120">
        <f t="shared" si="59"/>
        <v>0</v>
      </c>
      <c r="N214" s="120">
        <f t="shared" si="59"/>
        <v>0</v>
      </c>
      <c r="O214" s="120">
        <f t="shared" si="59"/>
        <v>0</v>
      </c>
      <c r="P214" s="120">
        <f t="shared" si="59"/>
        <v>0</v>
      </c>
      <c r="Q214" s="120">
        <f t="shared" si="59"/>
        <v>0</v>
      </c>
      <c r="R214" s="120">
        <f t="shared" si="59"/>
        <v>0</v>
      </c>
      <c r="S214" s="120">
        <f t="shared" si="59"/>
        <v>0</v>
      </c>
      <c r="T214" s="120">
        <f t="shared" si="59"/>
        <v>0</v>
      </c>
      <c r="U214" s="120">
        <f t="shared" si="59"/>
        <v>0</v>
      </c>
      <c r="V214" s="120">
        <f t="shared" si="57"/>
        <v>0</v>
      </c>
      <c r="W214" s="120">
        <f t="shared" si="57"/>
        <v>0</v>
      </c>
      <c r="X214" s="120">
        <f t="shared" si="57"/>
        <v>0</v>
      </c>
      <c r="Y214" s="179"/>
    </row>
    <row r="215" spans="1:25" x14ac:dyDescent="0.25">
      <c r="A215" s="139">
        <f t="shared" si="45"/>
        <v>1</v>
      </c>
      <c r="B215" s="9">
        <f>B199+0.1</f>
        <v>9.2999999999999989</v>
      </c>
      <c r="C215" s="147" t="s">
        <v>118</v>
      </c>
      <c r="D215" s="9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179"/>
    </row>
    <row r="216" spans="1:25" x14ac:dyDescent="0.25">
      <c r="A216" s="139">
        <f t="shared" si="45"/>
        <v>1</v>
      </c>
      <c r="B216" s="30"/>
      <c r="C216" s="31" t="str">
        <f>C200</f>
        <v>NHL NTE 240</v>
      </c>
      <c r="D216" s="9" t="s">
        <v>115</v>
      </c>
      <c r="E216" s="149">
        <f>IFERROR(E8/$D$279/E152*60,0)</f>
        <v>16.239986337701311</v>
      </c>
      <c r="F216" s="149">
        <f t="shared" ref="F216:X230" si="61">IFERROR(F8/$D$279/F152*60,0)</f>
        <v>18.004397357964599</v>
      </c>
      <c r="G216" s="149">
        <f t="shared" si="61"/>
        <v>21.620865828591036</v>
      </c>
      <c r="H216" s="149">
        <f t="shared" si="61"/>
        <v>20.868600127385555</v>
      </c>
      <c r="I216" s="149">
        <f t="shared" si="61"/>
        <v>25.61997748489657</v>
      </c>
      <c r="J216" s="149">
        <f t="shared" si="61"/>
        <v>28.616779792827813</v>
      </c>
      <c r="K216" s="149">
        <f t="shared" si="61"/>
        <v>23.610933776724519</v>
      </c>
      <c r="L216" s="149">
        <f t="shared" si="61"/>
        <v>24.182928055469119</v>
      </c>
      <c r="M216" s="149">
        <f t="shared" si="61"/>
        <v>28.766111532496382</v>
      </c>
      <c r="N216" s="149">
        <f t="shared" si="61"/>
        <v>25.751142493110091</v>
      </c>
      <c r="O216" s="149">
        <f t="shared" si="61"/>
        <v>25.323784520551669</v>
      </c>
      <c r="P216" s="149">
        <f t="shared" si="61"/>
        <v>30.650862486337786</v>
      </c>
      <c r="Q216" s="149">
        <f t="shared" si="61"/>
        <v>31.157298696470757</v>
      </c>
      <c r="R216" s="149">
        <f t="shared" si="61"/>
        <v>32.308014041870059</v>
      </c>
      <c r="S216" s="149">
        <f t="shared" si="61"/>
        <v>32.056704514975678</v>
      </c>
      <c r="T216" s="149">
        <f t="shared" si="61"/>
        <v>29.975159002248759</v>
      </c>
      <c r="U216" s="149">
        <f t="shared" si="61"/>
        <v>21.674668977320938</v>
      </c>
      <c r="V216" s="149">
        <f t="shared" si="61"/>
        <v>24.74662274660626</v>
      </c>
      <c r="W216" s="149">
        <f t="shared" si="61"/>
        <v>31.912127947500817</v>
      </c>
      <c r="X216" s="149">
        <f t="shared" si="61"/>
        <v>36.247919543218067</v>
      </c>
      <c r="Y216" s="179"/>
    </row>
    <row r="217" spans="1:25" x14ac:dyDescent="0.25">
      <c r="A217" s="139">
        <f t="shared" si="45"/>
        <v>1</v>
      </c>
      <c r="B217" s="30"/>
      <c r="C217" s="31" t="str">
        <f t="shared" ref="C217:C230" si="62">C201</f>
        <v>Estar ESDE240 (ГПБ К)</v>
      </c>
      <c r="D217" s="9" t="str">
        <f>D216</f>
        <v>мин</v>
      </c>
      <c r="E217" s="149">
        <f t="shared" ref="E217:T230" si="63">IFERROR(E9/$D$279/E153*60,0)</f>
        <v>16.239986337701311</v>
      </c>
      <c r="F217" s="149">
        <f t="shared" si="63"/>
        <v>18.004397357964599</v>
      </c>
      <c r="G217" s="149">
        <f t="shared" si="63"/>
        <v>21.620865828591036</v>
      </c>
      <c r="H217" s="149">
        <f t="shared" si="63"/>
        <v>20.868600127385555</v>
      </c>
      <c r="I217" s="149">
        <f t="shared" si="63"/>
        <v>25.61997748489657</v>
      </c>
      <c r="J217" s="149">
        <f t="shared" si="63"/>
        <v>28.616779792827813</v>
      </c>
      <c r="K217" s="149">
        <f t="shared" si="63"/>
        <v>23.610933776724519</v>
      </c>
      <c r="L217" s="149">
        <f t="shared" si="63"/>
        <v>24.182928055469119</v>
      </c>
      <c r="M217" s="149">
        <f t="shared" si="63"/>
        <v>28.766111532496382</v>
      </c>
      <c r="N217" s="149">
        <f t="shared" si="63"/>
        <v>25.751142493110091</v>
      </c>
      <c r="O217" s="149">
        <f t="shared" si="63"/>
        <v>25.323784520551669</v>
      </c>
      <c r="P217" s="149">
        <f t="shared" si="63"/>
        <v>30.650862486337786</v>
      </c>
      <c r="Q217" s="149">
        <f t="shared" si="63"/>
        <v>31.157298696470757</v>
      </c>
      <c r="R217" s="149">
        <f t="shared" si="63"/>
        <v>32.308014041870059</v>
      </c>
      <c r="S217" s="149">
        <f t="shared" si="63"/>
        <v>32.056704514975678</v>
      </c>
      <c r="T217" s="149">
        <f t="shared" si="63"/>
        <v>29.975159002248759</v>
      </c>
      <c r="U217" s="149">
        <f t="shared" si="61"/>
        <v>21.674668977320938</v>
      </c>
      <c r="V217" s="149">
        <f t="shared" si="61"/>
        <v>24.74662274660626</v>
      </c>
      <c r="W217" s="149">
        <f t="shared" si="61"/>
        <v>31.912127947500817</v>
      </c>
      <c r="X217" s="149">
        <f t="shared" si="61"/>
        <v>36.247919543218067</v>
      </c>
      <c r="Y217" s="179"/>
    </row>
    <row r="218" spans="1:25" x14ac:dyDescent="0.25">
      <c r="A218" s="139">
        <f t="shared" si="45"/>
        <v>1</v>
      </c>
      <c r="B218" s="30"/>
      <c r="C218" s="31" t="str">
        <f t="shared" si="62"/>
        <v>SANY SET240S</v>
      </c>
      <c r="D218" s="9" t="str">
        <f t="shared" ref="D218:D230" si="64">D217</f>
        <v>мин</v>
      </c>
      <c r="E218" s="149">
        <f t="shared" si="63"/>
        <v>16.239986337701311</v>
      </c>
      <c r="F218" s="149">
        <f t="shared" si="61"/>
        <v>18.004397357964599</v>
      </c>
      <c r="G218" s="149">
        <f t="shared" si="61"/>
        <v>21.620865828591036</v>
      </c>
      <c r="H218" s="149">
        <f t="shared" si="61"/>
        <v>20.868600127385555</v>
      </c>
      <c r="I218" s="149">
        <f t="shared" si="61"/>
        <v>25.61997748489657</v>
      </c>
      <c r="J218" s="149">
        <f t="shared" si="61"/>
        <v>28.616779792827813</v>
      </c>
      <c r="K218" s="149">
        <f t="shared" si="61"/>
        <v>23.610933776724519</v>
      </c>
      <c r="L218" s="149">
        <f t="shared" si="61"/>
        <v>24.182928055469119</v>
      </c>
      <c r="M218" s="149">
        <f t="shared" si="61"/>
        <v>28.766111532496382</v>
      </c>
      <c r="N218" s="149">
        <f t="shared" si="61"/>
        <v>25.751142493110091</v>
      </c>
      <c r="O218" s="149">
        <f t="shared" si="61"/>
        <v>25.323784520551669</v>
      </c>
      <c r="P218" s="149">
        <f t="shared" si="61"/>
        <v>30.650862486337786</v>
      </c>
      <c r="Q218" s="149">
        <f t="shared" si="61"/>
        <v>31.157298696470757</v>
      </c>
      <c r="R218" s="149">
        <f t="shared" si="61"/>
        <v>32.308014041870059</v>
      </c>
      <c r="S218" s="149">
        <f t="shared" si="61"/>
        <v>32.056704514975678</v>
      </c>
      <c r="T218" s="149">
        <f t="shared" si="61"/>
        <v>29.975159002248759</v>
      </c>
      <c r="U218" s="149">
        <f t="shared" si="61"/>
        <v>21.674668977320938</v>
      </c>
      <c r="V218" s="149">
        <f t="shared" si="61"/>
        <v>24.74662274660626</v>
      </c>
      <c r="W218" s="149">
        <f t="shared" si="61"/>
        <v>31.912127947500817</v>
      </c>
      <c r="X218" s="149">
        <f t="shared" si="61"/>
        <v>36.247919543218067</v>
      </c>
      <c r="Y218" s="179"/>
    </row>
    <row r="219" spans="1:25" x14ac:dyDescent="0.25">
      <c r="A219" s="139">
        <f t="shared" si="45"/>
        <v>1</v>
      </c>
      <c r="B219" s="30"/>
      <c r="C219" s="31" t="str">
        <f t="shared" si="62"/>
        <v>TZCO TZE240</v>
      </c>
      <c r="D219" s="9" t="str">
        <f t="shared" si="64"/>
        <v>мин</v>
      </c>
      <c r="E219" s="149">
        <f t="shared" si="63"/>
        <v>16.239986337701311</v>
      </c>
      <c r="F219" s="149">
        <f t="shared" si="61"/>
        <v>18.004397357964599</v>
      </c>
      <c r="G219" s="149">
        <f t="shared" si="61"/>
        <v>21.620865828591036</v>
      </c>
      <c r="H219" s="149">
        <f t="shared" si="61"/>
        <v>20.868600127385555</v>
      </c>
      <c r="I219" s="149">
        <f t="shared" si="61"/>
        <v>25.61997748489657</v>
      </c>
      <c r="J219" s="149">
        <f t="shared" si="61"/>
        <v>28.616779792827813</v>
      </c>
      <c r="K219" s="149">
        <f t="shared" si="61"/>
        <v>23.610933776724519</v>
      </c>
      <c r="L219" s="149">
        <f t="shared" si="61"/>
        <v>24.182928055469119</v>
      </c>
      <c r="M219" s="149">
        <f t="shared" si="61"/>
        <v>28.766111532496382</v>
      </c>
      <c r="N219" s="149">
        <f t="shared" si="61"/>
        <v>25.751142493110091</v>
      </c>
      <c r="O219" s="149">
        <f t="shared" si="61"/>
        <v>25.323784520551669</v>
      </c>
      <c r="P219" s="149">
        <f t="shared" si="61"/>
        <v>30.650862486337786</v>
      </c>
      <c r="Q219" s="149">
        <f t="shared" si="61"/>
        <v>31.157298696470757</v>
      </c>
      <c r="R219" s="149">
        <f t="shared" si="61"/>
        <v>32.308014041870059</v>
      </c>
      <c r="S219" s="149">
        <f t="shared" si="61"/>
        <v>32.056704514975678</v>
      </c>
      <c r="T219" s="149">
        <f t="shared" si="61"/>
        <v>29.975159002248759</v>
      </c>
      <c r="U219" s="149">
        <f t="shared" si="61"/>
        <v>21.674668977320938</v>
      </c>
      <c r="V219" s="149">
        <f t="shared" si="61"/>
        <v>24.74662274660626</v>
      </c>
      <c r="W219" s="149">
        <f t="shared" si="61"/>
        <v>31.912127947500817</v>
      </c>
      <c r="X219" s="149">
        <f t="shared" si="61"/>
        <v>36.247919543218067</v>
      </c>
      <c r="Y219" s="179"/>
    </row>
    <row r="220" spans="1:25" x14ac:dyDescent="0.25">
      <c r="A220" s="139">
        <f t="shared" si="45"/>
        <v>1</v>
      </c>
      <c r="B220" s="30"/>
      <c r="C220" s="31" t="str">
        <f t="shared" si="62"/>
        <v>БелАЗ 7531 (ГПФК)</v>
      </c>
      <c r="D220" s="9" t="str">
        <f t="shared" si="64"/>
        <v>мин</v>
      </c>
      <c r="E220" s="149">
        <f t="shared" si="63"/>
        <v>16.239986337701311</v>
      </c>
      <c r="F220" s="149">
        <f t="shared" si="61"/>
        <v>18.004397357964599</v>
      </c>
      <c r="G220" s="149">
        <f t="shared" si="61"/>
        <v>21.620865828591036</v>
      </c>
      <c r="H220" s="149">
        <f t="shared" si="61"/>
        <v>20.868600127385555</v>
      </c>
      <c r="I220" s="149">
        <f t="shared" si="61"/>
        <v>25.61997748489657</v>
      </c>
      <c r="J220" s="149">
        <f t="shared" si="61"/>
        <v>28.616779792827813</v>
      </c>
      <c r="K220" s="149">
        <f t="shared" si="61"/>
        <v>23.610933776724519</v>
      </c>
      <c r="L220" s="149">
        <f t="shared" si="61"/>
        <v>24.182928055469119</v>
      </c>
      <c r="M220" s="149">
        <f t="shared" si="61"/>
        <v>28.766111532496382</v>
      </c>
      <c r="N220" s="149">
        <f t="shared" si="61"/>
        <v>25.751142493110091</v>
      </c>
      <c r="O220" s="149">
        <f t="shared" si="61"/>
        <v>25.323784520551669</v>
      </c>
      <c r="P220" s="149">
        <f t="shared" si="61"/>
        <v>30.650862486337786</v>
      </c>
      <c r="Q220" s="149">
        <f t="shared" si="61"/>
        <v>31.157298696470757</v>
      </c>
      <c r="R220" s="149">
        <f t="shared" si="61"/>
        <v>32.308014041870059</v>
      </c>
      <c r="S220" s="149">
        <f t="shared" si="61"/>
        <v>32.056704514975678</v>
      </c>
      <c r="T220" s="149">
        <f t="shared" si="61"/>
        <v>29.975159002248759</v>
      </c>
      <c r="U220" s="149">
        <f t="shared" si="61"/>
        <v>21.674668977320938</v>
      </c>
      <c r="V220" s="149">
        <f t="shared" si="61"/>
        <v>24.74662274660626</v>
      </c>
      <c r="W220" s="149">
        <f t="shared" si="61"/>
        <v>31.912127947500817</v>
      </c>
      <c r="X220" s="149">
        <f t="shared" si="61"/>
        <v>36.247919543218067</v>
      </c>
      <c r="Y220" s="179"/>
    </row>
    <row r="221" spans="1:25" x14ac:dyDescent="0.25">
      <c r="A221" s="139">
        <f t="shared" si="45"/>
        <v>1</v>
      </c>
      <c r="B221" s="30"/>
      <c r="C221" s="31" t="str">
        <f t="shared" si="62"/>
        <v>XCMG 240</v>
      </c>
      <c r="D221" s="9" t="str">
        <f t="shared" si="64"/>
        <v>мин</v>
      </c>
      <c r="E221" s="149">
        <f t="shared" si="63"/>
        <v>16.239986337701311</v>
      </c>
      <c r="F221" s="149">
        <f t="shared" si="61"/>
        <v>18.004397357964599</v>
      </c>
      <c r="G221" s="149">
        <f t="shared" si="61"/>
        <v>21.620865828591036</v>
      </c>
      <c r="H221" s="149">
        <f t="shared" si="61"/>
        <v>20.868600127385555</v>
      </c>
      <c r="I221" s="149">
        <f t="shared" si="61"/>
        <v>25.61997748489657</v>
      </c>
      <c r="J221" s="149">
        <f t="shared" si="61"/>
        <v>28.616779792827813</v>
      </c>
      <c r="K221" s="149">
        <f t="shared" si="61"/>
        <v>23.610933776724519</v>
      </c>
      <c r="L221" s="149">
        <f t="shared" si="61"/>
        <v>24.182928055469119</v>
      </c>
      <c r="M221" s="149">
        <f t="shared" si="61"/>
        <v>28.766111532496382</v>
      </c>
      <c r="N221" s="149">
        <f t="shared" si="61"/>
        <v>25.751142493110091</v>
      </c>
      <c r="O221" s="149">
        <f t="shared" si="61"/>
        <v>25.323784520551669</v>
      </c>
      <c r="P221" s="149">
        <f t="shared" si="61"/>
        <v>30.650862486337786</v>
      </c>
      <c r="Q221" s="149">
        <f t="shared" si="61"/>
        <v>31.157298696470757</v>
      </c>
      <c r="R221" s="149">
        <f t="shared" si="61"/>
        <v>32.308014041870059</v>
      </c>
      <c r="S221" s="149">
        <f t="shared" si="61"/>
        <v>32.056704514975678</v>
      </c>
      <c r="T221" s="149">
        <f t="shared" si="61"/>
        <v>29.975159002248759</v>
      </c>
      <c r="U221" s="149">
        <f t="shared" si="61"/>
        <v>21.674668977320938</v>
      </c>
      <c r="V221" s="149">
        <f t="shared" si="61"/>
        <v>24.74662274660626</v>
      </c>
      <c r="W221" s="149">
        <f t="shared" si="61"/>
        <v>31.912127947500817</v>
      </c>
      <c r="X221" s="149">
        <f t="shared" si="61"/>
        <v>36.247919543218067</v>
      </c>
      <c r="Y221" s="179"/>
    </row>
    <row r="222" spans="1:25" x14ac:dyDescent="0.25">
      <c r="A222" s="139">
        <f t="shared" si="45"/>
        <v>1</v>
      </c>
      <c r="B222" s="30"/>
      <c r="C222" s="31" t="str">
        <f t="shared" si="62"/>
        <v>БелАЗ 7531 (БТЛ)</v>
      </c>
      <c r="D222" s="9" t="str">
        <f t="shared" si="64"/>
        <v>мин</v>
      </c>
      <c r="E222" s="149">
        <f t="shared" si="63"/>
        <v>16.239986337701311</v>
      </c>
      <c r="F222" s="149">
        <f t="shared" si="61"/>
        <v>18.004397357964599</v>
      </c>
      <c r="G222" s="149">
        <f t="shared" si="61"/>
        <v>21.620865828591036</v>
      </c>
      <c r="H222" s="149">
        <f t="shared" si="61"/>
        <v>20.868600127385555</v>
      </c>
      <c r="I222" s="149">
        <f t="shared" si="61"/>
        <v>25.61997748489657</v>
      </c>
      <c r="J222" s="149">
        <f t="shared" si="61"/>
        <v>28.616779792827813</v>
      </c>
      <c r="K222" s="149">
        <f t="shared" si="61"/>
        <v>23.610933776724519</v>
      </c>
      <c r="L222" s="149">
        <f t="shared" si="61"/>
        <v>24.182928055469119</v>
      </c>
      <c r="M222" s="149">
        <f t="shared" si="61"/>
        <v>28.766111532496382</v>
      </c>
      <c r="N222" s="149">
        <f t="shared" si="61"/>
        <v>25.751142493110091</v>
      </c>
      <c r="O222" s="149">
        <f t="shared" si="61"/>
        <v>25.323784520551669</v>
      </c>
      <c r="P222" s="149">
        <f t="shared" si="61"/>
        <v>30.650862486337786</v>
      </c>
      <c r="Q222" s="149">
        <f t="shared" si="61"/>
        <v>31.157298696470757</v>
      </c>
      <c r="R222" s="149">
        <f t="shared" si="61"/>
        <v>32.308014041870059</v>
      </c>
      <c r="S222" s="149">
        <f t="shared" si="61"/>
        <v>32.056704514975678</v>
      </c>
      <c r="T222" s="149">
        <f t="shared" si="61"/>
        <v>29.975159002248759</v>
      </c>
      <c r="U222" s="149">
        <f t="shared" si="61"/>
        <v>21.674668977320938</v>
      </c>
      <c r="V222" s="149">
        <f t="shared" si="61"/>
        <v>24.74662274660626</v>
      </c>
      <c r="W222" s="149">
        <f t="shared" si="61"/>
        <v>31.912127947500817</v>
      </c>
      <c r="X222" s="149">
        <f t="shared" si="61"/>
        <v>36.247919543218067</v>
      </c>
      <c r="Y222" s="179"/>
    </row>
    <row r="223" spans="1:25" x14ac:dyDescent="0.25">
      <c r="A223" s="139">
        <f t="shared" si="45"/>
        <v>0</v>
      </c>
      <c r="B223" s="30"/>
      <c r="C223" s="31">
        <f t="shared" si="62"/>
        <v>0</v>
      </c>
      <c r="D223" s="9" t="str">
        <f t="shared" si="64"/>
        <v>мин</v>
      </c>
      <c r="E223" s="149">
        <f t="shared" si="63"/>
        <v>0</v>
      </c>
      <c r="F223" s="149">
        <f t="shared" si="61"/>
        <v>0</v>
      </c>
      <c r="G223" s="149">
        <f t="shared" si="61"/>
        <v>0</v>
      </c>
      <c r="H223" s="149">
        <f t="shared" si="61"/>
        <v>0</v>
      </c>
      <c r="I223" s="149">
        <f t="shared" si="61"/>
        <v>0</v>
      </c>
      <c r="J223" s="149">
        <f t="shared" si="61"/>
        <v>0</v>
      </c>
      <c r="K223" s="149">
        <f t="shared" si="61"/>
        <v>0</v>
      </c>
      <c r="L223" s="149">
        <f t="shared" si="61"/>
        <v>0</v>
      </c>
      <c r="M223" s="149">
        <f t="shared" si="61"/>
        <v>0</v>
      </c>
      <c r="N223" s="149">
        <f t="shared" si="61"/>
        <v>0</v>
      </c>
      <c r="O223" s="149">
        <f t="shared" si="61"/>
        <v>0</v>
      </c>
      <c r="P223" s="149">
        <f t="shared" si="61"/>
        <v>0</v>
      </c>
      <c r="Q223" s="149">
        <f t="shared" si="61"/>
        <v>0</v>
      </c>
      <c r="R223" s="149">
        <f t="shared" si="61"/>
        <v>0</v>
      </c>
      <c r="S223" s="149">
        <f t="shared" si="61"/>
        <v>0</v>
      </c>
      <c r="T223" s="149">
        <f t="shared" si="61"/>
        <v>0</v>
      </c>
      <c r="U223" s="149">
        <f t="shared" si="61"/>
        <v>0</v>
      </c>
      <c r="V223" s="149">
        <f t="shared" si="61"/>
        <v>0</v>
      </c>
      <c r="W223" s="149">
        <f t="shared" si="61"/>
        <v>0</v>
      </c>
      <c r="X223" s="149">
        <f t="shared" si="61"/>
        <v>0</v>
      </c>
      <c r="Y223" s="179"/>
    </row>
    <row r="224" spans="1:25" x14ac:dyDescent="0.25">
      <c r="A224" s="139">
        <f t="shared" si="45"/>
        <v>0</v>
      </c>
      <c r="B224" s="30"/>
      <c r="C224" s="31">
        <f t="shared" si="62"/>
        <v>0</v>
      </c>
      <c r="D224" s="9" t="str">
        <f t="shared" si="64"/>
        <v>мин</v>
      </c>
      <c r="E224" s="149">
        <f t="shared" si="63"/>
        <v>0</v>
      </c>
      <c r="F224" s="149">
        <f t="shared" si="61"/>
        <v>0</v>
      </c>
      <c r="G224" s="149">
        <f t="shared" si="61"/>
        <v>0</v>
      </c>
      <c r="H224" s="149">
        <f t="shared" si="61"/>
        <v>0</v>
      </c>
      <c r="I224" s="149">
        <f t="shared" si="61"/>
        <v>0</v>
      </c>
      <c r="J224" s="149">
        <f t="shared" si="61"/>
        <v>0</v>
      </c>
      <c r="K224" s="149">
        <f t="shared" si="61"/>
        <v>0</v>
      </c>
      <c r="L224" s="149">
        <f t="shared" si="61"/>
        <v>0</v>
      </c>
      <c r="M224" s="149">
        <f t="shared" si="61"/>
        <v>0</v>
      </c>
      <c r="N224" s="149">
        <f t="shared" si="61"/>
        <v>0</v>
      </c>
      <c r="O224" s="149">
        <f t="shared" si="61"/>
        <v>0</v>
      </c>
      <c r="P224" s="149">
        <f t="shared" si="61"/>
        <v>0</v>
      </c>
      <c r="Q224" s="149">
        <f t="shared" si="61"/>
        <v>0</v>
      </c>
      <c r="R224" s="149">
        <f t="shared" si="61"/>
        <v>0</v>
      </c>
      <c r="S224" s="149">
        <f t="shared" si="61"/>
        <v>0</v>
      </c>
      <c r="T224" s="149">
        <f t="shared" si="61"/>
        <v>0</v>
      </c>
      <c r="U224" s="149">
        <f t="shared" si="61"/>
        <v>0</v>
      </c>
      <c r="V224" s="149">
        <f t="shared" si="61"/>
        <v>0</v>
      </c>
      <c r="W224" s="149">
        <f t="shared" si="61"/>
        <v>0</v>
      </c>
      <c r="X224" s="149">
        <f t="shared" si="61"/>
        <v>0</v>
      </c>
      <c r="Y224" s="179"/>
    </row>
    <row r="225" spans="1:25" x14ac:dyDescent="0.25">
      <c r="A225" s="139">
        <f t="shared" si="45"/>
        <v>0</v>
      </c>
      <c r="B225" s="30"/>
      <c r="C225" s="31">
        <f t="shared" si="62"/>
        <v>0</v>
      </c>
      <c r="D225" s="9" t="str">
        <f t="shared" si="64"/>
        <v>мин</v>
      </c>
      <c r="E225" s="149">
        <f t="shared" si="63"/>
        <v>0</v>
      </c>
      <c r="F225" s="149">
        <f t="shared" si="61"/>
        <v>0</v>
      </c>
      <c r="G225" s="149">
        <f t="shared" si="61"/>
        <v>0</v>
      </c>
      <c r="H225" s="149">
        <f t="shared" si="61"/>
        <v>0</v>
      </c>
      <c r="I225" s="149">
        <f t="shared" si="61"/>
        <v>0</v>
      </c>
      <c r="J225" s="149">
        <f t="shared" si="61"/>
        <v>0</v>
      </c>
      <c r="K225" s="149">
        <f t="shared" si="61"/>
        <v>0</v>
      </c>
      <c r="L225" s="149">
        <f t="shared" si="61"/>
        <v>0</v>
      </c>
      <c r="M225" s="149">
        <f t="shared" si="61"/>
        <v>0</v>
      </c>
      <c r="N225" s="149">
        <f t="shared" si="61"/>
        <v>0</v>
      </c>
      <c r="O225" s="149">
        <f t="shared" si="61"/>
        <v>0</v>
      </c>
      <c r="P225" s="149">
        <f t="shared" si="61"/>
        <v>0</v>
      </c>
      <c r="Q225" s="149">
        <f t="shared" si="61"/>
        <v>0</v>
      </c>
      <c r="R225" s="149">
        <f t="shared" si="61"/>
        <v>0</v>
      </c>
      <c r="S225" s="149">
        <f t="shared" si="61"/>
        <v>0</v>
      </c>
      <c r="T225" s="149">
        <f t="shared" si="61"/>
        <v>0</v>
      </c>
      <c r="U225" s="149">
        <f t="shared" si="61"/>
        <v>0</v>
      </c>
      <c r="V225" s="149">
        <f t="shared" si="61"/>
        <v>0</v>
      </c>
      <c r="W225" s="149">
        <f t="shared" si="61"/>
        <v>0</v>
      </c>
      <c r="X225" s="149">
        <f t="shared" si="61"/>
        <v>0</v>
      </c>
      <c r="Y225" s="179"/>
    </row>
    <row r="226" spans="1:25" x14ac:dyDescent="0.25">
      <c r="A226" s="139">
        <f t="shared" si="45"/>
        <v>0</v>
      </c>
      <c r="B226" s="30"/>
      <c r="C226" s="31">
        <f t="shared" si="62"/>
        <v>0</v>
      </c>
      <c r="D226" s="9" t="str">
        <f t="shared" si="64"/>
        <v>мин</v>
      </c>
      <c r="E226" s="149">
        <f t="shared" si="63"/>
        <v>0</v>
      </c>
      <c r="F226" s="149">
        <f t="shared" si="61"/>
        <v>0</v>
      </c>
      <c r="G226" s="149">
        <f t="shared" si="61"/>
        <v>0</v>
      </c>
      <c r="H226" s="149">
        <f t="shared" si="61"/>
        <v>0</v>
      </c>
      <c r="I226" s="149">
        <f t="shared" si="61"/>
        <v>0</v>
      </c>
      <c r="J226" s="149">
        <f t="shared" si="61"/>
        <v>0</v>
      </c>
      <c r="K226" s="149">
        <f t="shared" si="61"/>
        <v>0</v>
      </c>
      <c r="L226" s="149">
        <f t="shared" si="61"/>
        <v>0</v>
      </c>
      <c r="M226" s="149">
        <f t="shared" si="61"/>
        <v>0</v>
      </c>
      <c r="N226" s="149">
        <f t="shared" si="61"/>
        <v>0</v>
      </c>
      <c r="O226" s="149">
        <f t="shared" si="61"/>
        <v>0</v>
      </c>
      <c r="P226" s="149">
        <f t="shared" si="61"/>
        <v>0</v>
      </c>
      <c r="Q226" s="149">
        <f t="shared" si="61"/>
        <v>0</v>
      </c>
      <c r="R226" s="149">
        <f t="shared" si="61"/>
        <v>0</v>
      </c>
      <c r="S226" s="149">
        <f t="shared" si="61"/>
        <v>0</v>
      </c>
      <c r="T226" s="149">
        <f t="shared" si="61"/>
        <v>0</v>
      </c>
      <c r="U226" s="149">
        <f t="shared" si="61"/>
        <v>0</v>
      </c>
      <c r="V226" s="149">
        <f t="shared" si="61"/>
        <v>0</v>
      </c>
      <c r="W226" s="149">
        <f t="shared" si="61"/>
        <v>0</v>
      </c>
      <c r="X226" s="149">
        <f t="shared" si="61"/>
        <v>0</v>
      </c>
      <c r="Y226" s="179"/>
    </row>
    <row r="227" spans="1:25" x14ac:dyDescent="0.25">
      <c r="A227" s="139">
        <f t="shared" si="45"/>
        <v>0</v>
      </c>
      <c r="B227" s="30"/>
      <c r="C227" s="31">
        <f t="shared" si="62"/>
        <v>0</v>
      </c>
      <c r="D227" s="9" t="str">
        <f t="shared" si="64"/>
        <v>мин</v>
      </c>
      <c r="E227" s="149">
        <f t="shared" si="63"/>
        <v>0</v>
      </c>
      <c r="F227" s="149">
        <f t="shared" si="61"/>
        <v>0</v>
      </c>
      <c r="G227" s="149">
        <f t="shared" si="61"/>
        <v>0</v>
      </c>
      <c r="H227" s="149">
        <f t="shared" si="61"/>
        <v>0</v>
      </c>
      <c r="I227" s="149">
        <f t="shared" si="61"/>
        <v>0</v>
      </c>
      <c r="J227" s="149">
        <f t="shared" si="61"/>
        <v>0</v>
      </c>
      <c r="K227" s="149">
        <f t="shared" si="61"/>
        <v>0</v>
      </c>
      <c r="L227" s="149">
        <f t="shared" si="61"/>
        <v>0</v>
      </c>
      <c r="M227" s="149">
        <f t="shared" si="61"/>
        <v>0</v>
      </c>
      <c r="N227" s="149">
        <f t="shared" si="61"/>
        <v>0</v>
      </c>
      <c r="O227" s="149">
        <f t="shared" si="61"/>
        <v>0</v>
      </c>
      <c r="P227" s="149">
        <f t="shared" si="61"/>
        <v>0</v>
      </c>
      <c r="Q227" s="149">
        <f t="shared" si="61"/>
        <v>0</v>
      </c>
      <c r="R227" s="149">
        <f t="shared" si="61"/>
        <v>0</v>
      </c>
      <c r="S227" s="149">
        <f t="shared" si="61"/>
        <v>0</v>
      </c>
      <c r="T227" s="149">
        <f t="shared" si="61"/>
        <v>0</v>
      </c>
      <c r="U227" s="149">
        <f t="shared" si="61"/>
        <v>0</v>
      </c>
      <c r="V227" s="149">
        <f t="shared" si="61"/>
        <v>0</v>
      </c>
      <c r="W227" s="149">
        <f t="shared" si="61"/>
        <v>0</v>
      </c>
      <c r="X227" s="149">
        <f t="shared" si="61"/>
        <v>0</v>
      </c>
      <c r="Y227" s="179"/>
    </row>
    <row r="228" spans="1:25" x14ac:dyDescent="0.25">
      <c r="A228" s="139">
        <f t="shared" si="45"/>
        <v>0</v>
      </c>
      <c r="B228" s="30"/>
      <c r="C228" s="31">
        <f t="shared" si="62"/>
        <v>0</v>
      </c>
      <c r="D228" s="9" t="str">
        <f t="shared" si="64"/>
        <v>мин</v>
      </c>
      <c r="E228" s="149">
        <f t="shared" si="63"/>
        <v>0</v>
      </c>
      <c r="F228" s="149">
        <f t="shared" si="61"/>
        <v>0</v>
      </c>
      <c r="G228" s="149">
        <f t="shared" si="61"/>
        <v>0</v>
      </c>
      <c r="H228" s="149">
        <f t="shared" si="61"/>
        <v>0</v>
      </c>
      <c r="I228" s="149">
        <f t="shared" si="61"/>
        <v>0</v>
      </c>
      <c r="J228" s="149">
        <f t="shared" si="61"/>
        <v>0</v>
      </c>
      <c r="K228" s="149">
        <f t="shared" si="61"/>
        <v>0</v>
      </c>
      <c r="L228" s="149">
        <f t="shared" si="61"/>
        <v>0</v>
      </c>
      <c r="M228" s="149">
        <f t="shared" si="61"/>
        <v>0</v>
      </c>
      <c r="N228" s="149">
        <f t="shared" si="61"/>
        <v>0</v>
      </c>
      <c r="O228" s="149">
        <f t="shared" si="61"/>
        <v>0</v>
      </c>
      <c r="P228" s="149">
        <f t="shared" si="61"/>
        <v>0</v>
      </c>
      <c r="Q228" s="149">
        <f t="shared" si="61"/>
        <v>0</v>
      </c>
      <c r="R228" s="149">
        <f t="shared" si="61"/>
        <v>0</v>
      </c>
      <c r="S228" s="149">
        <f t="shared" si="61"/>
        <v>0</v>
      </c>
      <c r="T228" s="149">
        <f t="shared" si="61"/>
        <v>0</v>
      </c>
      <c r="U228" s="149">
        <f t="shared" si="61"/>
        <v>0</v>
      </c>
      <c r="V228" s="149">
        <f t="shared" si="61"/>
        <v>0</v>
      </c>
      <c r="W228" s="149">
        <f t="shared" si="61"/>
        <v>0</v>
      </c>
      <c r="X228" s="149">
        <f t="shared" si="61"/>
        <v>0</v>
      </c>
      <c r="Y228" s="179"/>
    </row>
    <row r="229" spans="1:25" x14ac:dyDescent="0.25">
      <c r="A229" s="139">
        <f t="shared" si="45"/>
        <v>0</v>
      </c>
      <c r="B229" s="30"/>
      <c r="C229" s="31">
        <f t="shared" si="62"/>
        <v>0</v>
      </c>
      <c r="D229" s="9" t="str">
        <f t="shared" si="64"/>
        <v>мин</v>
      </c>
      <c r="E229" s="149">
        <f t="shared" si="63"/>
        <v>0</v>
      </c>
      <c r="F229" s="149">
        <f t="shared" si="61"/>
        <v>0</v>
      </c>
      <c r="G229" s="149">
        <f t="shared" si="61"/>
        <v>0</v>
      </c>
      <c r="H229" s="149">
        <f t="shared" si="61"/>
        <v>0</v>
      </c>
      <c r="I229" s="149">
        <f t="shared" si="61"/>
        <v>0</v>
      </c>
      <c r="J229" s="149">
        <f t="shared" si="61"/>
        <v>0</v>
      </c>
      <c r="K229" s="149">
        <f t="shared" si="61"/>
        <v>0</v>
      </c>
      <c r="L229" s="149">
        <f t="shared" si="61"/>
        <v>0</v>
      </c>
      <c r="M229" s="149">
        <f t="shared" si="61"/>
        <v>0</v>
      </c>
      <c r="N229" s="149">
        <f t="shared" si="61"/>
        <v>0</v>
      </c>
      <c r="O229" s="149">
        <f t="shared" si="61"/>
        <v>0</v>
      </c>
      <c r="P229" s="149">
        <f t="shared" si="61"/>
        <v>0</v>
      </c>
      <c r="Q229" s="149">
        <f t="shared" si="61"/>
        <v>0</v>
      </c>
      <c r="R229" s="149">
        <f t="shared" si="61"/>
        <v>0</v>
      </c>
      <c r="S229" s="149">
        <f t="shared" si="61"/>
        <v>0</v>
      </c>
      <c r="T229" s="149">
        <f t="shared" si="61"/>
        <v>0</v>
      </c>
      <c r="U229" s="149">
        <f t="shared" si="61"/>
        <v>0</v>
      </c>
      <c r="V229" s="149">
        <f t="shared" si="61"/>
        <v>0</v>
      </c>
      <c r="W229" s="149">
        <f t="shared" si="61"/>
        <v>0</v>
      </c>
      <c r="X229" s="149">
        <f t="shared" si="61"/>
        <v>0</v>
      </c>
      <c r="Y229" s="179"/>
    </row>
    <row r="230" spans="1:25" x14ac:dyDescent="0.25">
      <c r="A230" s="139">
        <f t="shared" si="45"/>
        <v>0</v>
      </c>
      <c r="B230" s="30"/>
      <c r="C230" s="31">
        <f t="shared" si="62"/>
        <v>0</v>
      </c>
      <c r="D230" s="9" t="str">
        <f t="shared" si="64"/>
        <v>мин</v>
      </c>
      <c r="E230" s="149">
        <f t="shared" si="63"/>
        <v>0</v>
      </c>
      <c r="F230" s="149">
        <f t="shared" si="61"/>
        <v>0</v>
      </c>
      <c r="G230" s="149">
        <f t="shared" si="61"/>
        <v>0</v>
      </c>
      <c r="H230" s="149">
        <f t="shared" si="61"/>
        <v>0</v>
      </c>
      <c r="I230" s="149">
        <f t="shared" si="61"/>
        <v>0</v>
      </c>
      <c r="J230" s="149">
        <f t="shared" ref="J230:X230" si="65">IFERROR(J22/$D$279/J166*60,0)</f>
        <v>0</v>
      </c>
      <c r="K230" s="149">
        <f t="shared" si="65"/>
        <v>0</v>
      </c>
      <c r="L230" s="149">
        <f t="shared" si="65"/>
        <v>0</v>
      </c>
      <c r="M230" s="149">
        <f t="shared" si="65"/>
        <v>0</v>
      </c>
      <c r="N230" s="149">
        <f t="shared" si="65"/>
        <v>0</v>
      </c>
      <c r="O230" s="149">
        <f t="shared" si="65"/>
        <v>0</v>
      </c>
      <c r="P230" s="149">
        <f t="shared" si="65"/>
        <v>0</v>
      </c>
      <c r="Q230" s="149">
        <f t="shared" si="65"/>
        <v>0</v>
      </c>
      <c r="R230" s="149">
        <f t="shared" si="65"/>
        <v>0</v>
      </c>
      <c r="S230" s="149">
        <f t="shared" si="65"/>
        <v>0</v>
      </c>
      <c r="T230" s="149">
        <f t="shared" si="65"/>
        <v>0</v>
      </c>
      <c r="U230" s="149">
        <f t="shared" si="65"/>
        <v>0</v>
      </c>
      <c r="V230" s="149">
        <f t="shared" si="65"/>
        <v>0</v>
      </c>
      <c r="W230" s="149">
        <f t="shared" si="65"/>
        <v>0</v>
      </c>
      <c r="X230" s="149">
        <f t="shared" si="65"/>
        <v>0</v>
      </c>
      <c r="Y230" s="179"/>
    </row>
    <row r="231" spans="1:25" x14ac:dyDescent="0.25">
      <c r="A231" s="139">
        <f t="shared" si="45"/>
        <v>1</v>
      </c>
      <c r="B231" s="68">
        <f>B167+1</f>
        <v>10</v>
      </c>
      <c r="C231" s="98" t="s">
        <v>119</v>
      </c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179"/>
    </row>
    <row r="232" spans="1:25" x14ac:dyDescent="0.25">
      <c r="A232" s="139">
        <f t="shared" ref="A232:A278" si="66">A216</f>
        <v>1</v>
      </c>
      <c r="B232" s="30"/>
      <c r="C232" s="31" t="str">
        <f>C216</f>
        <v>NHL NTE 240</v>
      </c>
      <c r="D232" s="9" t="s">
        <v>67</v>
      </c>
      <c r="E232" s="89">
        <f>IFERROR(E136*60/E168,0)</f>
        <v>17155.29563077584</v>
      </c>
      <c r="F232" s="89">
        <f t="shared" ref="F232:X246" si="67">IFERROR(F136*60/F168,0)</f>
        <v>15886.511169492567</v>
      </c>
      <c r="G232" s="89">
        <f t="shared" si="67"/>
        <v>13940.525473740152</v>
      </c>
      <c r="H232" s="89">
        <f t="shared" si="67"/>
        <v>14104.788955982352</v>
      </c>
      <c r="I232" s="89">
        <f t="shared" si="67"/>
        <v>12467.83892644841</v>
      </c>
      <c r="J232" s="89">
        <f t="shared" si="67"/>
        <v>11315.945948861381</v>
      </c>
      <c r="K232" s="89">
        <f t="shared" si="67"/>
        <v>13221.02855643325</v>
      </c>
      <c r="L232" s="89">
        <f t="shared" si="67"/>
        <v>12708.132912025669</v>
      </c>
      <c r="M232" s="89">
        <f t="shared" si="67"/>
        <v>11213.481963163937</v>
      </c>
      <c r="N232" s="89">
        <f t="shared" si="67"/>
        <v>12405.184649093413</v>
      </c>
      <c r="O232" s="89">
        <f t="shared" si="67"/>
        <v>12325.185654903293</v>
      </c>
      <c r="P232" s="89">
        <f t="shared" si="67"/>
        <v>10628.360902315202</v>
      </c>
      <c r="Q232" s="89">
        <f t="shared" si="67"/>
        <v>10727.662452450953</v>
      </c>
      <c r="R232" s="89">
        <f t="shared" si="67"/>
        <v>10412.027876181903</v>
      </c>
      <c r="S232" s="89">
        <f t="shared" si="67"/>
        <v>10092.723971452757</v>
      </c>
      <c r="T232" s="89">
        <f t="shared" si="67"/>
        <v>10960.866711419136</v>
      </c>
      <c r="U232" s="89">
        <f t="shared" si="67"/>
        <v>14116.833560166442</v>
      </c>
      <c r="V232" s="89">
        <f t="shared" si="67"/>
        <v>12403.762276937034</v>
      </c>
      <c r="W232" s="89">
        <f t="shared" si="67"/>
        <v>10534.298042383054</v>
      </c>
      <c r="X232" s="89">
        <f t="shared" si="67"/>
        <v>9384.7825402072176</v>
      </c>
      <c r="Y232" s="179"/>
    </row>
    <row r="233" spans="1:25" x14ac:dyDescent="0.25">
      <c r="A233" s="139">
        <f t="shared" si="66"/>
        <v>1</v>
      </c>
      <c r="B233" s="30"/>
      <c r="C233" s="31" t="str">
        <f t="shared" ref="C233:C246" si="68">C217</f>
        <v>Estar ESDE240 (ГПБ К)</v>
      </c>
      <c r="D233" s="9" t="str">
        <f>D232</f>
        <v>шт.</v>
      </c>
      <c r="E233" s="89">
        <f t="shared" ref="E233:T246" si="69">IFERROR(E137*60/E169,0)</f>
        <v>16680.911150485033</v>
      </c>
      <c r="F233" s="89">
        <f t="shared" si="69"/>
        <v>15300.936703594154</v>
      </c>
      <c r="G233" s="89">
        <f t="shared" si="69"/>
        <v>12847.479956567049</v>
      </c>
      <c r="H233" s="89">
        <f t="shared" si="69"/>
        <v>12509.066960017562</v>
      </c>
      <c r="I233" s="89">
        <f t="shared" si="69"/>
        <v>12002.910002873661</v>
      </c>
      <c r="J233" s="89">
        <f t="shared" si="69"/>
        <v>10092.384348314708</v>
      </c>
      <c r="K233" s="89">
        <f t="shared" si="69"/>
        <v>12627.025784693029</v>
      </c>
      <c r="L233" s="89">
        <f t="shared" si="69"/>
        <v>11314.045594204103</v>
      </c>
      <c r="M233" s="89">
        <f t="shared" si="69"/>
        <v>10468.454766751263</v>
      </c>
      <c r="N233" s="89">
        <f t="shared" si="69"/>
        <v>11097.266755840148</v>
      </c>
      <c r="O233" s="89">
        <f t="shared" si="69"/>
        <v>0</v>
      </c>
      <c r="P233" s="89">
        <f t="shared" si="69"/>
        <v>0</v>
      </c>
      <c r="Q233" s="89">
        <f t="shared" si="69"/>
        <v>0</v>
      </c>
      <c r="R233" s="89">
        <f t="shared" si="69"/>
        <v>0</v>
      </c>
      <c r="S233" s="89">
        <f t="shared" si="69"/>
        <v>0</v>
      </c>
      <c r="T233" s="89">
        <f t="shared" si="69"/>
        <v>0</v>
      </c>
      <c r="U233" s="89">
        <f t="shared" si="67"/>
        <v>0</v>
      </c>
      <c r="V233" s="89">
        <f t="shared" si="67"/>
        <v>0</v>
      </c>
      <c r="W233" s="89">
        <f t="shared" si="67"/>
        <v>0</v>
      </c>
      <c r="X233" s="89">
        <f t="shared" si="67"/>
        <v>0</v>
      </c>
      <c r="Y233" s="179"/>
    </row>
    <row r="234" spans="1:25" x14ac:dyDescent="0.25">
      <c r="A234" s="139">
        <f t="shared" si="66"/>
        <v>1</v>
      </c>
      <c r="B234" s="30"/>
      <c r="C234" s="31" t="str">
        <f t="shared" si="68"/>
        <v>SANY SET240S</v>
      </c>
      <c r="D234" s="9" t="str">
        <f t="shared" ref="D234:D246" si="70">D233</f>
        <v>шт.</v>
      </c>
      <c r="E234" s="89">
        <f t="shared" si="69"/>
        <v>17121.592635712113</v>
      </c>
      <c r="F234" s="89">
        <f t="shared" si="67"/>
        <v>15412.746867764585</v>
      </c>
      <c r="G234" s="89">
        <f t="shared" si="67"/>
        <v>13106.210427772927</v>
      </c>
      <c r="H234" s="89">
        <f t="shared" si="67"/>
        <v>14028.97287801391</v>
      </c>
      <c r="I234" s="89">
        <f t="shared" si="67"/>
        <v>11357.990801879339</v>
      </c>
      <c r="J234" s="89">
        <f t="shared" si="67"/>
        <v>11092.493719404622</v>
      </c>
      <c r="K234" s="89">
        <f t="shared" si="67"/>
        <v>12291.418535861034</v>
      </c>
      <c r="L234" s="89">
        <f t="shared" si="67"/>
        <v>12601.948991984618</v>
      </c>
      <c r="M234" s="89">
        <f t="shared" si="67"/>
        <v>10396.529941415794</v>
      </c>
      <c r="N234" s="89">
        <f t="shared" si="67"/>
        <v>11772.200334149829</v>
      </c>
      <c r="O234" s="89">
        <f t="shared" si="67"/>
        <v>11637.218314485597</v>
      </c>
      <c r="P234" s="89">
        <f t="shared" si="67"/>
        <v>10140.150930207848</v>
      </c>
      <c r="Q234" s="89">
        <f t="shared" si="67"/>
        <v>0</v>
      </c>
      <c r="R234" s="89">
        <f t="shared" si="67"/>
        <v>0</v>
      </c>
      <c r="S234" s="89">
        <f t="shared" si="67"/>
        <v>0</v>
      </c>
      <c r="T234" s="89">
        <f t="shared" si="67"/>
        <v>0</v>
      </c>
      <c r="U234" s="89">
        <f t="shared" si="67"/>
        <v>0</v>
      </c>
      <c r="V234" s="89">
        <f t="shared" si="67"/>
        <v>0</v>
      </c>
      <c r="W234" s="89">
        <f t="shared" si="67"/>
        <v>0</v>
      </c>
      <c r="X234" s="89">
        <f t="shared" si="67"/>
        <v>0</v>
      </c>
      <c r="Y234" s="179"/>
    </row>
    <row r="235" spans="1:25" x14ac:dyDescent="0.25">
      <c r="A235" s="139">
        <f t="shared" si="66"/>
        <v>1</v>
      </c>
      <c r="B235" s="30"/>
      <c r="C235" s="31" t="str">
        <f t="shared" si="68"/>
        <v>TZCO TZE240</v>
      </c>
      <c r="D235" s="9" t="str">
        <f t="shared" si="70"/>
        <v>шт.</v>
      </c>
      <c r="E235" s="89">
        <f t="shared" si="69"/>
        <v>16644.356925903987</v>
      </c>
      <c r="F235" s="89">
        <f t="shared" si="67"/>
        <v>15090.58198795148</v>
      </c>
      <c r="G235" s="89">
        <f t="shared" si="67"/>
        <v>11716.794196037479</v>
      </c>
      <c r="H235" s="89">
        <f t="shared" si="67"/>
        <v>13722.234495470429</v>
      </c>
      <c r="I235" s="89">
        <f t="shared" si="67"/>
        <v>12151.167290458563</v>
      </c>
      <c r="J235" s="89">
        <f t="shared" si="67"/>
        <v>9184.9281614674564</v>
      </c>
      <c r="K235" s="89">
        <f t="shared" si="67"/>
        <v>12913.788786042433</v>
      </c>
      <c r="L235" s="89">
        <f t="shared" si="67"/>
        <v>12326.411966978691</v>
      </c>
      <c r="M235" s="89">
        <f t="shared" si="67"/>
        <v>0</v>
      </c>
      <c r="N235" s="89">
        <f t="shared" si="67"/>
        <v>0</v>
      </c>
      <c r="O235" s="89">
        <f t="shared" si="67"/>
        <v>0</v>
      </c>
      <c r="P235" s="89">
        <f t="shared" si="67"/>
        <v>0</v>
      </c>
      <c r="Q235" s="89">
        <f t="shared" si="67"/>
        <v>0</v>
      </c>
      <c r="R235" s="89">
        <f t="shared" si="67"/>
        <v>0</v>
      </c>
      <c r="S235" s="89">
        <f t="shared" si="67"/>
        <v>0</v>
      </c>
      <c r="T235" s="89">
        <f t="shared" si="67"/>
        <v>0</v>
      </c>
      <c r="U235" s="89">
        <f t="shared" si="67"/>
        <v>0</v>
      </c>
      <c r="V235" s="89">
        <f t="shared" si="67"/>
        <v>0</v>
      </c>
      <c r="W235" s="89">
        <f t="shared" si="67"/>
        <v>0</v>
      </c>
      <c r="X235" s="89">
        <f t="shared" si="67"/>
        <v>0</v>
      </c>
      <c r="Y235" s="179"/>
    </row>
    <row r="236" spans="1:25" x14ac:dyDescent="0.25">
      <c r="A236" s="139">
        <f t="shared" si="66"/>
        <v>1</v>
      </c>
      <c r="B236" s="30"/>
      <c r="C236" s="31" t="str">
        <f t="shared" si="68"/>
        <v>БелАЗ 7531 (ГПФК)</v>
      </c>
      <c r="D236" s="9" t="str">
        <f t="shared" si="70"/>
        <v>шт.</v>
      </c>
      <c r="E236" s="89">
        <f t="shared" si="69"/>
        <v>16620.149906070314</v>
      </c>
      <c r="F236" s="89">
        <f t="shared" si="67"/>
        <v>15124.845170463366</v>
      </c>
      <c r="G236" s="89">
        <f t="shared" si="67"/>
        <v>13089.544153264078</v>
      </c>
      <c r="H236" s="89">
        <f t="shared" si="67"/>
        <v>13579.917076633403</v>
      </c>
      <c r="I236" s="89">
        <f t="shared" si="67"/>
        <v>11772.735621988515</v>
      </c>
      <c r="J236" s="89">
        <f t="shared" si="67"/>
        <v>10382.261643957045</v>
      </c>
      <c r="K236" s="89">
        <f t="shared" si="67"/>
        <v>12736.394882497059</v>
      </c>
      <c r="L236" s="89">
        <f t="shared" si="67"/>
        <v>11919.938096531741</v>
      </c>
      <c r="M236" s="89">
        <f t="shared" si="67"/>
        <v>10298.024595723644</v>
      </c>
      <c r="N236" s="89">
        <f t="shared" si="67"/>
        <v>11462.173951745524</v>
      </c>
      <c r="O236" s="89">
        <f t="shared" si="67"/>
        <v>0</v>
      </c>
      <c r="P236" s="89">
        <f t="shared" si="67"/>
        <v>0</v>
      </c>
      <c r="Q236" s="89">
        <f t="shared" si="67"/>
        <v>0</v>
      </c>
      <c r="R236" s="89">
        <f t="shared" si="67"/>
        <v>0</v>
      </c>
      <c r="S236" s="89">
        <f t="shared" si="67"/>
        <v>0</v>
      </c>
      <c r="T236" s="89">
        <f t="shared" si="67"/>
        <v>0</v>
      </c>
      <c r="U236" s="89">
        <f t="shared" si="67"/>
        <v>0</v>
      </c>
      <c r="V236" s="89">
        <f t="shared" si="67"/>
        <v>0</v>
      </c>
      <c r="W236" s="89">
        <f t="shared" si="67"/>
        <v>0</v>
      </c>
      <c r="X236" s="89">
        <f t="shared" si="67"/>
        <v>0</v>
      </c>
      <c r="Y236" s="179"/>
    </row>
    <row r="237" spans="1:25" x14ac:dyDescent="0.25">
      <c r="A237" s="139">
        <f t="shared" si="66"/>
        <v>1</v>
      </c>
      <c r="B237" s="30"/>
      <c r="C237" s="31" t="str">
        <f t="shared" si="68"/>
        <v>XCMG 240</v>
      </c>
      <c r="D237" s="9" t="str">
        <f t="shared" si="70"/>
        <v>шт.</v>
      </c>
      <c r="E237" s="89">
        <f t="shared" si="69"/>
        <v>0</v>
      </c>
      <c r="F237" s="89">
        <f t="shared" si="67"/>
        <v>0</v>
      </c>
      <c r="G237" s="89">
        <f t="shared" si="67"/>
        <v>0</v>
      </c>
      <c r="H237" s="89">
        <f t="shared" si="67"/>
        <v>0</v>
      </c>
      <c r="I237" s="89">
        <f t="shared" si="67"/>
        <v>0</v>
      </c>
      <c r="J237" s="89">
        <f t="shared" si="67"/>
        <v>0</v>
      </c>
      <c r="K237" s="89">
        <f t="shared" si="67"/>
        <v>0</v>
      </c>
      <c r="L237" s="89">
        <f t="shared" si="67"/>
        <v>0</v>
      </c>
      <c r="M237" s="89">
        <f t="shared" si="67"/>
        <v>0</v>
      </c>
      <c r="N237" s="89">
        <f t="shared" si="67"/>
        <v>0</v>
      </c>
      <c r="O237" s="89">
        <f t="shared" si="67"/>
        <v>0</v>
      </c>
      <c r="P237" s="89">
        <f t="shared" si="67"/>
        <v>0</v>
      </c>
      <c r="Q237" s="89">
        <f t="shared" si="67"/>
        <v>0</v>
      </c>
      <c r="R237" s="89">
        <f t="shared" si="67"/>
        <v>0</v>
      </c>
      <c r="S237" s="89">
        <f t="shared" si="67"/>
        <v>0</v>
      </c>
      <c r="T237" s="89">
        <f t="shared" si="67"/>
        <v>0</v>
      </c>
      <c r="U237" s="89">
        <f t="shared" si="67"/>
        <v>0</v>
      </c>
      <c r="V237" s="89">
        <f t="shared" si="67"/>
        <v>0</v>
      </c>
      <c r="W237" s="89">
        <f t="shared" si="67"/>
        <v>0</v>
      </c>
      <c r="X237" s="89">
        <f t="shared" si="67"/>
        <v>0</v>
      </c>
      <c r="Y237" s="179"/>
    </row>
    <row r="238" spans="1:25" x14ac:dyDescent="0.25">
      <c r="A238" s="139">
        <f t="shared" si="66"/>
        <v>1</v>
      </c>
      <c r="B238" s="30"/>
      <c r="C238" s="31" t="str">
        <f t="shared" si="68"/>
        <v>БелАЗ 7531 (БТЛ)</v>
      </c>
      <c r="D238" s="9" t="str">
        <f t="shared" si="70"/>
        <v>шт.</v>
      </c>
      <c r="E238" s="89">
        <f t="shared" si="69"/>
        <v>17009.095994168812</v>
      </c>
      <c r="F238" s="89">
        <f t="shared" si="67"/>
        <v>15502.999463756698</v>
      </c>
      <c r="G238" s="89">
        <f t="shared" si="67"/>
        <v>13615.200187343344</v>
      </c>
      <c r="H238" s="89">
        <f t="shared" si="67"/>
        <v>13671.613184479384</v>
      </c>
      <c r="I238" s="89">
        <f t="shared" si="67"/>
        <v>12037.935045779159</v>
      </c>
      <c r="J238" s="89">
        <f t="shared" si="67"/>
        <v>10684.126399493052</v>
      </c>
      <c r="K238" s="89">
        <f t="shared" si="67"/>
        <v>12075.642094857047</v>
      </c>
      <c r="L238" s="89">
        <f t="shared" si="67"/>
        <v>12437.283886346875</v>
      </c>
      <c r="M238" s="89">
        <f t="shared" si="67"/>
        <v>10488.301268791236</v>
      </c>
      <c r="N238" s="89">
        <f t="shared" si="67"/>
        <v>11341.381763676725</v>
      </c>
      <c r="O238" s="89">
        <f t="shared" si="67"/>
        <v>0</v>
      </c>
      <c r="P238" s="89">
        <f t="shared" si="67"/>
        <v>0</v>
      </c>
      <c r="Q238" s="89">
        <f t="shared" si="67"/>
        <v>0</v>
      </c>
      <c r="R238" s="89">
        <f t="shared" si="67"/>
        <v>0</v>
      </c>
      <c r="S238" s="89">
        <f t="shared" si="67"/>
        <v>0</v>
      </c>
      <c r="T238" s="89">
        <f t="shared" si="67"/>
        <v>0</v>
      </c>
      <c r="U238" s="89">
        <f t="shared" si="67"/>
        <v>0</v>
      </c>
      <c r="V238" s="89">
        <f t="shared" si="67"/>
        <v>0</v>
      </c>
      <c r="W238" s="89">
        <f t="shared" si="67"/>
        <v>0</v>
      </c>
      <c r="X238" s="89">
        <f t="shared" si="67"/>
        <v>0</v>
      </c>
      <c r="Y238" s="179"/>
    </row>
    <row r="239" spans="1:25" x14ac:dyDescent="0.25">
      <c r="A239" s="139">
        <f t="shared" si="66"/>
        <v>0</v>
      </c>
      <c r="B239" s="30"/>
      <c r="C239" s="31">
        <f t="shared" si="68"/>
        <v>0</v>
      </c>
      <c r="D239" s="9" t="str">
        <f t="shared" si="70"/>
        <v>шт.</v>
      </c>
      <c r="E239" s="89">
        <f t="shared" si="69"/>
        <v>0</v>
      </c>
      <c r="F239" s="89">
        <f t="shared" si="67"/>
        <v>0</v>
      </c>
      <c r="G239" s="89">
        <f t="shared" si="67"/>
        <v>0</v>
      </c>
      <c r="H239" s="89">
        <f t="shared" si="67"/>
        <v>0</v>
      </c>
      <c r="I239" s="89">
        <f t="shared" si="67"/>
        <v>0</v>
      </c>
      <c r="J239" s="89">
        <f t="shared" si="67"/>
        <v>0</v>
      </c>
      <c r="K239" s="89">
        <f t="shared" si="67"/>
        <v>0</v>
      </c>
      <c r="L239" s="89">
        <f t="shared" si="67"/>
        <v>0</v>
      </c>
      <c r="M239" s="89">
        <f t="shared" si="67"/>
        <v>0</v>
      </c>
      <c r="N239" s="89">
        <f t="shared" si="67"/>
        <v>0</v>
      </c>
      <c r="O239" s="89">
        <f t="shared" si="67"/>
        <v>0</v>
      </c>
      <c r="P239" s="89">
        <f t="shared" si="67"/>
        <v>0</v>
      </c>
      <c r="Q239" s="89">
        <f t="shared" si="67"/>
        <v>0</v>
      </c>
      <c r="R239" s="89">
        <f t="shared" si="67"/>
        <v>0</v>
      </c>
      <c r="S239" s="89">
        <f t="shared" si="67"/>
        <v>0</v>
      </c>
      <c r="T239" s="89">
        <f t="shared" si="67"/>
        <v>0</v>
      </c>
      <c r="U239" s="89">
        <f t="shared" si="67"/>
        <v>0</v>
      </c>
      <c r="V239" s="89">
        <f t="shared" si="67"/>
        <v>0</v>
      </c>
      <c r="W239" s="89">
        <f t="shared" si="67"/>
        <v>0</v>
      </c>
      <c r="X239" s="89">
        <f t="shared" si="67"/>
        <v>0</v>
      </c>
      <c r="Y239" s="179"/>
    </row>
    <row r="240" spans="1:25" x14ac:dyDescent="0.25">
      <c r="A240" s="139">
        <f t="shared" si="66"/>
        <v>0</v>
      </c>
      <c r="B240" s="30"/>
      <c r="C240" s="31">
        <f t="shared" si="68"/>
        <v>0</v>
      </c>
      <c r="D240" s="9" t="str">
        <f t="shared" si="70"/>
        <v>шт.</v>
      </c>
      <c r="E240" s="89">
        <f t="shared" si="69"/>
        <v>0</v>
      </c>
      <c r="F240" s="89">
        <f t="shared" si="67"/>
        <v>0</v>
      </c>
      <c r="G240" s="89">
        <f t="shared" si="67"/>
        <v>0</v>
      </c>
      <c r="H240" s="89">
        <f t="shared" si="67"/>
        <v>0</v>
      </c>
      <c r="I240" s="89">
        <f t="shared" si="67"/>
        <v>0</v>
      </c>
      <c r="J240" s="89">
        <f t="shared" si="67"/>
        <v>0</v>
      </c>
      <c r="K240" s="89">
        <f t="shared" si="67"/>
        <v>0</v>
      </c>
      <c r="L240" s="89">
        <f t="shared" si="67"/>
        <v>0</v>
      </c>
      <c r="M240" s="89">
        <f t="shared" si="67"/>
        <v>0</v>
      </c>
      <c r="N240" s="89">
        <f t="shared" si="67"/>
        <v>0</v>
      </c>
      <c r="O240" s="89">
        <f t="shared" si="67"/>
        <v>0</v>
      </c>
      <c r="P240" s="89">
        <f t="shared" si="67"/>
        <v>0</v>
      </c>
      <c r="Q240" s="89">
        <f t="shared" si="67"/>
        <v>0</v>
      </c>
      <c r="R240" s="89">
        <f t="shared" si="67"/>
        <v>0</v>
      </c>
      <c r="S240" s="89">
        <f t="shared" si="67"/>
        <v>0</v>
      </c>
      <c r="T240" s="89">
        <f t="shared" si="67"/>
        <v>0</v>
      </c>
      <c r="U240" s="89">
        <f t="shared" si="67"/>
        <v>0</v>
      </c>
      <c r="V240" s="89">
        <f t="shared" si="67"/>
        <v>0</v>
      </c>
      <c r="W240" s="89">
        <f t="shared" si="67"/>
        <v>0</v>
      </c>
      <c r="X240" s="89">
        <f t="shared" si="67"/>
        <v>0</v>
      </c>
      <c r="Y240" s="179"/>
    </row>
    <row r="241" spans="1:26" x14ac:dyDescent="0.25">
      <c r="A241" s="139">
        <f t="shared" si="66"/>
        <v>0</v>
      </c>
      <c r="B241" s="30"/>
      <c r="C241" s="31">
        <f t="shared" si="68"/>
        <v>0</v>
      </c>
      <c r="D241" s="9" t="str">
        <f t="shared" si="70"/>
        <v>шт.</v>
      </c>
      <c r="E241" s="89">
        <f t="shared" si="69"/>
        <v>0</v>
      </c>
      <c r="F241" s="89">
        <f t="shared" si="67"/>
        <v>0</v>
      </c>
      <c r="G241" s="89">
        <f t="shared" si="67"/>
        <v>0</v>
      </c>
      <c r="H241" s="89">
        <f t="shared" si="67"/>
        <v>0</v>
      </c>
      <c r="I241" s="89">
        <f t="shared" si="67"/>
        <v>0</v>
      </c>
      <c r="J241" s="89">
        <f t="shared" si="67"/>
        <v>0</v>
      </c>
      <c r="K241" s="89">
        <f t="shared" si="67"/>
        <v>0</v>
      </c>
      <c r="L241" s="89">
        <f t="shared" si="67"/>
        <v>0</v>
      </c>
      <c r="M241" s="89">
        <f t="shared" si="67"/>
        <v>0</v>
      </c>
      <c r="N241" s="89">
        <f t="shared" si="67"/>
        <v>0</v>
      </c>
      <c r="O241" s="89">
        <f t="shared" si="67"/>
        <v>0</v>
      </c>
      <c r="P241" s="89">
        <f t="shared" si="67"/>
        <v>0</v>
      </c>
      <c r="Q241" s="89">
        <f t="shared" si="67"/>
        <v>0</v>
      </c>
      <c r="R241" s="89">
        <f t="shared" si="67"/>
        <v>0</v>
      </c>
      <c r="S241" s="89">
        <f t="shared" si="67"/>
        <v>0</v>
      </c>
      <c r="T241" s="89">
        <f t="shared" si="67"/>
        <v>0</v>
      </c>
      <c r="U241" s="89">
        <f t="shared" si="67"/>
        <v>0</v>
      </c>
      <c r="V241" s="89">
        <f t="shared" si="67"/>
        <v>0</v>
      </c>
      <c r="W241" s="89">
        <f t="shared" si="67"/>
        <v>0</v>
      </c>
      <c r="X241" s="89">
        <f t="shared" si="67"/>
        <v>0</v>
      </c>
      <c r="Y241" s="179"/>
    </row>
    <row r="242" spans="1:26" x14ac:dyDescent="0.25">
      <c r="A242" s="139">
        <f t="shared" si="66"/>
        <v>0</v>
      </c>
      <c r="B242" s="30"/>
      <c r="C242" s="31">
        <f t="shared" si="68"/>
        <v>0</v>
      </c>
      <c r="D242" s="9" t="str">
        <f t="shared" si="70"/>
        <v>шт.</v>
      </c>
      <c r="E242" s="89">
        <f t="shared" si="69"/>
        <v>0</v>
      </c>
      <c r="F242" s="89">
        <f t="shared" si="67"/>
        <v>0</v>
      </c>
      <c r="G242" s="89">
        <f t="shared" si="67"/>
        <v>0</v>
      </c>
      <c r="H242" s="89">
        <f t="shared" si="67"/>
        <v>0</v>
      </c>
      <c r="I242" s="89">
        <f t="shared" si="67"/>
        <v>0</v>
      </c>
      <c r="J242" s="89">
        <f t="shared" si="67"/>
        <v>0</v>
      </c>
      <c r="K242" s="89">
        <f t="shared" si="67"/>
        <v>0</v>
      </c>
      <c r="L242" s="89">
        <f t="shared" si="67"/>
        <v>0</v>
      </c>
      <c r="M242" s="89">
        <f t="shared" si="67"/>
        <v>0</v>
      </c>
      <c r="N242" s="89">
        <f t="shared" si="67"/>
        <v>0</v>
      </c>
      <c r="O242" s="89">
        <f t="shared" si="67"/>
        <v>0</v>
      </c>
      <c r="P242" s="89">
        <f t="shared" si="67"/>
        <v>0</v>
      </c>
      <c r="Q242" s="89">
        <f t="shared" si="67"/>
        <v>0</v>
      </c>
      <c r="R242" s="89">
        <f t="shared" si="67"/>
        <v>0</v>
      </c>
      <c r="S242" s="89">
        <f t="shared" si="67"/>
        <v>0</v>
      </c>
      <c r="T242" s="89">
        <f t="shared" si="67"/>
        <v>0</v>
      </c>
      <c r="U242" s="89">
        <f t="shared" si="67"/>
        <v>0</v>
      </c>
      <c r="V242" s="89">
        <f t="shared" si="67"/>
        <v>0</v>
      </c>
      <c r="W242" s="89">
        <f t="shared" si="67"/>
        <v>0</v>
      </c>
      <c r="X242" s="89">
        <f t="shared" si="67"/>
        <v>0</v>
      </c>
      <c r="Y242" s="179"/>
    </row>
    <row r="243" spans="1:26" x14ac:dyDescent="0.25">
      <c r="A243" s="139">
        <f t="shared" si="66"/>
        <v>0</v>
      </c>
      <c r="B243" s="30"/>
      <c r="C243" s="31">
        <f t="shared" si="68"/>
        <v>0</v>
      </c>
      <c r="D243" s="9" t="str">
        <f t="shared" si="70"/>
        <v>шт.</v>
      </c>
      <c r="E243" s="89">
        <f t="shared" si="69"/>
        <v>0</v>
      </c>
      <c r="F243" s="89">
        <f t="shared" si="67"/>
        <v>0</v>
      </c>
      <c r="G243" s="89">
        <f t="shared" si="67"/>
        <v>0</v>
      </c>
      <c r="H243" s="89">
        <f t="shared" si="67"/>
        <v>0</v>
      </c>
      <c r="I243" s="89">
        <f t="shared" si="67"/>
        <v>0</v>
      </c>
      <c r="J243" s="89">
        <f t="shared" si="67"/>
        <v>0</v>
      </c>
      <c r="K243" s="89">
        <f t="shared" si="67"/>
        <v>0</v>
      </c>
      <c r="L243" s="89">
        <f t="shared" si="67"/>
        <v>0</v>
      </c>
      <c r="M243" s="89">
        <f t="shared" si="67"/>
        <v>0</v>
      </c>
      <c r="N243" s="89">
        <f t="shared" si="67"/>
        <v>0</v>
      </c>
      <c r="O243" s="89">
        <f t="shared" si="67"/>
        <v>0</v>
      </c>
      <c r="P243" s="89">
        <f t="shared" si="67"/>
        <v>0</v>
      </c>
      <c r="Q243" s="89">
        <f t="shared" si="67"/>
        <v>0</v>
      </c>
      <c r="R243" s="89">
        <f t="shared" si="67"/>
        <v>0</v>
      </c>
      <c r="S243" s="89">
        <f t="shared" si="67"/>
        <v>0</v>
      </c>
      <c r="T243" s="89">
        <f t="shared" si="67"/>
        <v>0</v>
      </c>
      <c r="U243" s="89">
        <f t="shared" si="67"/>
        <v>0</v>
      </c>
      <c r="V243" s="89">
        <f t="shared" si="67"/>
        <v>0</v>
      </c>
      <c r="W243" s="89">
        <f t="shared" si="67"/>
        <v>0</v>
      </c>
      <c r="X243" s="89">
        <f t="shared" si="67"/>
        <v>0</v>
      </c>
      <c r="Y243" s="179"/>
    </row>
    <row r="244" spans="1:26" x14ac:dyDescent="0.25">
      <c r="A244" s="139">
        <f t="shared" si="66"/>
        <v>0</v>
      </c>
      <c r="B244" s="30"/>
      <c r="C244" s="31">
        <f t="shared" si="68"/>
        <v>0</v>
      </c>
      <c r="D244" s="9" t="str">
        <f t="shared" si="70"/>
        <v>шт.</v>
      </c>
      <c r="E244" s="89">
        <f t="shared" si="69"/>
        <v>0</v>
      </c>
      <c r="F244" s="89">
        <f t="shared" si="67"/>
        <v>0</v>
      </c>
      <c r="G244" s="89">
        <f t="shared" si="67"/>
        <v>0</v>
      </c>
      <c r="H244" s="89">
        <f t="shared" si="67"/>
        <v>0</v>
      </c>
      <c r="I244" s="89">
        <f t="shared" si="67"/>
        <v>0</v>
      </c>
      <c r="J244" s="89">
        <f t="shared" si="67"/>
        <v>0</v>
      </c>
      <c r="K244" s="89">
        <f t="shared" si="67"/>
        <v>0</v>
      </c>
      <c r="L244" s="89">
        <f t="shared" si="67"/>
        <v>0</v>
      </c>
      <c r="M244" s="89">
        <f t="shared" si="67"/>
        <v>0</v>
      </c>
      <c r="N244" s="89">
        <f t="shared" si="67"/>
        <v>0</v>
      </c>
      <c r="O244" s="89">
        <f t="shared" si="67"/>
        <v>0</v>
      </c>
      <c r="P244" s="89">
        <f t="shared" si="67"/>
        <v>0</v>
      </c>
      <c r="Q244" s="89">
        <f t="shared" si="67"/>
        <v>0</v>
      </c>
      <c r="R244" s="89">
        <f t="shared" si="67"/>
        <v>0</v>
      </c>
      <c r="S244" s="89">
        <f t="shared" si="67"/>
        <v>0</v>
      </c>
      <c r="T244" s="89">
        <f t="shared" si="67"/>
        <v>0</v>
      </c>
      <c r="U244" s="89">
        <f t="shared" si="67"/>
        <v>0</v>
      </c>
      <c r="V244" s="89">
        <f t="shared" si="67"/>
        <v>0</v>
      </c>
      <c r="W244" s="89">
        <f t="shared" si="67"/>
        <v>0</v>
      </c>
      <c r="X244" s="89">
        <f t="shared" si="67"/>
        <v>0</v>
      </c>
      <c r="Y244" s="179"/>
    </row>
    <row r="245" spans="1:26" x14ac:dyDescent="0.25">
      <c r="A245" s="139">
        <f t="shared" si="66"/>
        <v>0</v>
      </c>
      <c r="B245" s="30"/>
      <c r="C245" s="31">
        <f t="shared" si="68"/>
        <v>0</v>
      </c>
      <c r="D245" s="9" t="str">
        <f t="shared" si="70"/>
        <v>шт.</v>
      </c>
      <c r="E245" s="89">
        <f t="shared" si="69"/>
        <v>0</v>
      </c>
      <c r="F245" s="89">
        <f t="shared" si="67"/>
        <v>0</v>
      </c>
      <c r="G245" s="89">
        <f t="shared" si="67"/>
        <v>0</v>
      </c>
      <c r="H245" s="89">
        <f t="shared" si="67"/>
        <v>0</v>
      </c>
      <c r="I245" s="89">
        <f t="shared" si="67"/>
        <v>0</v>
      </c>
      <c r="J245" s="89">
        <f t="shared" si="67"/>
        <v>0</v>
      </c>
      <c r="K245" s="89">
        <f t="shared" si="67"/>
        <v>0</v>
      </c>
      <c r="L245" s="89">
        <f t="shared" si="67"/>
        <v>0</v>
      </c>
      <c r="M245" s="89">
        <f t="shared" si="67"/>
        <v>0</v>
      </c>
      <c r="N245" s="89">
        <f t="shared" si="67"/>
        <v>0</v>
      </c>
      <c r="O245" s="89">
        <f t="shared" si="67"/>
        <v>0</v>
      </c>
      <c r="P245" s="89">
        <f t="shared" si="67"/>
        <v>0</v>
      </c>
      <c r="Q245" s="89">
        <f t="shared" si="67"/>
        <v>0</v>
      </c>
      <c r="R245" s="89">
        <f t="shared" si="67"/>
        <v>0</v>
      </c>
      <c r="S245" s="89">
        <f t="shared" si="67"/>
        <v>0</v>
      </c>
      <c r="T245" s="89">
        <f t="shared" si="67"/>
        <v>0</v>
      </c>
      <c r="U245" s="89">
        <f t="shared" si="67"/>
        <v>0</v>
      </c>
      <c r="V245" s="89">
        <f t="shared" si="67"/>
        <v>0</v>
      </c>
      <c r="W245" s="89">
        <f t="shared" si="67"/>
        <v>0</v>
      </c>
      <c r="X245" s="89">
        <f t="shared" si="67"/>
        <v>0</v>
      </c>
      <c r="Y245" s="179"/>
    </row>
    <row r="246" spans="1:26" x14ac:dyDescent="0.25">
      <c r="A246" s="139">
        <f t="shared" si="66"/>
        <v>0</v>
      </c>
      <c r="B246" s="30"/>
      <c r="C246" s="31">
        <f t="shared" si="68"/>
        <v>0</v>
      </c>
      <c r="D246" s="9" t="str">
        <f t="shared" si="70"/>
        <v>шт.</v>
      </c>
      <c r="E246" s="89">
        <f t="shared" si="69"/>
        <v>0</v>
      </c>
      <c r="F246" s="89">
        <f t="shared" si="67"/>
        <v>0</v>
      </c>
      <c r="G246" s="89">
        <f t="shared" si="67"/>
        <v>0</v>
      </c>
      <c r="H246" s="89">
        <f t="shared" si="67"/>
        <v>0</v>
      </c>
      <c r="I246" s="89">
        <f t="shared" si="67"/>
        <v>0</v>
      </c>
      <c r="J246" s="89">
        <f t="shared" ref="J246:X246" si="71">IFERROR(J150*60/J182,0)</f>
        <v>0</v>
      </c>
      <c r="K246" s="89">
        <f t="shared" si="71"/>
        <v>0</v>
      </c>
      <c r="L246" s="89">
        <f t="shared" si="71"/>
        <v>0</v>
      </c>
      <c r="M246" s="89">
        <f t="shared" si="71"/>
        <v>0</v>
      </c>
      <c r="N246" s="89">
        <f t="shared" si="71"/>
        <v>0</v>
      </c>
      <c r="O246" s="89">
        <f t="shared" si="71"/>
        <v>0</v>
      </c>
      <c r="P246" s="89">
        <f t="shared" si="71"/>
        <v>0</v>
      </c>
      <c r="Q246" s="89">
        <f t="shared" si="71"/>
        <v>0</v>
      </c>
      <c r="R246" s="89">
        <f t="shared" si="71"/>
        <v>0</v>
      </c>
      <c r="S246" s="89">
        <f t="shared" si="71"/>
        <v>0</v>
      </c>
      <c r="T246" s="89">
        <f t="shared" si="71"/>
        <v>0</v>
      </c>
      <c r="U246" s="89">
        <f t="shared" si="71"/>
        <v>0</v>
      </c>
      <c r="V246" s="89">
        <f t="shared" si="71"/>
        <v>0</v>
      </c>
      <c r="W246" s="89">
        <f t="shared" si="71"/>
        <v>0</v>
      </c>
      <c r="X246" s="89">
        <f t="shared" si="71"/>
        <v>0</v>
      </c>
      <c r="Y246" s="179"/>
    </row>
    <row r="247" spans="1:26" x14ac:dyDescent="0.25">
      <c r="A247" s="139">
        <f t="shared" si="66"/>
        <v>1</v>
      </c>
      <c r="B247" s="68">
        <f>B231+1</f>
        <v>11</v>
      </c>
      <c r="C247" s="98" t="s">
        <v>120</v>
      </c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179"/>
    </row>
    <row r="248" spans="1:26" x14ac:dyDescent="0.25">
      <c r="A248" s="139">
        <f t="shared" si="66"/>
        <v>1</v>
      </c>
      <c r="B248" s="30"/>
      <c r="C248" s="31" t="str">
        <f>C232</f>
        <v>NHL NTE 240</v>
      </c>
      <c r="D248" s="9" t="s">
        <v>23</v>
      </c>
      <c r="E248" s="74">
        <f>E232*E24*E40/1000</f>
        <v>3844.3301979005578</v>
      </c>
      <c r="F248" s="74">
        <f t="shared" ref="F248:X262" si="72">F232*F24*F40/1000</f>
        <v>3560.0082879715892</v>
      </c>
      <c r="G248" s="74">
        <f t="shared" si="72"/>
        <v>3123.9323534104306</v>
      </c>
      <c r="H248" s="74">
        <f t="shared" si="72"/>
        <v>3160.7421571460854</v>
      </c>
      <c r="I248" s="74">
        <f t="shared" si="72"/>
        <v>2793.9180250278246</v>
      </c>
      <c r="J248" s="74">
        <f t="shared" si="72"/>
        <v>2535.7903276803472</v>
      </c>
      <c r="K248" s="74">
        <f t="shared" si="72"/>
        <v>2962.7002892111268</v>
      </c>
      <c r="L248" s="74">
        <f t="shared" si="72"/>
        <v>2847.7655042558322</v>
      </c>
      <c r="M248" s="74">
        <f t="shared" si="72"/>
        <v>2512.8291731254067</v>
      </c>
      <c r="N248" s="74">
        <f t="shared" si="72"/>
        <v>2779.8778280153429</v>
      </c>
      <c r="O248" s="74">
        <f t="shared" si="72"/>
        <v>2761.9508534072793</v>
      </c>
      <c r="P248" s="74">
        <f t="shared" si="72"/>
        <v>2381.709394599814</v>
      </c>
      <c r="Q248" s="74">
        <f t="shared" si="72"/>
        <v>2403.9618789697347</v>
      </c>
      <c r="R248" s="74">
        <f t="shared" si="72"/>
        <v>2333.2313267736031</v>
      </c>
      <c r="S248" s="74">
        <f t="shared" si="72"/>
        <v>2261.678514762848</v>
      </c>
      <c r="T248" s="74">
        <f t="shared" si="72"/>
        <v>2456.2206213619147</v>
      </c>
      <c r="U248" s="74">
        <f t="shared" si="72"/>
        <v>3163.4412324976984</v>
      </c>
      <c r="V248" s="74">
        <f t="shared" si="72"/>
        <v>2779.55908863882</v>
      </c>
      <c r="W248" s="74">
        <f t="shared" si="72"/>
        <v>2360.630848317619</v>
      </c>
      <c r="X248" s="74">
        <f t="shared" si="72"/>
        <v>2103.0359194350353</v>
      </c>
      <c r="Y248" s="179"/>
      <c r="Z248" s="50">
        <f>SUM(E248:X248)/Y56</f>
        <v>2756.3656911254452</v>
      </c>
    </row>
    <row r="249" spans="1:26" x14ac:dyDescent="0.25">
      <c r="A249" s="139">
        <f t="shared" si="66"/>
        <v>1</v>
      </c>
      <c r="B249" s="30"/>
      <c r="C249" s="31" t="str">
        <f t="shared" ref="C249:C262" si="73">C233</f>
        <v>Estar ESDE240 (ГПБ К)</v>
      </c>
      <c r="D249" s="9" t="str">
        <f>D248</f>
        <v>тыс. т</v>
      </c>
      <c r="E249" s="74">
        <f t="shared" ref="E249:T262" si="74">E233*E25*E41/1000</f>
        <v>3468.7825332226494</v>
      </c>
      <c r="F249" s="74">
        <f t="shared" si="74"/>
        <v>3181.8179175320083</v>
      </c>
      <c r="G249" s="74">
        <f t="shared" si="74"/>
        <v>2671.6234903014893</v>
      </c>
      <c r="H249" s="74">
        <f t="shared" si="74"/>
        <v>2601.2507701990708</v>
      </c>
      <c r="I249" s="74">
        <f t="shared" si="74"/>
        <v>2495.9958236214775</v>
      </c>
      <c r="J249" s="74">
        <f t="shared" si="74"/>
        <v>2098.7034958810245</v>
      </c>
      <c r="K249" s="74">
        <f t="shared" si="74"/>
        <v>2625.7802162816274</v>
      </c>
      <c r="L249" s="74">
        <f t="shared" si="74"/>
        <v>2352.7470042377572</v>
      </c>
      <c r="M249" s="74">
        <f t="shared" si="74"/>
        <v>2176.9070476514285</v>
      </c>
      <c r="N249" s="74">
        <f t="shared" si="74"/>
        <v>2307.6680129701058</v>
      </c>
      <c r="O249" s="74">
        <f t="shared" si="74"/>
        <v>0</v>
      </c>
      <c r="P249" s="74">
        <f t="shared" si="74"/>
        <v>0</v>
      </c>
      <c r="Q249" s="74">
        <f t="shared" si="74"/>
        <v>0</v>
      </c>
      <c r="R249" s="74">
        <f t="shared" si="74"/>
        <v>0</v>
      </c>
      <c r="S249" s="74">
        <f t="shared" si="74"/>
        <v>0</v>
      </c>
      <c r="T249" s="74">
        <f t="shared" si="74"/>
        <v>0</v>
      </c>
      <c r="U249" s="74">
        <f t="shared" si="72"/>
        <v>0</v>
      </c>
      <c r="V249" s="74">
        <f t="shared" si="72"/>
        <v>0</v>
      </c>
      <c r="W249" s="74">
        <f t="shared" si="72"/>
        <v>0</v>
      </c>
      <c r="X249" s="74">
        <f t="shared" si="72"/>
        <v>0</v>
      </c>
      <c r="Y249" s="179"/>
      <c r="Z249" s="50">
        <f t="shared" ref="Z249:Z262" si="75">SUM(E249:X249)/Y57</f>
        <v>2598.1276311898637</v>
      </c>
    </row>
    <row r="250" spans="1:26" x14ac:dyDescent="0.25">
      <c r="A250" s="139">
        <f t="shared" si="66"/>
        <v>1</v>
      </c>
      <c r="B250" s="30"/>
      <c r="C250" s="31" t="str">
        <f t="shared" si="73"/>
        <v>SANY SET240S</v>
      </c>
      <c r="D250" s="9" t="str">
        <f t="shared" ref="D250:D262" si="76">D249</f>
        <v>тыс. т</v>
      </c>
      <c r="E250" s="74">
        <f t="shared" si="74"/>
        <v>3644.1303572092447</v>
      </c>
      <c r="F250" s="74">
        <f t="shared" si="72"/>
        <v>3280.4225602034121</v>
      </c>
      <c r="G250" s="74">
        <f t="shared" si="72"/>
        <v>2789.5033075486581</v>
      </c>
      <c r="H250" s="74">
        <f t="shared" si="72"/>
        <v>2985.9024819106344</v>
      </c>
      <c r="I250" s="74">
        <f t="shared" si="72"/>
        <v>2417.4152462721759</v>
      </c>
      <c r="J250" s="74">
        <f t="shared" si="72"/>
        <v>2360.9073034317075</v>
      </c>
      <c r="K250" s="74">
        <f t="shared" si="72"/>
        <v>2616.0844012997773</v>
      </c>
      <c r="L250" s="74">
        <f t="shared" si="72"/>
        <v>2682.1771700085524</v>
      </c>
      <c r="M250" s="74">
        <f t="shared" si="72"/>
        <v>2212.7795687724229</v>
      </c>
      <c r="N250" s="74">
        <f t="shared" si="72"/>
        <v>2505.5748914002793</v>
      </c>
      <c r="O250" s="74">
        <f t="shared" si="72"/>
        <v>2476.8455502693701</v>
      </c>
      <c r="P250" s="74">
        <f t="shared" si="72"/>
        <v>2158.2123005531425</v>
      </c>
      <c r="Q250" s="74">
        <f t="shared" si="72"/>
        <v>0</v>
      </c>
      <c r="R250" s="74">
        <f t="shared" si="72"/>
        <v>0</v>
      </c>
      <c r="S250" s="74">
        <f t="shared" si="72"/>
        <v>0</v>
      </c>
      <c r="T250" s="74">
        <f t="shared" si="72"/>
        <v>0</v>
      </c>
      <c r="U250" s="74">
        <f t="shared" si="72"/>
        <v>0</v>
      </c>
      <c r="V250" s="74">
        <f t="shared" si="72"/>
        <v>0</v>
      </c>
      <c r="W250" s="74">
        <f t="shared" si="72"/>
        <v>0</v>
      </c>
      <c r="X250" s="74">
        <f t="shared" si="72"/>
        <v>0</v>
      </c>
      <c r="Y250" s="179"/>
      <c r="Z250" s="50">
        <f t="shared" si="75"/>
        <v>2677.4962615732816</v>
      </c>
    </row>
    <row r="251" spans="1:26" x14ac:dyDescent="0.25">
      <c r="A251" s="139">
        <f t="shared" si="66"/>
        <v>1</v>
      </c>
      <c r="B251" s="30"/>
      <c r="C251" s="31" t="str">
        <f t="shared" si="73"/>
        <v>TZCO TZE240</v>
      </c>
      <c r="D251" s="9" t="str">
        <f t="shared" si="76"/>
        <v>тыс. т</v>
      </c>
      <c r="E251" s="74">
        <f t="shared" si="74"/>
        <v>3634.86890018759</v>
      </c>
      <c r="F251" s="74">
        <f t="shared" si="72"/>
        <v>3295.5485993194488</v>
      </c>
      <c r="G251" s="74">
        <f t="shared" si="72"/>
        <v>2558.7657740499935</v>
      </c>
      <c r="H251" s="74">
        <f t="shared" si="72"/>
        <v>2996.7227710095394</v>
      </c>
      <c r="I251" s="74">
        <f t="shared" si="72"/>
        <v>2653.626107736553</v>
      </c>
      <c r="J251" s="74">
        <f t="shared" si="72"/>
        <v>2005.845577164705</v>
      </c>
      <c r="K251" s="74">
        <f t="shared" si="72"/>
        <v>2820.1707912742022</v>
      </c>
      <c r="L251" s="74">
        <f t="shared" si="72"/>
        <v>2691.8968217955075</v>
      </c>
      <c r="M251" s="74">
        <f t="shared" si="72"/>
        <v>0</v>
      </c>
      <c r="N251" s="74">
        <f t="shared" si="72"/>
        <v>0</v>
      </c>
      <c r="O251" s="74">
        <f t="shared" si="72"/>
        <v>0</v>
      </c>
      <c r="P251" s="74">
        <f t="shared" si="72"/>
        <v>0</v>
      </c>
      <c r="Q251" s="74">
        <f t="shared" si="72"/>
        <v>0</v>
      </c>
      <c r="R251" s="74">
        <f t="shared" si="72"/>
        <v>0</v>
      </c>
      <c r="S251" s="74">
        <f t="shared" si="72"/>
        <v>0</v>
      </c>
      <c r="T251" s="74">
        <f t="shared" si="72"/>
        <v>0</v>
      </c>
      <c r="U251" s="74">
        <f t="shared" si="72"/>
        <v>0</v>
      </c>
      <c r="V251" s="74">
        <f t="shared" si="72"/>
        <v>0</v>
      </c>
      <c r="W251" s="74">
        <f t="shared" si="72"/>
        <v>0</v>
      </c>
      <c r="X251" s="74">
        <f t="shared" si="72"/>
        <v>0</v>
      </c>
      <c r="Y251" s="179"/>
      <c r="Z251" s="50">
        <f t="shared" si="75"/>
        <v>2832.1806678171924</v>
      </c>
    </row>
    <row r="252" spans="1:26" x14ac:dyDescent="0.25">
      <c r="A252" s="139">
        <f t="shared" si="66"/>
        <v>1</v>
      </c>
      <c r="B252" s="30"/>
      <c r="C252" s="31" t="str">
        <f t="shared" si="73"/>
        <v>БелАЗ 7531 (ГПФК)</v>
      </c>
      <c r="D252" s="9" t="str">
        <f t="shared" si="76"/>
        <v>тыс. т</v>
      </c>
      <c r="E252" s="74">
        <f t="shared" si="74"/>
        <v>3776.7276982276098</v>
      </c>
      <c r="F252" s="74">
        <f t="shared" si="72"/>
        <v>3436.9378140103181</v>
      </c>
      <c r="G252" s="74">
        <f t="shared" si="72"/>
        <v>2974.4403173373257</v>
      </c>
      <c r="H252" s="74">
        <f t="shared" si="72"/>
        <v>3085.871622868051</v>
      </c>
      <c r="I252" s="74">
        <f t="shared" si="72"/>
        <v>2675.2115329137619</v>
      </c>
      <c r="J252" s="74">
        <f t="shared" si="72"/>
        <v>2359.2431682374499</v>
      </c>
      <c r="K252" s="74">
        <f t="shared" si="72"/>
        <v>2894.1914242736389</v>
      </c>
      <c r="L252" s="74">
        <f t="shared" si="72"/>
        <v>2708.6615117645538</v>
      </c>
      <c r="M252" s="74">
        <f t="shared" si="72"/>
        <v>2340.1013196333156</v>
      </c>
      <c r="N252" s="74">
        <f t="shared" si="72"/>
        <v>2604.6401560824283</v>
      </c>
      <c r="O252" s="74">
        <f t="shared" si="72"/>
        <v>0</v>
      </c>
      <c r="P252" s="74">
        <f t="shared" si="72"/>
        <v>0</v>
      </c>
      <c r="Q252" s="74">
        <f t="shared" si="72"/>
        <v>0</v>
      </c>
      <c r="R252" s="74">
        <f t="shared" si="72"/>
        <v>0</v>
      </c>
      <c r="S252" s="74">
        <f t="shared" si="72"/>
        <v>0</v>
      </c>
      <c r="T252" s="74">
        <f t="shared" si="72"/>
        <v>0</v>
      </c>
      <c r="U252" s="74">
        <f t="shared" si="72"/>
        <v>0</v>
      </c>
      <c r="V252" s="74">
        <f t="shared" si="72"/>
        <v>0</v>
      </c>
      <c r="W252" s="74">
        <f t="shared" si="72"/>
        <v>0</v>
      </c>
      <c r="X252" s="74">
        <f t="shared" si="72"/>
        <v>0</v>
      </c>
      <c r="Y252" s="179"/>
      <c r="Z252" s="50">
        <f t="shared" si="75"/>
        <v>2885.6026565348448</v>
      </c>
    </row>
    <row r="253" spans="1:26" x14ac:dyDescent="0.25">
      <c r="A253" s="139">
        <f t="shared" si="66"/>
        <v>1</v>
      </c>
      <c r="B253" s="30"/>
      <c r="C253" s="31" t="str">
        <f t="shared" si="73"/>
        <v>XCMG 240</v>
      </c>
      <c r="D253" s="9" t="str">
        <f t="shared" si="76"/>
        <v>тыс. т</v>
      </c>
      <c r="E253" s="74">
        <f t="shared" si="74"/>
        <v>0</v>
      </c>
      <c r="F253" s="74">
        <f t="shared" si="72"/>
        <v>0</v>
      </c>
      <c r="G253" s="74">
        <f t="shared" si="72"/>
        <v>0</v>
      </c>
      <c r="H253" s="74">
        <f t="shared" si="72"/>
        <v>0</v>
      </c>
      <c r="I253" s="74">
        <f t="shared" si="72"/>
        <v>0</v>
      </c>
      <c r="J253" s="74">
        <f t="shared" si="72"/>
        <v>0</v>
      </c>
      <c r="K253" s="74">
        <f t="shared" si="72"/>
        <v>0</v>
      </c>
      <c r="L253" s="74">
        <f t="shared" si="72"/>
        <v>0</v>
      </c>
      <c r="M253" s="74">
        <f t="shared" si="72"/>
        <v>0</v>
      </c>
      <c r="N253" s="74">
        <f t="shared" si="72"/>
        <v>0</v>
      </c>
      <c r="O253" s="74">
        <f t="shared" si="72"/>
        <v>0</v>
      </c>
      <c r="P253" s="74">
        <f t="shared" si="72"/>
        <v>0</v>
      </c>
      <c r="Q253" s="74">
        <f t="shared" si="72"/>
        <v>0</v>
      </c>
      <c r="R253" s="74">
        <f t="shared" si="72"/>
        <v>0</v>
      </c>
      <c r="S253" s="74">
        <f t="shared" si="72"/>
        <v>0</v>
      </c>
      <c r="T253" s="74">
        <f t="shared" si="72"/>
        <v>0</v>
      </c>
      <c r="U253" s="74">
        <f t="shared" si="72"/>
        <v>0</v>
      </c>
      <c r="V253" s="74">
        <f t="shared" si="72"/>
        <v>0</v>
      </c>
      <c r="W253" s="74">
        <f t="shared" si="72"/>
        <v>0</v>
      </c>
      <c r="X253" s="74">
        <f t="shared" si="72"/>
        <v>0</v>
      </c>
      <c r="Y253" s="179"/>
      <c r="Z253" s="50" t="e">
        <f t="shared" si="75"/>
        <v>#DIV/0!</v>
      </c>
    </row>
    <row r="254" spans="1:26" x14ac:dyDescent="0.25">
      <c r="A254" s="139">
        <f t="shared" si="66"/>
        <v>1</v>
      </c>
      <c r="B254" s="30"/>
      <c r="C254" s="31" t="str">
        <f t="shared" si="73"/>
        <v>БелАЗ 7531 (БТЛ)</v>
      </c>
      <c r="D254" s="9" t="str">
        <f t="shared" si="76"/>
        <v>тыс. т</v>
      </c>
      <c r="E254" s="74">
        <f t="shared" si="74"/>
        <v>3865.1109843195336</v>
      </c>
      <c r="F254" s="74">
        <f t="shared" si="72"/>
        <v>3522.8687954849784</v>
      </c>
      <c r="G254" s="74">
        <f t="shared" si="72"/>
        <v>3093.8892822905568</v>
      </c>
      <c r="H254" s="74">
        <f t="shared" si="72"/>
        <v>3106.7084523959902</v>
      </c>
      <c r="I254" s="74">
        <f t="shared" si="72"/>
        <v>2735.4748888428385</v>
      </c>
      <c r="J254" s="74">
        <f t="shared" si="72"/>
        <v>2427.8382765724932</v>
      </c>
      <c r="K254" s="74">
        <f t="shared" si="72"/>
        <v>2744.043358891287</v>
      </c>
      <c r="L254" s="74">
        <f t="shared" si="72"/>
        <v>2826.2220743947755</v>
      </c>
      <c r="M254" s="74">
        <f t="shared" si="72"/>
        <v>2383.3393882164701</v>
      </c>
      <c r="N254" s="74">
        <f t="shared" si="72"/>
        <v>2577.1915948487945</v>
      </c>
      <c r="O254" s="74">
        <f t="shared" si="72"/>
        <v>0</v>
      </c>
      <c r="P254" s="74">
        <f t="shared" si="72"/>
        <v>0</v>
      </c>
      <c r="Q254" s="74">
        <f t="shared" si="72"/>
        <v>0</v>
      </c>
      <c r="R254" s="74">
        <f t="shared" si="72"/>
        <v>0</v>
      </c>
      <c r="S254" s="74">
        <f t="shared" si="72"/>
        <v>0</v>
      </c>
      <c r="T254" s="74">
        <f t="shared" si="72"/>
        <v>0</v>
      </c>
      <c r="U254" s="74">
        <f t="shared" si="72"/>
        <v>0</v>
      </c>
      <c r="V254" s="74">
        <f t="shared" si="72"/>
        <v>0</v>
      </c>
      <c r="W254" s="74">
        <f t="shared" si="72"/>
        <v>0</v>
      </c>
      <c r="X254" s="74">
        <f t="shared" si="72"/>
        <v>0</v>
      </c>
      <c r="Y254" s="179"/>
      <c r="Z254" s="50">
        <f t="shared" si="75"/>
        <v>2928.2687096257719</v>
      </c>
    </row>
    <row r="255" spans="1:26" x14ac:dyDescent="0.25">
      <c r="A255" s="139">
        <f t="shared" si="66"/>
        <v>0</v>
      </c>
      <c r="B255" s="30"/>
      <c r="C255" s="31">
        <f t="shared" si="73"/>
        <v>0</v>
      </c>
      <c r="D255" s="9" t="str">
        <f t="shared" si="76"/>
        <v>тыс. т</v>
      </c>
      <c r="E255" s="74">
        <f t="shared" si="74"/>
        <v>0</v>
      </c>
      <c r="F255" s="74">
        <f t="shared" si="72"/>
        <v>0</v>
      </c>
      <c r="G255" s="74">
        <f t="shared" si="72"/>
        <v>0</v>
      </c>
      <c r="H255" s="74">
        <f t="shared" si="72"/>
        <v>0</v>
      </c>
      <c r="I255" s="74">
        <f t="shared" si="72"/>
        <v>0</v>
      </c>
      <c r="J255" s="74">
        <f t="shared" si="72"/>
        <v>0</v>
      </c>
      <c r="K255" s="74">
        <f t="shared" si="72"/>
        <v>0</v>
      </c>
      <c r="L255" s="74">
        <f t="shared" si="72"/>
        <v>0</v>
      </c>
      <c r="M255" s="74">
        <f t="shared" si="72"/>
        <v>0</v>
      </c>
      <c r="N255" s="74">
        <f t="shared" si="72"/>
        <v>0</v>
      </c>
      <c r="O255" s="74">
        <f t="shared" si="72"/>
        <v>0</v>
      </c>
      <c r="P255" s="74">
        <f t="shared" si="72"/>
        <v>0</v>
      </c>
      <c r="Q255" s="74">
        <f t="shared" si="72"/>
        <v>0</v>
      </c>
      <c r="R255" s="74">
        <f t="shared" si="72"/>
        <v>0</v>
      </c>
      <c r="S255" s="74">
        <f t="shared" si="72"/>
        <v>0</v>
      </c>
      <c r="T255" s="74">
        <f t="shared" si="72"/>
        <v>0</v>
      </c>
      <c r="U255" s="74">
        <f t="shared" si="72"/>
        <v>0</v>
      </c>
      <c r="V255" s="74">
        <f t="shared" si="72"/>
        <v>0</v>
      </c>
      <c r="W255" s="74">
        <f t="shared" si="72"/>
        <v>0</v>
      </c>
      <c r="X255" s="74">
        <f t="shared" si="72"/>
        <v>0</v>
      </c>
      <c r="Y255" s="179"/>
      <c r="Z255" s="50" t="e">
        <f t="shared" si="75"/>
        <v>#DIV/0!</v>
      </c>
    </row>
    <row r="256" spans="1:26" x14ac:dyDescent="0.25">
      <c r="A256" s="139">
        <f t="shared" si="66"/>
        <v>0</v>
      </c>
      <c r="B256" s="30"/>
      <c r="C256" s="31">
        <f t="shared" si="73"/>
        <v>0</v>
      </c>
      <c r="D256" s="9" t="str">
        <f t="shared" si="76"/>
        <v>тыс. т</v>
      </c>
      <c r="E256" s="74">
        <f t="shared" si="74"/>
        <v>0</v>
      </c>
      <c r="F256" s="74">
        <f t="shared" si="72"/>
        <v>0</v>
      </c>
      <c r="G256" s="74">
        <f t="shared" si="72"/>
        <v>0</v>
      </c>
      <c r="H256" s="74">
        <f t="shared" si="72"/>
        <v>0</v>
      </c>
      <c r="I256" s="74">
        <f t="shared" si="72"/>
        <v>0</v>
      </c>
      <c r="J256" s="74">
        <f t="shared" si="72"/>
        <v>0</v>
      </c>
      <c r="K256" s="74">
        <f t="shared" si="72"/>
        <v>0</v>
      </c>
      <c r="L256" s="74">
        <f t="shared" si="72"/>
        <v>0</v>
      </c>
      <c r="M256" s="74">
        <f t="shared" si="72"/>
        <v>0</v>
      </c>
      <c r="N256" s="74">
        <f t="shared" si="72"/>
        <v>0</v>
      </c>
      <c r="O256" s="74">
        <f t="shared" si="72"/>
        <v>0</v>
      </c>
      <c r="P256" s="74">
        <f t="shared" si="72"/>
        <v>0</v>
      </c>
      <c r="Q256" s="74">
        <f t="shared" si="72"/>
        <v>0</v>
      </c>
      <c r="R256" s="74">
        <f t="shared" si="72"/>
        <v>0</v>
      </c>
      <c r="S256" s="74">
        <f t="shared" si="72"/>
        <v>0</v>
      </c>
      <c r="T256" s="74">
        <f t="shared" si="72"/>
        <v>0</v>
      </c>
      <c r="U256" s="74">
        <f t="shared" si="72"/>
        <v>0</v>
      </c>
      <c r="V256" s="74">
        <f t="shared" si="72"/>
        <v>0</v>
      </c>
      <c r="W256" s="74">
        <f t="shared" si="72"/>
        <v>0</v>
      </c>
      <c r="X256" s="74">
        <f t="shared" si="72"/>
        <v>0</v>
      </c>
      <c r="Y256" s="179"/>
      <c r="Z256" s="50" t="e">
        <f t="shared" si="75"/>
        <v>#DIV/0!</v>
      </c>
    </row>
    <row r="257" spans="1:26" x14ac:dyDescent="0.25">
      <c r="A257" s="139">
        <f t="shared" si="66"/>
        <v>0</v>
      </c>
      <c r="B257" s="30"/>
      <c r="C257" s="31">
        <f t="shared" si="73"/>
        <v>0</v>
      </c>
      <c r="D257" s="9" t="str">
        <f t="shared" si="76"/>
        <v>тыс. т</v>
      </c>
      <c r="E257" s="74">
        <f t="shared" si="74"/>
        <v>0</v>
      </c>
      <c r="F257" s="74">
        <f t="shared" si="72"/>
        <v>0</v>
      </c>
      <c r="G257" s="74">
        <f t="shared" si="72"/>
        <v>0</v>
      </c>
      <c r="H257" s="74">
        <f t="shared" si="72"/>
        <v>0</v>
      </c>
      <c r="I257" s="74">
        <f t="shared" si="72"/>
        <v>0</v>
      </c>
      <c r="J257" s="74">
        <f t="shared" si="72"/>
        <v>0</v>
      </c>
      <c r="K257" s="74">
        <f t="shared" si="72"/>
        <v>0</v>
      </c>
      <c r="L257" s="74">
        <f t="shared" si="72"/>
        <v>0</v>
      </c>
      <c r="M257" s="74">
        <f t="shared" si="72"/>
        <v>0</v>
      </c>
      <c r="N257" s="74">
        <f t="shared" si="72"/>
        <v>0</v>
      </c>
      <c r="O257" s="74">
        <f t="shared" si="72"/>
        <v>0</v>
      </c>
      <c r="P257" s="74">
        <f t="shared" si="72"/>
        <v>0</v>
      </c>
      <c r="Q257" s="74">
        <f t="shared" si="72"/>
        <v>0</v>
      </c>
      <c r="R257" s="74">
        <f t="shared" si="72"/>
        <v>0</v>
      </c>
      <c r="S257" s="74">
        <f t="shared" si="72"/>
        <v>0</v>
      </c>
      <c r="T257" s="74">
        <f t="shared" si="72"/>
        <v>0</v>
      </c>
      <c r="U257" s="74">
        <f t="shared" si="72"/>
        <v>0</v>
      </c>
      <c r="V257" s="74">
        <f t="shared" si="72"/>
        <v>0</v>
      </c>
      <c r="W257" s="74">
        <f t="shared" si="72"/>
        <v>0</v>
      </c>
      <c r="X257" s="74">
        <f t="shared" si="72"/>
        <v>0</v>
      </c>
      <c r="Y257" s="179"/>
      <c r="Z257" s="50" t="e">
        <f t="shared" si="75"/>
        <v>#DIV/0!</v>
      </c>
    </row>
    <row r="258" spans="1:26" x14ac:dyDescent="0.25">
      <c r="A258" s="139">
        <f t="shared" si="66"/>
        <v>0</v>
      </c>
      <c r="B258" s="30"/>
      <c r="C258" s="31">
        <f t="shared" si="73"/>
        <v>0</v>
      </c>
      <c r="D258" s="9" t="str">
        <f t="shared" si="76"/>
        <v>тыс. т</v>
      </c>
      <c r="E258" s="74">
        <f t="shared" si="74"/>
        <v>0</v>
      </c>
      <c r="F258" s="74">
        <f t="shared" si="72"/>
        <v>0</v>
      </c>
      <c r="G258" s="74">
        <f t="shared" si="72"/>
        <v>0</v>
      </c>
      <c r="H258" s="74">
        <f t="shared" si="72"/>
        <v>0</v>
      </c>
      <c r="I258" s="74">
        <f t="shared" si="72"/>
        <v>0</v>
      </c>
      <c r="J258" s="74">
        <f t="shared" si="72"/>
        <v>0</v>
      </c>
      <c r="K258" s="74">
        <f t="shared" si="72"/>
        <v>0</v>
      </c>
      <c r="L258" s="74">
        <f t="shared" si="72"/>
        <v>0</v>
      </c>
      <c r="M258" s="74">
        <f t="shared" si="72"/>
        <v>0</v>
      </c>
      <c r="N258" s="74">
        <f t="shared" si="72"/>
        <v>0</v>
      </c>
      <c r="O258" s="74">
        <f t="shared" si="72"/>
        <v>0</v>
      </c>
      <c r="P258" s="74">
        <f t="shared" si="72"/>
        <v>0</v>
      </c>
      <c r="Q258" s="74">
        <f t="shared" si="72"/>
        <v>0</v>
      </c>
      <c r="R258" s="74">
        <f t="shared" si="72"/>
        <v>0</v>
      </c>
      <c r="S258" s="74">
        <f t="shared" si="72"/>
        <v>0</v>
      </c>
      <c r="T258" s="74">
        <f t="shared" si="72"/>
        <v>0</v>
      </c>
      <c r="U258" s="74">
        <f t="shared" si="72"/>
        <v>0</v>
      </c>
      <c r="V258" s="74">
        <f t="shared" si="72"/>
        <v>0</v>
      </c>
      <c r="W258" s="74">
        <f t="shared" si="72"/>
        <v>0</v>
      </c>
      <c r="X258" s="74">
        <f t="shared" si="72"/>
        <v>0</v>
      </c>
      <c r="Y258" s="179"/>
      <c r="Z258" s="50" t="e">
        <f t="shared" si="75"/>
        <v>#DIV/0!</v>
      </c>
    </row>
    <row r="259" spans="1:26" x14ac:dyDescent="0.25">
      <c r="A259" s="139">
        <f t="shared" si="66"/>
        <v>0</v>
      </c>
      <c r="B259" s="30"/>
      <c r="C259" s="31">
        <f t="shared" si="73"/>
        <v>0</v>
      </c>
      <c r="D259" s="9" t="str">
        <f t="shared" si="76"/>
        <v>тыс. т</v>
      </c>
      <c r="E259" s="74">
        <f t="shared" si="74"/>
        <v>0</v>
      </c>
      <c r="F259" s="74">
        <f t="shared" si="72"/>
        <v>0</v>
      </c>
      <c r="G259" s="74">
        <f t="shared" si="72"/>
        <v>0</v>
      </c>
      <c r="H259" s="74">
        <f t="shared" si="72"/>
        <v>0</v>
      </c>
      <c r="I259" s="74">
        <f t="shared" si="72"/>
        <v>0</v>
      </c>
      <c r="J259" s="74">
        <f t="shared" si="72"/>
        <v>0</v>
      </c>
      <c r="K259" s="74">
        <f t="shared" si="72"/>
        <v>0</v>
      </c>
      <c r="L259" s="74">
        <f t="shared" si="72"/>
        <v>0</v>
      </c>
      <c r="M259" s="74">
        <f t="shared" si="72"/>
        <v>0</v>
      </c>
      <c r="N259" s="74">
        <f t="shared" si="72"/>
        <v>0</v>
      </c>
      <c r="O259" s="74">
        <f t="shared" si="72"/>
        <v>0</v>
      </c>
      <c r="P259" s="74">
        <f t="shared" si="72"/>
        <v>0</v>
      </c>
      <c r="Q259" s="74">
        <f t="shared" si="72"/>
        <v>0</v>
      </c>
      <c r="R259" s="74">
        <f t="shared" si="72"/>
        <v>0</v>
      </c>
      <c r="S259" s="74">
        <f t="shared" si="72"/>
        <v>0</v>
      </c>
      <c r="T259" s="74">
        <f t="shared" si="72"/>
        <v>0</v>
      </c>
      <c r="U259" s="74">
        <f t="shared" si="72"/>
        <v>0</v>
      </c>
      <c r="V259" s="74">
        <f t="shared" si="72"/>
        <v>0</v>
      </c>
      <c r="W259" s="74">
        <f t="shared" si="72"/>
        <v>0</v>
      </c>
      <c r="X259" s="74">
        <f t="shared" si="72"/>
        <v>0</v>
      </c>
      <c r="Y259" s="179"/>
      <c r="Z259" s="50" t="e">
        <f t="shared" si="75"/>
        <v>#DIV/0!</v>
      </c>
    </row>
    <row r="260" spans="1:26" x14ac:dyDescent="0.25">
      <c r="A260" s="139">
        <f t="shared" si="66"/>
        <v>0</v>
      </c>
      <c r="B260" s="30"/>
      <c r="C260" s="31">
        <f t="shared" si="73"/>
        <v>0</v>
      </c>
      <c r="D260" s="9" t="str">
        <f t="shared" si="76"/>
        <v>тыс. т</v>
      </c>
      <c r="E260" s="74">
        <f t="shared" si="74"/>
        <v>0</v>
      </c>
      <c r="F260" s="74">
        <f t="shared" si="72"/>
        <v>0</v>
      </c>
      <c r="G260" s="74">
        <f t="shared" si="72"/>
        <v>0</v>
      </c>
      <c r="H260" s="74">
        <f t="shared" si="72"/>
        <v>0</v>
      </c>
      <c r="I260" s="74">
        <f t="shared" si="72"/>
        <v>0</v>
      </c>
      <c r="J260" s="74">
        <f t="shared" si="72"/>
        <v>0</v>
      </c>
      <c r="K260" s="74">
        <f t="shared" si="72"/>
        <v>0</v>
      </c>
      <c r="L260" s="74">
        <f t="shared" si="72"/>
        <v>0</v>
      </c>
      <c r="M260" s="74">
        <f t="shared" si="72"/>
        <v>0</v>
      </c>
      <c r="N260" s="74">
        <f t="shared" si="72"/>
        <v>0</v>
      </c>
      <c r="O260" s="74">
        <f t="shared" si="72"/>
        <v>0</v>
      </c>
      <c r="P260" s="74">
        <f t="shared" si="72"/>
        <v>0</v>
      </c>
      <c r="Q260" s="74">
        <f t="shared" si="72"/>
        <v>0</v>
      </c>
      <c r="R260" s="74">
        <f t="shared" si="72"/>
        <v>0</v>
      </c>
      <c r="S260" s="74">
        <f t="shared" si="72"/>
        <v>0</v>
      </c>
      <c r="T260" s="74">
        <f t="shared" si="72"/>
        <v>0</v>
      </c>
      <c r="U260" s="74">
        <f t="shared" si="72"/>
        <v>0</v>
      </c>
      <c r="V260" s="74">
        <f t="shared" si="72"/>
        <v>0</v>
      </c>
      <c r="W260" s="74">
        <f t="shared" si="72"/>
        <v>0</v>
      </c>
      <c r="X260" s="74">
        <f t="shared" si="72"/>
        <v>0</v>
      </c>
      <c r="Y260" s="179"/>
      <c r="Z260" s="50" t="e">
        <f t="shared" si="75"/>
        <v>#DIV/0!</v>
      </c>
    </row>
    <row r="261" spans="1:26" x14ac:dyDescent="0.25">
      <c r="A261" s="139">
        <f t="shared" si="66"/>
        <v>0</v>
      </c>
      <c r="B261" s="30"/>
      <c r="C261" s="31">
        <f t="shared" si="73"/>
        <v>0</v>
      </c>
      <c r="D261" s="9" t="str">
        <f t="shared" si="76"/>
        <v>тыс. т</v>
      </c>
      <c r="E261" s="74">
        <f t="shared" si="74"/>
        <v>0</v>
      </c>
      <c r="F261" s="74">
        <f t="shared" si="72"/>
        <v>0</v>
      </c>
      <c r="G261" s="74">
        <f t="shared" si="72"/>
        <v>0</v>
      </c>
      <c r="H261" s="74">
        <f t="shared" si="72"/>
        <v>0</v>
      </c>
      <c r="I261" s="74">
        <f t="shared" si="72"/>
        <v>0</v>
      </c>
      <c r="J261" s="74">
        <f t="shared" si="72"/>
        <v>0</v>
      </c>
      <c r="K261" s="74">
        <f t="shared" si="72"/>
        <v>0</v>
      </c>
      <c r="L261" s="74">
        <f t="shared" si="72"/>
        <v>0</v>
      </c>
      <c r="M261" s="74">
        <f t="shared" si="72"/>
        <v>0</v>
      </c>
      <c r="N261" s="74">
        <f t="shared" si="72"/>
        <v>0</v>
      </c>
      <c r="O261" s="74">
        <f t="shared" si="72"/>
        <v>0</v>
      </c>
      <c r="P261" s="74">
        <f t="shared" si="72"/>
        <v>0</v>
      </c>
      <c r="Q261" s="74">
        <f t="shared" si="72"/>
        <v>0</v>
      </c>
      <c r="R261" s="74">
        <f t="shared" si="72"/>
        <v>0</v>
      </c>
      <c r="S261" s="74">
        <f t="shared" si="72"/>
        <v>0</v>
      </c>
      <c r="T261" s="74">
        <f t="shared" si="72"/>
        <v>0</v>
      </c>
      <c r="U261" s="74">
        <f t="shared" si="72"/>
        <v>0</v>
      </c>
      <c r="V261" s="74">
        <f t="shared" si="72"/>
        <v>0</v>
      </c>
      <c r="W261" s="74">
        <f t="shared" si="72"/>
        <v>0</v>
      </c>
      <c r="X261" s="74">
        <f t="shared" si="72"/>
        <v>0</v>
      </c>
      <c r="Y261" s="179"/>
      <c r="Z261" s="50" t="e">
        <f t="shared" si="75"/>
        <v>#DIV/0!</v>
      </c>
    </row>
    <row r="262" spans="1:26" x14ac:dyDescent="0.25">
      <c r="A262" s="139">
        <f t="shared" si="66"/>
        <v>0</v>
      </c>
      <c r="B262" s="30"/>
      <c r="C262" s="31">
        <f t="shared" si="73"/>
        <v>0</v>
      </c>
      <c r="D262" s="9" t="str">
        <f t="shared" si="76"/>
        <v>тыс. т</v>
      </c>
      <c r="E262" s="74">
        <f t="shared" si="74"/>
        <v>0</v>
      </c>
      <c r="F262" s="74">
        <f t="shared" si="72"/>
        <v>0</v>
      </c>
      <c r="G262" s="74">
        <f t="shared" si="72"/>
        <v>0</v>
      </c>
      <c r="H262" s="74">
        <f t="shared" si="72"/>
        <v>0</v>
      </c>
      <c r="I262" s="74">
        <f t="shared" si="72"/>
        <v>0</v>
      </c>
      <c r="J262" s="74">
        <f t="shared" ref="J262:X262" si="77">J246*J38*J54/1000</f>
        <v>0</v>
      </c>
      <c r="K262" s="74">
        <f t="shared" si="77"/>
        <v>0</v>
      </c>
      <c r="L262" s="74">
        <f t="shared" si="77"/>
        <v>0</v>
      </c>
      <c r="M262" s="74">
        <f t="shared" si="77"/>
        <v>0</v>
      </c>
      <c r="N262" s="74">
        <f t="shared" si="77"/>
        <v>0</v>
      </c>
      <c r="O262" s="74">
        <f t="shared" si="77"/>
        <v>0</v>
      </c>
      <c r="P262" s="74">
        <f t="shared" si="77"/>
        <v>0</v>
      </c>
      <c r="Q262" s="74">
        <f t="shared" si="77"/>
        <v>0</v>
      </c>
      <c r="R262" s="74">
        <f t="shared" si="77"/>
        <v>0</v>
      </c>
      <c r="S262" s="74">
        <f t="shared" si="77"/>
        <v>0</v>
      </c>
      <c r="T262" s="74">
        <f t="shared" si="77"/>
        <v>0</v>
      </c>
      <c r="U262" s="74">
        <f t="shared" si="77"/>
        <v>0</v>
      </c>
      <c r="V262" s="74">
        <f t="shared" si="77"/>
        <v>0</v>
      </c>
      <c r="W262" s="74">
        <f t="shared" si="77"/>
        <v>0</v>
      </c>
      <c r="X262" s="74">
        <f t="shared" si="77"/>
        <v>0</v>
      </c>
      <c r="Y262" s="179"/>
      <c r="Z262" s="50" t="e">
        <f t="shared" si="75"/>
        <v>#DIV/0!</v>
      </c>
    </row>
    <row r="263" spans="1:26" x14ac:dyDescent="0.25">
      <c r="A263" s="139">
        <f t="shared" si="66"/>
        <v>1</v>
      </c>
      <c r="B263" s="68">
        <f>B247+1</f>
        <v>12</v>
      </c>
      <c r="C263" s="98" t="s">
        <v>120</v>
      </c>
      <c r="D263" s="9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179"/>
    </row>
    <row r="264" spans="1:26" x14ac:dyDescent="0.25">
      <c r="A264" s="139">
        <f t="shared" si="66"/>
        <v>1</v>
      </c>
      <c r="B264" s="30"/>
      <c r="C264" s="31" t="str">
        <f>C248</f>
        <v>NHL NTE 240</v>
      </c>
      <c r="D264" s="9" t="s">
        <v>24</v>
      </c>
      <c r="E264" s="74">
        <f>E248*E8</f>
        <v>11685.164981362384</v>
      </c>
      <c r="F264" s="74">
        <f t="shared" ref="F264:X264" si="78">F248*F8</f>
        <v>11996.597947240858</v>
      </c>
      <c r="G264" s="74">
        <f t="shared" si="78"/>
        <v>12641.633884995897</v>
      </c>
      <c r="H264" s="74">
        <f t="shared" si="78"/>
        <v>12345.562779631944</v>
      </c>
      <c r="I264" s="74">
        <f t="shared" si="78"/>
        <v>13397.411879008381</v>
      </c>
      <c r="J264" s="74">
        <f t="shared" si="78"/>
        <v>13581.965046199426</v>
      </c>
      <c r="K264" s="74">
        <f t="shared" si="78"/>
        <v>13092.705188215768</v>
      </c>
      <c r="L264" s="74">
        <f t="shared" si="78"/>
        <v>12889.664538363699</v>
      </c>
      <c r="M264" s="74">
        <f t="shared" si="78"/>
        <v>13529.216023292192</v>
      </c>
      <c r="N264" s="74">
        <f t="shared" si="78"/>
        <v>13398.331460061287</v>
      </c>
      <c r="O264" s="74">
        <f t="shared" si="78"/>
        <v>13091.007200834771</v>
      </c>
      <c r="P264" s="74">
        <f t="shared" si="78"/>
        <v>13663.437522343724</v>
      </c>
      <c r="Q264" s="74">
        <f t="shared" si="78"/>
        <v>14018.962698516962</v>
      </c>
      <c r="R264" s="74">
        <f t="shared" si="78"/>
        <v>14109.0108559896</v>
      </c>
      <c r="S264" s="74">
        <f t="shared" si="78"/>
        <v>13569.95015297719</v>
      </c>
      <c r="T264" s="74">
        <f t="shared" si="78"/>
        <v>13780.258820221083</v>
      </c>
      <c r="U264" s="74">
        <f t="shared" si="78"/>
        <v>12833.371025576342</v>
      </c>
      <c r="V264" s="74">
        <f t="shared" si="78"/>
        <v>12874.203048194066</v>
      </c>
      <c r="W264" s="74">
        <f t="shared" si="78"/>
        <v>14099.780394922293</v>
      </c>
      <c r="X264" s="74">
        <f t="shared" si="78"/>
        <v>14267.841675182131</v>
      </c>
      <c r="Y264" s="179"/>
      <c r="Z264" s="50">
        <f>SUM(E264:X264)/Y56</f>
        <v>13243.303856156499</v>
      </c>
    </row>
    <row r="265" spans="1:26" x14ac:dyDescent="0.25">
      <c r="A265" s="139">
        <f t="shared" si="66"/>
        <v>1</v>
      </c>
      <c r="B265" s="30"/>
      <c r="C265" s="31" t="str">
        <f t="shared" ref="C265:C278" si="79">C249</f>
        <v>Estar ESDE240 (ГПБ К)</v>
      </c>
      <c r="D265" s="9" t="str">
        <f>D264</f>
        <v>тыс. ткм</v>
      </c>
      <c r="E265" s="74">
        <f t="shared" ref="E265:X277" si="80">E249*E9</f>
        <v>10543.656267432647</v>
      </c>
      <c r="F265" s="74">
        <f t="shared" si="80"/>
        <v>10722.163323869008</v>
      </c>
      <c r="G265" s="74">
        <f t="shared" si="80"/>
        <v>10811.273171800669</v>
      </c>
      <c r="H265" s="74">
        <f t="shared" si="80"/>
        <v>10160.241833220283</v>
      </c>
      <c r="I265" s="74">
        <f t="shared" si="80"/>
        <v>11968.813615069706</v>
      </c>
      <c r="J265" s="74">
        <f t="shared" si="80"/>
        <v>11240.881082414868</v>
      </c>
      <c r="K265" s="74">
        <f t="shared" si="80"/>
        <v>11603.794817186421</v>
      </c>
      <c r="L265" s="74">
        <f t="shared" si="80"/>
        <v>10649.092975859176</v>
      </c>
      <c r="M265" s="74">
        <f t="shared" si="80"/>
        <v>11720.592082139747</v>
      </c>
      <c r="N265" s="74">
        <f t="shared" si="80"/>
        <v>11122.395605287671</v>
      </c>
      <c r="O265" s="74">
        <f t="shared" si="80"/>
        <v>0</v>
      </c>
      <c r="P265" s="74">
        <f t="shared" si="80"/>
        <v>0</v>
      </c>
      <c r="Q265" s="74">
        <f t="shared" si="80"/>
        <v>0</v>
      </c>
      <c r="R265" s="74">
        <f t="shared" si="80"/>
        <v>0</v>
      </c>
      <c r="S265" s="74">
        <f t="shared" si="80"/>
        <v>0</v>
      </c>
      <c r="T265" s="74">
        <f t="shared" si="80"/>
        <v>0</v>
      </c>
      <c r="U265" s="74">
        <f t="shared" si="80"/>
        <v>0</v>
      </c>
      <c r="V265" s="74">
        <f t="shared" si="80"/>
        <v>0</v>
      </c>
      <c r="W265" s="74">
        <f t="shared" si="80"/>
        <v>0</v>
      </c>
      <c r="X265" s="74">
        <f t="shared" si="80"/>
        <v>0</v>
      </c>
      <c r="Y265" s="179"/>
      <c r="Z265" s="50">
        <f t="shared" ref="Z265:Z278" si="81">SUM(E265:X265)/Y57</f>
        <v>11054.290477428021</v>
      </c>
    </row>
    <row r="266" spans="1:26" x14ac:dyDescent="0.25">
      <c r="A266" s="139">
        <f t="shared" si="66"/>
        <v>1</v>
      </c>
      <c r="B266" s="30"/>
      <c r="C266" s="31" t="str">
        <f t="shared" si="79"/>
        <v>SANY SET240S</v>
      </c>
      <c r="D266" s="9" t="str">
        <f t="shared" ref="D266:D278" si="82">D265</f>
        <v>тыс. ткм</v>
      </c>
      <c r="E266" s="74">
        <f t="shared" si="80"/>
        <v>11076.640726864678</v>
      </c>
      <c r="F266" s="74">
        <f t="shared" si="80"/>
        <v>11054.443520478939</v>
      </c>
      <c r="G266" s="74">
        <f t="shared" si="80"/>
        <v>11288.298063342279</v>
      </c>
      <c r="H266" s="74">
        <f t="shared" si="80"/>
        <v>11662.655386471255</v>
      </c>
      <c r="I266" s="74">
        <f t="shared" si="80"/>
        <v>11592.003575903154</v>
      </c>
      <c r="J266" s="74">
        <f t="shared" si="80"/>
        <v>12645.272806075822</v>
      </c>
      <c r="K266" s="74">
        <f t="shared" si="80"/>
        <v>11560.947267746767</v>
      </c>
      <c r="L266" s="74">
        <f t="shared" si="80"/>
        <v>12140.172321843706</v>
      </c>
      <c r="M266" s="74">
        <f t="shared" si="80"/>
        <v>11913.731788068266</v>
      </c>
      <c r="N266" s="74">
        <f t="shared" si="80"/>
        <v>12076.258371741191</v>
      </c>
      <c r="O266" s="74">
        <f t="shared" si="80"/>
        <v>11739.674112568489</v>
      </c>
      <c r="P266" s="74">
        <f t="shared" si="80"/>
        <v>12381.274976461345</v>
      </c>
      <c r="Q266" s="74">
        <f t="shared" si="80"/>
        <v>0</v>
      </c>
      <c r="R266" s="74">
        <f t="shared" si="80"/>
        <v>0</v>
      </c>
      <c r="S266" s="74">
        <f t="shared" si="80"/>
        <v>0</v>
      </c>
      <c r="T266" s="74">
        <f t="shared" si="80"/>
        <v>0</v>
      </c>
      <c r="U266" s="74">
        <f t="shared" si="80"/>
        <v>0</v>
      </c>
      <c r="V266" s="74">
        <f t="shared" si="80"/>
        <v>0</v>
      </c>
      <c r="W266" s="74">
        <f t="shared" si="80"/>
        <v>0</v>
      </c>
      <c r="X266" s="74">
        <f t="shared" si="80"/>
        <v>0</v>
      </c>
      <c r="Y266" s="179"/>
      <c r="Z266" s="50">
        <f t="shared" si="81"/>
        <v>11760.947743130491</v>
      </c>
    </row>
    <row r="267" spans="1:26" x14ac:dyDescent="0.25">
      <c r="A267" s="139">
        <f t="shared" si="66"/>
        <v>1</v>
      </c>
      <c r="B267" s="30"/>
      <c r="C267" s="31" t="str">
        <f t="shared" si="79"/>
        <v>TZCO TZE240</v>
      </c>
      <c r="D267" s="9" t="str">
        <f t="shared" si="82"/>
        <v>тыс. ткм</v>
      </c>
      <c r="E267" s="74">
        <f t="shared" si="80"/>
        <v>11048.489749270471</v>
      </c>
      <c r="F267" s="74">
        <f t="shared" si="80"/>
        <v>11105.415595578439</v>
      </c>
      <c r="G267" s="74">
        <f t="shared" si="80"/>
        <v>10354.571243415245</v>
      </c>
      <c r="H267" s="74">
        <f t="shared" si="80"/>
        <v>11704.918422088471</v>
      </c>
      <c r="I267" s="74">
        <f t="shared" si="80"/>
        <v>12724.683265495025</v>
      </c>
      <c r="J267" s="74">
        <f t="shared" si="80"/>
        <v>10743.524107549531</v>
      </c>
      <c r="K267" s="74">
        <f t="shared" si="80"/>
        <v>12462.841714037135</v>
      </c>
      <c r="L267" s="74">
        <f t="shared" si="80"/>
        <v>12184.165779442772</v>
      </c>
      <c r="M267" s="74">
        <f t="shared" si="80"/>
        <v>0</v>
      </c>
      <c r="N267" s="74">
        <f t="shared" si="80"/>
        <v>0</v>
      </c>
      <c r="O267" s="74">
        <f t="shared" si="80"/>
        <v>0</v>
      </c>
      <c r="P267" s="74">
        <f t="shared" si="80"/>
        <v>0</v>
      </c>
      <c r="Q267" s="74">
        <f t="shared" si="80"/>
        <v>0</v>
      </c>
      <c r="R267" s="74">
        <f t="shared" si="80"/>
        <v>0</v>
      </c>
      <c r="S267" s="74">
        <f t="shared" si="80"/>
        <v>0</v>
      </c>
      <c r="T267" s="74">
        <f t="shared" si="80"/>
        <v>0</v>
      </c>
      <c r="U267" s="74">
        <f t="shared" si="80"/>
        <v>0</v>
      </c>
      <c r="V267" s="74">
        <f t="shared" si="80"/>
        <v>0</v>
      </c>
      <c r="W267" s="74">
        <f t="shared" si="80"/>
        <v>0</v>
      </c>
      <c r="X267" s="74">
        <f t="shared" si="80"/>
        <v>0</v>
      </c>
      <c r="Y267" s="179"/>
      <c r="Z267" s="50">
        <f t="shared" si="81"/>
        <v>11541.076234609636</v>
      </c>
    </row>
    <row r="268" spans="1:26" x14ac:dyDescent="0.25">
      <c r="A268" s="139">
        <f t="shared" si="66"/>
        <v>1</v>
      </c>
      <c r="B268" s="30"/>
      <c r="C268" s="31" t="str">
        <f t="shared" si="79"/>
        <v>БелАЗ 7531 (ГПФК)</v>
      </c>
      <c r="D268" s="9" t="str">
        <f t="shared" si="82"/>
        <v>тыс. ткм</v>
      </c>
      <c r="E268" s="74">
        <f t="shared" si="80"/>
        <v>11479.681497591326</v>
      </c>
      <c r="F268" s="74">
        <f t="shared" si="80"/>
        <v>11581.872228686147</v>
      </c>
      <c r="G268" s="74">
        <f t="shared" si="80"/>
        <v>12036.683657217869</v>
      </c>
      <c r="H268" s="74">
        <f t="shared" si="80"/>
        <v>12053.125486325915</v>
      </c>
      <c r="I268" s="74">
        <f t="shared" si="80"/>
        <v>12828.189821196389</v>
      </c>
      <c r="J268" s="74">
        <f t="shared" si="80"/>
        <v>12636.359519439371</v>
      </c>
      <c r="K268" s="74">
        <f t="shared" si="80"/>
        <v>12789.952198089773</v>
      </c>
      <c r="L268" s="74">
        <f t="shared" si="80"/>
        <v>12260.046756815291</v>
      </c>
      <c r="M268" s="74">
        <f t="shared" si="80"/>
        <v>12599.239378589557</v>
      </c>
      <c r="N268" s="74">
        <f t="shared" si="80"/>
        <v>12553.728726378233</v>
      </c>
      <c r="O268" s="74">
        <f t="shared" si="80"/>
        <v>0</v>
      </c>
      <c r="P268" s="74">
        <f t="shared" si="80"/>
        <v>0</v>
      </c>
      <c r="Q268" s="74">
        <f t="shared" si="80"/>
        <v>0</v>
      </c>
      <c r="R268" s="74">
        <f t="shared" si="80"/>
        <v>0</v>
      </c>
      <c r="S268" s="74">
        <f t="shared" si="80"/>
        <v>0</v>
      </c>
      <c r="T268" s="74">
        <f t="shared" si="80"/>
        <v>0</v>
      </c>
      <c r="U268" s="74">
        <f t="shared" si="80"/>
        <v>0</v>
      </c>
      <c r="V268" s="74">
        <f t="shared" si="80"/>
        <v>0</v>
      </c>
      <c r="W268" s="74">
        <f t="shared" si="80"/>
        <v>0</v>
      </c>
      <c r="X268" s="74">
        <f t="shared" si="80"/>
        <v>0</v>
      </c>
      <c r="Y268" s="179"/>
      <c r="Z268" s="50">
        <f t="shared" si="81"/>
        <v>12281.887927032989</v>
      </c>
    </row>
    <row r="269" spans="1:26" x14ac:dyDescent="0.25">
      <c r="A269" s="139">
        <f t="shared" si="66"/>
        <v>1</v>
      </c>
      <c r="B269" s="30"/>
      <c r="C269" s="31" t="str">
        <f t="shared" si="79"/>
        <v>XCMG 240</v>
      </c>
      <c r="D269" s="9" t="str">
        <f t="shared" si="82"/>
        <v>тыс. ткм</v>
      </c>
      <c r="E269" s="74">
        <f t="shared" si="80"/>
        <v>0</v>
      </c>
      <c r="F269" s="74">
        <f t="shared" si="80"/>
        <v>0</v>
      </c>
      <c r="G269" s="74">
        <f t="shared" si="80"/>
        <v>0</v>
      </c>
      <c r="H269" s="74">
        <f t="shared" si="80"/>
        <v>0</v>
      </c>
      <c r="I269" s="74">
        <f t="shared" si="80"/>
        <v>0</v>
      </c>
      <c r="J269" s="74">
        <f t="shared" si="80"/>
        <v>0</v>
      </c>
      <c r="K269" s="74">
        <f t="shared" si="80"/>
        <v>0</v>
      </c>
      <c r="L269" s="74">
        <f t="shared" si="80"/>
        <v>0</v>
      </c>
      <c r="M269" s="74">
        <f t="shared" si="80"/>
        <v>0</v>
      </c>
      <c r="N269" s="74">
        <f t="shared" si="80"/>
        <v>0</v>
      </c>
      <c r="O269" s="74">
        <f t="shared" si="80"/>
        <v>0</v>
      </c>
      <c r="P269" s="74">
        <f t="shared" si="80"/>
        <v>0</v>
      </c>
      <c r="Q269" s="74">
        <f t="shared" si="80"/>
        <v>0</v>
      </c>
      <c r="R269" s="74">
        <f t="shared" si="80"/>
        <v>0</v>
      </c>
      <c r="S269" s="74">
        <f t="shared" si="80"/>
        <v>0</v>
      </c>
      <c r="T269" s="74">
        <f t="shared" si="80"/>
        <v>0</v>
      </c>
      <c r="U269" s="74">
        <f t="shared" si="80"/>
        <v>0</v>
      </c>
      <c r="V269" s="74">
        <f t="shared" si="80"/>
        <v>0</v>
      </c>
      <c r="W269" s="74">
        <f t="shared" si="80"/>
        <v>0</v>
      </c>
      <c r="X269" s="74">
        <f t="shared" si="80"/>
        <v>0</v>
      </c>
      <c r="Y269" s="179"/>
      <c r="Z269" s="50" t="e">
        <f t="shared" si="81"/>
        <v>#DIV/0!</v>
      </c>
    </row>
    <row r="270" spans="1:26" x14ac:dyDescent="0.25">
      <c r="A270" s="139">
        <f t="shared" si="66"/>
        <v>1</v>
      </c>
      <c r="B270" s="30"/>
      <c r="C270" s="31" t="str">
        <f t="shared" si="79"/>
        <v>БелАЗ 7531 (БТЛ)</v>
      </c>
      <c r="D270" s="9" t="str">
        <f t="shared" si="82"/>
        <v>тыс. ткм</v>
      </c>
      <c r="E270" s="74">
        <f t="shared" si="80"/>
        <v>11748.329929545243</v>
      </c>
      <c r="F270" s="74">
        <f t="shared" si="80"/>
        <v>11871.444429808935</v>
      </c>
      <c r="G270" s="74">
        <f t="shared" si="80"/>
        <v>12520.058427235517</v>
      </c>
      <c r="H270" s="74">
        <f t="shared" si="80"/>
        <v>12134.512190547917</v>
      </c>
      <c r="I270" s="74">
        <f t="shared" si="80"/>
        <v>13117.165014226643</v>
      </c>
      <c r="J270" s="74">
        <f t="shared" si="80"/>
        <v>13003.762278877713</v>
      </c>
      <c r="K270" s="74">
        <f t="shared" si="80"/>
        <v>12126.420904765628</v>
      </c>
      <c r="L270" s="74">
        <f t="shared" si="80"/>
        <v>12792.153846735544</v>
      </c>
      <c r="M270" s="74">
        <f t="shared" si="80"/>
        <v>12832.03561342626</v>
      </c>
      <c r="N270" s="74">
        <f t="shared" si="80"/>
        <v>12421.43337231493</v>
      </c>
      <c r="O270" s="74">
        <f t="shared" si="80"/>
        <v>0</v>
      </c>
      <c r="P270" s="74">
        <f t="shared" si="80"/>
        <v>0</v>
      </c>
      <c r="Q270" s="74">
        <f t="shared" si="80"/>
        <v>0</v>
      </c>
      <c r="R270" s="74">
        <f t="shared" si="80"/>
        <v>0</v>
      </c>
      <c r="S270" s="74">
        <f t="shared" si="80"/>
        <v>0</v>
      </c>
      <c r="T270" s="74">
        <f t="shared" si="80"/>
        <v>0</v>
      </c>
      <c r="U270" s="74">
        <f t="shared" si="80"/>
        <v>0</v>
      </c>
      <c r="V270" s="74">
        <f t="shared" si="80"/>
        <v>0</v>
      </c>
      <c r="W270" s="74">
        <f t="shared" si="80"/>
        <v>0</v>
      </c>
      <c r="X270" s="74">
        <f t="shared" si="80"/>
        <v>0</v>
      </c>
      <c r="Y270" s="179"/>
      <c r="Z270" s="50">
        <f t="shared" si="81"/>
        <v>12456.731600748433</v>
      </c>
    </row>
    <row r="271" spans="1:26" x14ac:dyDescent="0.25">
      <c r="A271" s="139">
        <f t="shared" si="66"/>
        <v>0</v>
      </c>
      <c r="B271" s="30"/>
      <c r="C271" s="31">
        <f t="shared" si="79"/>
        <v>0</v>
      </c>
      <c r="D271" s="9" t="str">
        <f t="shared" si="82"/>
        <v>тыс. ткм</v>
      </c>
      <c r="E271" s="74">
        <f t="shared" si="80"/>
        <v>0</v>
      </c>
      <c r="F271" s="74">
        <f t="shared" si="80"/>
        <v>0</v>
      </c>
      <c r="G271" s="74">
        <f t="shared" si="80"/>
        <v>0</v>
      </c>
      <c r="H271" s="74">
        <f t="shared" si="80"/>
        <v>0</v>
      </c>
      <c r="I271" s="74">
        <f t="shared" si="80"/>
        <v>0</v>
      </c>
      <c r="J271" s="74">
        <f t="shared" si="80"/>
        <v>0</v>
      </c>
      <c r="K271" s="74">
        <f t="shared" si="80"/>
        <v>0</v>
      </c>
      <c r="L271" s="74">
        <f t="shared" si="80"/>
        <v>0</v>
      </c>
      <c r="M271" s="74">
        <f t="shared" si="80"/>
        <v>0</v>
      </c>
      <c r="N271" s="74">
        <f t="shared" si="80"/>
        <v>0</v>
      </c>
      <c r="O271" s="74">
        <f t="shared" si="80"/>
        <v>0</v>
      </c>
      <c r="P271" s="74">
        <f t="shared" si="80"/>
        <v>0</v>
      </c>
      <c r="Q271" s="74">
        <f t="shared" si="80"/>
        <v>0</v>
      </c>
      <c r="R271" s="74">
        <f t="shared" si="80"/>
        <v>0</v>
      </c>
      <c r="S271" s="74">
        <f t="shared" si="80"/>
        <v>0</v>
      </c>
      <c r="T271" s="74">
        <f t="shared" si="80"/>
        <v>0</v>
      </c>
      <c r="U271" s="74">
        <f t="shared" si="80"/>
        <v>0</v>
      </c>
      <c r="V271" s="74">
        <f t="shared" si="80"/>
        <v>0</v>
      </c>
      <c r="W271" s="74">
        <f t="shared" si="80"/>
        <v>0</v>
      </c>
      <c r="X271" s="74">
        <f t="shared" si="80"/>
        <v>0</v>
      </c>
      <c r="Y271" s="179"/>
      <c r="Z271" s="50" t="e">
        <f t="shared" si="81"/>
        <v>#DIV/0!</v>
      </c>
    </row>
    <row r="272" spans="1:26" x14ac:dyDescent="0.25">
      <c r="A272" s="139">
        <f t="shared" si="66"/>
        <v>0</v>
      </c>
      <c r="B272" s="30"/>
      <c r="C272" s="31">
        <f t="shared" si="79"/>
        <v>0</v>
      </c>
      <c r="D272" s="9" t="str">
        <f t="shared" si="82"/>
        <v>тыс. ткм</v>
      </c>
      <c r="E272" s="74">
        <f t="shared" si="80"/>
        <v>0</v>
      </c>
      <c r="F272" s="74">
        <f t="shared" si="80"/>
        <v>0</v>
      </c>
      <c r="G272" s="74">
        <f t="shared" si="80"/>
        <v>0</v>
      </c>
      <c r="H272" s="74">
        <f t="shared" si="80"/>
        <v>0</v>
      </c>
      <c r="I272" s="74">
        <f t="shared" si="80"/>
        <v>0</v>
      </c>
      <c r="J272" s="74">
        <f t="shared" si="80"/>
        <v>0</v>
      </c>
      <c r="K272" s="74">
        <f t="shared" si="80"/>
        <v>0</v>
      </c>
      <c r="L272" s="74">
        <f t="shared" si="80"/>
        <v>0</v>
      </c>
      <c r="M272" s="74">
        <f t="shared" si="80"/>
        <v>0</v>
      </c>
      <c r="N272" s="74">
        <f t="shared" si="80"/>
        <v>0</v>
      </c>
      <c r="O272" s="74">
        <f t="shared" si="80"/>
        <v>0</v>
      </c>
      <c r="P272" s="74">
        <f t="shared" si="80"/>
        <v>0</v>
      </c>
      <c r="Q272" s="74">
        <f t="shared" si="80"/>
        <v>0</v>
      </c>
      <c r="R272" s="74">
        <f t="shared" si="80"/>
        <v>0</v>
      </c>
      <c r="S272" s="74">
        <f t="shared" si="80"/>
        <v>0</v>
      </c>
      <c r="T272" s="74">
        <f t="shared" si="80"/>
        <v>0</v>
      </c>
      <c r="U272" s="74">
        <f t="shared" si="80"/>
        <v>0</v>
      </c>
      <c r="V272" s="74">
        <f t="shared" si="80"/>
        <v>0</v>
      </c>
      <c r="W272" s="74">
        <f t="shared" si="80"/>
        <v>0</v>
      </c>
      <c r="X272" s="74">
        <f t="shared" si="80"/>
        <v>0</v>
      </c>
      <c r="Y272" s="179"/>
      <c r="Z272" s="50" t="e">
        <f t="shared" si="81"/>
        <v>#DIV/0!</v>
      </c>
    </row>
    <row r="273" spans="1:26" x14ac:dyDescent="0.25">
      <c r="A273" s="139">
        <f t="shared" si="66"/>
        <v>0</v>
      </c>
      <c r="B273" s="30"/>
      <c r="C273" s="31">
        <f t="shared" si="79"/>
        <v>0</v>
      </c>
      <c r="D273" s="9" t="str">
        <f t="shared" si="82"/>
        <v>тыс. ткм</v>
      </c>
      <c r="E273" s="74">
        <f t="shared" si="80"/>
        <v>0</v>
      </c>
      <c r="F273" s="74">
        <f t="shared" si="80"/>
        <v>0</v>
      </c>
      <c r="G273" s="74">
        <f t="shared" si="80"/>
        <v>0</v>
      </c>
      <c r="H273" s="74">
        <f t="shared" si="80"/>
        <v>0</v>
      </c>
      <c r="I273" s="74">
        <f t="shared" si="80"/>
        <v>0</v>
      </c>
      <c r="J273" s="74">
        <f t="shared" si="80"/>
        <v>0</v>
      </c>
      <c r="K273" s="74">
        <f t="shared" si="80"/>
        <v>0</v>
      </c>
      <c r="L273" s="74">
        <f t="shared" si="80"/>
        <v>0</v>
      </c>
      <c r="M273" s="74">
        <f t="shared" si="80"/>
        <v>0</v>
      </c>
      <c r="N273" s="74">
        <f t="shared" si="80"/>
        <v>0</v>
      </c>
      <c r="O273" s="74">
        <f t="shared" si="80"/>
        <v>0</v>
      </c>
      <c r="P273" s="74">
        <f t="shared" si="80"/>
        <v>0</v>
      </c>
      <c r="Q273" s="74">
        <f t="shared" si="80"/>
        <v>0</v>
      </c>
      <c r="R273" s="74">
        <f t="shared" si="80"/>
        <v>0</v>
      </c>
      <c r="S273" s="74">
        <f t="shared" si="80"/>
        <v>0</v>
      </c>
      <c r="T273" s="74">
        <f t="shared" si="80"/>
        <v>0</v>
      </c>
      <c r="U273" s="74">
        <f t="shared" si="80"/>
        <v>0</v>
      </c>
      <c r="V273" s="74">
        <f t="shared" si="80"/>
        <v>0</v>
      </c>
      <c r="W273" s="74">
        <f t="shared" si="80"/>
        <v>0</v>
      </c>
      <c r="X273" s="74">
        <f t="shared" si="80"/>
        <v>0</v>
      </c>
      <c r="Y273" s="179"/>
      <c r="Z273" s="50" t="e">
        <f t="shared" si="81"/>
        <v>#DIV/0!</v>
      </c>
    </row>
    <row r="274" spans="1:26" x14ac:dyDescent="0.25">
      <c r="A274" s="139">
        <f t="shared" si="66"/>
        <v>0</v>
      </c>
      <c r="B274" s="30"/>
      <c r="C274" s="31">
        <f t="shared" si="79"/>
        <v>0</v>
      </c>
      <c r="D274" s="9" t="str">
        <f t="shared" si="82"/>
        <v>тыс. ткм</v>
      </c>
      <c r="E274" s="74">
        <f t="shared" si="80"/>
        <v>0</v>
      </c>
      <c r="F274" s="74">
        <f t="shared" si="80"/>
        <v>0</v>
      </c>
      <c r="G274" s="74">
        <f t="shared" si="80"/>
        <v>0</v>
      </c>
      <c r="H274" s="74">
        <f t="shared" si="80"/>
        <v>0</v>
      </c>
      <c r="I274" s="74">
        <f t="shared" si="80"/>
        <v>0</v>
      </c>
      <c r="J274" s="74">
        <f t="shared" si="80"/>
        <v>0</v>
      </c>
      <c r="K274" s="74">
        <f t="shared" si="80"/>
        <v>0</v>
      </c>
      <c r="L274" s="74">
        <f t="shared" si="80"/>
        <v>0</v>
      </c>
      <c r="M274" s="74">
        <f t="shared" si="80"/>
        <v>0</v>
      </c>
      <c r="N274" s="74">
        <f t="shared" si="80"/>
        <v>0</v>
      </c>
      <c r="O274" s="74">
        <f t="shared" si="80"/>
        <v>0</v>
      </c>
      <c r="P274" s="74">
        <f t="shared" si="80"/>
        <v>0</v>
      </c>
      <c r="Q274" s="74">
        <f t="shared" si="80"/>
        <v>0</v>
      </c>
      <c r="R274" s="74">
        <f t="shared" si="80"/>
        <v>0</v>
      </c>
      <c r="S274" s="74">
        <f t="shared" si="80"/>
        <v>0</v>
      </c>
      <c r="T274" s="74">
        <f t="shared" si="80"/>
        <v>0</v>
      </c>
      <c r="U274" s="74">
        <f t="shared" si="80"/>
        <v>0</v>
      </c>
      <c r="V274" s="74">
        <f t="shared" si="80"/>
        <v>0</v>
      </c>
      <c r="W274" s="74">
        <f t="shared" si="80"/>
        <v>0</v>
      </c>
      <c r="X274" s="74">
        <f t="shared" si="80"/>
        <v>0</v>
      </c>
      <c r="Y274" s="179"/>
      <c r="Z274" s="50" t="e">
        <f t="shared" si="81"/>
        <v>#DIV/0!</v>
      </c>
    </row>
    <row r="275" spans="1:26" x14ac:dyDescent="0.25">
      <c r="A275" s="139">
        <f t="shared" si="66"/>
        <v>0</v>
      </c>
      <c r="B275" s="30"/>
      <c r="C275" s="31">
        <f t="shared" si="79"/>
        <v>0</v>
      </c>
      <c r="D275" s="9" t="str">
        <f t="shared" si="82"/>
        <v>тыс. ткм</v>
      </c>
      <c r="E275" s="74">
        <f t="shared" si="80"/>
        <v>0</v>
      </c>
      <c r="F275" s="74">
        <f t="shared" si="80"/>
        <v>0</v>
      </c>
      <c r="G275" s="74">
        <f t="shared" si="80"/>
        <v>0</v>
      </c>
      <c r="H275" s="74">
        <f t="shared" si="80"/>
        <v>0</v>
      </c>
      <c r="I275" s="74">
        <f t="shared" si="80"/>
        <v>0</v>
      </c>
      <c r="J275" s="74">
        <f t="shared" si="80"/>
        <v>0</v>
      </c>
      <c r="K275" s="74">
        <f t="shared" si="80"/>
        <v>0</v>
      </c>
      <c r="L275" s="74">
        <f t="shared" si="80"/>
        <v>0</v>
      </c>
      <c r="M275" s="74">
        <f t="shared" si="80"/>
        <v>0</v>
      </c>
      <c r="N275" s="74">
        <f t="shared" si="80"/>
        <v>0</v>
      </c>
      <c r="O275" s="74">
        <f t="shared" si="80"/>
        <v>0</v>
      </c>
      <c r="P275" s="74">
        <f t="shared" si="80"/>
        <v>0</v>
      </c>
      <c r="Q275" s="74">
        <f t="shared" si="80"/>
        <v>0</v>
      </c>
      <c r="R275" s="74">
        <f t="shared" si="80"/>
        <v>0</v>
      </c>
      <c r="S275" s="74">
        <f t="shared" si="80"/>
        <v>0</v>
      </c>
      <c r="T275" s="74">
        <f t="shared" si="80"/>
        <v>0</v>
      </c>
      <c r="U275" s="74">
        <f t="shared" si="80"/>
        <v>0</v>
      </c>
      <c r="V275" s="74">
        <f t="shared" si="80"/>
        <v>0</v>
      </c>
      <c r="W275" s="74">
        <f t="shared" si="80"/>
        <v>0</v>
      </c>
      <c r="X275" s="74">
        <f t="shared" si="80"/>
        <v>0</v>
      </c>
      <c r="Y275" s="179"/>
      <c r="Z275" s="50" t="e">
        <f t="shared" si="81"/>
        <v>#DIV/0!</v>
      </c>
    </row>
    <row r="276" spans="1:26" x14ac:dyDescent="0.25">
      <c r="A276" s="139">
        <f t="shared" si="66"/>
        <v>0</v>
      </c>
      <c r="B276" s="30"/>
      <c r="C276" s="31">
        <f t="shared" si="79"/>
        <v>0</v>
      </c>
      <c r="D276" s="9" t="str">
        <f t="shared" si="82"/>
        <v>тыс. ткм</v>
      </c>
      <c r="E276" s="74">
        <f t="shared" si="80"/>
        <v>0</v>
      </c>
      <c r="F276" s="74">
        <f t="shared" si="80"/>
        <v>0</v>
      </c>
      <c r="G276" s="74">
        <f t="shared" si="80"/>
        <v>0</v>
      </c>
      <c r="H276" s="74">
        <f t="shared" si="80"/>
        <v>0</v>
      </c>
      <c r="I276" s="74">
        <f t="shared" si="80"/>
        <v>0</v>
      </c>
      <c r="J276" s="74">
        <f t="shared" si="80"/>
        <v>0</v>
      </c>
      <c r="K276" s="74">
        <f t="shared" si="80"/>
        <v>0</v>
      </c>
      <c r="L276" s="74">
        <f t="shared" si="80"/>
        <v>0</v>
      </c>
      <c r="M276" s="74">
        <f t="shared" si="80"/>
        <v>0</v>
      </c>
      <c r="N276" s="74">
        <f t="shared" si="80"/>
        <v>0</v>
      </c>
      <c r="O276" s="74">
        <f t="shared" si="80"/>
        <v>0</v>
      </c>
      <c r="P276" s="74">
        <f t="shared" si="80"/>
        <v>0</v>
      </c>
      <c r="Q276" s="74">
        <f t="shared" si="80"/>
        <v>0</v>
      </c>
      <c r="R276" s="74">
        <f t="shared" si="80"/>
        <v>0</v>
      </c>
      <c r="S276" s="74">
        <f t="shared" si="80"/>
        <v>0</v>
      </c>
      <c r="T276" s="74">
        <f t="shared" si="80"/>
        <v>0</v>
      </c>
      <c r="U276" s="74">
        <f t="shared" si="80"/>
        <v>0</v>
      </c>
      <c r="V276" s="74">
        <f t="shared" si="80"/>
        <v>0</v>
      </c>
      <c r="W276" s="74">
        <f t="shared" si="80"/>
        <v>0</v>
      </c>
      <c r="X276" s="74">
        <f t="shared" si="80"/>
        <v>0</v>
      </c>
      <c r="Y276" s="179"/>
      <c r="Z276" s="50" t="e">
        <f t="shared" si="81"/>
        <v>#DIV/0!</v>
      </c>
    </row>
    <row r="277" spans="1:26" x14ac:dyDescent="0.25">
      <c r="A277" s="139">
        <f t="shared" si="66"/>
        <v>0</v>
      </c>
      <c r="B277" s="30"/>
      <c r="C277" s="31">
        <f t="shared" si="79"/>
        <v>0</v>
      </c>
      <c r="D277" s="9" t="str">
        <f t="shared" si="82"/>
        <v>тыс. ткм</v>
      </c>
      <c r="E277" s="74">
        <f t="shared" si="80"/>
        <v>0</v>
      </c>
      <c r="F277" s="74">
        <f t="shared" si="80"/>
        <v>0</v>
      </c>
      <c r="G277" s="74">
        <f t="shared" si="80"/>
        <v>0</v>
      </c>
      <c r="H277" s="74">
        <f t="shared" si="80"/>
        <v>0</v>
      </c>
      <c r="I277" s="74">
        <f t="shared" si="80"/>
        <v>0</v>
      </c>
      <c r="J277" s="74">
        <f t="shared" si="80"/>
        <v>0</v>
      </c>
      <c r="K277" s="74">
        <f t="shared" si="80"/>
        <v>0</v>
      </c>
      <c r="L277" s="74">
        <f t="shared" si="80"/>
        <v>0</v>
      </c>
      <c r="M277" s="74">
        <f t="shared" si="80"/>
        <v>0</v>
      </c>
      <c r="N277" s="74">
        <f t="shared" si="80"/>
        <v>0</v>
      </c>
      <c r="O277" s="74">
        <f t="shared" si="80"/>
        <v>0</v>
      </c>
      <c r="P277" s="74">
        <f t="shared" si="80"/>
        <v>0</v>
      </c>
      <c r="Q277" s="74">
        <f t="shared" si="80"/>
        <v>0</v>
      </c>
      <c r="R277" s="74">
        <f t="shared" si="80"/>
        <v>0</v>
      </c>
      <c r="S277" s="74">
        <f t="shared" si="80"/>
        <v>0</v>
      </c>
      <c r="T277" s="74">
        <f t="shared" ref="F277:X278" si="83">T261*T21</f>
        <v>0</v>
      </c>
      <c r="U277" s="74">
        <f t="shared" si="83"/>
        <v>0</v>
      </c>
      <c r="V277" s="74">
        <f t="shared" si="83"/>
        <v>0</v>
      </c>
      <c r="W277" s="74">
        <f t="shared" si="83"/>
        <v>0</v>
      </c>
      <c r="X277" s="74">
        <f t="shared" si="83"/>
        <v>0</v>
      </c>
      <c r="Y277" s="179"/>
      <c r="Z277" s="50" t="e">
        <f t="shared" si="81"/>
        <v>#DIV/0!</v>
      </c>
    </row>
    <row r="278" spans="1:26" x14ac:dyDescent="0.25">
      <c r="A278" s="139">
        <f t="shared" si="66"/>
        <v>0</v>
      </c>
      <c r="B278" s="30"/>
      <c r="C278" s="31">
        <f t="shared" si="79"/>
        <v>0</v>
      </c>
      <c r="D278" s="9" t="str">
        <f t="shared" si="82"/>
        <v>тыс. ткм</v>
      </c>
      <c r="E278" s="74">
        <f t="shared" ref="E278" si="84">E262*E22</f>
        <v>0</v>
      </c>
      <c r="F278" s="74">
        <f t="shared" si="83"/>
        <v>0</v>
      </c>
      <c r="G278" s="74">
        <f t="shared" si="83"/>
        <v>0</v>
      </c>
      <c r="H278" s="74">
        <f t="shared" si="83"/>
        <v>0</v>
      </c>
      <c r="I278" s="74">
        <f t="shared" si="83"/>
        <v>0</v>
      </c>
      <c r="J278" s="74">
        <f t="shared" si="83"/>
        <v>0</v>
      </c>
      <c r="K278" s="74">
        <f t="shared" si="83"/>
        <v>0</v>
      </c>
      <c r="L278" s="74">
        <f t="shared" si="83"/>
        <v>0</v>
      </c>
      <c r="M278" s="74">
        <f t="shared" si="83"/>
        <v>0</v>
      </c>
      <c r="N278" s="74">
        <f t="shared" si="83"/>
        <v>0</v>
      </c>
      <c r="O278" s="74">
        <f t="shared" si="83"/>
        <v>0</v>
      </c>
      <c r="P278" s="74">
        <f t="shared" si="83"/>
        <v>0</v>
      </c>
      <c r="Q278" s="74">
        <f t="shared" si="83"/>
        <v>0</v>
      </c>
      <c r="R278" s="74">
        <f t="shared" si="83"/>
        <v>0</v>
      </c>
      <c r="S278" s="74">
        <f t="shared" si="83"/>
        <v>0</v>
      </c>
      <c r="T278" s="74">
        <f t="shared" si="83"/>
        <v>0</v>
      </c>
      <c r="U278" s="74">
        <f t="shared" si="83"/>
        <v>0</v>
      </c>
      <c r="V278" s="74">
        <f t="shared" si="83"/>
        <v>0</v>
      </c>
      <c r="W278" s="74">
        <f t="shared" si="83"/>
        <v>0</v>
      </c>
      <c r="X278" s="74">
        <f t="shared" si="83"/>
        <v>0</v>
      </c>
      <c r="Y278" s="179"/>
      <c r="Z278" s="50" t="e">
        <f t="shared" si="81"/>
        <v>#DIV/0!</v>
      </c>
    </row>
    <row r="279" spans="1:26" x14ac:dyDescent="0.25">
      <c r="A279" s="139">
        <f>A263</f>
        <v>1</v>
      </c>
      <c r="B279" s="68">
        <f>B263+1</f>
        <v>13</v>
      </c>
      <c r="C279" s="98" t="s">
        <v>56</v>
      </c>
      <c r="D279" s="463">
        <f>Производительность!D279</f>
        <v>0.5</v>
      </c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179"/>
    </row>
    <row r="280" spans="1:26" x14ac:dyDescent="0.25">
      <c r="A280" s="139">
        <f t="shared" ref="A280:A294" si="85">A264</f>
        <v>1</v>
      </c>
      <c r="B280" s="30"/>
      <c r="C280" s="31" t="str">
        <f>C264</f>
        <v>NHL NTE 240</v>
      </c>
      <c r="D280" s="9" t="s">
        <v>106</v>
      </c>
      <c r="E280" s="74">
        <f>E232*E8/$D$279</f>
        <v>104289.9279875263</v>
      </c>
      <c r="F280" s="74">
        <f t="shared" ref="F280:X294" si="86">F232*F8/$D$279</f>
        <v>107069.46269124778</v>
      </c>
      <c r="G280" s="74">
        <f t="shared" si="86"/>
        <v>112826.39908068988</v>
      </c>
      <c r="H280" s="74">
        <f t="shared" si="86"/>
        <v>110183.96875926586</v>
      </c>
      <c r="I280" s="74">
        <f t="shared" si="86"/>
        <v>119571.70671612638</v>
      </c>
      <c r="J280" s="74">
        <f t="shared" si="86"/>
        <v>121218.84105671314</v>
      </c>
      <c r="K280" s="74">
        <f t="shared" si="86"/>
        <v>116852.20391999437</v>
      </c>
      <c r="L280" s="74">
        <f t="shared" si="86"/>
        <v>115040.06906478378</v>
      </c>
      <c r="M280" s="74">
        <f t="shared" si="86"/>
        <v>120748.05679229052</v>
      </c>
      <c r="N280" s="74">
        <f t="shared" si="86"/>
        <v>119579.91396368679</v>
      </c>
      <c r="O280" s="74">
        <f t="shared" si="86"/>
        <v>116837.04940724502</v>
      </c>
      <c r="P280" s="74">
        <f t="shared" si="86"/>
        <v>121945.9817246974</v>
      </c>
      <c r="Q280" s="74">
        <f t="shared" si="86"/>
        <v>125119.03876582587</v>
      </c>
      <c r="R280" s="74">
        <f t="shared" si="86"/>
        <v>125922.71726529159</v>
      </c>
      <c r="S280" s="74">
        <f t="shared" si="86"/>
        <v>121111.60830895793</v>
      </c>
      <c r="T280" s="74">
        <f t="shared" si="86"/>
        <v>122988.6101139817</v>
      </c>
      <c r="U280" s="74">
        <f t="shared" si="86"/>
        <v>114537.65027958713</v>
      </c>
      <c r="V280" s="74">
        <f t="shared" si="86"/>
        <v>114902.07548925935</v>
      </c>
      <c r="W280" s="74">
        <f t="shared" si="86"/>
        <v>125840.3355341362</v>
      </c>
      <c r="X280" s="74">
        <f t="shared" si="86"/>
        <v>127340.28002304549</v>
      </c>
      <c r="Y280" s="179"/>
    </row>
    <row r="281" spans="1:26" x14ac:dyDescent="0.25">
      <c r="A281" s="139">
        <f t="shared" si="85"/>
        <v>1</v>
      </c>
      <c r="B281" s="30"/>
      <c r="C281" s="31" t="str">
        <f t="shared" ref="C281:C294" si="87">C265</f>
        <v>Estar ESDE240 (ГПБ К)</v>
      </c>
      <c r="D281" s="9" t="str">
        <f>D280</f>
        <v>км</v>
      </c>
      <c r="E281" s="74">
        <f t="shared" ref="E281:T294" si="88">E233*E9/$D$279</f>
        <v>101406.06493131789</v>
      </c>
      <c r="F281" s="74">
        <f t="shared" si="88"/>
        <v>103122.89803897492</v>
      </c>
      <c r="G281" s="74">
        <f t="shared" si="88"/>
        <v>103979.93271425065</v>
      </c>
      <c r="H281" s="74">
        <f t="shared" si="88"/>
        <v>97718.487488999497</v>
      </c>
      <c r="I281" s="74">
        <f t="shared" si="88"/>
        <v>115112.84698738907</v>
      </c>
      <c r="J281" s="74">
        <f t="shared" si="88"/>
        <v>108111.78665312714</v>
      </c>
      <c r="K281" s="74">
        <f t="shared" si="88"/>
        <v>111602.19385336793</v>
      </c>
      <c r="L281" s="74">
        <f t="shared" si="88"/>
        <v>102420.12698243673</v>
      </c>
      <c r="M281" s="74">
        <f t="shared" si="88"/>
        <v>112725.51869754375</v>
      </c>
      <c r="N281" s="74">
        <f t="shared" si="88"/>
        <v>106972.22503595916</v>
      </c>
      <c r="O281" s="74">
        <f t="shared" si="88"/>
        <v>0</v>
      </c>
      <c r="P281" s="74">
        <f t="shared" si="88"/>
        <v>0</v>
      </c>
      <c r="Q281" s="74">
        <f t="shared" si="88"/>
        <v>0</v>
      </c>
      <c r="R281" s="74">
        <f t="shared" si="88"/>
        <v>0</v>
      </c>
      <c r="S281" s="74">
        <f t="shared" si="88"/>
        <v>0</v>
      </c>
      <c r="T281" s="74">
        <f t="shared" si="88"/>
        <v>0</v>
      </c>
      <c r="U281" s="74">
        <f t="shared" si="86"/>
        <v>0</v>
      </c>
      <c r="V281" s="74">
        <f t="shared" si="86"/>
        <v>0</v>
      </c>
      <c r="W281" s="74">
        <f t="shared" si="86"/>
        <v>0</v>
      </c>
      <c r="X281" s="74">
        <f t="shared" si="86"/>
        <v>0</v>
      </c>
      <c r="Y281" s="179"/>
    </row>
    <row r="282" spans="1:26" x14ac:dyDescent="0.25">
      <c r="A282" s="139">
        <f t="shared" si="85"/>
        <v>1</v>
      </c>
      <c r="B282" s="30"/>
      <c r="C282" s="31" t="str">
        <f t="shared" si="87"/>
        <v>SANY SET240S</v>
      </c>
      <c r="D282" s="9" t="str">
        <f t="shared" ref="D282:D294" si="89">D281</f>
        <v>км</v>
      </c>
      <c r="E282" s="74">
        <f t="shared" si="88"/>
        <v>104085.04181104711</v>
      </c>
      <c r="F282" s="74">
        <f t="shared" si="86"/>
        <v>103876.45897336921</v>
      </c>
      <c r="G282" s="74">
        <f t="shared" si="86"/>
        <v>106073.94469777292</v>
      </c>
      <c r="H282" s="74">
        <f t="shared" si="86"/>
        <v>109591.70776249413</v>
      </c>
      <c r="I282" s="74">
        <f t="shared" si="86"/>
        <v>108927.80641926726</v>
      </c>
      <c r="J282" s="74">
        <f t="shared" si="86"/>
        <v>118825.17282882516</v>
      </c>
      <c r="K282" s="74">
        <f t="shared" si="86"/>
        <v>108635.97632270069</v>
      </c>
      <c r="L282" s="74">
        <f t="shared" si="86"/>
        <v>114078.84166972463</v>
      </c>
      <c r="M282" s="74">
        <f t="shared" si="86"/>
        <v>111951.02394890884</v>
      </c>
      <c r="N282" s="74">
        <f t="shared" si="86"/>
        <v>113478.25469279084</v>
      </c>
      <c r="O282" s="74">
        <f t="shared" si="86"/>
        <v>110315.43777448426</v>
      </c>
      <c r="P282" s="74">
        <f t="shared" si="86"/>
        <v>116344.43649268993</v>
      </c>
      <c r="Q282" s="74">
        <f t="shared" si="86"/>
        <v>0</v>
      </c>
      <c r="R282" s="74">
        <f t="shared" si="86"/>
        <v>0</v>
      </c>
      <c r="S282" s="74">
        <f t="shared" si="86"/>
        <v>0</v>
      </c>
      <c r="T282" s="74">
        <f t="shared" si="86"/>
        <v>0</v>
      </c>
      <c r="U282" s="74">
        <f t="shared" si="86"/>
        <v>0</v>
      </c>
      <c r="V282" s="74">
        <f t="shared" si="86"/>
        <v>0</v>
      </c>
      <c r="W282" s="74">
        <f t="shared" si="86"/>
        <v>0</v>
      </c>
      <c r="X282" s="74">
        <f t="shared" si="86"/>
        <v>0</v>
      </c>
      <c r="Y282" s="179"/>
    </row>
    <row r="283" spans="1:26" x14ac:dyDescent="0.25">
      <c r="A283" s="139">
        <f t="shared" si="85"/>
        <v>1</v>
      </c>
      <c r="B283" s="30"/>
      <c r="C283" s="31" t="str">
        <f t="shared" si="87"/>
        <v>TZCO TZE240</v>
      </c>
      <c r="D283" s="9" t="str">
        <f t="shared" si="89"/>
        <v>км</v>
      </c>
      <c r="E283" s="74">
        <f t="shared" si="88"/>
        <v>101183.84565097169</v>
      </c>
      <c r="F283" s="74">
        <f t="shared" si="86"/>
        <v>101705.18170477549</v>
      </c>
      <c r="G283" s="74">
        <f t="shared" si="86"/>
        <v>94828.828396650206</v>
      </c>
      <c r="H283" s="74">
        <f t="shared" si="86"/>
        <v>107195.52498621063</v>
      </c>
      <c r="I283" s="74">
        <f t="shared" si="86"/>
        <v>116534.69539385385</v>
      </c>
      <c r="J283" s="74">
        <f t="shared" si="86"/>
        <v>98390.921267548285</v>
      </c>
      <c r="K283" s="74">
        <f t="shared" si="86"/>
        <v>114136.70836313994</v>
      </c>
      <c r="L283" s="74">
        <f t="shared" si="86"/>
        <v>111584.54934480005</v>
      </c>
      <c r="M283" s="74">
        <f t="shared" si="86"/>
        <v>0</v>
      </c>
      <c r="N283" s="74">
        <f t="shared" si="86"/>
        <v>0</v>
      </c>
      <c r="O283" s="74">
        <f t="shared" si="86"/>
        <v>0</v>
      </c>
      <c r="P283" s="74">
        <f t="shared" si="86"/>
        <v>0</v>
      </c>
      <c r="Q283" s="74">
        <f t="shared" si="86"/>
        <v>0</v>
      </c>
      <c r="R283" s="74">
        <f t="shared" si="86"/>
        <v>0</v>
      </c>
      <c r="S283" s="74">
        <f t="shared" si="86"/>
        <v>0</v>
      </c>
      <c r="T283" s="74">
        <f t="shared" si="86"/>
        <v>0</v>
      </c>
      <c r="U283" s="74">
        <f t="shared" si="86"/>
        <v>0</v>
      </c>
      <c r="V283" s="74">
        <f t="shared" si="86"/>
        <v>0</v>
      </c>
      <c r="W283" s="74">
        <f t="shared" si="86"/>
        <v>0</v>
      </c>
      <c r="X283" s="74">
        <f t="shared" si="86"/>
        <v>0</v>
      </c>
      <c r="Y283" s="179"/>
    </row>
    <row r="284" spans="1:26" x14ac:dyDescent="0.25">
      <c r="A284" s="139">
        <f t="shared" si="85"/>
        <v>1</v>
      </c>
      <c r="B284" s="30"/>
      <c r="C284" s="31" t="str">
        <f t="shared" si="87"/>
        <v>БелАЗ 7531 (ГПФК)</v>
      </c>
      <c r="D284" s="9" t="str">
        <f t="shared" si="89"/>
        <v>км</v>
      </c>
      <c r="E284" s="74">
        <f t="shared" si="88"/>
        <v>101036.68710532019</v>
      </c>
      <c r="F284" s="74">
        <f t="shared" si="86"/>
        <v>101936.10342840003</v>
      </c>
      <c r="G284" s="74">
        <f t="shared" si="86"/>
        <v>105939.05769208107</v>
      </c>
      <c r="H284" s="74">
        <f t="shared" si="86"/>
        <v>106083.76797375371</v>
      </c>
      <c r="I284" s="74">
        <f t="shared" si="86"/>
        <v>112905.37994140561</v>
      </c>
      <c r="J284" s="74">
        <f t="shared" si="86"/>
        <v>111217.01444276269</v>
      </c>
      <c r="K284" s="74">
        <f t="shared" si="86"/>
        <v>112568.83726273593</v>
      </c>
      <c r="L284" s="74">
        <f t="shared" si="86"/>
        <v>107904.95436000118</v>
      </c>
      <c r="M284" s="74">
        <f t="shared" si="86"/>
        <v>110890.30711580985</v>
      </c>
      <c r="N284" s="74">
        <f t="shared" si="86"/>
        <v>110489.75196727202</v>
      </c>
      <c r="O284" s="74">
        <f t="shared" si="86"/>
        <v>0</v>
      </c>
      <c r="P284" s="74">
        <f t="shared" si="86"/>
        <v>0</v>
      </c>
      <c r="Q284" s="74">
        <f t="shared" si="86"/>
        <v>0</v>
      </c>
      <c r="R284" s="74">
        <f t="shared" si="86"/>
        <v>0</v>
      </c>
      <c r="S284" s="74">
        <f t="shared" si="86"/>
        <v>0</v>
      </c>
      <c r="T284" s="74">
        <f t="shared" si="86"/>
        <v>0</v>
      </c>
      <c r="U284" s="74">
        <f t="shared" si="86"/>
        <v>0</v>
      </c>
      <c r="V284" s="74">
        <f t="shared" si="86"/>
        <v>0</v>
      </c>
      <c r="W284" s="74">
        <f t="shared" si="86"/>
        <v>0</v>
      </c>
      <c r="X284" s="74">
        <f t="shared" si="86"/>
        <v>0</v>
      </c>
      <c r="Y284" s="179"/>
    </row>
    <row r="285" spans="1:26" x14ac:dyDescent="0.25">
      <c r="A285" s="139">
        <f t="shared" si="85"/>
        <v>1</v>
      </c>
      <c r="B285" s="30"/>
      <c r="C285" s="31" t="str">
        <f t="shared" si="87"/>
        <v>XCMG 240</v>
      </c>
      <c r="D285" s="9" t="str">
        <f t="shared" si="89"/>
        <v>км</v>
      </c>
      <c r="E285" s="74">
        <f t="shared" si="88"/>
        <v>0</v>
      </c>
      <c r="F285" s="74">
        <f t="shared" si="86"/>
        <v>0</v>
      </c>
      <c r="G285" s="74">
        <f t="shared" si="86"/>
        <v>0</v>
      </c>
      <c r="H285" s="74">
        <f t="shared" si="86"/>
        <v>0</v>
      </c>
      <c r="I285" s="74">
        <f t="shared" si="86"/>
        <v>0</v>
      </c>
      <c r="J285" s="74">
        <f t="shared" si="86"/>
        <v>0</v>
      </c>
      <c r="K285" s="74">
        <f t="shared" si="86"/>
        <v>0</v>
      </c>
      <c r="L285" s="74">
        <f t="shared" si="86"/>
        <v>0</v>
      </c>
      <c r="M285" s="74">
        <f t="shared" si="86"/>
        <v>0</v>
      </c>
      <c r="N285" s="74">
        <f t="shared" si="86"/>
        <v>0</v>
      </c>
      <c r="O285" s="74">
        <f t="shared" si="86"/>
        <v>0</v>
      </c>
      <c r="P285" s="74">
        <f t="shared" si="86"/>
        <v>0</v>
      </c>
      <c r="Q285" s="74">
        <f t="shared" si="86"/>
        <v>0</v>
      </c>
      <c r="R285" s="74">
        <f t="shared" si="86"/>
        <v>0</v>
      </c>
      <c r="S285" s="74">
        <f t="shared" si="86"/>
        <v>0</v>
      </c>
      <c r="T285" s="74">
        <f t="shared" si="86"/>
        <v>0</v>
      </c>
      <c r="U285" s="74">
        <f t="shared" si="86"/>
        <v>0</v>
      </c>
      <c r="V285" s="74">
        <f t="shared" si="86"/>
        <v>0</v>
      </c>
      <c r="W285" s="74">
        <f t="shared" si="86"/>
        <v>0</v>
      </c>
      <c r="X285" s="74">
        <f t="shared" si="86"/>
        <v>0</v>
      </c>
      <c r="Y285" s="179"/>
    </row>
    <row r="286" spans="1:26" x14ac:dyDescent="0.25">
      <c r="A286" s="139">
        <f t="shared" si="85"/>
        <v>1</v>
      </c>
      <c r="B286" s="30"/>
      <c r="C286" s="31" t="str">
        <f t="shared" si="87"/>
        <v>БелАЗ 7531 (БТЛ)</v>
      </c>
      <c r="D286" s="9" t="str">
        <f t="shared" si="89"/>
        <v>км</v>
      </c>
      <c r="E286" s="74">
        <f t="shared" si="88"/>
        <v>103401.1558030239</v>
      </c>
      <c r="F286" s="74">
        <f t="shared" si="86"/>
        <v>104484.72952794652</v>
      </c>
      <c r="G286" s="74">
        <f t="shared" si="86"/>
        <v>110193.40790233093</v>
      </c>
      <c r="H286" s="74">
        <f t="shared" si="86"/>
        <v>106800.08078876841</v>
      </c>
      <c r="I286" s="74">
        <f t="shared" si="86"/>
        <v>115448.75156417437</v>
      </c>
      <c r="J286" s="74">
        <f t="shared" si="86"/>
        <v>114450.65447491792</v>
      </c>
      <c r="K286" s="74">
        <f t="shared" si="86"/>
        <v>106728.86655603585</v>
      </c>
      <c r="L286" s="74">
        <f t="shared" si="86"/>
        <v>112588.21474157847</v>
      </c>
      <c r="M286" s="74">
        <f t="shared" si="86"/>
        <v>112939.22810228736</v>
      </c>
      <c r="N286" s="74">
        <f t="shared" si="86"/>
        <v>109325.37434087304</v>
      </c>
      <c r="O286" s="74">
        <f t="shared" si="86"/>
        <v>0</v>
      </c>
      <c r="P286" s="74">
        <f t="shared" si="86"/>
        <v>0</v>
      </c>
      <c r="Q286" s="74">
        <f t="shared" si="86"/>
        <v>0</v>
      </c>
      <c r="R286" s="74">
        <f t="shared" si="86"/>
        <v>0</v>
      </c>
      <c r="S286" s="74">
        <f t="shared" si="86"/>
        <v>0</v>
      </c>
      <c r="T286" s="74">
        <f t="shared" si="86"/>
        <v>0</v>
      </c>
      <c r="U286" s="74">
        <f t="shared" si="86"/>
        <v>0</v>
      </c>
      <c r="V286" s="74">
        <f t="shared" si="86"/>
        <v>0</v>
      </c>
      <c r="W286" s="74">
        <f t="shared" si="86"/>
        <v>0</v>
      </c>
      <c r="X286" s="74">
        <f t="shared" si="86"/>
        <v>0</v>
      </c>
      <c r="Y286" s="179"/>
    </row>
    <row r="287" spans="1:26" x14ac:dyDescent="0.25">
      <c r="A287" s="139">
        <f t="shared" si="85"/>
        <v>0</v>
      </c>
      <c r="B287" s="30"/>
      <c r="C287" s="31">
        <f t="shared" si="87"/>
        <v>0</v>
      </c>
      <c r="D287" s="9" t="str">
        <f t="shared" si="89"/>
        <v>км</v>
      </c>
      <c r="E287" s="74">
        <f t="shared" si="88"/>
        <v>0</v>
      </c>
      <c r="F287" s="74">
        <f t="shared" si="86"/>
        <v>0</v>
      </c>
      <c r="G287" s="74">
        <f t="shared" si="86"/>
        <v>0</v>
      </c>
      <c r="H287" s="74">
        <f t="shared" si="86"/>
        <v>0</v>
      </c>
      <c r="I287" s="74">
        <f t="shared" si="86"/>
        <v>0</v>
      </c>
      <c r="J287" s="74">
        <f t="shared" si="86"/>
        <v>0</v>
      </c>
      <c r="K287" s="74">
        <f t="shared" si="86"/>
        <v>0</v>
      </c>
      <c r="L287" s="74">
        <f t="shared" si="86"/>
        <v>0</v>
      </c>
      <c r="M287" s="74">
        <f t="shared" si="86"/>
        <v>0</v>
      </c>
      <c r="N287" s="74">
        <f t="shared" si="86"/>
        <v>0</v>
      </c>
      <c r="O287" s="74">
        <f t="shared" si="86"/>
        <v>0</v>
      </c>
      <c r="P287" s="74">
        <f t="shared" si="86"/>
        <v>0</v>
      </c>
      <c r="Q287" s="74">
        <f t="shared" si="86"/>
        <v>0</v>
      </c>
      <c r="R287" s="74">
        <f t="shared" si="86"/>
        <v>0</v>
      </c>
      <c r="S287" s="74">
        <f t="shared" si="86"/>
        <v>0</v>
      </c>
      <c r="T287" s="74">
        <f t="shared" si="86"/>
        <v>0</v>
      </c>
      <c r="U287" s="74">
        <f t="shared" si="86"/>
        <v>0</v>
      </c>
      <c r="V287" s="74">
        <f t="shared" si="86"/>
        <v>0</v>
      </c>
      <c r="W287" s="74">
        <f t="shared" si="86"/>
        <v>0</v>
      </c>
      <c r="X287" s="74">
        <f t="shared" si="86"/>
        <v>0</v>
      </c>
      <c r="Y287" s="179"/>
    </row>
    <row r="288" spans="1:26" x14ac:dyDescent="0.25">
      <c r="A288" s="139">
        <f t="shared" si="85"/>
        <v>0</v>
      </c>
      <c r="B288" s="30"/>
      <c r="C288" s="31">
        <f t="shared" si="87"/>
        <v>0</v>
      </c>
      <c r="D288" s="9" t="str">
        <f t="shared" si="89"/>
        <v>км</v>
      </c>
      <c r="E288" s="74">
        <f t="shared" si="88"/>
        <v>0</v>
      </c>
      <c r="F288" s="74">
        <f t="shared" si="86"/>
        <v>0</v>
      </c>
      <c r="G288" s="74">
        <f t="shared" si="86"/>
        <v>0</v>
      </c>
      <c r="H288" s="74">
        <f t="shared" si="86"/>
        <v>0</v>
      </c>
      <c r="I288" s="74">
        <f t="shared" si="86"/>
        <v>0</v>
      </c>
      <c r="J288" s="74">
        <f t="shared" si="86"/>
        <v>0</v>
      </c>
      <c r="K288" s="74">
        <f t="shared" si="86"/>
        <v>0</v>
      </c>
      <c r="L288" s="74">
        <f t="shared" si="86"/>
        <v>0</v>
      </c>
      <c r="M288" s="74">
        <f t="shared" si="86"/>
        <v>0</v>
      </c>
      <c r="N288" s="74">
        <f t="shared" si="86"/>
        <v>0</v>
      </c>
      <c r="O288" s="74">
        <f t="shared" si="86"/>
        <v>0</v>
      </c>
      <c r="P288" s="74">
        <f t="shared" si="86"/>
        <v>0</v>
      </c>
      <c r="Q288" s="74">
        <f t="shared" si="86"/>
        <v>0</v>
      </c>
      <c r="R288" s="74">
        <f t="shared" si="86"/>
        <v>0</v>
      </c>
      <c r="S288" s="74">
        <f t="shared" si="86"/>
        <v>0</v>
      </c>
      <c r="T288" s="74">
        <f t="shared" si="86"/>
        <v>0</v>
      </c>
      <c r="U288" s="74">
        <f t="shared" si="86"/>
        <v>0</v>
      </c>
      <c r="V288" s="74">
        <f t="shared" si="86"/>
        <v>0</v>
      </c>
      <c r="W288" s="74">
        <f t="shared" si="86"/>
        <v>0</v>
      </c>
      <c r="X288" s="74">
        <f t="shared" si="86"/>
        <v>0</v>
      </c>
      <c r="Y288" s="179"/>
    </row>
    <row r="289" spans="1:25" x14ac:dyDescent="0.25">
      <c r="A289" s="139">
        <f t="shared" si="85"/>
        <v>0</v>
      </c>
      <c r="B289" s="30"/>
      <c r="C289" s="31">
        <f t="shared" si="87"/>
        <v>0</v>
      </c>
      <c r="D289" s="9" t="str">
        <f t="shared" si="89"/>
        <v>км</v>
      </c>
      <c r="E289" s="74">
        <f t="shared" si="88"/>
        <v>0</v>
      </c>
      <c r="F289" s="74">
        <f t="shared" si="86"/>
        <v>0</v>
      </c>
      <c r="G289" s="74">
        <f t="shared" si="86"/>
        <v>0</v>
      </c>
      <c r="H289" s="74">
        <f t="shared" si="86"/>
        <v>0</v>
      </c>
      <c r="I289" s="74">
        <f t="shared" si="86"/>
        <v>0</v>
      </c>
      <c r="J289" s="74">
        <f t="shared" si="86"/>
        <v>0</v>
      </c>
      <c r="K289" s="74">
        <f t="shared" si="86"/>
        <v>0</v>
      </c>
      <c r="L289" s="74">
        <f t="shared" si="86"/>
        <v>0</v>
      </c>
      <c r="M289" s="74">
        <f t="shared" si="86"/>
        <v>0</v>
      </c>
      <c r="N289" s="74">
        <f t="shared" si="86"/>
        <v>0</v>
      </c>
      <c r="O289" s="74">
        <f t="shared" si="86"/>
        <v>0</v>
      </c>
      <c r="P289" s="74">
        <f t="shared" si="86"/>
        <v>0</v>
      </c>
      <c r="Q289" s="74">
        <f t="shared" si="86"/>
        <v>0</v>
      </c>
      <c r="R289" s="74">
        <f t="shared" si="86"/>
        <v>0</v>
      </c>
      <c r="S289" s="74">
        <f t="shared" si="86"/>
        <v>0</v>
      </c>
      <c r="T289" s="74">
        <f t="shared" si="86"/>
        <v>0</v>
      </c>
      <c r="U289" s="74">
        <f t="shared" si="86"/>
        <v>0</v>
      </c>
      <c r="V289" s="74">
        <f t="shared" si="86"/>
        <v>0</v>
      </c>
      <c r="W289" s="74">
        <f t="shared" si="86"/>
        <v>0</v>
      </c>
      <c r="X289" s="74">
        <f t="shared" si="86"/>
        <v>0</v>
      </c>
      <c r="Y289" s="179"/>
    </row>
    <row r="290" spans="1:25" x14ac:dyDescent="0.25">
      <c r="A290" s="139">
        <f t="shared" si="85"/>
        <v>0</v>
      </c>
      <c r="B290" s="30"/>
      <c r="C290" s="31">
        <f t="shared" si="87"/>
        <v>0</v>
      </c>
      <c r="D290" s="9" t="str">
        <f t="shared" si="89"/>
        <v>км</v>
      </c>
      <c r="E290" s="74">
        <f t="shared" si="88"/>
        <v>0</v>
      </c>
      <c r="F290" s="74">
        <f t="shared" si="86"/>
        <v>0</v>
      </c>
      <c r="G290" s="74">
        <f t="shared" si="86"/>
        <v>0</v>
      </c>
      <c r="H290" s="74">
        <f t="shared" si="86"/>
        <v>0</v>
      </c>
      <c r="I290" s="74">
        <f t="shared" si="86"/>
        <v>0</v>
      </c>
      <c r="J290" s="74">
        <f t="shared" si="86"/>
        <v>0</v>
      </c>
      <c r="K290" s="74">
        <f t="shared" si="86"/>
        <v>0</v>
      </c>
      <c r="L290" s="74">
        <f t="shared" si="86"/>
        <v>0</v>
      </c>
      <c r="M290" s="74">
        <f t="shared" si="86"/>
        <v>0</v>
      </c>
      <c r="N290" s="74">
        <f t="shared" si="86"/>
        <v>0</v>
      </c>
      <c r="O290" s="74">
        <f t="shared" si="86"/>
        <v>0</v>
      </c>
      <c r="P290" s="74">
        <f t="shared" si="86"/>
        <v>0</v>
      </c>
      <c r="Q290" s="74">
        <f t="shared" si="86"/>
        <v>0</v>
      </c>
      <c r="R290" s="74">
        <f t="shared" si="86"/>
        <v>0</v>
      </c>
      <c r="S290" s="74">
        <f t="shared" si="86"/>
        <v>0</v>
      </c>
      <c r="T290" s="74">
        <f t="shared" si="86"/>
        <v>0</v>
      </c>
      <c r="U290" s="74">
        <f t="shared" si="86"/>
        <v>0</v>
      </c>
      <c r="V290" s="74">
        <f t="shared" si="86"/>
        <v>0</v>
      </c>
      <c r="W290" s="74">
        <f t="shared" si="86"/>
        <v>0</v>
      </c>
      <c r="X290" s="74">
        <f t="shared" si="86"/>
        <v>0</v>
      </c>
      <c r="Y290" s="179"/>
    </row>
    <row r="291" spans="1:25" x14ac:dyDescent="0.25">
      <c r="A291" s="139">
        <f t="shared" si="85"/>
        <v>0</v>
      </c>
      <c r="B291" s="30"/>
      <c r="C291" s="31">
        <f t="shared" si="87"/>
        <v>0</v>
      </c>
      <c r="D291" s="9" t="str">
        <f t="shared" si="89"/>
        <v>км</v>
      </c>
      <c r="E291" s="74">
        <f t="shared" si="88"/>
        <v>0</v>
      </c>
      <c r="F291" s="74">
        <f t="shared" si="86"/>
        <v>0</v>
      </c>
      <c r="G291" s="74">
        <f t="shared" si="86"/>
        <v>0</v>
      </c>
      <c r="H291" s="74">
        <f t="shared" si="86"/>
        <v>0</v>
      </c>
      <c r="I291" s="74">
        <f t="shared" si="86"/>
        <v>0</v>
      </c>
      <c r="J291" s="74">
        <f t="shared" si="86"/>
        <v>0</v>
      </c>
      <c r="K291" s="74">
        <f t="shared" si="86"/>
        <v>0</v>
      </c>
      <c r="L291" s="74">
        <f t="shared" si="86"/>
        <v>0</v>
      </c>
      <c r="M291" s="74">
        <f t="shared" si="86"/>
        <v>0</v>
      </c>
      <c r="N291" s="74">
        <f t="shared" si="86"/>
        <v>0</v>
      </c>
      <c r="O291" s="74">
        <f t="shared" si="86"/>
        <v>0</v>
      </c>
      <c r="P291" s="74">
        <f t="shared" si="86"/>
        <v>0</v>
      </c>
      <c r="Q291" s="74">
        <f t="shared" si="86"/>
        <v>0</v>
      </c>
      <c r="R291" s="74">
        <f t="shared" si="86"/>
        <v>0</v>
      </c>
      <c r="S291" s="74">
        <f t="shared" si="86"/>
        <v>0</v>
      </c>
      <c r="T291" s="74">
        <f t="shared" si="86"/>
        <v>0</v>
      </c>
      <c r="U291" s="74">
        <f t="shared" si="86"/>
        <v>0</v>
      </c>
      <c r="V291" s="74">
        <f t="shared" si="86"/>
        <v>0</v>
      </c>
      <c r="W291" s="74">
        <f t="shared" si="86"/>
        <v>0</v>
      </c>
      <c r="X291" s="74">
        <f t="shared" si="86"/>
        <v>0</v>
      </c>
      <c r="Y291" s="179"/>
    </row>
    <row r="292" spans="1:25" x14ac:dyDescent="0.25">
      <c r="A292" s="139">
        <f t="shared" si="85"/>
        <v>0</v>
      </c>
      <c r="B292" s="30"/>
      <c r="C292" s="31">
        <f t="shared" si="87"/>
        <v>0</v>
      </c>
      <c r="D292" s="9" t="str">
        <f t="shared" si="89"/>
        <v>км</v>
      </c>
      <c r="E292" s="74">
        <f t="shared" si="88"/>
        <v>0</v>
      </c>
      <c r="F292" s="74">
        <f t="shared" si="86"/>
        <v>0</v>
      </c>
      <c r="G292" s="74">
        <f t="shared" si="86"/>
        <v>0</v>
      </c>
      <c r="H292" s="74">
        <f t="shared" si="86"/>
        <v>0</v>
      </c>
      <c r="I292" s="74">
        <f t="shared" si="86"/>
        <v>0</v>
      </c>
      <c r="J292" s="74">
        <f t="shared" si="86"/>
        <v>0</v>
      </c>
      <c r="K292" s="74">
        <f t="shared" si="86"/>
        <v>0</v>
      </c>
      <c r="L292" s="74">
        <f t="shared" si="86"/>
        <v>0</v>
      </c>
      <c r="M292" s="74">
        <f t="shared" si="86"/>
        <v>0</v>
      </c>
      <c r="N292" s="74">
        <f t="shared" si="86"/>
        <v>0</v>
      </c>
      <c r="O292" s="74">
        <f t="shared" si="86"/>
        <v>0</v>
      </c>
      <c r="P292" s="74">
        <f t="shared" si="86"/>
        <v>0</v>
      </c>
      <c r="Q292" s="74">
        <f t="shared" si="86"/>
        <v>0</v>
      </c>
      <c r="R292" s="74">
        <f t="shared" si="86"/>
        <v>0</v>
      </c>
      <c r="S292" s="74">
        <f t="shared" si="86"/>
        <v>0</v>
      </c>
      <c r="T292" s="74">
        <f t="shared" si="86"/>
        <v>0</v>
      </c>
      <c r="U292" s="74">
        <f t="shared" si="86"/>
        <v>0</v>
      </c>
      <c r="V292" s="74">
        <f t="shared" si="86"/>
        <v>0</v>
      </c>
      <c r="W292" s="74">
        <f t="shared" si="86"/>
        <v>0</v>
      </c>
      <c r="X292" s="74">
        <f t="shared" si="86"/>
        <v>0</v>
      </c>
      <c r="Y292" s="179"/>
    </row>
    <row r="293" spans="1:25" x14ac:dyDescent="0.25">
      <c r="A293" s="139">
        <f t="shared" si="85"/>
        <v>0</v>
      </c>
      <c r="B293" s="30"/>
      <c r="C293" s="31">
        <f t="shared" si="87"/>
        <v>0</v>
      </c>
      <c r="D293" s="9" t="str">
        <f t="shared" si="89"/>
        <v>км</v>
      </c>
      <c r="E293" s="74">
        <f t="shared" si="88"/>
        <v>0</v>
      </c>
      <c r="F293" s="74">
        <f t="shared" si="86"/>
        <v>0</v>
      </c>
      <c r="G293" s="74">
        <f t="shared" si="86"/>
        <v>0</v>
      </c>
      <c r="H293" s="74">
        <f t="shared" si="86"/>
        <v>0</v>
      </c>
      <c r="I293" s="74">
        <f t="shared" si="86"/>
        <v>0</v>
      </c>
      <c r="J293" s="74">
        <f t="shared" si="86"/>
        <v>0</v>
      </c>
      <c r="K293" s="74">
        <f t="shared" si="86"/>
        <v>0</v>
      </c>
      <c r="L293" s="74">
        <f t="shared" si="86"/>
        <v>0</v>
      </c>
      <c r="M293" s="74">
        <f t="shared" si="86"/>
        <v>0</v>
      </c>
      <c r="N293" s="74">
        <f t="shared" si="86"/>
        <v>0</v>
      </c>
      <c r="O293" s="74">
        <f t="shared" si="86"/>
        <v>0</v>
      </c>
      <c r="P293" s="74">
        <f t="shared" si="86"/>
        <v>0</v>
      </c>
      <c r="Q293" s="74">
        <f t="shared" si="86"/>
        <v>0</v>
      </c>
      <c r="R293" s="74">
        <f t="shared" si="86"/>
        <v>0</v>
      </c>
      <c r="S293" s="74">
        <f t="shared" si="86"/>
        <v>0</v>
      </c>
      <c r="T293" s="74">
        <f t="shared" si="86"/>
        <v>0</v>
      </c>
      <c r="U293" s="74">
        <f t="shared" si="86"/>
        <v>0</v>
      </c>
      <c r="V293" s="74">
        <f t="shared" si="86"/>
        <v>0</v>
      </c>
      <c r="W293" s="74">
        <f t="shared" si="86"/>
        <v>0</v>
      </c>
      <c r="X293" s="74">
        <f t="shared" si="86"/>
        <v>0</v>
      </c>
      <c r="Y293" s="179"/>
    </row>
    <row r="294" spans="1:25" x14ac:dyDescent="0.25">
      <c r="A294" s="139">
        <f t="shared" si="85"/>
        <v>0</v>
      </c>
      <c r="B294" s="30"/>
      <c r="C294" s="31">
        <f t="shared" si="87"/>
        <v>0</v>
      </c>
      <c r="D294" s="9" t="str">
        <f t="shared" si="89"/>
        <v>км</v>
      </c>
      <c r="E294" s="74">
        <f t="shared" si="88"/>
        <v>0</v>
      </c>
      <c r="F294" s="74">
        <f t="shared" si="86"/>
        <v>0</v>
      </c>
      <c r="G294" s="74">
        <f t="shared" si="86"/>
        <v>0</v>
      </c>
      <c r="H294" s="74">
        <f t="shared" si="86"/>
        <v>0</v>
      </c>
      <c r="I294" s="74">
        <f t="shared" si="86"/>
        <v>0</v>
      </c>
      <c r="J294" s="74">
        <f t="shared" ref="J294:X294" si="90">J246*J22/$D$279</f>
        <v>0</v>
      </c>
      <c r="K294" s="74">
        <f t="shared" si="90"/>
        <v>0</v>
      </c>
      <c r="L294" s="74">
        <f t="shared" si="90"/>
        <v>0</v>
      </c>
      <c r="M294" s="74">
        <f t="shared" si="90"/>
        <v>0</v>
      </c>
      <c r="N294" s="74">
        <f t="shared" si="90"/>
        <v>0</v>
      </c>
      <c r="O294" s="74">
        <f t="shared" si="90"/>
        <v>0</v>
      </c>
      <c r="P294" s="74">
        <f t="shared" si="90"/>
        <v>0</v>
      </c>
      <c r="Q294" s="74">
        <f t="shared" si="90"/>
        <v>0</v>
      </c>
      <c r="R294" s="74">
        <f t="shared" si="90"/>
        <v>0</v>
      </c>
      <c r="S294" s="74">
        <f t="shared" si="90"/>
        <v>0</v>
      </c>
      <c r="T294" s="74">
        <f t="shared" si="90"/>
        <v>0</v>
      </c>
      <c r="U294" s="74">
        <f t="shared" si="90"/>
        <v>0</v>
      </c>
      <c r="V294" s="74">
        <f t="shared" si="90"/>
        <v>0</v>
      </c>
      <c r="W294" s="74">
        <f t="shared" si="90"/>
        <v>0</v>
      </c>
      <c r="X294" s="74">
        <f t="shared" si="90"/>
        <v>0</v>
      </c>
      <c r="Y294" s="179"/>
    </row>
    <row r="295" spans="1:25" x14ac:dyDescent="0.25">
      <c r="A295" s="150">
        <v>1</v>
      </c>
      <c r="B295" s="122"/>
      <c r="C295" s="121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79"/>
    </row>
  </sheetData>
  <autoFilter ref="A3:AA3" xr:uid="{DEA3EFDD-65AF-4F14-8865-45DF0C679C61}"/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1756-4E41-49FB-A9C5-3CEA4FDD2ECC}">
  <sheetPr>
    <tabColor theme="7" tint="0.79998168889431442"/>
    <pageSetUpPr fitToPage="1"/>
  </sheetPr>
  <dimension ref="A2:S34"/>
  <sheetViews>
    <sheetView showGridLines="0" zoomScale="85" zoomScaleNormal="85" zoomScaleSheetLayoutView="100" workbookViewId="0">
      <selection activeCell="S18" sqref="S18"/>
    </sheetView>
  </sheetViews>
  <sheetFormatPr defaultColWidth="9.125" defaultRowHeight="12.9" x14ac:dyDescent="0.25"/>
  <cols>
    <col min="1" max="1" width="6" style="236" customWidth="1"/>
    <col min="2" max="2" width="43.625" style="274" customWidth="1"/>
    <col min="3" max="3" width="17" style="238" customWidth="1"/>
    <col min="4" max="4" width="17.75" style="238" hidden="1" customWidth="1"/>
    <col min="5" max="5" width="8.75" style="239" customWidth="1"/>
    <col min="6" max="14" width="8.25" style="239" customWidth="1"/>
    <col min="15" max="15" width="21.375" style="236" customWidth="1"/>
    <col min="16" max="16" width="14" style="236" bestFit="1" customWidth="1"/>
    <col min="17" max="17" width="17.25" style="236" customWidth="1"/>
    <col min="18" max="18" width="9.875" style="236" bestFit="1" customWidth="1"/>
    <col min="19" max="16384" width="9.125" style="236"/>
  </cols>
  <sheetData>
    <row r="2" spans="1:16" ht="14.3" x14ac:dyDescent="0.25">
      <c r="B2" s="237" t="s">
        <v>259</v>
      </c>
      <c r="M2" s="240" t="s">
        <v>260</v>
      </c>
      <c r="P2" s="240"/>
    </row>
    <row r="3" spans="1:16" s="241" customFormat="1" ht="27" customHeight="1" x14ac:dyDescent="0.25">
      <c r="B3" s="242" t="s">
        <v>261</v>
      </c>
      <c r="C3" s="243" t="s">
        <v>262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263</v>
      </c>
    </row>
    <row r="4" spans="1:16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424"/>
      <c r="P4" s="248"/>
    </row>
    <row r="5" spans="1:16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424"/>
      <c r="P5" s="248"/>
    </row>
    <row r="6" spans="1:16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/>
      <c r="E6" s="253">
        <v>8800</v>
      </c>
      <c r="F6" s="253">
        <v>8800</v>
      </c>
      <c r="G6" s="253">
        <v>8800</v>
      </c>
      <c r="H6" s="253">
        <v>8800</v>
      </c>
      <c r="I6" s="253">
        <v>8800</v>
      </c>
      <c r="J6" s="253">
        <v>8800</v>
      </c>
      <c r="K6" s="253">
        <v>8800</v>
      </c>
      <c r="L6" s="253">
        <v>8800</v>
      </c>
      <c r="M6" s="253">
        <v>8800</v>
      </c>
      <c r="N6" s="253">
        <v>8800</v>
      </c>
      <c r="O6" s="424"/>
      <c r="P6" s="248"/>
    </row>
    <row r="7" spans="1:16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/>
      <c r="E7" s="253">
        <v>6720</v>
      </c>
      <c r="F7" s="253">
        <v>6720</v>
      </c>
      <c r="G7" s="253">
        <v>6720</v>
      </c>
      <c r="H7" s="253">
        <v>6720</v>
      </c>
      <c r="I7" s="253">
        <v>6720</v>
      </c>
      <c r="J7" s="253">
        <v>6720</v>
      </c>
      <c r="K7" s="253">
        <v>6720</v>
      </c>
      <c r="L7" s="253">
        <v>6720</v>
      </c>
      <c r="M7" s="253">
        <v>6720</v>
      </c>
      <c r="N7" s="253">
        <v>6720</v>
      </c>
      <c r="O7" s="424"/>
      <c r="P7" s="248"/>
    </row>
    <row r="8" spans="1:16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/>
      <c r="E8" s="253">
        <v>13390</v>
      </c>
      <c r="F8" s="253">
        <v>13390</v>
      </c>
      <c r="G8" s="253">
        <v>13390</v>
      </c>
      <c r="H8" s="253">
        <v>13390</v>
      </c>
      <c r="I8" s="253">
        <v>13390</v>
      </c>
      <c r="J8" s="253">
        <v>13390</v>
      </c>
      <c r="K8" s="253">
        <v>13390</v>
      </c>
      <c r="L8" s="253">
        <v>13390</v>
      </c>
      <c r="M8" s="253">
        <v>13390</v>
      </c>
      <c r="N8" s="253">
        <v>13390</v>
      </c>
      <c r="O8" s="424"/>
      <c r="P8" s="248"/>
    </row>
    <row r="9" spans="1:16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/>
      <c r="E9" s="253">
        <v>240</v>
      </c>
      <c r="F9" s="253">
        <v>240</v>
      </c>
      <c r="G9" s="253">
        <v>240</v>
      </c>
      <c r="H9" s="253">
        <v>240</v>
      </c>
      <c r="I9" s="253">
        <v>240</v>
      </c>
      <c r="J9" s="253">
        <v>240</v>
      </c>
      <c r="K9" s="253">
        <v>240</v>
      </c>
      <c r="L9" s="253">
        <v>240</v>
      </c>
      <c r="M9" s="253">
        <v>240</v>
      </c>
      <c r="N9" s="253">
        <v>240</v>
      </c>
      <c r="O9" s="424"/>
      <c r="P9" s="248"/>
    </row>
    <row r="10" spans="1:16" ht="27.2" x14ac:dyDescent="0.25">
      <c r="A10" s="236">
        <f t="shared" si="1"/>
        <v>7</v>
      </c>
      <c r="B10" s="246" t="s">
        <v>270</v>
      </c>
      <c r="C10" s="253" t="s">
        <v>271</v>
      </c>
      <c r="D10" s="252"/>
      <c r="E10" s="253">
        <v>130</v>
      </c>
      <c r="F10" s="253">
        <v>130</v>
      </c>
      <c r="G10" s="253">
        <v>130</v>
      </c>
      <c r="H10" s="253">
        <v>130</v>
      </c>
      <c r="I10" s="253">
        <v>130</v>
      </c>
      <c r="J10" s="253">
        <v>130</v>
      </c>
      <c r="K10" s="253">
        <v>130</v>
      </c>
      <c r="L10" s="253">
        <v>130</v>
      </c>
      <c r="M10" s="253">
        <v>130</v>
      </c>
      <c r="N10" s="253">
        <v>130</v>
      </c>
      <c r="O10" s="424"/>
      <c r="P10" s="254"/>
    </row>
    <row r="11" spans="1:16" ht="18.7" customHeight="1" x14ac:dyDescent="0.25">
      <c r="A11" s="236">
        <f>A10+1</f>
        <v>8</v>
      </c>
      <c r="B11" s="246" t="s">
        <v>12</v>
      </c>
      <c r="C11" s="253" t="s">
        <v>13</v>
      </c>
      <c r="D11" s="252"/>
      <c r="E11" s="253">
        <v>2535</v>
      </c>
      <c r="F11" s="253">
        <v>2535</v>
      </c>
      <c r="G11" s="253">
        <v>2535</v>
      </c>
      <c r="H11" s="253">
        <v>2535</v>
      </c>
      <c r="I11" s="253">
        <v>2535</v>
      </c>
      <c r="J11" s="253">
        <v>2535</v>
      </c>
      <c r="K11" s="253">
        <v>2535</v>
      </c>
      <c r="L11" s="253">
        <v>2535</v>
      </c>
      <c r="M11" s="253">
        <v>2535</v>
      </c>
      <c r="N11" s="253">
        <v>2535</v>
      </c>
      <c r="O11" s="424"/>
      <c r="P11" s="254"/>
    </row>
    <row r="12" spans="1:16" ht="32.450000000000003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0.90830416032470829</v>
      </c>
      <c r="F12" s="255">
        <f t="shared" ref="F12:N12" si="2">(8760-F13-F14-F15)/8760</f>
        <v>0.88577435312024355</v>
      </c>
      <c r="G12" s="255">
        <f t="shared" si="2"/>
        <v>0.86468734145103998</v>
      </c>
      <c r="H12" s="255">
        <f t="shared" si="2"/>
        <v>0.87460193641129713</v>
      </c>
      <c r="I12" s="255">
        <f t="shared" si="2"/>
        <v>0.88129798748520216</v>
      </c>
      <c r="J12" s="255">
        <f t="shared" si="2"/>
        <v>0.8456720361914426</v>
      </c>
      <c r="K12" s="255">
        <f t="shared" si="2"/>
        <v>0.89713174361576187</v>
      </c>
      <c r="L12" s="255">
        <f t="shared" si="2"/>
        <v>0.85462476746152538</v>
      </c>
      <c r="M12" s="255">
        <f t="shared" si="2"/>
        <v>0.84219452900388969</v>
      </c>
      <c r="N12" s="255">
        <f t="shared" si="2"/>
        <v>0.86135781329274486</v>
      </c>
      <c r="O12" s="424"/>
    </row>
    <row r="13" spans="1:16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'БелАЗ ТО_1'!F7</f>
        <v>455.92000000000007</v>
      </c>
      <c r="F13" s="257">
        <f>'БелАЗ ТО_1'!G7</f>
        <v>448.92000000000007</v>
      </c>
      <c r="G13" s="257">
        <f>'БелАЗ ТО_1'!H7</f>
        <v>448.92000000000007</v>
      </c>
      <c r="H13" s="257">
        <f>'БелАЗ ТО_1'!I7</f>
        <v>448.92000000000007</v>
      </c>
      <c r="I13" s="257">
        <f>'БелАЗ ТО_1'!J7</f>
        <v>448.92000000000007</v>
      </c>
      <c r="J13" s="257">
        <f>'БелАЗ ТО_1'!K7</f>
        <v>448.92000000000007</v>
      </c>
      <c r="K13" s="257">
        <f>'БелАЗ ТО_1'!L7</f>
        <v>448.92000000000007</v>
      </c>
      <c r="L13" s="257">
        <f>'БелАЗ ТО_1'!M7</f>
        <v>448.92000000000007</v>
      </c>
      <c r="M13" s="257">
        <f>'БелАЗ ТО_1'!N7</f>
        <v>448.92000000000007</v>
      </c>
      <c r="N13" s="257">
        <f>'БелАЗ ТО_1'!O7</f>
        <v>448.92000000000007</v>
      </c>
      <c r="O13" s="424"/>
    </row>
    <row r="14" spans="1:16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'БелАЗ Рем_1'!F8</f>
        <v>120</v>
      </c>
      <c r="F14" s="257">
        <f>'БелАЗ Рем_1'!G8</f>
        <v>330</v>
      </c>
      <c r="G14" s="257">
        <f>'БелАЗ Рем_1'!H8</f>
        <v>520</v>
      </c>
      <c r="H14" s="257">
        <f>'БелАЗ Рем_1'!I8</f>
        <v>430.66666666666669</v>
      </c>
      <c r="I14" s="257">
        <f>'БелАЗ Рем_1'!J8</f>
        <v>370.33333333333331</v>
      </c>
      <c r="J14" s="257">
        <f>'БелАЗ Рем_1'!K8</f>
        <v>691.33333333333337</v>
      </c>
      <c r="K14" s="257">
        <f>'БелАЗ Рем_1'!L8</f>
        <v>227.66666666666666</v>
      </c>
      <c r="L14" s="257">
        <f>'БелАЗ Рем_1'!M8</f>
        <v>610.66666666666663</v>
      </c>
      <c r="M14" s="257">
        <f>'БелАЗ Рем_1'!N8</f>
        <v>722.66666666666663</v>
      </c>
      <c r="N14" s="257">
        <f>'БелАЗ Рем_1'!O8</f>
        <v>550</v>
      </c>
      <c r="O14" s="424"/>
    </row>
    <row r="15" spans="1:16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227.33555555555554</v>
      </c>
      <c r="F15" s="257">
        <f t="shared" ref="F15:N15" si="4">(8760-F13-F14)/12*20/60</f>
        <v>221.69666666666669</v>
      </c>
      <c r="G15" s="257">
        <f t="shared" si="4"/>
        <v>216.41888888888889</v>
      </c>
      <c r="H15" s="257">
        <f t="shared" si="4"/>
        <v>218.90037037037035</v>
      </c>
      <c r="I15" s="257">
        <f t="shared" si="4"/>
        <v>220.57629629629631</v>
      </c>
      <c r="J15" s="257">
        <f t="shared" si="4"/>
        <v>211.65962962962965</v>
      </c>
      <c r="K15" s="257">
        <f t="shared" si="4"/>
        <v>224.53925925925924</v>
      </c>
      <c r="L15" s="257">
        <f t="shared" si="4"/>
        <v>213.90037037037035</v>
      </c>
      <c r="M15" s="257">
        <f t="shared" si="4"/>
        <v>210.78925925925924</v>
      </c>
      <c r="N15" s="257">
        <f t="shared" si="4"/>
        <v>215.58555555555554</v>
      </c>
      <c r="O15" s="424"/>
    </row>
    <row r="16" spans="1:16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/>
      <c r="E16" s="259">
        <v>22</v>
      </c>
      <c r="F16" s="259">
        <v>22</v>
      </c>
      <c r="G16" s="259">
        <v>22</v>
      </c>
      <c r="H16" s="259">
        <v>22</v>
      </c>
      <c r="I16" s="259">
        <v>22</v>
      </c>
      <c r="J16" s="259">
        <v>22</v>
      </c>
      <c r="K16" s="259">
        <v>22</v>
      </c>
      <c r="L16" s="259">
        <v>22</v>
      </c>
      <c r="M16" s="259">
        <v>22</v>
      </c>
      <c r="N16" s="259">
        <v>22</v>
      </c>
      <c r="O16" s="424"/>
    </row>
    <row r="17" spans="1:19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/>
      <c r="E17" s="259">
        <v>17</v>
      </c>
      <c r="F17" s="259">
        <v>17</v>
      </c>
      <c r="G17" s="259">
        <v>17</v>
      </c>
      <c r="H17" s="259">
        <v>17</v>
      </c>
      <c r="I17" s="259">
        <v>17</v>
      </c>
      <c r="J17" s="259">
        <v>17</v>
      </c>
      <c r="K17" s="259">
        <v>17</v>
      </c>
      <c r="L17" s="259">
        <v>17</v>
      </c>
      <c r="M17" s="259">
        <v>17</v>
      </c>
      <c r="N17" s="259">
        <v>17</v>
      </c>
      <c r="O17" s="424"/>
      <c r="Q17" s="531" t="s">
        <v>523</v>
      </c>
      <c r="R17" s="531" t="s">
        <v>524</v>
      </c>
    </row>
    <row r="18" spans="1:19" ht="30.75" customHeight="1" x14ac:dyDescent="0.25">
      <c r="A18" s="236">
        <f t="shared" si="3"/>
        <v>15</v>
      </c>
      <c r="B18" s="246" t="s">
        <v>279</v>
      </c>
      <c r="C18" s="260" t="s">
        <v>280</v>
      </c>
      <c r="D18" s="260"/>
      <c r="E18" s="261">
        <f>SUM(E19:E23)</f>
        <v>148.04729000000003</v>
      </c>
      <c r="F18" s="261">
        <f t="shared" ref="F18:N18" si="5">SUM(F19:F23)</f>
        <v>317.60136</v>
      </c>
      <c r="G18" s="261">
        <f t="shared" si="5"/>
        <v>572.06805999999995</v>
      </c>
      <c r="H18" s="261">
        <f t="shared" si="5"/>
        <v>727.00655499999993</v>
      </c>
      <c r="I18" s="261">
        <f t="shared" si="5"/>
        <v>631.622885</v>
      </c>
      <c r="J18" s="261">
        <f t="shared" si="5"/>
        <v>688.61906999999997</v>
      </c>
      <c r="K18" s="261">
        <f t="shared" si="5"/>
        <v>180.49511500000003</v>
      </c>
      <c r="L18" s="261">
        <f t="shared" si="5"/>
        <v>847.1941149999999</v>
      </c>
      <c r="M18" s="261">
        <f t="shared" si="5"/>
        <v>961.75027</v>
      </c>
      <c r="N18" s="261">
        <f t="shared" si="5"/>
        <v>231.50896000000003</v>
      </c>
      <c r="O18" s="424"/>
      <c r="P18" s="262"/>
      <c r="Q18" s="528">
        <f>SUM(E18:N18)</f>
        <v>5305.9136800000006</v>
      </c>
      <c r="R18" s="528">
        <f>Q18/$N$4</f>
        <v>530.5913680000001</v>
      </c>
      <c r="S18" s="1050">
        <f>R18*'ФОТ, МТР, макро'!$AJ$7</f>
        <v>49901.322273348014</v>
      </c>
    </row>
    <row r="19" spans="1:19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'БелАЗ ТО_1'!F9/1000</f>
        <v>62.264750000000014</v>
      </c>
      <c r="F19" s="263">
        <f>'БелАЗ ТО_1'!G9/1000</f>
        <v>51.099770000000007</v>
      </c>
      <c r="G19" s="263">
        <f>'БелАЗ ТО_1'!H9/1000</f>
        <v>51.099770000000007</v>
      </c>
      <c r="H19" s="263">
        <f>'БелАЗ ТО_1'!I9/1000</f>
        <v>51.099770000000007</v>
      </c>
      <c r="I19" s="263">
        <f>'БелАЗ ТО_1'!J9/1000</f>
        <v>51.099770000000007</v>
      </c>
      <c r="J19" s="263">
        <f>'БелАЗ ТО_1'!K9/1000</f>
        <v>51.099770000000007</v>
      </c>
      <c r="K19" s="263">
        <f>'БелАЗ ТО_1'!L9/1000</f>
        <v>51.099770000000007</v>
      </c>
      <c r="L19" s="263">
        <f>'БелАЗ ТО_1'!M9/1000</f>
        <v>51.099770000000007</v>
      </c>
      <c r="M19" s="263">
        <f>'БелАЗ ТО_1'!N9/1000</f>
        <v>51.099770000000007</v>
      </c>
      <c r="N19" s="263">
        <f>'БелАЗ ТО_1'!O9/1000</f>
        <v>51.099770000000007</v>
      </c>
      <c r="O19" s="424"/>
      <c r="Q19" s="529">
        <f>SUM(E19:N19)</f>
        <v>522.16268000000025</v>
      </c>
      <c r="R19" s="529">
        <f t="shared" ref="R19:R23" si="6">Q19/$N$4</f>
        <v>52.216268000000028</v>
      </c>
    </row>
    <row r="20" spans="1:19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'БелАЗ Рем_1'!F10/1000</f>
        <v>16.5</v>
      </c>
      <c r="F20" s="263">
        <f>'БелАЗ Рем_1'!G10/1000</f>
        <v>183.7</v>
      </c>
      <c r="G20" s="263">
        <f>'БелАЗ Рем_1'!H10/1000</f>
        <v>158.5</v>
      </c>
      <c r="H20" s="263">
        <f>'БелАЗ Рем_1'!I10/1000</f>
        <v>50.7</v>
      </c>
      <c r="I20" s="263">
        <f>'БелАЗ Рем_1'!J10/1000</f>
        <v>163.5</v>
      </c>
      <c r="J20" s="263">
        <f>'БелАЗ Рем_1'!K10/1000</f>
        <v>188.7</v>
      </c>
      <c r="K20" s="263">
        <f>'БелАЗ Рем_1'!L10/1000</f>
        <v>35.5</v>
      </c>
      <c r="L20" s="263">
        <f>'БелАЗ Рем_1'!M10/1000</f>
        <v>198.7</v>
      </c>
      <c r="M20" s="263">
        <f>'БелАЗ Рем_1'!N10/1000</f>
        <v>173.5</v>
      </c>
      <c r="N20" s="263">
        <f>'БелАЗ Рем_1'!O10/1000</f>
        <v>70.7</v>
      </c>
      <c r="O20" s="424"/>
      <c r="Q20" s="529">
        <f t="shared" ref="Q20:Q23" si="7">SUM(E20:N20)</f>
        <v>1240</v>
      </c>
      <c r="R20" s="529">
        <f t="shared" si="6"/>
        <v>124</v>
      </c>
    </row>
    <row r="21" spans="1:19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'БелАЗ Рем_1'!F11/1000</f>
        <v>0</v>
      </c>
      <c r="F21" s="263">
        <f>'БелАЗ Рем_1'!G11/1000</f>
        <v>0</v>
      </c>
      <c r="G21" s="263">
        <f>'БелАЗ Рем_1'!H11/1000</f>
        <v>267.39999999999998</v>
      </c>
      <c r="H21" s="263">
        <f>'БелАЗ Рем_1'!I11/1000</f>
        <v>530</v>
      </c>
      <c r="I21" s="263">
        <f>'БелАЗ Рем_1'!J11/1000</f>
        <v>327</v>
      </c>
      <c r="J21" s="263">
        <f>'БелАЗ Рем_1'!K11/1000</f>
        <v>338.2</v>
      </c>
      <c r="K21" s="263">
        <f>'БелАЗ Рем_1'!L11/1000</f>
        <v>14.2</v>
      </c>
      <c r="L21" s="263">
        <f>'БелАЗ Рем_1'!M11/1000</f>
        <v>490</v>
      </c>
      <c r="M21" s="263">
        <f>'БелАЗ Рем_1'!N11/1000</f>
        <v>620.20000000000005</v>
      </c>
      <c r="N21" s="263">
        <f>'БелАЗ Рем_1'!O11/1000</f>
        <v>0</v>
      </c>
      <c r="O21" s="424"/>
      <c r="Q21" s="529">
        <f t="shared" si="7"/>
        <v>2587</v>
      </c>
      <c r="R21" s="529">
        <f t="shared" si="6"/>
        <v>258.7</v>
      </c>
    </row>
    <row r="22" spans="1:19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'БелАЗ ТО_1'!F10/1000</f>
        <v>60.181440000000009</v>
      </c>
      <c r="F22" s="263">
        <f>'БелАЗ ТО_1'!G10/1000</f>
        <v>59.25744000000001</v>
      </c>
      <c r="G22" s="263">
        <f>'БелАЗ ТО_1'!H10/1000</f>
        <v>59.25744000000001</v>
      </c>
      <c r="H22" s="263">
        <f>'БелАЗ ТО_1'!I10/1000</f>
        <v>59.25744000000001</v>
      </c>
      <c r="I22" s="263">
        <f>'БелАЗ ТО_1'!J10/1000</f>
        <v>59.25744000000001</v>
      </c>
      <c r="J22" s="263">
        <f>'БелАЗ ТО_1'!K10/1000</f>
        <v>59.25744000000001</v>
      </c>
      <c r="K22" s="263">
        <f>'БелАЗ ТО_1'!L10/1000</f>
        <v>59.25744000000001</v>
      </c>
      <c r="L22" s="263">
        <f>'БелАЗ ТО_1'!M10/1000</f>
        <v>59.25744000000001</v>
      </c>
      <c r="M22" s="263">
        <f>'БелАЗ ТО_1'!N10/1000</f>
        <v>59.25744000000001</v>
      </c>
      <c r="N22" s="263">
        <f>'БелАЗ ТО_1'!O10/1000</f>
        <v>59.25744000000001</v>
      </c>
      <c r="O22" s="424"/>
      <c r="Q22" s="529">
        <f t="shared" si="7"/>
        <v>593.49840000000006</v>
      </c>
      <c r="R22" s="529">
        <f t="shared" si="6"/>
        <v>59.349840000000007</v>
      </c>
    </row>
    <row r="23" spans="1:19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'БелАЗ Рем_1'!F12/1000</f>
        <v>9.1011000000000006</v>
      </c>
      <c r="F23" s="263">
        <f>'БелАЗ Рем_1'!G12/1000</f>
        <v>23.544150000000002</v>
      </c>
      <c r="G23" s="263">
        <f>'БелАЗ Рем_1'!H12/1000</f>
        <v>35.810850000000002</v>
      </c>
      <c r="H23" s="263">
        <f>'БелАЗ Рем_1'!I12/1000</f>
        <v>35.949345000000001</v>
      </c>
      <c r="I23" s="263">
        <f>'БелАЗ Рем_1'!J12/1000</f>
        <v>30.765674999999998</v>
      </c>
      <c r="J23" s="263">
        <f>'БелАЗ Рем_1'!K12/1000</f>
        <v>51.36186</v>
      </c>
      <c r="K23" s="263">
        <f>'БелАЗ Рем_1'!L12/1000</f>
        <v>20.437904999999997</v>
      </c>
      <c r="L23" s="263">
        <f>'БелАЗ Рем_1'!M12/1000</f>
        <v>48.136904999999999</v>
      </c>
      <c r="M23" s="263">
        <f>'БелАЗ Рем_1'!N12/1000</f>
        <v>57.693059999999988</v>
      </c>
      <c r="N23" s="263">
        <f>'БелАЗ Рем_1'!O12/1000</f>
        <v>50.451749999999997</v>
      </c>
      <c r="O23" s="424"/>
      <c r="Q23" s="529">
        <f t="shared" si="7"/>
        <v>363.25260000000003</v>
      </c>
      <c r="R23" s="529">
        <f t="shared" si="6"/>
        <v>36.32526</v>
      </c>
    </row>
    <row r="24" spans="1:19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424"/>
    </row>
    <row r="25" spans="1:19" ht="14.95" customHeight="1" x14ac:dyDescent="0.25">
      <c r="A25" s="236">
        <f t="shared" si="3"/>
        <v>22</v>
      </c>
      <c r="B25" s="266" t="s">
        <v>287</v>
      </c>
      <c r="C25" s="267" t="s">
        <v>288</v>
      </c>
      <c r="D25" s="268" t="s">
        <v>289</v>
      </c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424"/>
    </row>
    <row r="26" spans="1:19" ht="14.3" x14ac:dyDescent="0.25">
      <c r="A26" s="236">
        <f t="shared" si="3"/>
        <v>23</v>
      </c>
      <c r="B26" s="266" t="s">
        <v>290</v>
      </c>
      <c r="C26" s="260" t="s">
        <v>291</v>
      </c>
      <c r="D26" s="269" t="s">
        <v>292</v>
      </c>
      <c r="E26" s="270">
        <v>27000</v>
      </c>
      <c r="F26" s="270">
        <v>27000</v>
      </c>
      <c r="G26" s="270">
        <v>27000</v>
      </c>
      <c r="H26" s="270">
        <v>27000</v>
      </c>
      <c r="I26" s="270">
        <v>27000</v>
      </c>
      <c r="J26" s="270">
        <v>27000</v>
      </c>
      <c r="K26" s="270">
        <v>27000</v>
      </c>
      <c r="L26" s="270">
        <v>27000</v>
      </c>
      <c r="M26" s="270">
        <v>27000</v>
      </c>
      <c r="N26" s="270">
        <v>27000</v>
      </c>
      <c r="O26" s="424"/>
    </row>
    <row r="27" spans="1:19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424"/>
    </row>
    <row r="28" spans="1:19" x14ac:dyDescent="0.25">
      <c r="A28" s="236">
        <f t="shared" si="3"/>
        <v>25</v>
      </c>
      <c r="B28" s="266" t="s">
        <v>293</v>
      </c>
      <c r="C28" s="260" t="s">
        <v>145</v>
      </c>
      <c r="D28" s="271"/>
      <c r="E28" s="270">
        <v>110</v>
      </c>
      <c r="F28" s="270">
        <v>110</v>
      </c>
      <c r="G28" s="270">
        <v>110</v>
      </c>
      <c r="H28" s="270">
        <v>110</v>
      </c>
      <c r="I28" s="270">
        <v>110</v>
      </c>
      <c r="J28" s="270">
        <v>110</v>
      </c>
      <c r="K28" s="270">
        <v>110</v>
      </c>
      <c r="L28" s="270">
        <v>110</v>
      </c>
      <c r="M28" s="270">
        <v>110</v>
      </c>
      <c r="N28" s="270">
        <v>110</v>
      </c>
      <c r="O28" s="424"/>
    </row>
    <row r="29" spans="1:19" x14ac:dyDescent="0.25">
      <c r="A29" s="236">
        <f t="shared" si="3"/>
        <v>26</v>
      </c>
      <c r="B29" s="266" t="s">
        <v>294</v>
      </c>
      <c r="C29" s="260" t="s">
        <v>145</v>
      </c>
      <c r="D29" s="271"/>
      <c r="E29" s="270">
        <v>140</v>
      </c>
      <c r="F29" s="270">
        <v>140</v>
      </c>
      <c r="G29" s="270">
        <v>140</v>
      </c>
      <c r="H29" s="270">
        <v>140</v>
      </c>
      <c r="I29" s="270">
        <v>140</v>
      </c>
      <c r="J29" s="270">
        <v>140</v>
      </c>
      <c r="K29" s="270">
        <v>140</v>
      </c>
      <c r="L29" s="270">
        <v>140</v>
      </c>
      <c r="M29" s="270">
        <v>140</v>
      </c>
      <c r="N29" s="270">
        <v>140</v>
      </c>
      <c r="O29" s="424"/>
    </row>
    <row r="30" spans="1:19" x14ac:dyDescent="0.25">
      <c r="A30" s="236">
        <f t="shared" si="3"/>
        <v>27</v>
      </c>
      <c r="B30" s="266" t="s">
        <v>295</v>
      </c>
      <c r="C30" s="260" t="s">
        <v>145</v>
      </c>
      <c r="D30" s="271"/>
      <c r="E30" s="270">
        <v>180</v>
      </c>
      <c r="F30" s="270">
        <v>180</v>
      </c>
      <c r="G30" s="270">
        <v>180</v>
      </c>
      <c r="H30" s="270">
        <v>180</v>
      </c>
      <c r="I30" s="270">
        <v>180</v>
      </c>
      <c r="J30" s="270">
        <v>180</v>
      </c>
      <c r="K30" s="270">
        <v>180</v>
      </c>
      <c r="L30" s="270">
        <v>180</v>
      </c>
      <c r="M30" s="270">
        <v>180</v>
      </c>
      <c r="N30" s="270">
        <v>180</v>
      </c>
      <c r="O30" s="424"/>
    </row>
    <row r="31" spans="1:19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/>
      <c r="E31" s="270">
        <v>6</v>
      </c>
      <c r="F31" s="270"/>
      <c r="G31" s="270"/>
      <c r="H31" s="270"/>
      <c r="I31" s="270"/>
      <c r="J31" s="270"/>
      <c r="K31" s="270"/>
      <c r="L31" s="270"/>
      <c r="M31" s="270"/>
      <c r="N31" s="270"/>
      <c r="O31" s="431"/>
    </row>
    <row r="34" spans="5:15" ht="13.6" x14ac:dyDescent="0.25">
      <c r="E34" s="527">
        <f>E18/(365*24*E12)*1000</f>
        <v>18.606515646404802</v>
      </c>
      <c r="F34" s="527">
        <f t="shared" ref="F34:N34" si="8">F18/(365*24*F12)*1000</f>
        <v>40.931263008443537</v>
      </c>
      <c r="G34" s="527">
        <f t="shared" si="8"/>
        <v>75.523914747927847</v>
      </c>
      <c r="H34" s="527">
        <f t="shared" si="8"/>
        <v>94.890729613650919</v>
      </c>
      <c r="I34" s="527">
        <f t="shared" si="8"/>
        <v>81.814630338228952</v>
      </c>
      <c r="J34" s="527">
        <f t="shared" si="8"/>
        <v>92.955045824545579</v>
      </c>
      <c r="K34" s="527">
        <f t="shared" si="8"/>
        <v>22.967045062528989</v>
      </c>
      <c r="L34" s="527">
        <f t="shared" si="8"/>
        <v>113.16271262618679</v>
      </c>
      <c r="M34" s="527">
        <f t="shared" si="8"/>
        <v>130.36043316163466</v>
      </c>
      <c r="N34" s="527">
        <f t="shared" si="8"/>
        <v>30.681748121947685</v>
      </c>
      <c r="O34" s="532">
        <f>SUMPRODUCT(E34:N34,E12:N12)/SUM(E12:N12)</f>
        <v>69.495463930953562</v>
      </c>
    </row>
  </sheetData>
  <pageMargins left="0" right="0" top="0.31496062992125984" bottom="0.39370078740157483" header="0.15748031496062992" footer="0.15748031496062992"/>
  <pageSetup paperSize="9" scale="70" orientation="landscape" r:id="rId1"/>
  <headerFooter alignWithMargins="0">
    <oddFooter>&amp;R&amp;"Arial Cyr,полужирный курсив"&amp;12&amp;A,  стр.&amp;P из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0075-7FC3-4069-96B9-4964F416AD7E}">
  <sheetPr>
    <tabColor theme="7" tint="0.79998168889431442"/>
    <pageSetUpPr fitToPage="1"/>
  </sheetPr>
  <dimension ref="A2:R71"/>
  <sheetViews>
    <sheetView showGridLines="0" zoomScale="85" zoomScaleNormal="85" workbookViewId="0">
      <pane xSplit="4" ySplit="4" topLeftCell="E5" activePane="bottomRight" state="frozen"/>
      <selection activeCell="N49" sqref="N49"/>
      <selection pane="topRight" activeCell="N49" sqref="N49"/>
      <selection pane="bottomLeft" activeCell="N49" sqref="N49"/>
      <selection pane="bottomRight" activeCell="F10" sqref="F10"/>
    </sheetView>
  </sheetViews>
  <sheetFormatPr defaultRowHeight="14.3" x14ac:dyDescent="0.25"/>
  <cols>
    <col min="1" max="1" width="43.375" style="275" customWidth="1"/>
    <col min="2" max="2" width="33.375" style="275" customWidth="1"/>
    <col min="3" max="3" width="14.75" style="275" customWidth="1"/>
    <col min="4" max="4" width="14" style="275" customWidth="1"/>
    <col min="5" max="5" width="9.25" style="275" bestFit="1" customWidth="1"/>
    <col min="6" max="6" width="14.875" style="275" customWidth="1"/>
    <col min="7" max="7" width="12.125" style="275" customWidth="1"/>
    <col min="8" max="8" width="12.625" style="276" customWidth="1"/>
    <col min="9" max="9" width="14.25" style="275" customWidth="1"/>
    <col min="10" max="10" width="12" style="275" customWidth="1"/>
    <col min="11" max="12" width="12.125" style="275" customWidth="1"/>
    <col min="13" max="13" width="12.25" style="275" customWidth="1"/>
    <col min="14" max="14" width="11.625" style="275" customWidth="1"/>
    <col min="15" max="15" width="13" style="275" customWidth="1"/>
    <col min="16" max="16" width="19.25" style="275" customWidth="1"/>
    <col min="17" max="16384" width="9" style="275"/>
  </cols>
  <sheetData>
    <row r="2" spans="1:16" x14ac:dyDescent="0.25">
      <c r="A2" s="237" t="s">
        <v>259</v>
      </c>
    </row>
    <row r="3" spans="1:16" ht="14.95" thickBot="1" x14ac:dyDescent="0.3">
      <c r="A3" s="275" t="s">
        <v>298</v>
      </c>
      <c r="F3" s="277">
        <f>БелАЗ_1!E12</f>
        <v>0.90830416032470829</v>
      </c>
      <c r="G3" s="277">
        <f>БелАЗ_1!F12</f>
        <v>0.88577435312024355</v>
      </c>
      <c r="H3" s="277">
        <f>БелАЗ_1!G12</f>
        <v>0.86468734145103998</v>
      </c>
      <c r="I3" s="277">
        <f>БелАЗ_1!H12</f>
        <v>0.87460193641129713</v>
      </c>
      <c r="J3" s="277">
        <f>БелАЗ_1!I12</f>
        <v>0.88129798748520216</v>
      </c>
      <c r="K3" s="277">
        <f>БелАЗ_1!J12</f>
        <v>0.8456720361914426</v>
      </c>
      <c r="L3" s="277">
        <f>БелАЗ_1!K12</f>
        <v>0.89713174361576187</v>
      </c>
      <c r="M3" s="277">
        <f>БелАЗ_1!L12</f>
        <v>0.85462476746152538</v>
      </c>
      <c r="N3" s="277">
        <f>БелАЗ_1!M12</f>
        <v>0.84219452900388969</v>
      </c>
      <c r="O3" s="277">
        <f>БелАЗ_1!N12</f>
        <v>0.86135781329274486</v>
      </c>
    </row>
    <row r="4" spans="1:16" ht="22.1" customHeight="1" thickBot="1" x14ac:dyDescent="0.3">
      <c r="A4" s="278" t="s">
        <v>299</v>
      </c>
      <c r="B4" s="279" t="s">
        <v>8</v>
      </c>
      <c r="C4" s="280"/>
      <c r="D4" s="281"/>
      <c r="E4" s="282"/>
      <c r="F4" s="283">
        <f>D4+1</f>
        <v>1</v>
      </c>
      <c r="G4" s="283">
        <f>F4+1</f>
        <v>2</v>
      </c>
      <c r="H4" s="283">
        <f t="shared" ref="H4:O4" si="0">G4+1</f>
        <v>3</v>
      </c>
      <c r="I4" s="283">
        <f t="shared" si="0"/>
        <v>4</v>
      </c>
      <c r="J4" s="283">
        <f t="shared" si="0"/>
        <v>5</v>
      </c>
      <c r="K4" s="283">
        <f t="shared" si="0"/>
        <v>6</v>
      </c>
      <c r="L4" s="283">
        <f t="shared" si="0"/>
        <v>7</v>
      </c>
      <c r="M4" s="283">
        <f t="shared" si="0"/>
        <v>8</v>
      </c>
      <c r="N4" s="283">
        <f t="shared" si="0"/>
        <v>9</v>
      </c>
      <c r="O4" s="283">
        <f t="shared" si="0"/>
        <v>10</v>
      </c>
    </row>
    <row r="5" spans="1:16" x14ac:dyDescent="0.25">
      <c r="A5" s="284" t="s">
        <v>300</v>
      </c>
      <c r="B5" s="285" t="s">
        <v>301</v>
      </c>
      <c r="C5" s="286"/>
      <c r="D5" s="287"/>
      <c r="E5" s="288"/>
      <c r="F5" s="289">
        <v>0</v>
      </c>
      <c r="G5" s="289">
        <f>F6+1</f>
        <v>7001</v>
      </c>
      <c r="H5" s="289">
        <f t="shared" ref="H5:O5" si="1">G6+1</f>
        <v>14001</v>
      </c>
      <c r="I5" s="289">
        <f t="shared" si="1"/>
        <v>21001</v>
      </c>
      <c r="J5" s="289">
        <f t="shared" si="1"/>
        <v>28001</v>
      </c>
      <c r="K5" s="289">
        <f t="shared" si="1"/>
        <v>35001</v>
      </c>
      <c r="L5" s="289">
        <f t="shared" si="1"/>
        <v>42001</v>
      </c>
      <c r="M5" s="289">
        <f t="shared" si="1"/>
        <v>49001</v>
      </c>
      <c r="N5" s="289">
        <f t="shared" si="1"/>
        <v>56001</v>
      </c>
      <c r="O5" s="289">
        <f t="shared" si="1"/>
        <v>63001</v>
      </c>
    </row>
    <row r="6" spans="1:16" x14ac:dyDescent="0.25">
      <c r="A6" s="290" t="s">
        <v>302</v>
      </c>
      <c r="B6" s="291" t="s">
        <v>301</v>
      </c>
      <c r="C6" s="292"/>
      <c r="D6" s="293"/>
      <c r="E6" s="294">
        <v>7000</v>
      </c>
      <c r="F6" s="295">
        <f>E6</f>
        <v>7000</v>
      </c>
      <c r="G6" s="295">
        <f t="shared" ref="G6:O6" si="2">F6+$E6</f>
        <v>14000</v>
      </c>
      <c r="H6" s="295">
        <f t="shared" si="2"/>
        <v>21000</v>
      </c>
      <c r="I6" s="295">
        <f t="shared" si="2"/>
        <v>28000</v>
      </c>
      <c r="J6" s="295">
        <f t="shared" si="2"/>
        <v>35000</v>
      </c>
      <c r="K6" s="295">
        <f t="shared" si="2"/>
        <v>42000</v>
      </c>
      <c r="L6" s="295">
        <f t="shared" si="2"/>
        <v>49000</v>
      </c>
      <c r="M6" s="295">
        <f t="shared" si="2"/>
        <v>56000</v>
      </c>
      <c r="N6" s="295">
        <f t="shared" si="2"/>
        <v>63000</v>
      </c>
      <c r="O6" s="295">
        <f t="shared" si="2"/>
        <v>70000</v>
      </c>
    </row>
    <row r="7" spans="1:16" ht="21.75" customHeight="1" x14ac:dyDescent="0.25">
      <c r="A7" s="296" t="s">
        <v>303</v>
      </c>
      <c r="B7" s="297" t="s">
        <v>304</v>
      </c>
      <c r="C7" s="253"/>
      <c r="D7" s="298"/>
      <c r="E7" s="299"/>
      <c r="F7" s="257">
        <f>F13</f>
        <v>455.92000000000007</v>
      </c>
      <c r="G7" s="257">
        <f t="shared" ref="G7:O7" si="3">G13</f>
        <v>448.92000000000007</v>
      </c>
      <c r="H7" s="257">
        <f t="shared" si="3"/>
        <v>448.92000000000007</v>
      </c>
      <c r="I7" s="257">
        <f t="shared" si="3"/>
        <v>448.92000000000007</v>
      </c>
      <c r="J7" s="257">
        <f t="shared" si="3"/>
        <v>448.92000000000007</v>
      </c>
      <c r="K7" s="257">
        <f t="shared" si="3"/>
        <v>448.92000000000007</v>
      </c>
      <c r="L7" s="257">
        <f t="shared" si="3"/>
        <v>448.92000000000007</v>
      </c>
      <c r="M7" s="257">
        <f t="shared" si="3"/>
        <v>448.92000000000007</v>
      </c>
      <c r="N7" s="257">
        <f t="shared" si="3"/>
        <v>448.92000000000007</v>
      </c>
      <c r="O7" s="257">
        <f t="shared" si="3"/>
        <v>448.92000000000007</v>
      </c>
    </row>
    <row r="8" spans="1:16" ht="21.1" customHeight="1" x14ac:dyDescent="0.25">
      <c r="A8" s="300" t="s">
        <v>305</v>
      </c>
      <c r="B8" s="301" t="s">
        <v>306</v>
      </c>
      <c r="C8" s="260"/>
      <c r="D8" s="298"/>
      <c r="E8" s="299"/>
      <c r="F8" s="302">
        <f t="shared" ref="F8:O8" si="4">SUM(F9:F10)</f>
        <v>122446.19000000003</v>
      </c>
      <c r="G8" s="302">
        <f t="shared" si="4"/>
        <v>110357.21000000002</v>
      </c>
      <c r="H8" s="302">
        <f t="shared" si="4"/>
        <v>110357.21000000002</v>
      </c>
      <c r="I8" s="302">
        <f t="shared" si="4"/>
        <v>110357.21000000002</v>
      </c>
      <c r="J8" s="302">
        <f t="shared" si="4"/>
        <v>110357.21000000002</v>
      </c>
      <c r="K8" s="302">
        <f t="shared" si="4"/>
        <v>110357.21000000002</v>
      </c>
      <c r="L8" s="302">
        <f t="shared" si="4"/>
        <v>110357.21000000002</v>
      </c>
      <c r="M8" s="302">
        <f t="shared" si="4"/>
        <v>110357.21000000002</v>
      </c>
      <c r="N8" s="302">
        <f t="shared" si="4"/>
        <v>110357.21000000002</v>
      </c>
      <c r="O8" s="302">
        <f t="shared" si="4"/>
        <v>110357.21000000002</v>
      </c>
      <c r="P8" s="303"/>
    </row>
    <row r="9" spans="1:16" ht="20.25" customHeight="1" x14ac:dyDescent="0.25">
      <c r="A9" s="304" t="s">
        <v>307</v>
      </c>
      <c r="B9" s="305" t="s">
        <v>306</v>
      </c>
      <c r="C9" s="306"/>
      <c r="D9" s="307"/>
      <c r="E9" s="308"/>
      <c r="F9" s="263">
        <f>F23</f>
        <v>62264.750000000015</v>
      </c>
      <c r="G9" s="263">
        <f>G23</f>
        <v>51099.770000000004</v>
      </c>
      <c r="H9" s="263">
        <f t="shared" ref="H9:O9" si="5">H23</f>
        <v>51099.770000000004</v>
      </c>
      <c r="I9" s="263">
        <f t="shared" si="5"/>
        <v>51099.770000000004</v>
      </c>
      <c r="J9" s="263">
        <f t="shared" si="5"/>
        <v>51099.770000000004</v>
      </c>
      <c r="K9" s="263">
        <f t="shared" si="5"/>
        <v>51099.770000000004</v>
      </c>
      <c r="L9" s="263">
        <f t="shared" si="5"/>
        <v>51099.770000000004</v>
      </c>
      <c r="M9" s="263">
        <f t="shared" si="5"/>
        <v>51099.770000000004</v>
      </c>
      <c r="N9" s="263">
        <f t="shared" si="5"/>
        <v>51099.770000000004</v>
      </c>
      <c r="O9" s="263">
        <f t="shared" si="5"/>
        <v>51099.770000000004</v>
      </c>
    </row>
    <row r="10" spans="1:16" ht="23.3" customHeight="1" thickBot="1" x14ac:dyDescent="0.3">
      <c r="A10" s="309" t="s">
        <v>308</v>
      </c>
      <c r="B10" s="310" t="s">
        <v>306</v>
      </c>
      <c r="C10" s="311"/>
      <c r="D10" s="312"/>
      <c r="E10" s="313">
        <v>44</v>
      </c>
      <c r="F10" s="314">
        <f>SUMPRODUCT(F14:F20,$E$14:$E$20)*$E10</f>
        <v>60181.44000000001</v>
      </c>
      <c r="G10" s="314">
        <f>SUMPRODUCT(G14:G20,$E$14:$E$20)*$E10</f>
        <v>59257.44000000001</v>
      </c>
      <c r="H10" s="314">
        <f t="shared" ref="H10:O10" si="6">SUMPRODUCT(H14:H20,$E$14:$E$20)*$E10</f>
        <v>59257.44000000001</v>
      </c>
      <c r="I10" s="314">
        <f t="shared" si="6"/>
        <v>59257.44000000001</v>
      </c>
      <c r="J10" s="314">
        <f t="shared" si="6"/>
        <v>59257.44000000001</v>
      </c>
      <c r="K10" s="314">
        <f t="shared" si="6"/>
        <v>59257.44000000001</v>
      </c>
      <c r="L10" s="314">
        <f t="shared" si="6"/>
        <v>59257.44000000001</v>
      </c>
      <c r="M10" s="314">
        <f t="shared" si="6"/>
        <v>59257.44000000001</v>
      </c>
      <c r="N10" s="314">
        <f t="shared" si="6"/>
        <v>59257.44000000001</v>
      </c>
      <c r="O10" s="314">
        <f t="shared" si="6"/>
        <v>59257.44000000001</v>
      </c>
    </row>
    <row r="11" spans="1:16" ht="14.95" thickBot="1" x14ac:dyDescent="0.3">
      <c r="A11" s="1069"/>
      <c r="B11" s="1070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</row>
    <row r="12" spans="1:16" ht="34.65" x14ac:dyDescent="0.25">
      <c r="A12" s="315" t="s">
        <v>309</v>
      </c>
      <c r="B12" s="316" t="s">
        <v>310</v>
      </c>
      <c r="C12" s="317" t="s">
        <v>311</v>
      </c>
      <c r="D12" s="318" t="s">
        <v>312</v>
      </c>
      <c r="E12" s="319" t="s">
        <v>313</v>
      </c>
      <c r="F12" s="320" t="s">
        <v>314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320" t="s">
        <v>314</v>
      </c>
      <c r="O12" s="320" t="s">
        <v>314</v>
      </c>
    </row>
    <row r="13" spans="1:16" x14ac:dyDescent="0.25">
      <c r="A13" s="321" t="s">
        <v>315</v>
      </c>
      <c r="B13" s="322"/>
      <c r="C13" s="323"/>
      <c r="D13" s="324"/>
      <c r="E13" s="325"/>
      <c r="F13" s="326">
        <f>SUM(F14:F20)</f>
        <v>455.92000000000007</v>
      </c>
      <c r="G13" s="326">
        <f t="shared" ref="G13:O13" si="7">SUM(G14:G20)</f>
        <v>448.92000000000007</v>
      </c>
      <c r="H13" s="326">
        <f t="shared" si="7"/>
        <v>448.92000000000007</v>
      </c>
      <c r="I13" s="326">
        <f t="shared" si="7"/>
        <v>448.92000000000007</v>
      </c>
      <c r="J13" s="326">
        <f t="shared" si="7"/>
        <v>448.92000000000007</v>
      </c>
      <c r="K13" s="326">
        <f t="shared" si="7"/>
        <v>448.92000000000007</v>
      </c>
      <c r="L13" s="326">
        <f t="shared" si="7"/>
        <v>448.92000000000007</v>
      </c>
      <c r="M13" s="326">
        <f t="shared" si="7"/>
        <v>448.92000000000007</v>
      </c>
      <c r="N13" s="326">
        <f t="shared" si="7"/>
        <v>448.92000000000007</v>
      </c>
      <c r="O13" s="326">
        <f t="shared" si="7"/>
        <v>448.92000000000007</v>
      </c>
    </row>
    <row r="14" spans="1:16" x14ac:dyDescent="0.25">
      <c r="A14" s="327" t="s">
        <v>316</v>
      </c>
      <c r="B14" s="328">
        <v>100</v>
      </c>
      <c r="C14" s="268">
        <v>7</v>
      </c>
      <c r="D14" s="329">
        <v>1</v>
      </c>
      <c r="E14" s="330">
        <v>3</v>
      </c>
      <c r="F14" s="268">
        <f t="shared" ref="F14:O20" si="8">$D14*$C14</f>
        <v>7</v>
      </c>
      <c r="G14" s="268"/>
      <c r="H14" s="268"/>
      <c r="I14" s="268"/>
      <c r="J14" s="268"/>
      <c r="K14" s="268"/>
      <c r="L14" s="268"/>
      <c r="M14" s="268"/>
      <c r="N14" s="268"/>
      <c r="O14" s="268"/>
    </row>
    <row r="15" spans="1:16" x14ac:dyDescent="0.25">
      <c r="A15" s="327" t="s">
        <v>317</v>
      </c>
      <c r="B15" s="328">
        <v>250</v>
      </c>
      <c r="C15" s="268">
        <v>7</v>
      </c>
      <c r="D15" s="329">
        <v>14</v>
      </c>
      <c r="E15" s="330">
        <v>3</v>
      </c>
      <c r="F15" s="268">
        <f t="shared" si="8"/>
        <v>98</v>
      </c>
      <c r="G15" s="268">
        <f t="shared" si="8"/>
        <v>98</v>
      </c>
      <c r="H15" s="268">
        <f>$D15*$C15</f>
        <v>98</v>
      </c>
      <c r="I15" s="268">
        <f t="shared" si="8"/>
        <v>98</v>
      </c>
      <c r="J15" s="268">
        <f t="shared" si="8"/>
        <v>98</v>
      </c>
      <c r="K15" s="268">
        <f t="shared" si="8"/>
        <v>98</v>
      </c>
      <c r="L15" s="268">
        <f t="shared" si="8"/>
        <v>98</v>
      </c>
      <c r="M15" s="268">
        <f t="shared" si="8"/>
        <v>98</v>
      </c>
      <c r="N15" s="268">
        <f t="shared" si="8"/>
        <v>98</v>
      </c>
      <c r="O15" s="268">
        <f t="shared" si="8"/>
        <v>98</v>
      </c>
      <c r="P15" s="331"/>
    </row>
    <row r="16" spans="1:16" x14ac:dyDescent="0.25">
      <c r="A16" s="327" t="s">
        <v>318</v>
      </c>
      <c r="B16" s="328">
        <v>500</v>
      </c>
      <c r="C16" s="268">
        <v>20.3</v>
      </c>
      <c r="D16" s="329">
        <v>3</v>
      </c>
      <c r="E16" s="330">
        <v>3</v>
      </c>
      <c r="F16" s="268">
        <f t="shared" si="8"/>
        <v>60.900000000000006</v>
      </c>
      <c r="G16" s="268">
        <f t="shared" si="8"/>
        <v>60.900000000000006</v>
      </c>
      <c r="H16" s="268">
        <f t="shared" si="8"/>
        <v>60.900000000000006</v>
      </c>
      <c r="I16" s="268">
        <f t="shared" si="8"/>
        <v>60.900000000000006</v>
      </c>
      <c r="J16" s="268">
        <f t="shared" si="8"/>
        <v>60.900000000000006</v>
      </c>
      <c r="K16" s="268">
        <f t="shared" si="8"/>
        <v>60.900000000000006</v>
      </c>
      <c r="L16" s="268">
        <f t="shared" si="8"/>
        <v>60.900000000000006</v>
      </c>
      <c r="M16" s="268">
        <f t="shared" si="8"/>
        <v>60.900000000000006</v>
      </c>
      <c r="N16" s="268">
        <f t="shared" si="8"/>
        <v>60.900000000000006</v>
      </c>
      <c r="O16" s="268">
        <f t="shared" si="8"/>
        <v>60.900000000000006</v>
      </c>
      <c r="P16" s="331"/>
    </row>
    <row r="17" spans="1:16" x14ac:dyDescent="0.25">
      <c r="A17" s="327" t="s">
        <v>319</v>
      </c>
      <c r="B17" s="328">
        <v>1000</v>
      </c>
      <c r="C17" s="268">
        <v>28.3</v>
      </c>
      <c r="D17" s="329">
        <v>6</v>
      </c>
      <c r="E17" s="330">
        <v>3</v>
      </c>
      <c r="F17" s="268">
        <f t="shared" si="8"/>
        <v>169.8</v>
      </c>
      <c r="G17" s="268">
        <f t="shared" si="8"/>
        <v>169.8</v>
      </c>
      <c r="H17" s="268">
        <f t="shared" si="8"/>
        <v>169.8</v>
      </c>
      <c r="I17" s="268">
        <f t="shared" si="8"/>
        <v>169.8</v>
      </c>
      <c r="J17" s="268">
        <f t="shared" si="8"/>
        <v>169.8</v>
      </c>
      <c r="K17" s="268">
        <f t="shared" si="8"/>
        <v>169.8</v>
      </c>
      <c r="L17" s="268">
        <f t="shared" si="8"/>
        <v>169.8</v>
      </c>
      <c r="M17" s="268">
        <f t="shared" si="8"/>
        <v>169.8</v>
      </c>
      <c r="N17" s="268">
        <f t="shared" si="8"/>
        <v>169.8</v>
      </c>
      <c r="O17" s="268">
        <f t="shared" si="8"/>
        <v>169.8</v>
      </c>
      <c r="P17" s="331"/>
    </row>
    <row r="18" spans="1:16" x14ac:dyDescent="0.25">
      <c r="A18" s="327" t="s">
        <v>320</v>
      </c>
      <c r="B18" s="328">
        <v>3500</v>
      </c>
      <c r="C18" s="268">
        <v>25.66</v>
      </c>
      <c r="D18" s="329">
        <v>2</v>
      </c>
      <c r="E18" s="330">
        <v>3</v>
      </c>
      <c r="F18" s="268">
        <f t="shared" si="8"/>
        <v>51.32</v>
      </c>
      <c r="G18" s="268">
        <f t="shared" si="8"/>
        <v>51.32</v>
      </c>
      <c r="H18" s="268">
        <f t="shared" si="8"/>
        <v>51.32</v>
      </c>
      <c r="I18" s="268">
        <f t="shared" si="8"/>
        <v>51.32</v>
      </c>
      <c r="J18" s="268">
        <f t="shared" si="8"/>
        <v>51.32</v>
      </c>
      <c r="K18" s="268">
        <f t="shared" si="8"/>
        <v>51.32</v>
      </c>
      <c r="L18" s="268">
        <f t="shared" si="8"/>
        <v>51.32</v>
      </c>
      <c r="M18" s="268">
        <f t="shared" si="8"/>
        <v>51.32</v>
      </c>
      <c r="N18" s="268">
        <f>$D18*$C18</f>
        <v>51.32</v>
      </c>
      <c r="O18" s="268">
        <f t="shared" si="8"/>
        <v>51.32</v>
      </c>
    </row>
    <row r="19" spans="1:16" x14ac:dyDescent="0.25">
      <c r="A19" s="327" t="s">
        <v>321</v>
      </c>
      <c r="B19" s="328">
        <v>2500</v>
      </c>
      <c r="C19" s="268">
        <v>20.3</v>
      </c>
      <c r="D19" s="329">
        <v>2</v>
      </c>
      <c r="E19" s="330">
        <v>3</v>
      </c>
      <c r="F19" s="268">
        <f t="shared" si="8"/>
        <v>40.6</v>
      </c>
      <c r="G19" s="268">
        <f t="shared" si="8"/>
        <v>40.6</v>
      </c>
      <c r="H19" s="268">
        <f t="shared" si="8"/>
        <v>40.6</v>
      </c>
      <c r="I19" s="268">
        <f t="shared" si="8"/>
        <v>40.6</v>
      </c>
      <c r="J19" s="268">
        <f t="shared" si="8"/>
        <v>40.6</v>
      </c>
      <c r="K19" s="268">
        <f t="shared" si="8"/>
        <v>40.6</v>
      </c>
      <c r="L19" s="268">
        <f t="shared" si="8"/>
        <v>40.6</v>
      </c>
      <c r="M19" s="268">
        <f t="shared" si="8"/>
        <v>40.6</v>
      </c>
      <c r="N19" s="268">
        <f t="shared" si="8"/>
        <v>40.6</v>
      </c>
      <c r="O19" s="268">
        <f t="shared" si="8"/>
        <v>40.6</v>
      </c>
    </row>
    <row r="20" spans="1:16" ht="14.95" thickBot="1" x14ac:dyDescent="0.3">
      <c r="A20" s="327" t="s">
        <v>322</v>
      </c>
      <c r="B20" s="328">
        <v>4000</v>
      </c>
      <c r="C20" s="332">
        <v>28.3</v>
      </c>
      <c r="D20" s="333">
        <v>1</v>
      </c>
      <c r="E20" s="334">
        <v>3</v>
      </c>
      <c r="F20" s="332">
        <f t="shared" si="8"/>
        <v>28.3</v>
      </c>
      <c r="G20" s="332">
        <f>$C20</f>
        <v>28.3</v>
      </c>
      <c r="H20" s="332">
        <f t="shared" si="8"/>
        <v>28.3</v>
      </c>
      <c r="I20" s="332">
        <f>$C20</f>
        <v>28.3</v>
      </c>
      <c r="J20" s="332">
        <f t="shared" si="8"/>
        <v>28.3</v>
      </c>
      <c r="K20" s="332">
        <f>$C20</f>
        <v>28.3</v>
      </c>
      <c r="L20" s="332">
        <f>$C20</f>
        <v>28.3</v>
      </c>
      <c r="M20" s="332">
        <f t="shared" si="8"/>
        <v>28.3</v>
      </c>
      <c r="N20" s="332">
        <f>$C20</f>
        <v>28.3</v>
      </c>
      <c r="O20" s="332">
        <f t="shared" si="8"/>
        <v>28.3</v>
      </c>
    </row>
    <row r="21" spans="1:16" ht="14.95" thickBot="1" x14ac:dyDescent="0.3">
      <c r="A21" s="1069"/>
      <c r="B21" s="1070"/>
      <c r="C21" s="1070"/>
      <c r="D21" s="1070"/>
      <c r="E21" s="1070"/>
      <c r="F21" s="1070"/>
      <c r="G21" s="1070"/>
      <c r="H21" s="1070"/>
      <c r="I21" s="1070"/>
      <c r="J21" s="1070"/>
      <c r="K21" s="1070"/>
      <c r="L21" s="1070"/>
      <c r="M21" s="1070"/>
      <c r="N21" s="1070"/>
      <c r="O21" s="1070"/>
    </row>
    <row r="22" spans="1:16" ht="27.2" x14ac:dyDescent="0.25">
      <c r="A22" s="335" t="s">
        <v>305</v>
      </c>
      <c r="B22" s="336" t="s">
        <v>323</v>
      </c>
      <c r="C22" s="337" t="s">
        <v>324</v>
      </c>
      <c r="D22" s="338" t="s">
        <v>325</v>
      </c>
      <c r="E22" s="339" t="s">
        <v>312</v>
      </c>
      <c r="F22" s="340" t="s">
        <v>292</v>
      </c>
      <c r="G22" s="340" t="s">
        <v>292</v>
      </c>
      <c r="H22" s="340" t="s">
        <v>292</v>
      </c>
      <c r="I22" s="340" t="s">
        <v>292</v>
      </c>
      <c r="J22" s="340" t="s">
        <v>292</v>
      </c>
      <c r="K22" s="340" t="s">
        <v>292</v>
      </c>
      <c r="L22" s="340" t="s">
        <v>292</v>
      </c>
      <c r="M22" s="340" t="s">
        <v>292</v>
      </c>
      <c r="N22" s="340" t="s">
        <v>292</v>
      </c>
      <c r="O22" s="340" t="s">
        <v>292</v>
      </c>
    </row>
    <row r="23" spans="1:16" x14ac:dyDescent="0.25">
      <c r="A23" s="341" t="s">
        <v>326</v>
      </c>
      <c r="B23" s="342"/>
      <c r="C23" s="343"/>
      <c r="D23" s="344"/>
      <c r="E23" s="345"/>
      <c r="F23" s="346">
        <f t="shared" ref="F23:O23" si="9">SUM(F24:F71)</f>
        <v>62264.750000000015</v>
      </c>
      <c r="G23" s="346">
        <f t="shared" si="9"/>
        <v>51099.770000000004</v>
      </c>
      <c r="H23" s="346">
        <f t="shared" si="9"/>
        <v>51099.770000000004</v>
      </c>
      <c r="I23" s="346">
        <f t="shared" si="9"/>
        <v>51099.770000000004</v>
      </c>
      <c r="J23" s="346">
        <f t="shared" si="9"/>
        <v>51099.770000000004</v>
      </c>
      <c r="K23" s="346">
        <f t="shared" si="9"/>
        <v>51099.770000000004</v>
      </c>
      <c r="L23" s="346">
        <f t="shared" si="9"/>
        <v>51099.770000000004</v>
      </c>
      <c r="M23" s="346">
        <f t="shared" si="9"/>
        <v>51099.770000000004</v>
      </c>
      <c r="N23" s="346">
        <f t="shared" si="9"/>
        <v>51099.770000000004</v>
      </c>
      <c r="O23" s="346">
        <f t="shared" si="9"/>
        <v>51099.770000000004</v>
      </c>
    </row>
    <row r="24" spans="1:16" x14ac:dyDescent="0.25">
      <c r="A24" s="347" t="s">
        <v>316</v>
      </c>
      <c r="B24" s="291"/>
      <c r="C24" s="348"/>
      <c r="D24" s="349">
        <f>VLOOKUP($A24,$A$14:$B$20,2,FALSE)</f>
        <v>100</v>
      </c>
      <c r="E24" s="294">
        <f>VLOOKUP($A24,$A$14:$D$20,4,)</f>
        <v>1</v>
      </c>
      <c r="F24" s="350">
        <f t="shared" ref="F24:O36" si="10">IF(F$14=0,0,F$14/$C$14*$D24*$C24)</f>
        <v>0</v>
      </c>
      <c r="G24" s="350">
        <f t="shared" si="10"/>
        <v>0</v>
      </c>
      <c r="H24" s="351">
        <f t="shared" si="10"/>
        <v>0</v>
      </c>
      <c r="I24" s="350">
        <f t="shared" si="10"/>
        <v>0</v>
      </c>
      <c r="J24" s="350">
        <f t="shared" si="10"/>
        <v>0</v>
      </c>
      <c r="K24" s="350">
        <f t="shared" si="10"/>
        <v>0</v>
      </c>
      <c r="L24" s="350">
        <f t="shared" si="10"/>
        <v>0</v>
      </c>
      <c r="M24" s="350">
        <f t="shared" si="10"/>
        <v>0</v>
      </c>
      <c r="N24" s="350">
        <f t="shared" si="10"/>
        <v>0</v>
      </c>
      <c r="O24" s="350">
        <f t="shared" si="10"/>
        <v>0</v>
      </c>
    </row>
    <row r="25" spans="1:16" x14ac:dyDescent="0.25">
      <c r="A25" s="352" t="s">
        <v>327</v>
      </c>
      <c r="B25" s="353">
        <v>1005008511</v>
      </c>
      <c r="C25" s="354">
        <v>80.260000000000005</v>
      </c>
      <c r="D25" s="355">
        <v>1</v>
      </c>
      <c r="E25" s="294"/>
      <c r="F25" s="351">
        <f t="shared" si="10"/>
        <v>80.260000000000005</v>
      </c>
      <c r="G25" s="351">
        <f t="shared" si="10"/>
        <v>0</v>
      </c>
      <c r="H25" s="351">
        <f t="shared" si="10"/>
        <v>0</v>
      </c>
      <c r="I25" s="351">
        <f t="shared" si="10"/>
        <v>0</v>
      </c>
      <c r="J25" s="351">
        <f t="shared" si="10"/>
        <v>0</v>
      </c>
      <c r="K25" s="351">
        <f t="shared" si="10"/>
        <v>0</v>
      </c>
      <c r="L25" s="351">
        <f t="shared" si="10"/>
        <v>0</v>
      </c>
      <c r="M25" s="351">
        <f t="shared" si="10"/>
        <v>0</v>
      </c>
      <c r="N25" s="351">
        <f t="shared" si="10"/>
        <v>0</v>
      </c>
      <c r="O25" s="351">
        <f t="shared" si="10"/>
        <v>0</v>
      </c>
    </row>
    <row r="26" spans="1:16" x14ac:dyDescent="0.25">
      <c r="A26" s="352" t="s">
        <v>328</v>
      </c>
      <c r="B26" s="353" t="s">
        <v>329</v>
      </c>
      <c r="C26" s="354">
        <v>5.83</v>
      </c>
      <c r="D26" s="355">
        <v>2</v>
      </c>
      <c r="E26" s="294"/>
      <c r="F26" s="351">
        <f t="shared" si="10"/>
        <v>11.66</v>
      </c>
      <c r="G26" s="351">
        <f t="shared" si="10"/>
        <v>0</v>
      </c>
      <c r="H26" s="351">
        <f t="shared" si="10"/>
        <v>0</v>
      </c>
      <c r="I26" s="351">
        <f t="shared" si="10"/>
        <v>0</v>
      </c>
      <c r="J26" s="351">
        <f t="shared" si="10"/>
        <v>0</v>
      </c>
      <c r="K26" s="351">
        <f t="shared" si="10"/>
        <v>0</v>
      </c>
      <c r="L26" s="351">
        <f t="shared" si="10"/>
        <v>0</v>
      </c>
      <c r="M26" s="351">
        <f t="shared" si="10"/>
        <v>0</v>
      </c>
      <c r="N26" s="351">
        <f t="shared" si="10"/>
        <v>0</v>
      </c>
      <c r="O26" s="351">
        <f t="shared" si="10"/>
        <v>0</v>
      </c>
    </row>
    <row r="27" spans="1:16" x14ac:dyDescent="0.25">
      <c r="A27" s="352" t="s">
        <v>330</v>
      </c>
      <c r="B27" s="353">
        <v>1013032300</v>
      </c>
      <c r="C27" s="354">
        <v>144.34</v>
      </c>
      <c r="D27" s="355">
        <v>5</v>
      </c>
      <c r="E27" s="294"/>
      <c r="F27" s="351">
        <f t="shared" si="10"/>
        <v>721.7</v>
      </c>
      <c r="G27" s="351">
        <f t="shared" si="10"/>
        <v>0</v>
      </c>
      <c r="H27" s="351">
        <f t="shared" si="10"/>
        <v>0</v>
      </c>
      <c r="I27" s="351">
        <f t="shared" si="10"/>
        <v>0</v>
      </c>
      <c r="J27" s="351">
        <f t="shared" si="10"/>
        <v>0</v>
      </c>
      <c r="K27" s="351">
        <f t="shared" si="10"/>
        <v>0</v>
      </c>
      <c r="L27" s="351">
        <f t="shared" si="10"/>
        <v>0</v>
      </c>
      <c r="M27" s="351">
        <f t="shared" si="10"/>
        <v>0</v>
      </c>
      <c r="N27" s="351">
        <f t="shared" si="10"/>
        <v>0</v>
      </c>
      <c r="O27" s="351">
        <f t="shared" si="10"/>
        <v>0</v>
      </c>
    </row>
    <row r="28" spans="1:16" ht="38.75" customHeight="1" x14ac:dyDescent="0.25">
      <c r="A28" s="356" t="s">
        <v>331</v>
      </c>
      <c r="B28" s="353" t="s">
        <v>332</v>
      </c>
      <c r="C28" s="354">
        <v>4.1500000000000004</v>
      </c>
      <c r="D28" s="355">
        <v>385</v>
      </c>
      <c r="E28" s="294"/>
      <c r="F28" s="351">
        <f t="shared" si="10"/>
        <v>1597.7500000000002</v>
      </c>
      <c r="G28" s="351">
        <f t="shared" si="10"/>
        <v>0</v>
      </c>
      <c r="H28" s="351">
        <f t="shared" si="10"/>
        <v>0</v>
      </c>
      <c r="I28" s="351">
        <f t="shared" si="10"/>
        <v>0</v>
      </c>
      <c r="J28" s="351">
        <f t="shared" si="10"/>
        <v>0</v>
      </c>
      <c r="K28" s="351">
        <f t="shared" si="10"/>
        <v>0</v>
      </c>
      <c r="L28" s="351">
        <f t="shared" si="10"/>
        <v>0</v>
      </c>
      <c r="M28" s="351">
        <f t="shared" si="10"/>
        <v>0</v>
      </c>
      <c r="N28" s="351">
        <f t="shared" si="10"/>
        <v>0</v>
      </c>
      <c r="O28" s="351">
        <f t="shared" si="10"/>
        <v>0</v>
      </c>
    </row>
    <row r="29" spans="1:16" x14ac:dyDescent="0.25">
      <c r="A29" s="352" t="s">
        <v>330</v>
      </c>
      <c r="B29" s="353" t="s">
        <v>333</v>
      </c>
      <c r="C29" s="354">
        <v>144</v>
      </c>
      <c r="D29" s="355">
        <v>5</v>
      </c>
      <c r="E29" s="294"/>
      <c r="F29" s="351">
        <f t="shared" si="10"/>
        <v>720</v>
      </c>
      <c r="G29" s="351">
        <f t="shared" si="10"/>
        <v>0</v>
      </c>
      <c r="H29" s="351">
        <f t="shared" si="10"/>
        <v>0</v>
      </c>
      <c r="I29" s="351">
        <f t="shared" si="10"/>
        <v>0</v>
      </c>
      <c r="J29" s="351">
        <f t="shared" si="10"/>
        <v>0</v>
      </c>
      <c r="K29" s="351">
        <f t="shared" si="10"/>
        <v>0</v>
      </c>
      <c r="L29" s="351">
        <f t="shared" si="10"/>
        <v>0</v>
      </c>
      <c r="M29" s="351">
        <f t="shared" si="10"/>
        <v>0</v>
      </c>
      <c r="N29" s="351">
        <f t="shared" si="10"/>
        <v>0</v>
      </c>
      <c r="O29" s="351">
        <f t="shared" si="10"/>
        <v>0</v>
      </c>
    </row>
    <row r="30" spans="1:16" x14ac:dyDescent="0.25">
      <c r="A30" s="356" t="s">
        <v>334</v>
      </c>
      <c r="B30" s="353" t="s">
        <v>335</v>
      </c>
      <c r="C30" s="354">
        <v>245.36</v>
      </c>
      <c r="D30" s="355">
        <v>1</v>
      </c>
      <c r="E30" s="294"/>
      <c r="F30" s="351">
        <f t="shared" si="10"/>
        <v>245.36</v>
      </c>
      <c r="G30" s="351">
        <f t="shared" si="10"/>
        <v>0</v>
      </c>
      <c r="H30" s="351">
        <f t="shared" si="10"/>
        <v>0</v>
      </c>
      <c r="I30" s="351">
        <f t="shared" si="10"/>
        <v>0</v>
      </c>
      <c r="J30" s="351">
        <f t="shared" si="10"/>
        <v>0</v>
      </c>
      <c r="K30" s="351">
        <f t="shared" si="10"/>
        <v>0</v>
      </c>
      <c r="L30" s="351">
        <f t="shared" si="10"/>
        <v>0</v>
      </c>
      <c r="M30" s="351">
        <f t="shared" si="10"/>
        <v>0</v>
      </c>
      <c r="N30" s="351">
        <f t="shared" si="10"/>
        <v>0</v>
      </c>
      <c r="O30" s="351">
        <f t="shared" si="10"/>
        <v>0</v>
      </c>
    </row>
    <row r="31" spans="1:16" x14ac:dyDescent="0.25">
      <c r="A31" s="356" t="s">
        <v>336</v>
      </c>
      <c r="B31" s="353" t="s">
        <v>337</v>
      </c>
      <c r="C31" s="354">
        <v>183.52</v>
      </c>
      <c r="D31" s="355">
        <v>3</v>
      </c>
      <c r="E31" s="294"/>
      <c r="F31" s="351">
        <f t="shared" si="10"/>
        <v>550.56000000000006</v>
      </c>
      <c r="G31" s="351">
        <f t="shared" si="10"/>
        <v>0</v>
      </c>
      <c r="H31" s="351">
        <f t="shared" si="10"/>
        <v>0</v>
      </c>
      <c r="I31" s="351">
        <f t="shared" si="10"/>
        <v>0</v>
      </c>
      <c r="J31" s="351">
        <f t="shared" si="10"/>
        <v>0</v>
      </c>
      <c r="K31" s="351">
        <f t="shared" si="10"/>
        <v>0</v>
      </c>
      <c r="L31" s="351">
        <f t="shared" si="10"/>
        <v>0</v>
      </c>
      <c r="M31" s="351">
        <f t="shared" si="10"/>
        <v>0</v>
      </c>
      <c r="N31" s="351">
        <f t="shared" si="10"/>
        <v>0</v>
      </c>
      <c r="O31" s="351">
        <f t="shared" si="10"/>
        <v>0</v>
      </c>
    </row>
    <row r="32" spans="1:16" x14ac:dyDescent="0.25">
      <c r="A32" s="352" t="s">
        <v>328</v>
      </c>
      <c r="B32" s="353" t="s">
        <v>338</v>
      </c>
      <c r="C32" s="354">
        <v>5.83</v>
      </c>
      <c r="D32" s="355">
        <v>1</v>
      </c>
      <c r="E32" s="294"/>
      <c r="F32" s="351">
        <f t="shared" si="10"/>
        <v>5.83</v>
      </c>
      <c r="G32" s="351">
        <f t="shared" si="10"/>
        <v>0</v>
      </c>
      <c r="H32" s="351">
        <f t="shared" si="10"/>
        <v>0</v>
      </c>
      <c r="I32" s="351">
        <f t="shared" si="10"/>
        <v>0</v>
      </c>
      <c r="J32" s="351">
        <f t="shared" si="10"/>
        <v>0</v>
      </c>
      <c r="K32" s="351">
        <f t="shared" si="10"/>
        <v>0</v>
      </c>
      <c r="L32" s="351">
        <f t="shared" si="10"/>
        <v>0</v>
      </c>
      <c r="M32" s="351">
        <f t="shared" si="10"/>
        <v>0</v>
      </c>
      <c r="N32" s="351">
        <f t="shared" si="10"/>
        <v>0</v>
      </c>
      <c r="O32" s="351">
        <f t="shared" si="10"/>
        <v>0</v>
      </c>
    </row>
    <row r="33" spans="1:15" x14ac:dyDescent="0.25">
      <c r="A33" s="352" t="s">
        <v>339</v>
      </c>
      <c r="B33" s="353" t="s">
        <v>340</v>
      </c>
      <c r="C33" s="354">
        <v>126.36</v>
      </c>
      <c r="D33" s="355">
        <v>1</v>
      </c>
      <c r="E33" s="294"/>
      <c r="F33" s="351">
        <f t="shared" si="10"/>
        <v>126.36</v>
      </c>
      <c r="G33" s="351">
        <f t="shared" si="10"/>
        <v>0</v>
      </c>
      <c r="H33" s="351">
        <f t="shared" si="10"/>
        <v>0</v>
      </c>
      <c r="I33" s="351">
        <f t="shared" si="10"/>
        <v>0</v>
      </c>
      <c r="J33" s="351">
        <f t="shared" si="10"/>
        <v>0</v>
      </c>
      <c r="K33" s="351">
        <f t="shared" si="10"/>
        <v>0</v>
      </c>
      <c r="L33" s="351">
        <f t="shared" si="10"/>
        <v>0</v>
      </c>
      <c r="M33" s="351">
        <f t="shared" si="10"/>
        <v>0</v>
      </c>
      <c r="N33" s="351">
        <f t="shared" si="10"/>
        <v>0</v>
      </c>
      <c r="O33" s="351">
        <f t="shared" si="10"/>
        <v>0</v>
      </c>
    </row>
    <row r="34" spans="1:15" x14ac:dyDescent="0.25">
      <c r="A34" s="352" t="s">
        <v>339</v>
      </c>
      <c r="B34" s="353" t="s">
        <v>341</v>
      </c>
      <c r="C34" s="354">
        <v>29.05</v>
      </c>
      <c r="D34" s="355">
        <v>1</v>
      </c>
      <c r="E34" s="294"/>
      <c r="F34" s="351">
        <f t="shared" si="10"/>
        <v>29.05</v>
      </c>
      <c r="G34" s="351">
        <f t="shared" si="10"/>
        <v>0</v>
      </c>
      <c r="H34" s="351">
        <f t="shared" si="10"/>
        <v>0</v>
      </c>
      <c r="I34" s="351">
        <f t="shared" si="10"/>
        <v>0</v>
      </c>
      <c r="J34" s="351">
        <f t="shared" si="10"/>
        <v>0</v>
      </c>
      <c r="K34" s="351">
        <f t="shared" si="10"/>
        <v>0</v>
      </c>
      <c r="L34" s="351">
        <f t="shared" si="10"/>
        <v>0</v>
      </c>
      <c r="M34" s="351">
        <f t="shared" si="10"/>
        <v>0</v>
      </c>
      <c r="N34" s="351">
        <f t="shared" si="10"/>
        <v>0</v>
      </c>
      <c r="O34" s="351">
        <f t="shared" si="10"/>
        <v>0</v>
      </c>
    </row>
    <row r="35" spans="1:15" x14ac:dyDescent="0.25">
      <c r="A35" s="357" t="s">
        <v>342</v>
      </c>
      <c r="B35" s="353" t="s">
        <v>343</v>
      </c>
      <c r="C35" s="354">
        <v>3.49</v>
      </c>
      <c r="D35" s="355">
        <v>790</v>
      </c>
      <c r="E35" s="358"/>
      <c r="F35" s="351">
        <f t="shared" ref="F35:F36" si="11">IF(F$18=0,0,F$18/$C$18*$D35*$C35)</f>
        <v>5514.2000000000007</v>
      </c>
      <c r="G35" s="351">
        <f t="shared" si="10"/>
        <v>0</v>
      </c>
      <c r="H35" s="351">
        <f t="shared" si="10"/>
        <v>0</v>
      </c>
      <c r="I35" s="351">
        <f t="shared" si="10"/>
        <v>0</v>
      </c>
      <c r="J35" s="351">
        <f t="shared" si="10"/>
        <v>0</v>
      </c>
      <c r="K35" s="351">
        <f t="shared" si="10"/>
        <v>0</v>
      </c>
      <c r="L35" s="351">
        <f t="shared" si="10"/>
        <v>0</v>
      </c>
      <c r="M35" s="351">
        <f t="shared" si="10"/>
        <v>0</v>
      </c>
      <c r="N35" s="351">
        <f t="shared" si="10"/>
        <v>0</v>
      </c>
      <c r="O35" s="351">
        <f t="shared" si="10"/>
        <v>0</v>
      </c>
    </row>
    <row r="36" spans="1:15" ht="28.55" x14ac:dyDescent="0.25">
      <c r="A36" s="359" t="s">
        <v>344</v>
      </c>
      <c r="B36" s="360" t="s">
        <v>345</v>
      </c>
      <c r="C36" s="354">
        <v>3.7</v>
      </c>
      <c r="D36" s="355">
        <v>210</v>
      </c>
      <c r="E36" s="358"/>
      <c r="F36" s="351">
        <f t="shared" si="11"/>
        <v>1554</v>
      </c>
      <c r="G36" s="351">
        <f t="shared" si="10"/>
        <v>0</v>
      </c>
      <c r="H36" s="351">
        <f t="shared" si="10"/>
        <v>0</v>
      </c>
      <c r="I36" s="351">
        <f t="shared" si="10"/>
        <v>0</v>
      </c>
      <c r="J36" s="351">
        <f t="shared" si="10"/>
        <v>0</v>
      </c>
      <c r="K36" s="351">
        <f t="shared" si="10"/>
        <v>0</v>
      </c>
      <c r="L36" s="351">
        <f t="shared" si="10"/>
        <v>0</v>
      </c>
      <c r="M36" s="351">
        <f t="shared" si="10"/>
        <v>0</v>
      </c>
      <c r="N36" s="351">
        <f t="shared" si="10"/>
        <v>0</v>
      </c>
      <c r="O36" s="351">
        <f t="shared" si="10"/>
        <v>0</v>
      </c>
    </row>
    <row r="37" spans="1:15" x14ac:dyDescent="0.25">
      <c r="A37" s="347" t="s">
        <v>317</v>
      </c>
      <c r="B37" s="291"/>
      <c r="C37" s="348"/>
      <c r="D37" s="349">
        <f>VLOOKUP($A37,$A$14:$B$20,2,FALSE)</f>
        <v>250</v>
      </c>
      <c r="E37" s="294">
        <f>VLOOKUP($A37,$A$14:$D$20,4,)</f>
        <v>14</v>
      </c>
      <c r="F37" s="295"/>
      <c r="G37" s="295"/>
      <c r="H37" s="295"/>
      <c r="I37" s="295"/>
      <c r="J37" s="295"/>
      <c r="K37" s="295"/>
      <c r="L37" s="295"/>
      <c r="M37" s="295"/>
      <c r="N37" s="295"/>
      <c r="O37" s="295"/>
    </row>
    <row r="38" spans="1:15" x14ac:dyDescent="0.25">
      <c r="A38" s="356" t="s">
        <v>346</v>
      </c>
      <c r="B38" s="353" t="s">
        <v>347</v>
      </c>
      <c r="C38" s="354">
        <v>1.1000000000000001</v>
      </c>
      <c r="D38" s="361">
        <v>7.5</v>
      </c>
      <c r="E38" s="358"/>
      <c r="F38" s="351">
        <f t="shared" ref="F38:O38" si="12">IF(F$14=0,0,F$14/$C$14*$D38*$C38)</f>
        <v>8.25</v>
      </c>
      <c r="G38" s="351">
        <f t="shared" si="12"/>
        <v>0</v>
      </c>
      <c r="H38" s="351">
        <f t="shared" si="12"/>
        <v>0</v>
      </c>
      <c r="I38" s="351">
        <f t="shared" si="12"/>
        <v>0</v>
      </c>
      <c r="J38" s="351">
        <f t="shared" si="12"/>
        <v>0</v>
      </c>
      <c r="K38" s="351">
        <f t="shared" si="12"/>
        <v>0</v>
      </c>
      <c r="L38" s="351">
        <f t="shared" si="12"/>
        <v>0</v>
      </c>
      <c r="M38" s="351">
        <f t="shared" si="12"/>
        <v>0</v>
      </c>
      <c r="N38" s="351">
        <f t="shared" si="12"/>
        <v>0</v>
      </c>
      <c r="O38" s="351">
        <f t="shared" si="12"/>
        <v>0</v>
      </c>
    </row>
    <row r="39" spans="1:15" x14ac:dyDescent="0.25">
      <c r="A39" s="347" t="s">
        <v>318</v>
      </c>
      <c r="B39" s="291"/>
      <c r="C39" s="348"/>
      <c r="D39" s="349">
        <f>VLOOKUP($A39,$A$14:$B$20,2,FALSE)</f>
        <v>500</v>
      </c>
      <c r="E39" s="294">
        <f>VLOOKUP($A39,$A$14:$D$20,4,FALSE)</f>
        <v>3</v>
      </c>
      <c r="F39" s="295"/>
      <c r="G39" s="295"/>
      <c r="H39" s="295"/>
      <c r="I39" s="295"/>
      <c r="J39" s="295"/>
      <c r="K39" s="295"/>
      <c r="L39" s="295"/>
      <c r="M39" s="295"/>
      <c r="N39" s="295"/>
      <c r="O39" s="295"/>
    </row>
    <row r="40" spans="1:15" x14ac:dyDescent="0.25">
      <c r="A40" s="352" t="s">
        <v>330</v>
      </c>
      <c r="B40" s="353">
        <v>1013032300</v>
      </c>
      <c r="C40" s="354">
        <v>144.34</v>
      </c>
      <c r="D40" s="355">
        <v>5</v>
      </c>
      <c r="E40" s="358"/>
      <c r="F40" s="351">
        <f t="shared" ref="F40:O50" si="13">IF(F$16=0,0,F$16/$C$16*$D40*$C40)</f>
        <v>2165.1</v>
      </c>
      <c r="G40" s="351">
        <f t="shared" si="13"/>
        <v>2165.1</v>
      </c>
      <c r="H40" s="351">
        <f t="shared" si="13"/>
        <v>2165.1</v>
      </c>
      <c r="I40" s="351">
        <f t="shared" si="13"/>
        <v>2165.1</v>
      </c>
      <c r="J40" s="351">
        <f t="shared" si="13"/>
        <v>2165.1</v>
      </c>
      <c r="K40" s="351">
        <f t="shared" si="13"/>
        <v>2165.1</v>
      </c>
      <c r="L40" s="351">
        <f t="shared" si="13"/>
        <v>2165.1</v>
      </c>
      <c r="M40" s="351">
        <f t="shared" si="13"/>
        <v>2165.1</v>
      </c>
      <c r="N40" s="351">
        <f t="shared" si="13"/>
        <v>2165.1</v>
      </c>
      <c r="O40" s="351">
        <f t="shared" si="13"/>
        <v>2165.1</v>
      </c>
    </row>
    <row r="41" spans="1:15" x14ac:dyDescent="0.25">
      <c r="A41" s="356" t="s">
        <v>331</v>
      </c>
      <c r="B41" s="353" t="s">
        <v>332</v>
      </c>
      <c r="C41" s="354">
        <v>4</v>
      </c>
      <c r="D41" s="355">
        <v>385</v>
      </c>
      <c r="E41" s="358"/>
      <c r="F41" s="351">
        <f t="shared" si="13"/>
        <v>4620</v>
      </c>
      <c r="G41" s="351">
        <f t="shared" si="13"/>
        <v>4620</v>
      </c>
      <c r="H41" s="351">
        <f t="shared" si="13"/>
        <v>4620</v>
      </c>
      <c r="I41" s="351">
        <f t="shared" si="13"/>
        <v>4620</v>
      </c>
      <c r="J41" s="351">
        <f t="shared" si="13"/>
        <v>4620</v>
      </c>
      <c r="K41" s="351">
        <f t="shared" si="13"/>
        <v>4620</v>
      </c>
      <c r="L41" s="351">
        <f t="shared" si="13"/>
        <v>4620</v>
      </c>
      <c r="M41" s="351">
        <f t="shared" si="13"/>
        <v>4620</v>
      </c>
      <c r="N41" s="351">
        <f t="shared" si="13"/>
        <v>4620</v>
      </c>
      <c r="O41" s="351">
        <f t="shared" si="13"/>
        <v>4620</v>
      </c>
    </row>
    <row r="42" spans="1:15" x14ac:dyDescent="0.25">
      <c r="A42" s="352" t="s">
        <v>330</v>
      </c>
      <c r="B42" s="353" t="s">
        <v>333</v>
      </c>
      <c r="C42" s="354">
        <v>144</v>
      </c>
      <c r="D42" s="355">
        <v>5</v>
      </c>
      <c r="E42" s="358"/>
      <c r="F42" s="351">
        <f t="shared" si="13"/>
        <v>2160</v>
      </c>
      <c r="G42" s="351">
        <f t="shared" si="13"/>
        <v>2160</v>
      </c>
      <c r="H42" s="351">
        <f t="shared" si="13"/>
        <v>2160</v>
      </c>
      <c r="I42" s="351">
        <f t="shared" si="13"/>
        <v>2160</v>
      </c>
      <c r="J42" s="351">
        <f t="shared" si="13"/>
        <v>2160</v>
      </c>
      <c r="K42" s="351">
        <f t="shared" si="13"/>
        <v>2160</v>
      </c>
      <c r="L42" s="351">
        <f t="shared" si="13"/>
        <v>2160</v>
      </c>
      <c r="M42" s="351">
        <f t="shared" si="13"/>
        <v>2160</v>
      </c>
      <c r="N42" s="351">
        <f t="shared" si="13"/>
        <v>2160</v>
      </c>
      <c r="O42" s="351">
        <f t="shared" si="13"/>
        <v>2160</v>
      </c>
    </row>
    <row r="43" spans="1:15" x14ac:dyDescent="0.25">
      <c r="A43" s="356" t="s">
        <v>334</v>
      </c>
      <c r="B43" s="353" t="s">
        <v>335</v>
      </c>
      <c r="C43" s="354">
        <v>245.36</v>
      </c>
      <c r="D43" s="355">
        <v>1</v>
      </c>
      <c r="E43" s="358"/>
      <c r="F43" s="351">
        <f t="shared" si="13"/>
        <v>736.08</v>
      </c>
      <c r="G43" s="351">
        <f t="shared" si="13"/>
        <v>736.08</v>
      </c>
      <c r="H43" s="351">
        <f t="shared" si="13"/>
        <v>736.08</v>
      </c>
      <c r="I43" s="351">
        <f t="shared" si="13"/>
        <v>736.08</v>
      </c>
      <c r="J43" s="351">
        <f t="shared" si="13"/>
        <v>736.08</v>
      </c>
      <c r="K43" s="351">
        <f t="shared" si="13"/>
        <v>736.08</v>
      </c>
      <c r="L43" s="351">
        <f t="shared" si="13"/>
        <v>736.08</v>
      </c>
      <c r="M43" s="351">
        <f t="shared" si="13"/>
        <v>736.08</v>
      </c>
      <c r="N43" s="351">
        <f t="shared" si="13"/>
        <v>736.08</v>
      </c>
      <c r="O43" s="351">
        <f t="shared" si="13"/>
        <v>736.08</v>
      </c>
    </row>
    <row r="44" spans="1:15" x14ac:dyDescent="0.25">
      <c r="A44" s="356" t="s">
        <v>336</v>
      </c>
      <c r="B44" s="353" t="s">
        <v>337</v>
      </c>
      <c r="C44" s="354">
        <v>183.52</v>
      </c>
      <c r="D44" s="355">
        <v>3</v>
      </c>
      <c r="E44" s="358"/>
      <c r="F44" s="351">
        <f t="shared" si="13"/>
        <v>1651.68</v>
      </c>
      <c r="G44" s="351">
        <f t="shared" si="13"/>
        <v>1651.68</v>
      </c>
      <c r="H44" s="351">
        <f t="shared" si="13"/>
        <v>1651.68</v>
      </c>
      <c r="I44" s="351">
        <f t="shared" si="13"/>
        <v>1651.68</v>
      </c>
      <c r="J44" s="351">
        <f t="shared" si="13"/>
        <v>1651.68</v>
      </c>
      <c r="K44" s="351">
        <f t="shared" si="13"/>
        <v>1651.68</v>
      </c>
      <c r="L44" s="351">
        <f t="shared" si="13"/>
        <v>1651.68</v>
      </c>
      <c r="M44" s="351">
        <f t="shared" si="13"/>
        <v>1651.68</v>
      </c>
      <c r="N44" s="351">
        <f t="shared" si="13"/>
        <v>1651.68</v>
      </c>
      <c r="O44" s="351">
        <f t="shared" si="13"/>
        <v>1651.68</v>
      </c>
    </row>
    <row r="45" spans="1:15" x14ac:dyDescent="0.25">
      <c r="A45" s="352" t="s">
        <v>348</v>
      </c>
      <c r="B45" s="353" t="s">
        <v>349</v>
      </c>
      <c r="C45" s="354">
        <v>98.51</v>
      </c>
      <c r="D45" s="355">
        <v>4</v>
      </c>
      <c r="E45" s="358"/>
      <c r="F45" s="351">
        <f t="shared" si="13"/>
        <v>1182.1200000000001</v>
      </c>
      <c r="G45" s="351">
        <f t="shared" si="13"/>
        <v>1182.1200000000001</v>
      </c>
      <c r="H45" s="351">
        <f t="shared" si="13"/>
        <v>1182.1200000000001</v>
      </c>
      <c r="I45" s="351">
        <f t="shared" si="13"/>
        <v>1182.1200000000001</v>
      </c>
      <c r="J45" s="351">
        <f t="shared" si="13"/>
        <v>1182.1200000000001</v>
      </c>
      <c r="K45" s="351">
        <f t="shared" si="13"/>
        <v>1182.1200000000001</v>
      </c>
      <c r="L45" s="351">
        <f t="shared" si="13"/>
        <v>1182.1200000000001</v>
      </c>
      <c r="M45" s="351">
        <f t="shared" si="13"/>
        <v>1182.1200000000001</v>
      </c>
      <c r="N45" s="351">
        <f t="shared" si="13"/>
        <v>1182.1200000000001</v>
      </c>
      <c r="O45" s="351">
        <f t="shared" si="13"/>
        <v>1182.1200000000001</v>
      </c>
    </row>
    <row r="46" spans="1:15" x14ac:dyDescent="0.25">
      <c r="A46" s="352" t="s">
        <v>328</v>
      </c>
      <c r="B46" s="353" t="s">
        <v>338</v>
      </c>
      <c r="C46" s="354">
        <v>6</v>
      </c>
      <c r="D46" s="355">
        <v>1</v>
      </c>
      <c r="E46" s="358"/>
      <c r="F46" s="351">
        <f t="shared" si="13"/>
        <v>18</v>
      </c>
      <c r="G46" s="351">
        <f t="shared" si="13"/>
        <v>18</v>
      </c>
      <c r="H46" s="351">
        <f t="shared" si="13"/>
        <v>18</v>
      </c>
      <c r="I46" s="351">
        <f t="shared" si="13"/>
        <v>18</v>
      </c>
      <c r="J46" s="351">
        <f t="shared" si="13"/>
        <v>18</v>
      </c>
      <c r="K46" s="351">
        <f t="shared" si="13"/>
        <v>18</v>
      </c>
      <c r="L46" s="351">
        <f t="shared" si="13"/>
        <v>18</v>
      </c>
      <c r="M46" s="351">
        <f t="shared" si="13"/>
        <v>18</v>
      </c>
      <c r="N46" s="351">
        <f t="shared" si="13"/>
        <v>18</v>
      </c>
      <c r="O46" s="351">
        <f t="shared" si="13"/>
        <v>18</v>
      </c>
    </row>
    <row r="47" spans="1:15" x14ac:dyDescent="0.25">
      <c r="A47" s="352" t="s">
        <v>339</v>
      </c>
      <c r="B47" s="353" t="s">
        <v>340</v>
      </c>
      <c r="C47" s="354">
        <v>126</v>
      </c>
      <c r="D47" s="355">
        <v>1</v>
      </c>
      <c r="E47" s="358"/>
      <c r="F47" s="351">
        <f t="shared" si="13"/>
        <v>378</v>
      </c>
      <c r="G47" s="351">
        <f t="shared" si="13"/>
        <v>378</v>
      </c>
      <c r="H47" s="351">
        <f t="shared" si="13"/>
        <v>378</v>
      </c>
      <c r="I47" s="351">
        <f t="shared" si="13"/>
        <v>378</v>
      </c>
      <c r="J47" s="351">
        <f t="shared" si="13"/>
        <v>378</v>
      </c>
      <c r="K47" s="351">
        <f t="shared" si="13"/>
        <v>378</v>
      </c>
      <c r="L47" s="351">
        <f t="shared" si="13"/>
        <v>378</v>
      </c>
      <c r="M47" s="351">
        <f t="shared" si="13"/>
        <v>378</v>
      </c>
      <c r="N47" s="351">
        <f t="shared" si="13"/>
        <v>378</v>
      </c>
      <c r="O47" s="351">
        <f t="shared" si="13"/>
        <v>378</v>
      </c>
    </row>
    <row r="48" spans="1:15" x14ac:dyDescent="0.25">
      <c r="A48" s="352" t="s">
        <v>339</v>
      </c>
      <c r="B48" s="353" t="s">
        <v>341</v>
      </c>
      <c r="C48" s="354">
        <v>29</v>
      </c>
      <c r="D48" s="355">
        <v>1</v>
      </c>
      <c r="E48" s="358"/>
      <c r="F48" s="351">
        <f t="shared" si="13"/>
        <v>87</v>
      </c>
      <c r="G48" s="351">
        <f t="shared" si="13"/>
        <v>87</v>
      </c>
      <c r="H48" s="351">
        <f t="shared" si="13"/>
        <v>87</v>
      </c>
      <c r="I48" s="351">
        <f t="shared" si="13"/>
        <v>87</v>
      </c>
      <c r="J48" s="351">
        <f t="shared" si="13"/>
        <v>87</v>
      </c>
      <c r="K48" s="351">
        <f t="shared" si="13"/>
        <v>87</v>
      </c>
      <c r="L48" s="351">
        <f t="shared" si="13"/>
        <v>87</v>
      </c>
      <c r="M48" s="351">
        <f t="shared" si="13"/>
        <v>87</v>
      </c>
      <c r="N48" s="351">
        <f t="shared" si="13"/>
        <v>87</v>
      </c>
      <c r="O48" s="351">
        <f t="shared" si="13"/>
        <v>87</v>
      </c>
    </row>
    <row r="49" spans="1:18" x14ac:dyDescent="0.25">
      <c r="A49" s="352" t="s">
        <v>350</v>
      </c>
      <c r="B49" s="353" t="s">
        <v>351</v>
      </c>
      <c r="C49" s="354">
        <v>25</v>
      </c>
      <c r="D49" s="355">
        <v>2</v>
      </c>
      <c r="E49" s="358"/>
      <c r="F49" s="351">
        <f t="shared" si="13"/>
        <v>150</v>
      </c>
      <c r="G49" s="351">
        <f t="shared" si="13"/>
        <v>150</v>
      </c>
      <c r="H49" s="351">
        <f t="shared" si="13"/>
        <v>150</v>
      </c>
      <c r="I49" s="351">
        <f t="shared" si="13"/>
        <v>150</v>
      </c>
      <c r="J49" s="351">
        <f t="shared" si="13"/>
        <v>150</v>
      </c>
      <c r="K49" s="351">
        <f t="shared" si="13"/>
        <v>150</v>
      </c>
      <c r="L49" s="351">
        <f t="shared" si="13"/>
        <v>150</v>
      </c>
      <c r="M49" s="351">
        <f t="shared" si="13"/>
        <v>150</v>
      </c>
      <c r="N49" s="351">
        <f t="shared" si="13"/>
        <v>150</v>
      </c>
      <c r="O49" s="351">
        <f t="shared" si="13"/>
        <v>150</v>
      </c>
    </row>
    <row r="50" spans="1:18" x14ac:dyDescent="0.25">
      <c r="A50" s="356" t="s">
        <v>346</v>
      </c>
      <c r="B50" s="353" t="s">
        <v>347</v>
      </c>
      <c r="C50" s="354">
        <v>1.1000000000000001</v>
      </c>
      <c r="D50" s="361">
        <v>7.5</v>
      </c>
      <c r="E50" s="358"/>
      <c r="F50" s="351">
        <f t="shared" si="13"/>
        <v>24.750000000000004</v>
      </c>
      <c r="G50" s="351">
        <f t="shared" si="13"/>
        <v>24.750000000000004</v>
      </c>
      <c r="H50" s="351">
        <f t="shared" si="13"/>
        <v>24.750000000000004</v>
      </c>
      <c r="I50" s="351">
        <f t="shared" si="13"/>
        <v>24.750000000000004</v>
      </c>
      <c r="J50" s="351">
        <f t="shared" si="13"/>
        <v>24.750000000000004</v>
      </c>
      <c r="K50" s="351">
        <f t="shared" si="13"/>
        <v>24.750000000000004</v>
      </c>
      <c r="L50" s="351">
        <f t="shared" si="13"/>
        <v>24.750000000000004</v>
      </c>
      <c r="M50" s="351">
        <f t="shared" si="13"/>
        <v>24.750000000000004</v>
      </c>
      <c r="N50" s="351">
        <f t="shared" si="13"/>
        <v>24.750000000000004</v>
      </c>
      <c r="O50" s="351">
        <f t="shared" si="13"/>
        <v>24.750000000000004</v>
      </c>
    </row>
    <row r="51" spans="1:18" x14ac:dyDescent="0.25">
      <c r="A51" s="347" t="s">
        <v>319</v>
      </c>
      <c r="B51" s="291"/>
      <c r="C51" s="348"/>
      <c r="D51" s="349">
        <f>VLOOKUP($A51,$A$14:$B$20,2,FALSE)</f>
        <v>1000</v>
      </c>
      <c r="E51" s="294">
        <f>VLOOKUP($A51,$A$14:$D$20,4,FALSE)</f>
        <v>6</v>
      </c>
      <c r="F51" s="295"/>
      <c r="G51" s="295"/>
      <c r="H51" s="295"/>
      <c r="I51" s="295"/>
      <c r="J51" s="295"/>
      <c r="K51" s="295"/>
      <c r="L51" s="295"/>
      <c r="M51" s="295"/>
      <c r="N51" s="295"/>
      <c r="O51" s="295"/>
    </row>
    <row r="52" spans="1:18" x14ac:dyDescent="0.25">
      <c r="A52" s="352" t="s">
        <v>327</v>
      </c>
      <c r="B52" s="353">
        <v>1005008511</v>
      </c>
      <c r="C52" s="354">
        <v>80.260000000000005</v>
      </c>
      <c r="D52" s="355">
        <v>1</v>
      </c>
      <c r="E52" s="358"/>
      <c r="F52" s="351">
        <f t="shared" ref="F52:O65" si="14">IF(F$17=0,0,F$17/$C$17*$D52*$C52)</f>
        <v>481.56000000000006</v>
      </c>
      <c r="G52" s="351">
        <f t="shared" si="14"/>
        <v>481.56000000000006</v>
      </c>
      <c r="H52" s="351">
        <f t="shared" si="14"/>
        <v>481.56000000000006</v>
      </c>
      <c r="I52" s="351">
        <f t="shared" si="14"/>
        <v>481.56000000000006</v>
      </c>
      <c r="J52" s="351">
        <f t="shared" si="14"/>
        <v>481.56000000000006</v>
      </c>
      <c r="K52" s="351">
        <f t="shared" si="14"/>
        <v>481.56000000000006</v>
      </c>
      <c r="L52" s="351">
        <f t="shared" si="14"/>
        <v>481.56000000000006</v>
      </c>
      <c r="M52" s="351">
        <f t="shared" si="14"/>
        <v>481.56000000000006</v>
      </c>
      <c r="N52" s="351">
        <f t="shared" si="14"/>
        <v>481.56000000000006</v>
      </c>
      <c r="O52" s="351">
        <f t="shared" si="14"/>
        <v>481.56000000000006</v>
      </c>
      <c r="R52" s="362"/>
    </row>
    <row r="53" spans="1:18" x14ac:dyDescent="0.25">
      <c r="A53" s="352" t="s">
        <v>352</v>
      </c>
      <c r="B53" s="353" t="s">
        <v>353</v>
      </c>
      <c r="C53" s="354">
        <v>84</v>
      </c>
      <c r="D53" s="355">
        <v>1</v>
      </c>
      <c r="E53" s="358"/>
      <c r="F53" s="351">
        <f t="shared" si="14"/>
        <v>504</v>
      </c>
      <c r="G53" s="351">
        <f t="shared" si="14"/>
        <v>504</v>
      </c>
      <c r="H53" s="351">
        <f t="shared" si="14"/>
        <v>504</v>
      </c>
      <c r="I53" s="351">
        <f t="shared" si="14"/>
        <v>504</v>
      </c>
      <c r="J53" s="351">
        <f t="shared" si="14"/>
        <v>504</v>
      </c>
      <c r="K53" s="351">
        <f t="shared" si="14"/>
        <v>504</v>
      </c>
      <c r="L53" s="351">
        <f t="shared" si="14"/>
        <v>504</v>
      </c>
      <c r="M53" s="351">
        <f t="shared" si="14"/>
        <v>504</v>
      </c>
      <c r="N53" s="351">
        <f t="shared" si="14"/>
        <v>504</v>
      </c>
      <c r="O53" s="351">
        <f t="shared" si="14"/>
        <v>504</v>
      </c>
      <c r="R53" s="362"/>
    </row>
    <row r="54" spans="1:18" x14ac:dyDescent="0.25">
      <c r="A54" s="352" t="s">
        <v>328</v>
      </c>
      <c r="B54" s="353" t="s">
        <v>329</v>
      </c>
      <c r="C54" s="354">
        <f>C26</f>
        <v>5.83</v>
      </c>
      <c r="D54" s="355">
        <v>2</v>
      </c>
      <c r="E54" s="358"/>
      <c r="F54" s="351">
        <f t="shared" si="14"/>
        <v>69.960000000000008</v>
      </c>
      <c r="G54" s="351">
        <f t="shared" si="14"/>
        <v>69.960000000000008</v>
      </c>
      <c r="H54" s="351">
        <f t="shared" si="14"/>
        <v>69.960000000000008</v>
      </c>
      <c r="I54" s="351">
        <f t="shared" si="14"/>
        <v>69.960000000000008</v>
      </c>
      <c r="J54" s="351">
        <f t="shared" si="14"/>
        <v>69.960000000000008</v>
      </c>
      <c r="K54" s="351">
        <f t="shared" si="14"/>
        <v>69.960000000000008</v>
      </c>
      <c r="L54" s="351">
        <f t="shared" si="14"/>
        <v>69.960000000000008</v>
      </c>
      <c r="M54" s="351">
        <f t="shared" si="14"/>
        <v>69.960000000000008</v>
      </c>
      <c r="N54" s="351">
        <f t="shared" si="14"/>
        <v>69.960000000000008</v>
      </c>
      <c r="O54" s="351">
        <f t="shared" si="14"/>
        <v>69.960000000000008</v>
      </c>
      <c r="R54" s="362"/>
    </row>
    <row r="55" spans="1:18" x14ac:dyDescent="0.25">
      <c r="A55" s="352" t="s">
        <v>330</v>
      </c>
      <c r="B55" s="353">
        <v>1013032300</v>
      </c>
      <c r="C55" s="354">
        <v>144.34</v>
      </c>
      <c r="D55" s="355">
        <v>5</v>
      </c>
      <c r="E55" s="358"/>
      <c r="F55" s="351">
        <f t="shared" si="14"/>
        <v>4330.2</v>
      </c>
      <c r="G55" s="351">
        <f t="shared" si="14"/>
        <v>4330.2</v>
      </c>
      <c r="H55" s="351">
        <f t="shared" si="14"/>
        <v>4330.2</v>
      </c>
      <c r="I55" s="351">
        <f t="shared" si="14"/>
        <v>4330.2</v>
      </c>
      <c r="J55" s="351">
        <f t="shared" si="14"/>
        <v>4330.2</v>
      </c>
      <c r="K55" s="351">
        <f t="shared" si="14"/>
        <v>4330.2</v>
      </c>
      <c r="L55" s="351">
        <f t="shared" si="14"/>
        <v>4330.2</v>
      </c>
      <c r="M55" s="351">
        <f t="shared" si="14"/>
        <v>4330.2</v>
      </c>
      <c r="N55" s="351">
        <f t="shared" si="14"/>
        <v>4330.2</v>
      </c>
      <c r="O55" s="351">
        <f t="shared" si="14"/>
        <v>4330.2</v>
      </c>
      <c r="R55" s="362"/>
    </row>
    <row r="56" spans="1:18" x14ac:dyDescent="0.25">
      <c r="A56" s="356" t="s">
        <v>331</v>
      </c>
      <c r="B56" s="353" t="s">
        <v>332</v>
      </c>
      <c r="C56" s="354">
        <v>4</v>
      </c>
      <c r="D56" s="355">
        <v>385</v>
      </c>
      <c r="E56" s="358"/>
      <c r="F56" s="351">
        <f t="shared" si="14"/>
        <v>9240</v>
      </c>
      <c r="G56" s="351">
        <f t="shared" si="14"/>
        <v>9240</v>
      </c>
      <c r="H56" s="351">
        <f t="shared" si="14"/>
        <v>9240</v>
      </c>
      <c r="I56" s="351">
        <f t="shared" si="14"/>
        <v>9240</v>
      </c>
      <c r="J56" s="351">
        <f t="shared" si="14"/>
        <v>9240</v>
      </c>
      <c r="K56" s="351">
        <f t="shared" si="14"/>
        <v>9240</v>
      </c>
      <c r="L56" s="351">
        <f t="shared" si="14"/>
        <v>9240</v>
      </c>
      <c r="M56" s="351">
        <f t="shared" si="14"/>
        <v>9240</v>
      </c>
      <c r="N56" s="351">
        <f t="shared" si="14"/>
        <v>9240</v>
      </c>
      <c r="O56" s="351">
        <f t="shared" si="14"/>
        <v>9240</v>
      </c>
      <c r="R56" s="362"/>
    </row>
    <row r="57" spans="1:18" x14ac:dyDescent="0.25">
      <c r="A57" s="352" t="s">
        <v>330</v>
      </c>
      <c r="B57" s="353" t="s">
        <v>333</v>
      </c>
      <c r="C57" s="354">
        <v>144</v>
      </c>
      <c r="D57" s="355">
        <v>5</v>
      </c>
      <c r="E57" s="358"/>
      <c r="F57" s="351">
        <f t="shared" si="14"/>
        <v>4320</v>
      </c>
      <c r="G57" s="351">
        <f t="shared" si="14"/>
        <v>4320</v>
      </c>
      <c r="H57" s="351">
        <f t="shared" si="14"/>
        <v>4320</v>
      </c>
      <c r="I57" s="351">
        <f t="shared" si="14"/>
        <v>4320</v>
      </c>
      <c r="J57" s="351">
        <f t="shared" si="14"/>
        <v>4320</v>
      </c>
      <c r="K57" s="351">
        <f t="shared" si="14"/>
        <v>4320</v>
      </c>
      <c r="L57" s="351">
        <f t="shared" si="14"/>
        <v>4320</v>
      </c>
      <c r="M57" s="351">
        <f t="shared" si="14"/>
        <v>4320</v>
      </c>
      <c r="N57" s="351">
        <f t="shared" si="14"/>
        <v>4320</v>
      </c>
      <c r="O57" s="351">
        <f t="shared" si="14"/>
        <v>4320</v>
      </c>
      <c r="R57" s="362"/>
    </row>
    <row r="58" spans="1:18" x14ac:dyDescent="0.25">
      <c r="A58" s="356" t="s">
        <v>334</v>
      </c>
      <c r="B58" s="353" t="s">
        <v>335</v>
      </c>
      <c r="C58" s="354">
        <v>245.36</v>
      </c>
      <c r="D58" s="355">
        <v>1</v>
      </c>
      <c r="E58" s="358"/>
      <c r="F58" s="351">
        <f t="shared" si="14"/>
        <v>1472.16</v>
      </c>
      <c r="G58" s="351">
        <f t="shared" si="14"/>
        <v>1472.16</v>
      </c>
      <c r="H58" s="351">
        <f t="shared" si="14"/>
        <v>1472.16</v>
      </c>
      <c r="I58" s="351">
        <f t="shared" si="14"/>
        <v>1472.16</v>
      </c>
      <c r="J58" s="351">
        <f t="shared" si="14"/>
        <v>1472.16</v>
      </c>
      <c r="K58" s="351">
        <f t="shared" si="14"/>
        <v>1472.16</v>
      </c>
      <c r="L58" s="351">
        <f t="shared" si="14"/>
        <v>1472.16</v>
      </c>
      <c r="M58" s="351">
        <f t="shared" si="14"/>
        <v>1472.16</v>
      </c>
      <c r="N58" s="351">
        <f t="shared" si="14"/>
        <v>1472.16</v>
      </c>
      <c r="O58" s="351">
        <f t="shared" si="14"/>
        <v>1472.16</v>
      </c>
      <c r="R58" s="362"/>
    </row>
    <row r="59" spans="1:18" x14ac:dyDescent="0.25">
      <c r="A59" s="356" t="s">
        <v>336</v>
      </c>
      <c r="B59" s="353" t="s">
        <v>337</v>
      </c>
      <c r="C59" s="354">
        <v>183.52</v>
      </c>
      <c r="D59" s="355">
        <v>3</v>
      </c>
      <c r="E59" s="358"/>
      <c r="F59" s="351">
        <f t="shared" si="14"/>
        <v>3303.36</v>
      </c>
      <c r="G59" s="351">
        <f t="shared" si="14"/>
        <v>3303.36</v>
      </c>
      <c r="H59" s="351">
        <f t="shared" si="14"/>
        <v>3303.36</v>
      </c>
      <c r="I59" s="351">
        <f t="shared" si="14"/>
        <v>3303.36</v>
      </c>
      <c r="J59" s="351">
        <f t="shared" si="14"/>
        <v>3303.36</v>
      </c>
      <c r="K59" s="351">
        <f t="shared" si="14"/>
        <v>3303.36</v>
      </c>
      <c r="L59" s="351">
        <f t="shared" si="14"/>
        <v>3303.36</v>
      </c>
      <c r="M59" s="351">
        <f t="shared" si="14"/>
        <v>3303.36</v>
      </c>
      <c r="N59" s="351">
        <f t="shared" si="14"/>
        <v>3303.36</v>
      </c>
      <c r="O59" s="351">
        <f t="shared" si="14"/>
        <v>3303.36</v>
      </c>
      <c r="R59" s="362"/>
    </row>
    <row r="60" spans="1:18" x14ac:dyDescent="0.25">
      <c r="A60" s="352" t="s">
        <v>348</v>
      </c>
      <c r="B60" s="353" t="s">
        <v>349</v>
      </c>
      <c r="C60" s="354">
        <v>99</v>
      </c>
      <c r="D60" s="355">
        <v>4</v>
      </c>
      <c r="E60" s="358"/>
      <c r="F60" s="351">
        <f t="shared" si="14"/>
        <v>2376</v>
      </c>
      <c r="G60" s="351">
        <f t="shared" si="14"/>
        <v>2376</v>
      </c>
      <c r="H60" s="351">
        <f t="shared" si="14"/>
        <v>2376</v>
      </c>
      <c r="I60" s="351">
        <f t="shared" si="14"/>
        <v>2376</v>
      </c>
      <c r="J60" s="351">
        <f t="shared" si="14"/>
        <v>2376</v>
      </c>
      <c r="K60" s="351">
        <f t="shared" si="14"/>
        <v>2376</v>
      </c>
      <c r="L60" s="351">
        <f t="shared" si="14"/>
        <v>2376</v>
      </c>
      <c r="M60" s="351">
        <f t="shared" si="14"/>
        <v>2376</v>
      </c>
      <c r="N60" s="351">
        <f t="shared" si="14"/>
        <v>2376</v>
      </c>
      <c r="O60" s="351">
        <f t="shared" si="14"/>
        <v>2376</v>
      </c>
      <c r="R60" s="362"/>
    </row>
    <row r="61" spans="1:18" x14ac:dyDescent="0.25">
      <c r="A61" s="352" t="s">
        <v>328</v>
      </c>
      <c r="B61" s="353" t="s">
        <v>338</v>
      </c>
      <c r="C61" s="354">
        <v>6</v>
      </c>
      <c r="D61" s="355">
        <v>1</v>
      </c>
      <c r="E61" s="358"/>
      <c r="F61" s="351">
        <f t="shared" si="14"/>
        <v>36</v>
      </c>
      <c r="G61" s="351">
        <f t="shared" si="14"/>
        <v>36</v>
      </c>
      <c r="H61" s="351">
        <f t="shared" si="14"/>
        <v>36</v>
      </c>
      <c r="I61" s="351">
        <f t="shared" si="14"/>
        <v>36</v>
      </c>
      <c r="J61" s="351">
        <f t="shared" si="14"/>
        <v>36</v>
      </c>
      <c r="K61" s="351">
        <f t="shared" si="14"/>
        <v>36</v>
      </c>
      <c r="L61" s="351">
        <f t="shared" si="14"/>
        <v>36</v>
      </c>
      <c r="M61" s="351">
        <f t="shared" si="14"/>
        <v>36</v>
      </c>
      <c r="N61" s="351">
        <f t="shared" si="14"/>
        <v>36</v>
      </c>
      <c r="O61" s="351">
        <f t="shared" si="14"/>
        <v>36</v>
      </c>
      <c r="R61" s="362"/>
    </row>
    <row r="62" spans="1:18" x14ac:dyDescent="0.25">
      <c r="A62" s="352" t="s">
        <v>339</v>
      </c>
      <c r="B62" s="353" t="s">
        <v>340</v>
      </c>
      <c r="C62" s="354">
        <v>126</v>
      </c>
      <c r="D62" s="355">
        <v>1</v>
      </c>
      <c r="E62" s="358"/>
      <c r="F62" s="351">
        <f t="shared" si="14"/>
        <v>756</v>
      </c>
      <c r="G62" s="351">
        <f t="shared" si="14"/>
        <v>756</v>
      </c>
      <c r="H62" s="351">
        <f t="shared" si="14"/>
        <v>756</v>
      </c>
      <c r="I62" s="351">
        <f t="shared" si="14"/>
        <v>756</v>
      </c>
      <c r="J62" s="351">
        <f t="shared" si="14"/>
        <v>756</v>
      </c>
      <c r="K62" s="351">
        <f t="shared" si="14"/>
        <v>756</v>
      </c>
      <c r="L62" s="351">
        <f t="shared" si="14"/>
        <v>756</v>
      </c>
      <c r="M62" s="351">
        <f t="shared" si="14"/>
        <v>756</v>
      </c>
      <c r="N62" s="351">
        <f t="shared" si="14"/>
        <v>756</v>
      </c>
      <c r="O62" s="351">
        <f t="shared" si="14"/>
        <v>756</v>
      </c>
      <c r="R62" s="362"/>
    </row>
    <row r="63" spans="1:18" x14ac:dyDescent="0.25">
      <c r="A63" s="352" t="s">
        <v>339</v>
      </c>
      <c r="B63" s="353" t="s">
        <v>341</v>
      </c>
      <c r="C63" s="354">
        <v>126</v>
      </c>
      <c r="D63" s="355">
        <v>1</v>
      </c>
      <c r="E63" s="358"/>
      <c r="F63" s="351">
        <f t="shared" si="14"/>
        <v>756</v>
      </c>
      <c r="G63" s="351">
        <f t="shared" si="14"/>
        <v>756</v>
      </c>
      <c r="H63" s="351">
        <f t="shared" si="14"/>
        <v>756</v>
      </c>
      <c r="I63" s="351">
        <f t="shared" si="14"/>
        <v>756</v>
      </c>
      <c r="J63" s="351">
        <f t="shared" si="14"/>
        <v>756</v>
      </c>
      <c r="K63" s="351">
        <f t="shared" si="14"/>
        <v>756</v>
      </c>
      <c r="L63" s="351">
        <f t="shared" si="14"/>
        <v>756</v>
      </c>
      <c r="M63" s="351">
        <f t="shared" si="14"/>
        <v>756</v>
      </c>
      <c r="N63" s="351">
        <f t="shared" si="14"/>
        <v>756</v>
      </c>
      <c r="O63" s="351">
        <f t="shared" si="14"/>
        <v>756</v>
      </c>
      <c r="R63" s="362"/>
    </row>
    <row r="64" spans="1:18" x14ac:dyDescent="0.25">
      <c r="A64" s="352" t="s">
        <v>350</v>
      </c>
      <c r="B64" s="353" t="s">
        <v>351</v>
      </c>
      <c r="C64" s="354">
        <v>25</v>
      </c>
      <c r="D64" s="355">
        <v>2</v>
      </c>
      <c r="E64" s="358"/>
      <c r="F64" s="351">
        <f t="shared" si="14"/>
        <v>300</v>
      </c>
      <c r="G64" s="351">
        <f t="shared" si="14"/>
        <v>300</v>
      </c>
      <c r="H64" s="351">
        <f t="shared" si="14"/>
        <v>300</v>
      </c>
      <c r="I64" s="351">
        <f t="shared" si="14"/>
        <v>300</v>
      </c>
      <c r="J64" s="351">
        <f t="shared" si="14"/>
        <v>300</v>
      </c>
      <c r="K64" s="351">
        <f t="shared" si="14"/>
        <v>300</v>
      </c>
      <c r="L64" s="351">
        <f t="shared" si="14"/>
        <v>300</v>
      </c>
      <c r="M64" s="351">
        <f t="shared" si="14"/>
        <v>300</v>
      </c>
      <c r="N64" s="351">
        <f t="shared" si="14"/>
        <v>300</v>
      </c>
      <c r="O64" s="351">
        <f t="shared" si="14"/>
        <v>300</v>
      </c>
      <c r="R64" s="362"/>
    </row>
    <row r="65" spans="1:18" x14ac:dyDescent="0.25">
      <c r="A65" s="356" t="s">
        <v>346</v>
      </c>
      <c r="B65" s="363" t="s">
        <v>347</v>
      </c>
      <c r="C65" s="354">
        <v>1.1000000000000001</v>
      </c>
      <c r="D65" s="361">
        <v>21</v>
      </c>
      <c r="E65" s="358"/>
      <c r="F65" s="351">
        <f t="shared" si="14"/>
        <v>138.60000000000002</v>
      </c>
      <c r="G65" s="351">
        <f t="shared" si="14"/>
        <v>138.60000000000002</v>
      </c>
      <c r="H65" s="351">
        <f t="shared" si="14"/>
        <v>138.60000000000002</v>
      </c>
      <c r="I65" s="351">
        <f t="shared" si="14"/>
        <v>138.60000000000002</v>
      </c>
      <c r="J65" s="351">
        <f t="shared" si="14"/>
        <v>138.60000000000002</v>
      </c>
      <c r="K65" s="351">
        <f t="shared" si="14"/>
        <v>138.60000000000002</v>
      </c>
      <c r="L65" s="351">
        <f t="shared" si="14"/>
        <v>138.60000000000002</v>
      </c>
      <c r="M65" s="351">
        <f t="shared" si="14"/>
        <v>138.60000000000002</v>
      </c>
      <c r="N65" s="351">
        <f t="shared" si="14"/>
        <v>138.60000000000002</v>
      </c>
      <c r="O65" s="351">
        <f t="shared" si="14"/>
        <v>138.60000000000002</v>
      </c>
      <c r="R65" s="362"/>
    </row>
    <row r="66" spans="1:18" x14ac:dyDescent="0.25">
      <c r="A66" s="347" t="s">
        <v>320</v>
      </c>
      <c r="B66" s="364"/>
      <c r="C66" s="348"/>
      <c r="D66" s="349">
        <f>VLOOKUP($A66,$A$14:$B$20,2,FALSE)</f>
        <v>3500</v>
      </c>
      <c r="E66" s="294">
        <f>VLOOKUP($A66,$A$14:$D$20,4,FALSE)</f>
        <v>2</v>
      </c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R66" s="362"/>
    </row>
    <row r="67" spans="1:18" x14ac:dyDescent="0.25">
      <c r="A67" s="357" t="s">
        <v>342</v>
      </c>
      <c r="B67" s="353" t="s">
        <v>343</v>
      </c>
      <c r="C67" s="354">
        <v>3.49</v>
      </c>
      <c r="D67" s="355">
        <v>790</v>
      </c>
      <c r="E67" s="358"/>
      <c r="F67" s="351">
        <f t="shared" ref="F67:O67" si="15">IF(F$18=0,0,F$18/$C$18*$D67*$C67)</f>
        <v>5514.2000000000007</v>
      </c>
      <c r="G67" s="351">
        <f t="shared" si="15"/>
        <v>5514.2000000000007</v>
      </c>
      <c r="H67" s="351">
        <f t="shared" si="15"/>
        <v>5514.2000000000007</v>
      </c>
      <c r="I67" s="351">
        <f t="shared" si="15"/>
        <v>5514.2000000000007</v>
      </c>
      <c r="J67" s="351">
        <f t="shared" si="15"/>
        <v>5514.2000000000007</v>
      </c>
      <c r="K67" s="351">
        <f t="shared" si="15"/>
        <v>5514.2000000000007</v>
      </c>
      <c r="L67" s="351">
        <f t="shared" si="15"/>
        <v>5514.2000000000007</v>
      </c>
      <c r="M67" s="351">
        <f t="shared" si="15"/>
        <v>5514.2000000000007</v>
      </c>
      <c r="N67" s="351">
        <f t="shared" si="15"/>
        <v>5514.2000000000007</v>
      </c>
      <c r="O67" s="351">
        <f t="shared" si="15"/>
        <v>5514.2000000000007</v>
      </c>
      <c r="R67" s="362"/>
    </row>
    <row r="68" spans="1:18" x14ac:dyDescent="0.25">
      <c r="A68" s="347" t="s">
        <v>321</v>
      </c>
      <c r="B68" s="364"/>
      <c r="C68" s="348"/>
      <c r="D68" s="349">
        <f>VLOOKUP($A68,$A$14:$B$20,2,FALSE)</f>
        <v>2500</v>
      </c>
      <c r="E68" s="294">
        <f>VLOOKUP($A68,$A$14:$D$20,4,FALSE)</f>
        <v>2</v>
      </c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R68" s="362"/>
    </row>
    <row r="69" spans="1:18" ht="28.55" x14ac:dyDescent="0.25">
      <c r="A69" s="357" t="s">
        <v>344</v>
      </c>
      <c r="B69" s="360" t="s">
        <v>345</v>
      </c>
      <c r="C69" s="354">
        <f>C36</f>
        <v>3.7</v>
      </c>
      <c r="D69" s="355">
        <v>210</v>
      </c>
      <c r="E69" s="358"/>
      <c r="F69" s="351">
        <f>IF(F$19=0,0,F$19/$C$19*$D69*$C69)</f>
        <v>1554</v>
      </c>
      <c r="G69" s="351">
        <f t="shared" ref="G69:O69" si="16">IF(G$19=0,0,G$19/$C$19*$D69*$C69)</f>
        <v>1554</v>
      </c>
      <c r="H69" s="351">
        <f t="shared" si="16"/>
        <v>1554</v>
      </c>
      <c r="I69" s="351">
        <f t="shared" si="16"/>
        <v>1554</v>
      </c>
      <c r="J69" s="351">
        <f t="shared" si="16"/>
        <v>1554</v>
      </c>
      <c r="K69" s="351">
        <f t="shared" si="16"/>
        <v>1554</v>
      </c>
      <c r="L69" s="351">
        <f t="shared" si="16"/>
        <v>1554</v>
      </c>
      <c r="M69" s="351">
        <f t="shared" si="16"/>
        <v>1554</v>
      </c>
      <c r="N69" s="351">
        <f t="shared" si="16"/>
        <v>1554</v>
      </c>
      <c r="O69" s="351">
        <f t="shared" si="16"/>
        <v>1554</v>
      </c>
      <c r="R69" s="362"/>
    </row>
    <row r="70" spans="1:18" x14ac:dyDescent="0.25">
      <c r="A70" s="347" t="s">
        <v>322</v>
      </c>
      <c r="B70" s="364"/>
      <c r="C70" s="348"/>
      <c r="D70" s="349">
        <f>VLOOKUP($A70,$A$14:$B$20,2,FALSE)</f>
        <v>4000</v>
      </c>
      <c r="E70" s="294">
        <f>VLOOKUP($A70,$A$14:$D$20,4,FALSE)</f>
        <v>1</v>
      </c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R70" s="362"/>
    </row>
    <row r="71" spans="1:18" ht="28.55" x14ac:dyDescent="0.25">
      <c r="A71" s="357" t="s">
        <v>344</v>
      </c>
      <c r="B71" s="360" t="s">
        <v>354</v>
      </c>
      <c r="C71" s="354">
        <v>3.7</v>
      </c>
      <c r="D71" s="355">
        <v>750</v>
      </c>
      <c r="E71" s="358"/>
      <c r="F71" s="351">
        <f>IF(F$20=0,0,F$20/$C$20*$D71*$C71)</f>
        <v>2775</v>
      </c>
      <c r="G71" s="351">
        <f t="shared" ref="G71:O71" si="17">IF(G$20=0,0,G$20/$C$20*$D71*$C71)</f>
        <v>2775</v>
      </c>
      <c r="H71" s="351">
        <f t="shared" si="17"/>
        <v>2775</v>
      </c>
      <c r="I71" s="351">
        <f t="shared" si="17"/>
        <v>2775</v>
      </c>
      <c r="J71" s="351">
        <f t="shared" si="17"/>
        <v>2775</v>
      </c>
      <c r="K71" s="351">
        <f t="shared" si="17"/>
        <v>2775</v>
      </c>
      <c r="L71" s="351">
        <f t="shared" si="17"/>
        <v>2775</v>
      </c>
      <c r="M71" s="351">
        <f t="shared" si="17"/>
        <v>2775</v>
      </c>
      <c r="N71" s="351">
        <f t="shared" si="17"/>
        <v>2775</v>
      </c>
      <c r="O71" s="351">
        <f t="shared" si="17"/>
        <v>2775</v>
      </c>
      <c r="R71" s="362"/>
    </row>
  </sheetData>
  <mergeCells count="2">
    <mergeCell ref="A11:O11"/>
    <mergeCell ref="A21:O21"/>
  </mergeCells>
  <pageMargins left="0" right="0" top="0.74803149606299213" bottom="0.74803149606299213" header="0.31496062992125984" footer="0.31496062992125984"/>
  <pageSetup paperSize="8" scale="66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622A-B781-4B25-82EB-088ADB14A49C}">
  <sheetPr>
    <tabColor theme="7" tint="0.79998168889431442"/>
    <pageSetUpPr fitToPage="1"/>
  </sheetPr>
  <dimension ref="B2:Z82"/>
  <sheetViews>
    <sheetView showGridLines="0" zoomScale="85" zoomScaleNormal="85" zoomScaleSheetLayoutView="85" workbookViewId="0">
      <pane xSplit="2" ySplit="6" topLeftCell="C7" activePane="bottomRight" state="frozen"/>
      <selection activeCell="N49" sqref="N49"/>
      <selection pane="topRight" activeCell="N49" sqref="N49"/>
      <selection pane="bottomLeft" activeCell="N49" sqref="N49"/>
      <selection pane="bottomRight" activeCell="N49" sqref="N49"/>
    </sheetView>
  </sheetViews>
  <sheetFormatPr defaultRowHeight="14.3" x14ac:dyDescent="0.25"/>
  <cols>
    <col min="1" max="1" width="5.375" style="275" customWidth="1"/>
    <col min="2" max="2" width="58.75" style="275" customWidth="1"/>
    <col min="3" max="3" width="14.25" style="275" customWidth="1"/>
    <col min="4" max="4" width="17.375" style="275" customWidth="1"/>
    <col min="5" max="5" width="11.375" style="276" customWidth="1"/>
    <col min="6" max="15" width="11.125" style="276" customWidth="1"/>
    <col min="16" max="16" width="24.625" style="275" customWidth="1"/>
    <col min="17" max="17" width="9" style="275"/>
    <col min="18" max="18" width="18.125" style="275" customWidth="1"/>
    <col min="19" max="16384" width="9" style="275"/>
  </cols>
  <sheetData>
    <row r="2" spans="2:16" x14ac:dyDescent="0.25">
      <c r="B2" s="365" t="s">
        <v>259</v>
      </c>
    </row>
    <row r="3" spans="2:16" ht="14.95" thickBot="1" x14ac:dyDescent="0.3">
      <c r="B3" s="275" t="s">
        <v>298</v>
      </c>
      <c r="F3" s="277">
        <f>БелАЗ_1!E12</f>
        <v>0.90830416032470829</v>
      </c>
      <c r="G3" s="277">
        <f>БелАЗ_1!F12</f>
        <v>0.88577435312024355</v>
      </c>
      <c r="H3" s="277">
        <f>БелАЗ_1!G12</f>
        <v>0.86468734145103998</v>
      </c>
      <c r="I3" s="277">
        <f>БелАЗ_1!H12</f>
        <v>0.87460193641129713</v>
      </c>
      <c r="J3" s="277">
        <f>БелАЗ_1!I12</f>
        <v>0.88129798748520216</v>
      </c>
      <c r="K3" s="277">
        <f>БелАЗ_1!J12</f>
        <v>0.8456720361914426</v>
      </c>
      <c r="L3" s="277">
        <f>БелАЗ_1!K12</f>
        <v>0.89713174361576187</v>
      </c>
      <c r="M3" s="277">
        <f>БелАЗ_1!L12</f>
        <v>0.85462476746152538</v>
      </c>
      <c r="N3" s="277">
        <f>БелАЗ_1!M12</f>
        <v>0.84219452900388969</v>
      </c>
      <c r="O3" s="277">
        <f>БелАЗ_1!N12</f>
        <v>0.86135781329274486</v>
      </c>
    </row>
    <row r="4" spans="2:16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O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  <c r="N4" s="337">
        <f t="shared" si="0"/>
        <v>9</v>
      </c>
      <c r="O4" s="337">
        <f t="shared" si="0"/>
        <v>10</v>
      </c>
    </row>
    <row r="5" spans="2:16" x14ac:dyDescent="0.25">
      <c r="B5" s="369" t="s">
        <v>300</v>
      </c>
      <c r="C5" s="370" t="s">
        <v>301</v>
      </c>
      <c r="D5" s="292"/>
      <c r="E5" s="370"/>
      <c r="F5" s="295">
        <v>0</v>
      </c>
      <c r="G5" s="295">
        <f>F6+1</f>
        <v>7001</v>
      </c>
      <c r="H5" s="295">
        <f t="shared" ref="H5:O5" si="1">G6+1</f>
        <v>14001</v>
      </c>
      <c r="I5" s="295">
        <f t="shared" si="1"/>
        <v>21001</v>
      </c>
      <c r="J5" s="295">
        <f t="shared" si="1"/>
        <v>28001</v>
      </c>
      <c r="K5" s="295">
        <f t="shared" si="1"/>
        <v>35001</v>
      </c>
      <c r="L5" s="295">
        <f t="shared" si="1"/>
        <v>42001</v>
      </c>
      <c r="M5" s="295">
        <f t="shared" si="1"/>
        <v>49001</v>
      </c>
      <c r="N5" s="295">
        <f t="shared" si="1"/>
        <v>56001</v>
      </c>
      <c r="O5" s="295">
        <f t="shared" si="1"/>
        <v>63001</v>
      </c>
    </row>
    <row r="6" spans="2:16" ht="14.95" thickBot="1" x14ac:dyDescent="0.3">
      <c r="B6" s="371" t="s">
        <v>302</v>
      </c>
      <c r="C6" s="372" t="s">
        <v>301</v>
      </c>
      <c r="D6" s="373"/>
      <c r="E6" s="374">
        <f>'БелАЗ ТО_1'!E6</f>
        <v>7000</v>
      </c>
      <c r="F6" s="375">
        <f>E6</f>
        <v>7000</v>
      </c>
      <c r="G6" s="375">
        <f t="shared" ref="G6:O6" si="2">F6+$E6</f>
        <v>14000</v>
      </c>
      <c r="H6" s="375">
        <f t="shared" si="2"/>
        <v>21000</v>
      </c>
      <c r="I6" s="375">
        <f t="shared" si="2"/>
        <v>28000</v>
      </c>
      <c r="J6" s="375">
        <f t="shared" si="2"/>
        <v>35000</v>
      </c>
      <c r="K6" s="375">
        <f t="shared" si="2"/>
        <v>42000</v>
      </c>
      <c r="L6" s="375">
        <f t="shared" si="2"/>
        <v>49000</v>
      </c>
      <c r="M6" s="375">
        <f t="shared" si="2"/>
        <v>56000</v>
      </c>
      <c r="N6" s="375">
        <f t="shared" si="2"/>
        <v>63000</v>
      </c>
      <c r="O6" s="375">
        <f t="shared" si="2"/>
        <v>70000</v>
      </c>
    </row>
    <row r="7" spans="2:16" ht="14.95" thickBot="1" x14ac:dyDescent="0.3"/>
    <row r="8" spans="2:16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120</v>
      </c>
      <c r="G8" s="378">
        <f t="shared" ref="G8:O8" si="3">G16</f>
        <v>330</v>
      </c>
      <c r="H8" s="378">
        <f t="shared" si="3"/>
        <v>520</v>
      </c>
      <c r="I8" s="378">
        <f t="shared" si="3"/>
        <v>430.66666666666669</v>
      </c>
      <c r="J8" s="378">
        <f t="shared" si="3"/>
        <v>370.33333333333331</v>
      </c>
      <c r="K8" s="378">
        <f t="shared" si="3"/>
        <v>691.33333333333337</v>
      </c>
      <c r="L8" s="378">
        <f t="shared" si="3"/>
        <v>227.66666666666666</v>
      </c>
      <c r="M8" s="378">
        <f t="shared" si="3"/>
        <v>610.66666666666663</v>
      </c>
      <c r="N8" s="378">
        <f t="shared" si="3"/>
        <v>722.66666666666663</v>
      </c>
      <c r="O8" s="378">
        <f t="shared" si="3"/>
        <v>550</v>
      </c>
    </row>
    <row r="9" spans="2:16" ht="21.1" customHeight="1" x14ac:dyDescent="0.25">
      <c r="B9" s="379" t="s">
        <v>357</v>
      </c>
      <c r="C9" s="380" t="s">
        <v>358</v>
      </c>
      <c r="D9" s="253"/>
      <c r="E9" s="253"/>
      <c r="F9" s="302">
        <f>SUM(F10:F12)</f>
        <v>25601.1</v>
      </c>
      <c r="G9" s="302">
        <f t="shared" ref="G9:O9" si="4">SUM(G10:G12)</f>
        <v>207244.15</v>
      </c>
      <c r="H9" s="302">
        <f t="shared" si="4"/>
        <v>461710.85</v>
      </c>
      <c r="I9" s="302">
        <f t="shared" si="4"/>
        <v>616649.34499999997</v>
      </c>
      <c r="J9" s="302">
        <f t="shared" si="4"/>
        <v>521265.67499999999</v>
      </c>
      <c r="K9" s="302">
        <f t="shared" si="4"/>
        <v>578261.86</v>
      </c>
      <c r="L9" s="302">
        <f t="shared" si="4"/>
        <v>70137.904999999999</v>
      </c>
      <c r="M9" s="302">
        <f t="shared" si="4"/>
        <v>736836.90500000003</v>
      </c>
      <c r="N9" s="302">
        <f t="shared" si="4"/>
        <v>851393.05999999994</v>
      </c>
      <c r="O9" s="302">
        <f t="shared" si="4"/>
        <v>121151.75</v>
      </c>
      <c r="P9" s="303"/>
    </row>
    <row r="10" spans="2:16" ht="18.7" customHeight="1" x14ac:dyDescent="0.25">
      <c r="B10" s="381" t="s">
        <v>283</v>
      </c>
      <c r="C10" s="260" t="s">
        <v>358</v>
      </c>
      <c r="D10" s="260"/>
      <c r="E10" s="260"/>
      <c r="F10" s="263">
        <f>F54</f>
        <v>16500</v>
      </c>
      <c r="G10" s="263">
        <f t="shared" ref="G10:O10" si="5">G54</f>
        <v>183700</v>
      </c>
      <c r="H10" s="263">
        <f t="shared" si="5"/>
        <v>158500</v>
      </c>
      <c r="I10" s="263">
        <f t="shared" si="5"/>
        <v>50700</v>
      </c>
      <c r="J10" s="263">
        <f t="shared" si="5"/>
        <v>163500</v>
      </c>
      <c r="K10" s="263">
        <f t="shared" si="5"/>
        <v>188700</v>
      </c>
      <c r="L10" s="263">
        <f t="shared" si="5"/>
        <v>35500</v>
      </c>
      <c r="M10" s="263">
        <f t="shared" si="5"/>
        <v>198700</v>
      </c>
      <c r="N10" s="263">
        <f t="shared" si="5"/>
        <v>173500</v>
      </c>
      <c r="O10" s="263">
        <f t="shared" si="5"/>
        <v>70700</v>
      </c>
    </row>
    <row r="11" spans="2:16" ht="18.7" customHeight="1" x14ac:dyDescent="0.25">
      <c r="B11" s="381" t="s">
        <v>284</v>
      </c>
      <c r="C11" s="260" t="s">
        <v>358</v>
      </c>
      <c r="D11" s="260"/>
      <c r="E11" s="260"/>
      <c r="F11" s="263">
        <f>F59</f>
        <v>0</v>
      </c>
      <c r="G11" s="263">
        <f t="shared" ref="G11:O11" si="6">G59</f>
        <v>0</v>
      </c>
      <c r="H11" s="263">
        <f t="shared" si="6"/>
        <v>267400</v>
      </c>
      <c r="I11" s="263">
        <f t="shared" si="6"/>
        <v>530000</v>
      </c>
      <c r="J11" s="263">
        <f t="shared" si="6"/>
        <v>327000</v>
      </c>
      <c r="K11" s="263">
        <f t="shared" si="6"/>
        <v>338200</v>
      </c>
      <c r="L11" s="263">
        <f t="shared" si="6"/>
        <v>14200</v>
      </c>
      <c r="M11" s="263">
        <f t="shared" si="6"/>
        <v>490000</v>
      </c>
      <c r="N11" s="263">
        <f t="shared" si="6"/>
        <v>620200</v>
      </c>
      <c r="O11" s="263">
        <f t="shared" si="6"/>
        <v>0</v>
      </c>
    </row>
    <row r="12" spans="2:16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SUMPRODUCT($D30:$D50,F$30:F$50)</f>
        <v>9101.1</v>
      </c>
      <c r="G12" s="314">
        <f t="shared" ref="G12:O12" si="7">SUMPRODUCT($D30:$D50,G$30:G$50)</f>
        <v>23544.15</v>
      </c>
      <c r="H12" s="314">
        <f t="shared" si="7"/>
        <v>35810.85</v>
      </c>
      <c r="I12" s="314">
        <f t="shared" si="7"/>
        <v>35949.345000000001</v>
      </c>
      <c r="J12" s="314">
        <f t="shared" si="7"/>
        <v>30765.674999999999</v>
      </c>
      <c r="K12" s="314">
        <f t="shared" si="7"/>
        <v>51361.86</v>
      </c>
      <c r="L12" s="314">
        <f t="shared" si="7"/>
        <v>20437.904999999999</v>
      </c>
      <c r="M12" s="314">
        <f t="shared" si="7"/>
        <v>48136.904999999999</v>
      </c>
      <c r="N12" s="314">
        <f t="shared" si="7"/>
        <v>57693.05999999999</v>
      </c>
      <c r="O12" s="314">
        <f t="shared" si="7"/>
        <v>50451.75</v>
      </c>
    </row>
    <row r="13" spans="2:16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  <c r="N13" s="386"/>
      <c r="O13" s="386"/>
    </row>
    <row r="14" spans="2:16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</row>
    <row r="15" spans="2:16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O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  <c r="N15" s="389">
        <f t="shared" si="8"/>
        <v>9</v>
      </c>
      <c r="O15" s="389">
        <f t="shared" si="8"/>
        <v>10</v>
      </c>
    </row>
    <row r="16" spans="2:16" ht="16.5" customHeight="1" x14ac:dyDescent="0.25">
      <c r="B16" s="390" t="s">
        <v>362</v>
      </c>
      <c r="C16" s="246"/>
      <c r="D16" s="260"/>
      <c r="E16" s="260"/>
      <c r="F16" s="391">
        <f t="shared" ref="F16:O16" si="9">SUM(F17:F25)</f>
        <v>120</v>
      </c>
      <c r="G16" s="391">
        <f t="shared" si="9"/>
        <v>330</v>
      </c>
      <c r="H16" s="391">
        <f t="shared" si="9"/>
        <v>520</v>
      </c>
      <c r="I16" s="391">
        <f t="shared" si="9"/>
        <v>430.66666666666669</v>
      </c>
      <c r="J16" s="391">
        <f t="shared" si="9"/>
        <v>370.33333333333331</v>
      </c>
      <c r="K16" s="391">
        <f t="shared" si="9"/>
        <v>691.33333333333337</v>
      </c>
      <c r="L16" s="391">
        <f t="shared" si="9"/>
        <v>227.66666666666666</v>
      </c>
      <c r="M16" s="391">
        <f t="shared" si="9"/>
        <v>610.66666666666663</v>
      </c>
      <c r="N16" s="391">
        <f t="shared" si="9"/>
        <v>722.66666666666663</v>
      </c>
      <c r="O16" s="391">
        <f t="shared" si="9"/>
        <v>550</v>
      </c>
    </row>
    <row r="17" spans="2:26" ht="16.5" customHeight="1" x14ac:dyDescent="0.25">
      <c r="B17" s="392" t="s">
        <v>363</v>
      </c>
      <c r="C17" s="257" t="s">
        <v>304</v>
      </c>
      <c r="D17" s="271"/>
      <c r="E17" s="260"/>
      <c r="F17" s="393">
        <v>20</v>
      </c>
      <c r="G17" s="269">
        <v>30</v>
      </c>
      <c r="H17" s="394">
        <v>40</v>
      </c>
      <c r="I17" s="394">
        <v>55</v>
      </c>
      <c r="J17" s="394">
        <v>75</v>
      </c>
      <c r="K17" s="394">
        <v>90</v>
      </c>
      <c r="L17" s="394">
        <v>125</v>
      </c>
      <c r="M17" s="394">
        <v>135</v>
      </c>
      <c r="N17" s="394">
        <v>150</v>
      </c>
      <c r="O17" s="394">
        <v>350</v>
      </c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spans="2:26" ht="16.5" customHeight="1" x14ac:dyDescent="0.25">
      <c r="B18" s="392" t="s">
        <v>364</v>
      </c>
      <c r="C18" s="257" t="s">
        <v>304</v>
      </c>
      <c r="D18" s="271">
        <v>100</v>
      </c>
      <c r="E18" s="260"/>
      <c r="F18" s="393">
        <f>COUNTIFS($B$55:$B$58,$B18,F$55:F$58,"&gt;0")*$D18</f>
        <v>0</v>
      </c>
      <c r="G18" s="393">
        <f t="shared" ref="G18:N20" si="10">COUNTIFS($B$55:$B$58,$B18,G$55:G$58,"&gt;0")*$D18</f>
        <v>100</v>
      </c>
      <c r="H18" s="393">
        <f t="shared" si="10"/>
        <v>100</v>
      </c>
      <c r="I18" s="393">
        <f t="shared" si="10"/>
        <v>0</v>
      </c>
      <c r="J18" s="393">
        <f t="shared" si="10"/>
        <v>100</v>
      </c>
      <c r="K18" s="393">
        <f t="shared" si="10"/>
        <v>100</v>
      </c>
      <c r="L18" s="393">
        <f t="shared" si="10"/>
        <v>0</v>
      </c>
      <c r="M18" s="393">
        <f t="shared" si="10"/>
        <v>100</v>
      </c>
      <c r="N18" s="393">
        <f t="shared" si="10"/>
        <v>100</v>
      </c>
      <c r="O18" s="393">
        <f>COUNTIFS($B$55:$B$58,$B18,O$55:O$58,"&gt;0")*$D18</f>
        <v>0</v>
      </c>
    </row>
    <row r="19" spans="2:26" ht="16.5" customHeight="1" x14ac:dyDescent="0.25">
      <c r="B19" s="396" t="s">
        <v>365</v>
      </c>
      <c r="C19" s="257" t="s">
        <v>304</v>
      </c>
      <c r="D19" s="271">
        <v>100</v>
      </c>
      <c r="E19" s="260"/>
      <c r="F19" s="393">
        <f>COUNTIFS($B$55:$B$58,$B19,F$55:F$58,"&gt;0")*$D19</f>
        <v>100</v>
      </c>
      <c r="G19" s="393">
        <f t="shared" si="10"/>
        <v>100</v>
      </c>
      <c r="H19" s="393">
        <f t="shared" si="10"/>
        <v>100</v>
      </c>
      <c r="I19" s="393">
        <f t="shared" si="10"/>
        <v>100</v>
      </c>
      <c r="J19" s="393">
        <f t="shared" si="10"/>
        <v>100</v>
      </c>
      <c r="K19" s="393">
        <f t="shared" si="10"/>
        <v>100</v>
      </c>
      <c r="L19" s="393">
        <f t="shared" si="10"/>
        <v>100</v>
      </c>
      <c r="M19" s="393">
        <f t="shared" si="10"/>
        <v>100</v>
      </c>
      <c r="N19" s="393">
        <f t="shared" si="10"/>
        <v>100</v>
      </c>
      <c r="O19" s="393">
        <f>COUNTIFS($B$55:$B$58,$B19,O$55:O$58,"&gt;0")*$D19</f>
        <v>100</v>
      </c>
    </row>
    <row r="20" spans="2:26" ht="16.5" customHeight="1" x14ac:dyDescent="0.25">
      <c r="B20" s="396" t="s">
        <v>366</v>
      </c>
      <c r="C20" s="257" t="s">
        <v>304</v>
      </c>
      <c r="D20" s="271">
        <v>100</v>
      </c>
      <c r="E20" s="260"/>
      <c r="F20" s="393">
        <f>COUNTIFS($B$55:$B$58,$B20,F$55:F$58,"&gt;0")*$D20</f>
        <v>0</v>
      </c>
      <c r="G20" s="393">
        <f t="shared" si="10"/>
        <v>100</v>
      </c>
      <c r="H20" s="393">
        <f t="shared" si="10"/>
        <v>0</v>
      </c>
      <c r="I20" s="393">
        <f t="shared" si="10"/>
        <v>100</v>
      </c>
      <c r="J20" s="393">
        <f t="shared" si="10"/>
        <v>0</v>
      </c>
      <c r="K20" s="393">
        <f t="shared" si="10"/>
        <v>100</v>
      </c>
      <c r="L20" s="393">
        <f t="shared" si="10"/>
        <v>0</v>
      </c>
      <c r="M20" s="393">
        <f t="shared" si="10"/>
        <v>100</v>
      </c>
      <c r="N20" s="393">
        <f t="shared" si="10"/>
        <v>0</v>
      </c>
      <c r="O20" s="393">
        <f>COUNTIFS($B$55:$B$58,$B20,O$55:O$58,"&gt;0")*$D20</f>
        <v>100</v>
      </c>
    </row>
    <row r="21" spans="2:26" ht="16.5" customHeight="1" x14ac:dyDescent="0.25">
      <c r="B21" s="396" t="s">
        <v>367</v>
      </c>
      <c r="C21" s="257" t="s">
        <v>304</v>
      </c>
      <c r="D21" s="271">
        <v>168</v>
      </c>
      <c r="E21" s="268">
        <v>1</v>
      </c>
      <c r="F21" s="393">
        <f>COUNTIFS($B$61:$B$79,$B21,F$61:F$79,"&gt;0")*$D21</f>
        <v>0</v>
      </c>
      <c r="G21" s="393">
        <f t="shared" ref="F21:N24" si="11">COUNTIFS($B$61:$B$79,$B21,G$61:G$79,"&gt;0")*$D21</f>
        <v>0</v>
      </c>
      <c r="H21" s="393">
        <f t="shared" si="11"/>
        <v>0</v>
      </c>
      <c r="I21" s="393">
        <f t="shared" si="11"/>
        <v>168</v>
      </c>
      <c r="J21" s="393">
        <f t="shared" si="11"/>
        <v>0</v>
      </c>
      <c r="K21" s="393">
        <f t="shared" si="11"/>
        <v>0</v>
      </c>
      <c r="L21" s="393">
        <f t="shared" si="11"/>
        <v>0</v>
      </c>
      <c r="M21" s="393">
        <f t="shared" si="11"/>
        <v>168</v>
      </c>
      <c r="N21" s="393">
        <f t="shared" si="11"/>
        <v>0</v>
      </c>
      <c r="O21" s="393">
        <f>COUNTIFS($B$61:$B$79,$B21,O$61:O$79,"&gt;0")*$D21</f>
        <v>0</v>
      </c>
    </row>
    <row r="22" spans="2:26" ht="16.5" customHeight="1" x14ac:dyDescent="0.25">
      <c r="B22" s="396" t="s">
        <v>368</v>
      </c>
      <c r="C22" s="257" t="s">
        <v>304</v>
      </c>
      <c r="D22" s="271">
        <v>110</v>
      </c>
      <c r="E22" s="268">
        <v>1</v>
      </c>
      <c r="F22" s="393">
        <f t="shared" si="11"/>
        <v>0</v>
      </c>
      <c r="G22" s="393">
        <f t="shared" si="11"/>
        <v>0</v>
      </c>
      <c r="H22" s="393">
        <f>COUNTIFS($B$61:$B$79,$B22,H$61:H$79,"&gt;0")*$D22</f>
        <v>110</v>
      </c>
      <c r="I22" s="393">
        <f t="shared" si="11"/>
        <v>0</v>
      </c>
      <c r="J22" s="393">
        <f t="shared" si="11"/>
        <v>0</v>
      </c>
      <c r="K22" s="393">
        <f t="shared" si="11"/>
        <v>110</v>
      </c>
      <c r="L22" s="393">
        <f t="shared" si="11"/>
        <v>0</v>
      </c>
      <c r="M22" s="393">
        <f t="shared" si="11"/>
        <v>0</v>
      </c>
      <c r="N22" s="393">
        <f t="shared" si="11"/>
        <v>110</v>
      </c>
      <c r="O22" s="393">
        <f>COUNTIFS($B$61:$B$79,$B22,O$61:O$79,"&gt;0")*$D22</f>
        <v>0</v>
      </c>
    </row>
    <row r="23" spans="2:26" ht="16.5" customHeight="1" x14ac:dyDescent="0.25">
      <c r="B23" s="396" t="s">
        <v>369</v>
      </c>
      <c r="C23" s="257" t="s">
        <v>304</v>
      </c>
      <c r="D23" s="271">
        <v>150</v>
      </c>
      <c r="E23" s="268">
        <v>2</v>
      </c>
      <c r="F23" s="393">
        <f t="shared" si="11"/>
        <v>0</v>
      </c>
      <c r="G23" s="393">
        <f t="shared" si="11"/>
        <v>0</v>
      </c>
      <c r="H23" s="393">
        <f t="shared" si="11"/>
        <v>150</v>
      </c>
      <c r="I23" s="393">
        <f t="shared" si="11"/>
        <v>0</v>
      </c>
      <c r="J23" s="393">
        <f t="shared" si="11"/>
        <v>0</v>
      </c>
      <c r="K23" s="393">
        <f t="shared" si="11"/>
        <v>150</v>
      </c>
      <c r="L23" s="393">
        <f t="shared" si="11"/>
        <v>0</v>
      </c>
      <c r="M23" s="393">
        <f t="shared" si="11"/>
        <v>0</v>
      </c>
      <c r="N23" s="393">
        <f t="shared" si="11"/>
        <v>150</v>
      </c>
      <c r="O23" s="393">
        <f>COUNTIFS($B$61:$B$79,$B23,O$61:O$79,"&gt;0")*$D23</f>
        <v>0</v>
      </c>
    </row>
    <row r="24" spans="2:26" ht="16.5" customHeight="1" x14ac:dyDescent="0.25">
      <c r="B24" s="396" t="s">
        <v>370</v>
      </c>
      <c r="C24" s="257" t="s">
        <v>304</v>
      </c>
      <c r="D24" s="271">
        <v>40</v>
      </c>
      <c r="E24" s="268">
        <v>1</v>
      </c>
      <c r="F24" s="393">
        <f t="shared" si="11"/>
        <v>0</v>
      </c>
      <c r="G24" s="393">
        <f t="shared" si="11"/>
        <v>0</v>
      </c>
      <c r="H24" s="393">
        <f t="shared" si="11"/>
        <v>0</v>
      </c>
      <c r="I24" s="393">
        <f t="shared" si="11"/>
        <v>0</v>
      </c>
      <c r="J24" s="393">
        <f t="shared" si="11"/>
        <v>40</v>
      </c>
      <c r="K24" s="393">
        <f t="shared" si="11"/>
        <v>0</v>
      </c>
      <c r="L24" s="393">
        <f t="shared" si="11"/>
        <v>0</v>
      </c>
      <c r="M24" s="393">
        <f t="shared" si="11"/>
        <v>0</v>
      </c>
      <c r="N24" s="393">
        <f t="shared" si="11"/>
        <v>40</v>
      </c>
      <c r="O24" s="393">
        <f>COUNTIFS($B$61:$B$79,$B24,O$61:O$79,"&gt;0")*$D24</f>
        <v>0</v>
      </c>
    </row>
    <row r="25" spans="2:26" ht="16.5" customHeight="1" thickBot="1" x14ac:dyDescent="0.3">
      <c r="B25" s="397" t="s">
        <v>371</v>
      </c>
      <c r="C25" s="374" t="s">
        <v>304</v>
      </c>
      <c r="D25" s="398"/>
      <c r="E25" s="332"/>
      <c r="F25" s="399">
        <v>0</v>
      </c>
      <c r="G25" s="399">
        <v>0</v>
      </c>
      <c r="H25" s="399">
        <v>20</v>
      </c>
      <c r="I25" s="399">
        <v>7.666666666666667</v>
      </c>
      <c r="J25" s="399">
        <v>55.333333333333336</v>
      </c>
      <c r="K25" s="399">
        <v>41.333333333333336</v>
      </c>
      <c r="L25" s="399">
        <v>2.6666666666666665</v>
      </c>
      <c r="M25" s="399">
        <v>7.666666666666667</v>
      </c>
      <c r="N25" s="399">
        <v>72.666666666666671</v>
      </c>
      <c r="O25" s="399">
        <v>0</v>
      </c>
    </row>
    <row r="26" spans="2:26" ht="16.5" customHeight="1" x14ac:dyDescent="0.25">
      <c r="B26" s="384"/>
      <c r="C26" s="400"/>
      <c r="D26" s="385"/>
      <c r="E26" s="385"/>
      <c r="F26" s="386"/>
      <c r="G26" s="386"/>
      <c r="H26" s="386"/>
      <c r="I26" s="386"/>
      <c r="J26" s="386"/>
      <c r="K26" s="386"/>
      <c r="L26" s="386"/>
      <c r="M26" s="386"/>
      <c r="N26" s="386"/>
      <c r="O26" s="386"/>
    </row>
    <row r="27" spans="2:26" ht="16.5" customHeight="1" thickBot="1" x14ac:dyDescent="0.3">
      <c r="B27" s="401" t="s">
        <v>372</v>
      </c>
      <c r="C27" s="400"/>
      <c r="D27" s="402">
        <v>39.57</v>
      </c>
      <c r="E27" s="385"/>
      <c r="F27" s="386"/>
      <c r="G27" s="386"/>
      <c r="H27" s="386"/>
      <c r="I27" s="386"/>
      <c r="J27" s="386"/>
      <c r="K27" s="386"/>
      <c r="L27" s="386"/>
      <c r="M27" s="386"/>
      <c r="N27" s="386"/>
      <c r="O27" s="386"/>
    </row>
    <row r="28" spans="2:26" ht="24.8" customHeight="1" x14ac:dyDescent="0.25">
      <c r="B28" s="336" t="s">
        <v>361</v>
      </c>
      <c r="C28" s="367" t="s">
        <v>355</v>
      </c>
      <c r="D28" s="403" t="s">
        <v>373</v>
      </c>
      <c r="E28" s="388"/>
      <c r="F28" s="389">
        <f t="shared" ref="F28:O28" si="12">F15</f>
        <v>1</v>
      </c>
      <c r="G28" s="389">
        <f t="shared" si="12"/>
        <v>2</v>
      </c>
      <c r="H28" s="389">
        <f t="shared" si="12"/>
        <v>3</v>
      </c>
      <c r="I28" s="389">
        <f t="shared" si="12"/>
        <v>4</v>
      </c>
      <c r="J28" s="389">
        <f t="shared" si="12"/>
        <v>5</v>
      </c>
      <c r="K28" s="389">
        <f t="shared" si="12"/>
        <v>6</v>
      </c>
      <c r="L28" s="389">
        <f t="shared" si="12"/>
        <v>7</v>
      </c>
      <c r="M28" s="389">
        <f t="shared" si="12"/>
        <v>8</v>
      </c>
      <c r="N28" s="389">
        <f t="shared" si="12"/>
        <v>9</v>
      </c>
      <c r="O28" s="389">
        <f t="shared" si="12"/>
        <v>10</v>
      </c>
    </row>
    <row r="29" spans="2:26" ht="14.95" customHeight="1" x14ac:dyDescent="0.25">
      <c r="B29" s="390" t="s">
        <v>374</v>
      </c>
      <c r="C29" s="302" t="s">
        <v>375</v>
      </c>
      <c r="D29" s="260"/>
      <c r="E29" s="260"/>
      <c r="F29" s="391">
        <f t="shared" ref="F29:O29" si="13">SUM(F30:F50)</f>
        <v>230</v>
      </c>
      <c r="G29" s="391">
        <f t="shared" si="13"/>
        <v>595</v>
      </c>
      <c r="H29" s="391">
        <f t="shared" si="13"/>
        <v>905</v>
      </c>
      <c r="I29" s="391">
        <f t="shared" si="13"/>
        <v>908.5</v>
      </c>
      <c r="J29" s="391">
        <f t="shared" si="13"/>
        <v>777.5</v>
      </c>
      <c r="K29" s="391">
        <f t="shared" si="13"/>
        <v>1298</v>
      </c>
      <c r="L29" s="391">
        <f t="shared" si="13"/>
        <v>516.5</v>
      </c>
      <c r="M29" s="391">
        <f t="shared" si="13"/>
        <v>1216.5</v>
      </c>
      <c r="N29" s="391">
        <f t="shared" si="13"/>
        <v>1458</v>
      </c>
      <c r="O29" s="391">
        <f t="shared" si="13"/>
        <v>1275</v>
      </c>
      <c r="P29" s="429"/>
    </row>
    <row r="30" spans="2:26" ht="16.5" customHeight="1" x14ac:dyDescent="0.25">
      <c r="B30" s="404"/>
      <c r="C30" s="257" t="s">
        <v>375</v>
      </c>
      <c r="D30" s="405">
        <f>$D$27</f>
        <v>39.57</v>
      </c>
      <c r="E30" s="260"/>
      <c r="F30" s="394"/>
      <c r="G30" s="394"/>
      <c r="H30" s="394"/>
      <c r="I30" s="394"/>
      <c r="J30" s="394"/>
      <c r="K30" s="394"/>
      <c r="L30" s="394"/>
      <c r="M30" s="394"/>
      <c r="N30" s="394"/>
      <c r="O30" s="394"/>
    </row>
    <row r="31" spans="2:26" ht="16.5" customHeight="1" x14ac:dyDescent="0.25">
      <c r="B31" s="392" t="s">
        <v>363</v>
      </c>
      <c r="C31" s="406"/>
      <c r="D31" s="407">
        <f>$D$27</f>
        <v>39.57</v>
      </c>
      <c r="E31" s="253"/>
      <c r="F31" s="394">
        <f>IF(F17=0,0,F17*2.5)</f>
        <v>50</v>
      </c>
      <c r="G31" s="394">
        <f t="shared" ref="G31:O31" si="14">IF(G17=0,0,G17*2.5)</f>
        <v>75</v>
      </c>
      <c r="H31" s="394">
        <f t="shared" si="14"/>
        <v>100</v>
      </c>
      <c r="I31" s="394">
        <f t="shared" si="14"/>
        <v>137.5</v>
      </c>
      <c r="J31" s="394">
        <f t="shared" si="14"/>
        <v>187.5</v>
      </c>
      <c r="K31" s="394">
        <f t="shared" si="14"/>
        <v>225</v>
      </c>
      <c r="L31" s="394">
        <f t="shared" si="14"/>
        <v>312.5</v>
      </c>
      <c r="M31" s="394">
        <f t="shared" si="14"/>
        <v>337.5</v>
      </c>
      <c r="N31" s="394">
        <f t="shared" si="14"/>
        <v>375</v>
      </c>
      <c r="O31" s="394">
        <f t="shared" si="14"/>
        <v>875</v>
      </c>
    </row>
    <row r="32" spans="2:26" ht="16.5" customHeight="1" x14ac:dyDescent="0.25">
      <c r="B32" s="392" t="s">
        <v>376</v>
      </c>
      <c r="C32" s="406">
        <v>120</v>
      </c>
      <c r="D32" s="407">
        <f>$D$27</f>
        <v>39.57</v>
      </c>
      <c r="E32" s="253"/>
      <c r="F32" s="394">
        <f t="shared" ref="F32:O32" si="15">IF(F18=0,0,F18/F18*$C$32)</f>
        <v>0</v>
      </c>
      <c r="G32" s="394">
        <f t="shared" si="15"/>
        <v>120</v>
      </c>
      <c r="H32" s="394">
        <f t="shared" si="15"/>
        <v>120</v>
      </c>
      <c r="I32" s="394">
        <f t="shared" si="15"/>
        <v>0</v>
      </c>
      <c r="J32" s="394">
        <f t="shared" si="15"/>
        <v>120</v>
      </c>
      <c r="K32" s="394">
        <f t="shared" si="15"/>
        <v>120</v>
      </c>
      <c r="L32" s="394">
        <f t="shared" si="15"/>
        <v>0</v>
      </c>
      <c r="M32" s="394">
        <f t="shared" si="15"/>
        <v>120</v>
      </c>
      <c r="N32" s="394">
        <f t="shared" si="15"/>
        <v>120</v>
      </c>
      <c r="O32" s="394">
        <f t="shared" si="15"/>
        <v>0</v>
      </c>
    </row>
    <row r="33" spans="2:15" ht="16.5" customHeight="1" x14ac:dyDescent="0.25">
      <c r="B33" s="396" t="s">
        <v>365</v>
      </c>
      <c r="C33" s="406">
        <v>180</v>
      </c>
      <c r="D33" s="407">
        <f>$D$27</f>
        <v>39.57</v>
      </c>
      <c r="E33" s="260"/>
      <c r="F33" s="394">
        <f t="shared" ref="F33:O38" si="16">IF(F19=0,0,F19/F19*$C33)</f>
        <v>180</v>
      </c>
      <c r="G33" s="394">
        <f t="shared" si="16"/>
        <v>180</v>
      </c>
      <c r="H33" s="394">
        <f t="shared" si="16"/>
        <v>180</v>
      </c>
      <c r="I33" s="394">
        <f t="shared" si="16"/>
        <v>180</v>
      </c>
      <c r="J33" s="394">
        <f t="shared" si="16"/>
        <v>180</v>
      </c>
      <c r="K33" s="394">
        <f t="shared" si="16"/>
        <v>180</v>
      </c>
      <c r="L33" s="394">
        <f t="shared" si="16"/>
        <v>180</v>
      </c>
      <c r="M33" s="394">
        <f t="shared" si="16"/>
        <v>180</v>
      </c>
      <c r="N33" s="394">
        <f t="shared" si="16"/>
        <v>180</v>
      </c>
      <c r="O33" s="394">
        <f t="shared" si="16"/>
        <v>180</v>
      </c>
    </row>
    <row r="34" spans="2:15" ht="16.5" customHeight="1" x14ac:dyDescent="0.25">
      <c r="B34" s="396" t="s">
        <v>366</v>
      </c>
      <c r="C34" s="406">
        <v>220</v>
      </c>
      <c r="D34" s="407">
        <f>$D$27</f>
        <v>39.57</v>
      </c>
      <c r="E34" s="260"/>
      <c r="F34" s="394">
        <f t="shared" si="16"/>
        <v>0</v>
      </c>
      <c r="G34" s="394">
        <f t="shared" si="16"/>
        <v>220</v>
      </c>
      <c r="H34" s="394">
        <f t="shared" si="16"/>
        <v>0</v>
      </c>
      <c r="I34" s="394">
        <f t="shared" si="16"/>
        <v>220</v>
      </c>
      <c r="J34" s="394">
        <f t="shared" si="16"/>
        <v>0</v>
      </c>
      <c r="K34" s="394">
        <f t="shared" si="16"/>
        <v>220</v>
      </c>
      <c r="L34" s="394">
        <f t="shared" si="16"/>
        <v>0</v>
      </c>
      <c r="M34" s="394">
        <f t="shared" si="16"/>
        <v>220</v>
      </c>
      <c r="N34" s="394">
        <f t="shared" si="16"/>
        <v>0</v>
      </c>
      <c r="O34" s="394">
        <f t="shared" si="16"/>
        <v>220</v>
      </c>
    </row>
    <row r="35" spans="2:15" ht="16.5" customHeight="1" x14ac:dyDescent="0.25">
      <c r="B35" s="396" t="s">
        <v>367</v>
      </c>
      <c r="C35" s="406">
        <f>168*2</f>
        <v>336</v>
      </c>
      <c r="D35" s="407">
        <f t="shared" ref="D35:D50" si="17">$D$27</f>
        <v>39.57</v>
      </c>
      <c r="E35" s="268">
        <v>1</v>
      </c>
      <c r="F35" s="394">
        <f t="shared" si="16"/>
        <v>0</v>
      </c>
      <c r="G35" s="394">
        <f t="shared" si="16"/>
        <v>0</v>
      </c>
      <c r="H35" s="394">
        <f t="shared" si="16"/>
        <v>0</v>
      </c>
      <c r="I35" s="394">
        <f t="shared" si="16"/>
        <v>336</v>
      </c>
      <c r="J35" s="394">
        <f t="shared" si="16"/>
        <v>0</v>
      </c>
      <c r="K35" s="394">
        <f t="shared" si="16"/>
        <v>0</v>
      </c>
      <c r="L35" s="394">
        <f t="shared" si="16"/>
        <v>0</v>
      </c>
      <c r="M35" s="394">
        <f t="shared" si="16"/>
        <v>336</v>
      </c>
      <c r="N35" s="394">
        <f t="shared" si="16"/>
        <v>0</v>
      </c>
      <c r="O35" s="394">
        <f t="shared" si="16"/>
        <v>0</v>
      </c>
    </row>
    <row r="36" spans="2:15" ht="16.5" customHeight="1" x14ac:dyDescent="0.25">
      <c r="B36" s="396" t="s">
        <v>368</v>
      </c>
      <c r="C36" s="406">
        <v>220</v>
      </c>
      <c r="D36" s="407">
        <f t="shared" si="17"/>
        <v>39.57</v>
      </c>
      <c r="E36" s="268">
        <v>1</v>
      </c>
      <c r="F36" s="394">
        <f t="shared" si="16"/>
        <v>0</v>
      </c>
      <c r="G36" s="394">
        <f t="shared" si="16"/>
        <v>0</v>
      </c>
      <c r="H36" s="394">
        <f t="shared" si="16"/>
        <v>220</v>
      </c>
      <c r="I36" s="394">
        <f t="shared" si="16"/>
        <v>0</v>
      </c>
      <c r="J36" s="394">
        <f t="shared" si="16"/>
        <v>0</v>
      </c>
      <c r="K36" s="394">
        <f t="shared" si="16"/>
        <v>220</v>
      </c>
      <c r="L36" s="394">
        <f t="shared" si="16"/>
        <v>0</v>
      </c>
      <c r="M36" s="394">
        <f t="shared" si="16"/>
        <v>0</v>
      </c>
      <c r="N36" s="394">
        <f t="shared" si="16"/>
        <v>220</v>
      </c>
      <c r="O36" s="394">
        <f t="shared" si="16"/>
        <v>0</v>
      </c>
    </row>
    <row r="37" spans="2:15" ht="16.5" customHeight="1" x14ac:dyDescent="0.25">
      <c r="B37" s="396" t="s">
        <v>369</v>
      </c>
      <c r="C37" s="406">
        <f>150*1.5</f>
        <v>225</v>
      </c>
      <c r="D37" s="407">
        <f t="shared" si="17"/>
        <v>39.57</v>
      </c>
      <c r="E37" s="268">
        <v>2</v>
      </c>
      <c r="F37" s="394">
        <f t="shared" si="16"/>
        <v>0</v>
      </c>
      <c r="G37" s="269">
        <f t="shared" si="16"/>
        <v>0</v>
      </c>
      <c r="H37" s="269">
        <f t="shared" si="16"/>
        <v>225</v>
      </c>
      <c r="I37" s="269">
        <f t="shared" si="16"/>
        <v>0</v>
      </c>
      <c r="J37" s="269">
        <f t="shared" si="16"/>
        <v>0</v>
      </c>
      <c r="K37" s="269">
        <f t="shared" si="16"/>
        <v>225</v>
      </c>
      <c r="L37" s="269">
        <f t="shared" si="16"/>
        <v>0</v>
      </c>
      <c r="M37" s="269">
        <f t="shared" si="16"/>
        <v>0</v>
      </c>
      <c r="N37" s="269">
        <f t="shared" si="16"/>
        <v>225</v>
      </c>
      <c r="O37" s="269">
        <f t="shared" si="16"/>
        <v>0</v>
      </c>
    </row>
    <row r="38" spans="2:15" ht="16.5" customHeight="1" x14ac:dyDescent="0.25">
      <c r="B38" s="396" t="s">
        <v>370</v>
      </c>
      <c r="C38" s="406">
        <f>80*1.5</f>
        <v>120</v>
      </c>
      <c r="D38" s="407">
        <f t="shared" si="17"/>
        <v>39.57</v>
      </c>
      <c r="E38" s="268">
        <v>1</v>
      </c>
      <c r="F38" s="269">
        <f t="shared" si="16"/>
        <v>0</v>
      </c>
      <c r="G38" s="269">
        <f t="shared" si="16"/>
        <v>0</v>
      </c>
      <c r="H38" s="269">
        <f t="shared" si="16"/>
        <v>0</v>
      </c>
      <c r="I38" s="269">
        <f t="shared" si="16"/>
        <v>0</v>
      </c>
      <c r="J38" s="269">
        <f t="shared" si="16"/>
        <v>120</v>
      </c>
      <c r="K38" s="269">
        <f t="shared" si="16"/>
        <v>0</v>
      </c>
      <c r="L38" s="269">
        <f t="shared" si="16"/>
        <v>0</v>
      </c>
      <c r="M38" s="269">
        <f t="shared" si="16"/>
        <v>0</v>
      </c>
      <c r="N38" s="269">
        <f t="shared" si="16"/>
        <v>120</v>
      </c>
      <c r="O38" s="269">
        <f t="shared" si="16"/>
        <v>0</v>
      </c>
    </row>
    <row r="39" spans="2:15" ht="16.5" customHeight="1" x14ac:dyDescent="0.25">
      <c r="B39" s="408" t="s">
        <v>377</v>
      </c>
      <c r="C39" s="409">
        <v>105</v>
      </c>
      <c r="D39" s="407">
        <f t="shared" si="17"/>
        <v>39.57</v>
      </c>
      <c r="E39" s="410"/>
      <c r="F39" s="393">
        <f t="shared" ref="F39:O50" si="18">COUNTIFS($B$61:$B$79,$B39,F$61:F$79,"&gt;0")*$C39</f>
        <v>0</v>
      </c>
      <c r="G39" s="393">
        <f t="shared" si="18"/>
        <v>0</v>
      </c>
      <c r="H39" s="393">
        <f t="shared" si="18"/>
        <v>0</v>
      </c>
      <c r="I39" s="393">
        <f t="shared" si="18"/>
        <v>0</v>
      </c>
      <c r="J39" s="393">
        <f t="shared" si="18"/>
        <v>105</v>
      </c>
      <c r="K39" s="393">
        <f t="shared" si="18"/>
        <v>0</v>
      </c>
      <c r="L39" s="393">
        <f t="shared" si="18"/>
        <v>0</v>
      </c>
      <c r="M39" s="393">
        <f t="shared" si="18"/>
        <v>0</v>
      </c>
      <c r="N39" s="393">
        <f t="shared" si="18"/>
        <v>105</v>
      </c>
      <c r="O39" s="393">
        <f t="shared" si="18"/>
        <v>0</v>
      </c>
    </row>
    <row r="40" spans="2:15" ht="16.5" customHeight="1" x14ac:dyDescent="0.25">
      <c r="B40" s="408" t="s">
        <v>378</v>
      </c>
      <c r="C40" s="409">
        <v>23</v>
      </c>
      <c r="D40" s="407">
        <f t="shared" si="17"/>
        <v>39.57</v>
      </c>
      <c r="E40" s="410"/>
      <c r="F40" s="393">
        <f t="shared" si="18"/>
        <v>0</v>
      </c>
      <c r="G40" s="393">
        <f t="shared" si="18"/>
        <v>0</v>
      </c>
      <c r="H40" s="393">
        <f t="shared" si="18"/>
        <v>0</v>
      </c>
      <c r="I40" s="393">
        <f t="shared" si="18"/>
        <v>0</v>
      </c>
      <c r="J40" s="393">
        <f t="shared" si="18"/>
        <v>23</v>
      </c>
      <c r="K40" s="393">
        <f t="shared" si="18"/>
        <v>0</v>
      </c>
      <c r="L40" s="393">
        <f t="shared" si="18"/>
        <v>0</v>
      </c>
      <c r="M40" s="393">
        <f t="shared" si="18"/>
        <v>0</v>
      </c>
      <c r="N40" s="393">
        <f t="shared" si="18"/>
        <v>23</v>
      </c>
      <c r="O40" s="393">
        <f t="shared" si="18"/>
        <v>0</v>
      </c>
    </row>
    <row r="41" spans="2:15" ht="16.5" customHeight="1" x14ac:dyDescent="0.25">
      <c r="B41" s="408" t="s">
        <v>379</v>
      </c>
      <c r="C41" s="409">
        <v>72</v>
      </c>
      <c r="D41" s="407">
        <f t="shared" si="17"/>
        <v>39.57</v>
      </c>
      <c r="E41" s="410"/>
      <c r="F41" s="393">
        <f t="shared" si="18"/>
        <v>0</v>
      </c>
      <c r="G41" s="393">
        <f t="shared" si="18"/>
        <v>0</v>
      </c>
      <c r="H41" s="393">
        <f t="shared" si="18"/>
        <v>0</v>
      </c>
      <c r="I41" s="393">
        <f t="shared" si="18"/>
        <v>0</v>
      </c>
      <c r="J41" s="393">
        <f t="shared" si="18"/>
        <v>0</v>
      </c>
      <c r="K41" s="393">
        <f t="shared" si="18"/>
        <v>72</v>
      </c>
      <c r="L41" s="393">
        <f t="shared" si="18"/>
        <v>0</v>
      </c>
      <c r="M41" s="393">
        <f t="shared" si="18"/>
        <v>0</v>
      </c>
      <c r="N41" s="393">
        <f t="shared" si="18"/>
        <v>0</v>
      </c>
      <c r="O41" s="393">
        <f t="shared" si="18"/>
        <v>0</v>
      </c>
    </row>
    <row r="42" spans="2:15" ht="16.5" customHeight="1" x14ac:dyDescent="0.25">
      <c r="B42" s="408" t="s">
        <v>380</v>
      </c>
      <c r="C42" s="409">
        <v>12</v>
      </c>
      <c r="D42" s="407">
        <f t="shared" si="17"/>
        <v>39.57</v>
      </c>
      <c r="E42" s="410"/>
      <c r="F42" s="393">
        <f t="shared" si="18"/>
        <v>0</v>
      </c>
      <c r="G42" s="393">
        <f t="shared" si="18"/>
        <v>0</v>
      </c>
      <c r="H42" s="393">
        <f t="shared" si="18"/>
        <v>0</v>
      </c>
      <c r="I42" s="393">
        <f t="shared" si="18"/>
        <v>12</v>
      </c>
      <c r="J42" s="393">
        <f t="shared" si="18"/>
        <v>0</v>
      </c>
      <c r="K42" s="393">
        <f t="shared" si="18"/>
        <v>0</v>
      </c>
      <c r="L42" s="393">
        <f t="shared" si="18"/>
        <v>0</v>
      </c>
      <c r="M42" s="393">
        <f t="shared" si="18"/>
        <v>0</v>
      </c>
      <c r="N42" s="393">
        <f t="shared" si="18"/>
        <v>12</v>
      </c>
      <c r="O42" s="393">
        <f t="shared" si="18"/>
        <v>0</v>
      </c>
    </row>
    <row r="43" spans="2:15" ht="16.5" customHeight="1" x14ac:dyDescent="0.25">
      <c r="B43" s="408" t="s">
        <v>381</v>
      </c>
      <c r="C43" s="409">
        <v>12</v>
      </c>
      <c r="D43" s="407">
        <f t="shared" si="17"/>
        <v>39.57</v>
      </c>
      <c r="E43" s="410"/>
      <c r="F43" s="393">
        <f t="shared" si="18"/>
        <v>0</v>
      </c>
      <c r="G43" s="393">
        <f t="shared" si="18"/>
        <v>0</v>
      </c>
      <c r="H43" s="393">
        <f t="shared" si="18"/>
        <v>12</v>
      </c>
      <c r="I43" s="393">
        <f t="shared" si="18"/>
        <v>0</v>
      </c>
      <c r="J43" s="393">
        <f t="shared" si="18"/>
        <v>0</v>
      </c>
      <c r="K43" s="393">
        <f t="shared" si="18"/>
        <v>12</v>
      </c>
      <c r="L43" s="393">
        <f t="shared" si="18"/>
        <v>0</v>
      </c>
      <c r="M43" s="393">
        <f t="shared" si="18"/>
        <v>0</v>
      </c>
      <c r="N43" s="393">
        <f t="shared" si="18"/>
        <v>12</v>
      </c>
      <c r="O43" s="393">
        <f t="shared" si="18"/>
        <v>0</v>
      </c>
    </row>
    <row r="44" spans="2:15" ht="16.5" customHeight="1" x14ac:dyDescent="0.25">
      <c r="B44" s="408" t="s">
        <v>382</v>
      </c>
      <c r="C44" s="409">
        <v>24</v>
      </c>
      <c r="D44" s="407">
        <f t="shared" si="17"/>
        <v>39.57</v>
      </c>
      <c r="E44" s="410"/>
      <c r="F44" s="393">
        <f t="shared" si="18"/>
        <v>0</v>
      </c>
      <c r="G44" s="393">
        <f t="shared" si="18"/>
        <v>0</v>
      </c>
      <c r="H44" s="393">
        <f t="shared" si="18"/>
        <v>24</v>
      </c>
      <c r="I44" s="393">
        <f t="shared" si="18"/>
        <v>0</v>
      </c>
      <c r="J44" s="393">
        <f t="shared" si="18"/>
        <v>0</v>
      </c>
      <c r="K44" s="393">
        <f t="shared" si="18"/>
        <v>24</v>
      </c>
      <c r="L44" s="393">
        <f t="shared" si="18"/>
        <v>0</v>
      </c>
      <c r="M44" s="393">
        <f t="shared" si="18"/>
        <v>0</v>
      </c>
      <c r="N44" s="393">
        <f t="shared" si="18"/>
        <v>24</v>
      </c>
      <c r="O44" s="393">
        <f t="shared" si="18"/>
        <v>0</v>
      </c>
    </row>
    <row r="45" spans="2:15" ht="16.5" customHeight="1" x14ac:dyDescent="0.25">
      <c r="B45" s="408" t="s">
        <v>383</v>
      </c>
      <c r="C45" s="409">
        <v>8</v>
      </c>
      <c r="D45" s="407">
        <f t="shared" si="17"/>
        <v>39.57</v>
      </c>
      <c r="E45" s="410"/>
      <c r="F45" s="393">
        <f t="shared" si="18"/>
        <v>0</v>
      </c>
      <c r="G45" s="393">
        <f t="shared" si="18"/>
        <v>0</v>
      </c>
      <c r="H45" s="393">
        <f t="shared" si="18"/>
        <v>0</v>
      </c>
      <c r="I45" s="393">
        <f t="shared" si="18"/>
        <v>0</v>
      </c>
      <c r="J45" s="393">
        <f t="shared" si="18"/>
        <v>8</v>
      </c>
      <c r="K45" s="393">
        <f t="shared" si="18"/>
        <v>0</v>
      </c>
      <c r="L45" s="393">
        <f t="shared" si="18"/>
        <v>0</v>
      </c>
      <c r="M45" s="393">
        <f t="shared" si="18"/>
        <v>0</v>
      </c>
      <c r="N45" s="393">
        <f t="shared" si="18"/>
        <v>8</v>
      </c>
      <c r="O45" s="393">
        <f t="shared" si="18"/>
        <v>0</v>
      </c>
    </row>
    <row r="46" spans="2:15" ht="16.5" customHeight="1" x14ac:dyDescent="0.25">
      <c r="B46" s="408" t="s">
        <v>384</v>
      </c>
      <c r="C46" s="409">
        <v>8</v>
      </c>
      <c r="D46" s="407">
        <f t="shared" si="17"/>
        <v>39.57</v>
      </c>
      <c r="E46" s="410"/>
      <c r="F46" s="393">
        <f t="shared" si="18"/>
        <v>0</v>
      </c>
      <c r="G46" s="393">
        <f t="shared" si="18"/>
        <v>0</v>
      </c>
      <c r="H46" s="393">
        <f t="shared" si="18"/>
        <v>8</v>
      </c>
      <c r="I46" s="393">
        <f t="shared" si="18"/>
        <v>0</v>
      </c>
      <c r="J46" s="393">
        <f t="shared" si="18"/>
        <v>8</v>
      </c>
      <c r="K46" s="393">
        <f t="shared" si="18"/>
        <v>0</v>
      </c>
      <c r="L46" s="393">
        <f t="shared" si="18"/>
        <v>8</v>
      </c>
      <c r="M46" s="393">
        <f t="shared" si="18"/>
        <v>0</v>
      </c>
      <c r="N46" s="393">
        <f t="shared" si="18"/>
        <v>8</v>
      </c>
      <c r="O46" s="393">
        <f t="shared" si="18"/>
        <v>0</v>
      </c>
    </row>
    <row r="47" spans="2:15" ht="16.5" customHeight="1" x14ac:dyDescent="0.25">
      <c r="B47" s="408" t="s">
        <v>385</v>
      </c>
      <c r="C47" s="409">
        <v>6</v>
      </c>
      <c r="D47" s="407">
        <f t="shared" si="17"/>
        <v>39.57</v>
      </c>
      <c r="E47" s="410"/>
      <c r="F47" s="393">
        <f t="shared" si="18"/>
        <v>0</v>
      </c>
      <c r="G47" s="393">
        <f t="shared" si="18"/>
        <v>0</v>
      </c>
      <c r="H47" s="393">
        <f t="shared" si="18"/>
        <v>0</v>
      </c>
      <c r="I47" s="393">
        <f t="shared" si="18"/>
        <v>0</v>
      </c>
      <c r="J47" s="393">
        <f t="shared" si="18"/>
        <v>6</v>
      </c>
      <c r="K47" s="393">
        <f t="shared" si="18"/>
        <v>0</v>
      </c>
      <c r="L47" s="393">
        <f t="shared" si="18"/>
        <v>0</v>
      </c>
      <c r="M47" s="393">
        <f t="shared" si="18"/>
        <v>0</v>
      </c>
      <c r="N47" s="393">
        <f t="shared" si="18"/>
        <v>6</v>
      </c>
      <c r="O47" s="393">
        <f t="shared" si="18"/>
        <v>0</v>
      </c>
    </row>
    <row r="48" spans="2:15" ht="16.5" customHeight="1" x14ac:dyDescent="0.25">
      <c r="B48" s="408" t="s">
        <v>386</v>
      </c>
      <c r="C48" s="409">
        <v>4</v>
      </c>
      <c r="D48" s="407">
        <f t="shared" si="17"/>
        <v>39.57</v>
      </c>
      <c r="E48" s="410"/>
      <c r="F48" s="393">
        <f t="shared" si="18"/>
        <v>0</v>
      </c>
      <c r="G48" s="393">
        <f t="shared" si="18"/>
        <v>0</v>
      </c>
      <c r="H48" s="393">
        <f t="shared" si="18"/>
        <v>0</v>
      </c>
      <c r="I48" s="393">
        <f t="shared" si="18"/>
        <v>0</v>
      </c>
      <c r="J48" s="393">
        <f t="shared" si="18"/>
        <v>4</v>
      </c>
      <c r="K48" s="393">
        <f t="shared" si="18"/>
        <v>0</v>
      </c>
      <c r="L48" s="393">
        <f t="shared" si="18"/>
        <v>0</v>
      </c>
      <c r="M48" s="393">
        <f t="shared" si="18"/>
        <v>0</v>
      </c>
      <c r="N48" s="393">
        <f t="shared" si="18"/>
        <v>4</v>
      </c>
      <c r="O48" s="393">
        <f t="shared" si="18"/>
        <v>0</v>
      </c>
    </row>
    <row r="49" spans="2:22" ht="16.5" customHeight="1" x14ac:dyDescent="0.25">
      <c r="B49" s="408" t="s">
        <v>387</v>
      </c>
      <c r="C49" s="409">
        <v>16</v>
      </c>
      <c r="D49" s="407">
        <f t="shared" si="17"/>
        <v>39.57</v>
      </c>
      <c r="E49" s="410"/>
      <c r="F49" s="393">
        <f t="shared" si="18"/>
        <v>0</v>
      </c>
      <c r="G49" s="393">
        <f t="shared" si="18"/>
        <v>0</v>
      </c>
      <c r="H49" s="393">
        <f t="shared" si="18"/>
        <v>16</v>
      </c>
      <c r="I49" s="393">
        <f t="shared" si="18"/>
        <v>0</v>
      </c>
      <c r="J49" s="393">
        <f t="shared" si="18"/>
        <v>16</v>
      </c>
      <c r="K49" s="393">
        <f t="shared" si="18"/>
        <v>0</v>
      </c>
      <c r="L49" s="393">
        <f t="shared" si="18"/>
        <v>16</v>
      </c>
      <c r="M49" s="393">
        <f t="shared" si="18"/>
        <v>0</v>
      </c>
      <c r="N49" s="393">
        <f t="shared" si="18"/>
        <v>16</v>
      </c>
      <c r="O49" s="393">
        <f t="shared" si="18"/>
        <v>0</v>
      </c>
    </row>
    <row r="50" spans="2:22" ht="16.5" customHeight="1" thickBot="1" x14ac:dyDescent="0.3">
      <c r="B50" s="397" t="s">
        <v>388</v>
      </c>
      <c r="C50" s="398">
        <v>23</v>
      </c>
      <c r="D50" s="411">
        <f t="shared" si="17"/>
        <v>39.57</v>
      </c>
      <c r="E50" s="332"/>
      <c r="F50" s="399">
        <f t="shared" si="18"/>
        <v>0</v>
      </c>
      <c r="G50" s="399">
        <f t="shared" si="18"/>
        <v>0</v>
      </c>
      <c r="H50" s="399">
        <f t="shared" si="18"/>
        <v>0</v>
      </c>
      <c r="I50" s="399">
        <f t="shared" si="18"/>
        <v>23</v>
      </c>
      <c r="J50" s="399">
        <f t="shared" si="18"/>
        <v>0</v>
      </c>
      <c r="K50" s="399">
        <f t="shared" si="18"/>
        <v>0</v>
      </c>
      <c r="L50" s="399">
        <f t="shared" si="18"/>
        <v>0</v>
      </c>
      <c r="M50" s="399">
        <f t="shared" si="18"/>
        <v>23</v>
      </c>
      <c r="N50" s="399">
        <f t="shared" si="18"/>
        <v>0</v>
      </c>
      <c r="O50" s="399">
        <f t="shared" si="18"/>
        <v>0</v>
      </c>
    </row>
    <row r="51" spans="2:22" x14ac:dyDescent="0.25">
      <c r="B51" s="384"/>
      <c r="E51" s="412"/>
      <c r="F51" s="413"/>
      <c r="G51" s="413"/>
      <c r="H51" s="413"/>
      <c r="I51" s="413"/>
      <c r="J51" s="413"/>
      <c r="K51" s="413"/>
      <c r="L51" s="413"/>
      <c r="M51" s="413"/>
      <c r="N51" s="413"/>
      <c r="O51" s="413"/>
    </row>
    <row r="52" spans="2:22" ht="14.95" thickBot="1" x14ac:dyDescent="0.3">
      <c r="B52" s="387" t="s">
        <v>389</v>
      </c>
      <c r="F52" s="413"/>
    </row>
    <row r="53" spans="2:22" ht="43.5" customHeight="1" x14ac:dyDescent="0.25">
      <c r="B53" s="336" t="s">
        <v>390</v>
      </c>
      <c r="C53" s="337" t="s">
        <v>391</v>
      </c>
      <c r="D53" s="337" t="s">
        <v>392</v>
      </c>
      <c r="E53" s="337" t="s">
        <v>393</v>
      </c>
      <c r="F53" s="340" t="s">
        <v>292</v>
      </c>
      <c r="G53" s="340" t="s">
        <v>292</v>
      </c>
      <c r="H53" s="340" t="s">
        <v>292</v>
      </c>
      <c r="I53" s="340" t="s">
        <v>292</v>
      </c>
      <c r="J53" s="340" t="s">
        <v>292</v>
      </c>
      <c r="K53" s="340" t="s">
        <v>292</v>
      </c>
      <c r="L53" s="340" t="s">
        <v>292</v>
      </c>
      <c r="M53" s="340" t="s">
        <v>292</v>
      </c>
      <c r="N53" s="340" t="s">
        <v>292</v>
      </c>
      <c r="O53" s="340" t="s">
        <v>292</v>
      </c>
    </row>
    <row r="54" spans="2:22" ht="28.55" customHeight="1" x14ac:dyDescent="0.25">
      <c r="B54" s="379" t="s">
        <v>394</v>
      </c>
      <c r="C54" s="247"/>
      <c r="D54" s="247"/>
      <c r="E54" s="247"/>
      <c r="F54" s="346">
        <f t="shared" ref="F54:O54" si="19">SUM(F55:F58)</f>
        <v>16500</v>
      </c>
      <c r="G54" s="346">
        <f t="shared" si="19"/>
        <v>183700</v>
      </c>
      <c r="H54" s="346">
        <f t="shared" si="19"/>
        <v>158500</v>
      </c>
      <c r="I54" s="346">
        <f t="shared" si="19"/>
        <v>50700</v>
      </c>
      <c r="J54" s="346">
        <f t="shared" si="19"/>
        <v>163500</v>
      </c>
      <c r="K54" s="346">
        <f t="shared" si="19"/>
        <v>188700</v>
      </c>
      <c r="L54" s="346">
        <f t="shared" si="19"/>
        <v>35500</v>
      </c>
      <c r="M54" s="346">
        <f t="shared" si="19"/>
        <v>198700</v>
      </c>
      <c r="N54" s="346">
        <f t="shared" si="19"/>
        <v>173500</v>
      </c>
      <c r="O54" s="346">
        <f t="shared" si="19"/>
        <v>70700</v>
      </c>
    </row>
    <row r="55" spans="2:22" x14ac:dyDescent="0.25">
      <c r="B55" s="392" t="s">
        <v>363</v>
      </c>
      <c r="C55" s="354"/>
      <c r="D55" s="406"/>
      <c r="E55" s="258">
        <v>1</v>
      </c>
      <c r="F55" s="269">
        <v>1000</v>
      </c>
      <c r="G55" s="269">
        <v>5000</v>
      </c>
      <c r="H55" s="269">
        <v>5000</v>
      </c>
      <c r="I55" s="269">
        <v>10000</v>
      </c>
      <c r="J55" s="269">
        <v>10000</v>
      </c>
      <c r="K55" s="269">
        <v>10000</v>
      </c>
      <c r="L55" s="269">
        <v>20000</v>
      </c>
      <c r="M55" s="269">
        <v>20000</v>
      </c>
      <c r="N55" s="269">
        <v>20000</v>
      </c>
      <c r="O55" s="269">
        <v>30000</v>
      </c>
      <c r="P55" s="303"/>
    </row>
    <row r="56" spans="2:22" x14ac:dyDescent="0.25">
      <c r="B56" s="392" t="s">
        <v>364</v>
      </c>
      <c r="C56" s="354">
        <v>138000</v>
      </c>
      <c r="D56" s="406">
        <v>8000</v>
      </c>
      <c r="E56" s="258">
        <v>1</v>
      </c>
      <c r="F56" s="269"/>
      <c r="G56" s="269">
        <f t="shared" ref="G56:O58" si="20">$E56*$C56</f>
        <v>138000</v>
      </c>
      <c r="H56" s="269">
        <f t="shared" si="20"/>
        <v>138000</v>
      </c>
      <c r="I56" s="269"/>
      <c r="J56" s="269">
        <f t="shared" si="20"/>
        <v>138000</v>
      </c>
      <c r="K56" s="269">
        <f t="shared" si="20"/>
        <v>138000</v>
      </c>
      <c r="L56" s="269"/>
      <c r="M56" s="269">
        <f t="shared" si="20"/>
        <v>138000</v>
      </c>
      <c r="N56" s="269">
        <f t="shared" si="20"/>
        <v>138000</v>
      </c>
      <c r="O56" s="269"/>
    </row>
    <row r="57" spans="2:22" x14ac:dyDescent="0.25">
      <c r="B57" s="396" t="s">
        <v>365</v>
      </c>
      <c r="C57" s="354">
        <v>15500</v>
      </c>
      <c r="D57" s="406">
        <v>6000</v>
      </c>
      <c r="E57" s="258">
        <v>1</v>
      </c>
      <c r="F57" s="269">
        <f>$E57*$C57</f>
        <v>15500</v>
      </c>
      <c r="G57" s="269">
        <f t="shared" si="20"/>
        <v>15500</v>
      </c>
      <c r="H57" s="269">
        <f t="shared" si="20"/>
        <v>15500</v>
      </c>
      <c r="I57" s="269">
        <f t="shared" si="20"/>
        <v>15500</v>
      </c>
      <c r="J57" s="269">
        <f t="shared" si="20"/>
        <v>15500</v>
      </c>
      <c r="K57" s="269">
        <f t="shared" si="20"/>
        <v>15500</v>
      </c>
      <c r="L57" s="269">
        <f t="shared" si="20"/>
        <v>15500</v>
      </c>
      <c r="M57" s="269">
        <f t="shared" si="20"/>
        <v>15500</v>
      </c>
      <c r="N57" s="269">
        <f t="shared" si="20"/>
        <v>15500</v>
      </c>
      <c r="O57" s="269">
        <f t="shared" si="20"/>
        <v>15500</v>
      </c>
    </row>
    <row r="58" spans="2:22" ht="14.95" thickBot="1" x14ac:dyDescent="0.3">
      <c r="B58" s="396" t="s">
        <v>366</v>
      </c>
      <c r="C58" s="354">
        <v>25200</v>
      </c>
      <c r="D58" s="406">
        <v>12000</v>
      </c>
      <c r="E58" s="258">
        <v>1</v>
      </c>
      <c r="F58" s="269"/>
      <c r="G58" s="269">
        <f t="shared" si="20"/>
        <v>25200</v>
      </c>
      <c r="H58" s="269"/>
      <c r="I58" s="269">
        <f t="shared" si="20"/>
        <v>25200</v>
      </c>
      <c r="J58" s="269"/>
      <c r="K58" s="269">
        <f t="shared" si="20"/>
        <v>25200</v>
      </c>
      <c r="L58" s="269"/>
      <c r="M58" s="269">
        <f t="shared" si="20"/>
        <v>25200</v>
      </c>
      <c r="N58" s="269"/>
      <c r="O58" s="269">
        <f t="shared" si="20"/>
        <v>25200</v>
      </c>
    </row>
    <row r="59" spans="2:22" ht="47.25" customHeight="1" x14ac:dyDescent="0.25">
      <c r="B59" s="336" t="s">
        <v>284</v>
      </c>
      <c r="C59" s="337" t="s">
        <v>391</v>
      </c>
      <c r="D59" s="337" t="s">
        <v>392</v>
      </c>
      <c r="E59" s="337" t="s">
        <v>393</v>
      </c>
      <c r="F59" s="414">
        <f>SUM(F60:F79)</f>
        <v>0</v>
      </c>
      <c r="G59" s="414">
        <f t="shared" ref="G59:O59" si="21">SUM(G60:G79)</f>
        <v>0</v>
      </c>
      <c r="H59" s="414">
        <f t="shared" si="21"/>
        <v>267400</v>
      </c>
      <c r="I59" s="414">
        <f t="shared" si="21"/>
        <v>530000</v>
      </c>
      <c r="J59" s="414">
        <f t="shared" si="21"/>
        <v>327000</v>
      </c>
      <c r="K59" s="414">
        <f t="shared" si="21"/>
        <v>338200</v>
      </c>
      <c r="L59" s="414">
        <f t="shared" si="21"/>
        <v>14200</v>
      </c>
      <c r="M59" s="414">
        <f t="shared" si="21"/>
        <v>490000</v>
      </c>
      <c r="N59" s="414">
        <f t="shared" si="21"/>
        <v>620200</v>
      </c>
      <c r="O59" s="414">
        <f t="shared" si="21"/>
        <v>0</v>
      </c>
    </row>
    <row r="60" spans="2:22" x14ac:dyDescent="0.25">
      <c r="B60" s="364" t="s">
        <v>395</v>
      </c>
      <c r="C60" s="292"/>
      <c r="D60" s="2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</row>
    <row r="61" spans="2:22" x14ac:dyDescent="0.25">
      <c r="B61" s="396" t="s">
        <v>367</v>
      </c>
      <c r="C61" s="354">
        <v>470000</v>
      </c>
      <c r="D61" s="269">
        <v>25000</v>
      </c>
      <c r="E61" s="268">
        <v>1</v>
      </c>
      <c r="F61" s="415"/>
      <c r="G61" s="415"/>
      <c r="H61" s="295"/>
      <c r="I61" s="295">
        <f>C61</f>
        <v>470000</v>
      </c>
      <c r="J61" s="295"/>
      <c r="K61" s="295"/>
      <c r="L61" s="295"/>
      <c r="M61" s="295">
        <f>C61</f>
        <v>470000</v>
      </c>
      <c r="N61" s="295"/>
      <c r="O61" s="295"/>
      <c r="S61" s="416"/>
    </row>
    <row r="62" spans="2:22" x14ac:dyDescent="0.25">
      <c r="B62" s="417" t="s">
        <v>377</v>
      </c>
      <c r="C62" s="354">
        <v>71000</v>
      </c>
      <c r="D62" s="269">
        <v>30000</v>
      </c>
      <c r="E62" s="268">
        <v>2</v>
      </c>
      <c r="F62" s="415"/>
      <c r="G62" s="415"/>
      <c r="H62" s="415"/>
      <c r="I62" s="295"/>
      <c r="J62" s="295">
        <f>C62*E62</f>
        <v>142000</v>
      </c>
      <c r="K62" s="295"/>
      <c r="L62" s="295"/>
      <c r="M62" s="295"/>
      <c r="N62" s="295">
        <f>C62*E62</f>
        <v>142000</v>
      </c>
      <c r="O62" s="415"/>
      <c r="S62" s="416"/>
    </row>
    <row r="63" spans="2:22" x14ac:dyDescent="0.25">
      <c r="B63" s="417" t="s">
        <v>378</v>
      </c>
      <c r="C63" s="354">
        <v>22200</v>
      </c>
      <c r="D63" s="269">
        <v>30000</v>
      </c>
      <c r="E63" s="268">
        <v>4</v>
      </c>
      <c r="F63" s="415"/>
      <c r="G63" s="415"/>
      <c r="H63" s="415"/>
      <c r="I63" s="295"/>
      <c r="J63" s="295">
        <v>88800</v>
      </c>
      <c r="K63" s="295"/>
      <c r="L63" s="295"/>
      <c r="M63" s="295"/>
      <c r="N63" s="295">
        <v>88800</v>
      </c>
      <c r="O63" s="415"/>
      <c r="S63" s="416"/>
      <c r="T63" s="416"/>
      <c r="U63" s="416"/>
      <c r="V63" s="416"/>
    </row>
    <row r="64" spans="2:22" x14ac:dyDescent="0.25">
      <c r="B64" s="417" t="s">
        <v>379</v>
      </c>
      <c r="C64" s="354">
        <v>85000</v>
      </c>
      <c r="D64" s="269">
        <v>40000</v>
      </c>
      <c r="E64" s="268">
        <v>1</v>
      </c>
      <c r="F64" s="415"/>
      <c r="G64" s="415"/>
      <c r="H64" s="415"/>
      <c r="I64" s="295"/>
      <c r="J64" s="295"/>
      <c r="K64" s="295">
        <v>85000</v>
      </c>
      <c r="L64" s="295"/>
      <c r="M64" s="295"/>
      <c r="N64" s="295"/>
      <c r="O64" s="415"/>
      <c r="S64" s="416"/>
      <c r="U64" s="416"/>
    </row>
    <row r="65" spans="2:22" x14ac:dyDescent="0.25">
      <c r="B65" s="417" t="s">
        <v>380</v>
      </c>
      <c r="C65" s="354">
        <v>20000</v>
      </c>
      <c r="D65" s="269">
        <v>30000</v>
      </c>
      <c r="E65" s="268">
        <v>2</v>
      </c>
      <c r="F65" s="415"/>
      <c r="G65" s="415"/>
      <c r="H65" s="415"/>
      <c r="I65" s="295">
        <v>40000</v>
      </c>
      <c r="J65" s="295"/>
      <c r="K65" s="295"/>
      <c r="L65" s="295"/>
      <c r="M65" s="295"/>
      <c r="N65" s="295">
        <v>40000</v>
      </c>
      <c r="O65" s="415"/>
      <c r="S65" s="416"/>
      <c r="U65" s="416"/>
    </row>
    <row r="66" spans="2:22" x14ac:dyDescent="0.25">
      <c r="B66" s="417" t="s">
        <v>381</v>
      </c>
      <c r="C66" s="354">
        <v>15100</v>
      </c>
      <c r="D66" s="269">
        <v>20000</v>
      </c>
      <c r="E66" s="268">
        <v>2</v>
      </c>
      <c r="F66" s="415"/>
      <c r="G66" s="415"/>
      <c r="H66" s="415">
        <v>30200</v>
      </c>
      <c r="I66" s="295"/>
      <c r="J66" s="295"/>
      <c r="K66" s="295">
        <v>30200</v>
      </c>
      <c r="L66" s="295"/>
      <c r="M66" s="295"/>
      <c r="N66" s="295">
        <v>30200</v>
      </c>
      <c r="O66" s="415"/>
      <c r="S66" s="416"/>
      <c r="T66" s="416"/>
      <c r="U66" s="416"/>
      <c r="V66" s="416"/>
    </row>
    <row r="67" spans="2:22" x14ac:dyDescent="0.25">
      <c r="B67" s="417" t="s">
        <v>382</v>
      </c>
      <c r="C67" s="354">
        <v>10000</v>
      </c>
      <c r="D67" s="269">
        <v>20000</v>
      </c>
      <c r="E67" s="268">
        <v>2</v>
      </c>
      <c r="F67" s="415"/>
      <c r="G67" s="415"/>
      <c r="H67" s="415">
        <v>20000</v>
      </c>
      <c r="I67" s="415"/>
      <c r="J67" s="415"/>
      <c r="K67" s="415">
        <v>20000</v>
      </c>
      <c r="L67" s="415"/>
      <c r="M67" s="415"/>
      <c r="N67" s="415">
        <v>20000</v>
      </c>
      <c r="O67" s="415"/>
      <c r="S67" s="416"/>
      <c r="T67" s="416"/>
      <c r="U67" s="416"/>
    </row>
    <row r="68" spans="2:22" x14ac:dyDescent="0.25">
      <c r="B68" s="417" t="s">
        <v>383</v>
      </c>
      <c r="C68" s="354">
        <v>2000</v>
      </c>
      <c r="D68" s="269">
        <v>30000</v>
      </c>
      <c r="E68" s="268">
        <v>4</v>
      </c>
      <c r="F68" s="415"/>
      <c r="G68" s="415"/>
      <c r="H68" s="415"/>
      <c r="I68" s="415"/>
      <c r="J68" s="415">
        <v>8000</v>
      </c>
      <c r="K68" s="415"/>
      <c r="L68" s="415"/>
      <c r="M68" s="415"/>
      <c r="N68" s="415">
        <v>8000</v>
      </c>
      <c r="O68" s="415"/>
      <c r="S68" s="416"/>
      <c r="U68" s="416"/>
    </row>
    <row r="69" spans="2:22" x14ac:dyDescent="0.25">
      <c r="B69" s="417" t="s">
        <v>384</v>
      </c>
      <c r="C69" s="354">
        <v>10000</v>
      </c>
      <c r="D69" s="269">
        <v>15000</v>
      </c>
      <c r="E69" s="268">
        <v>1</v>
      </c>
      <c r="F69" s="415"/>
      <c r="G69" s="415"/>
      <c r="H69" s="415">
        <v>10000</v>
      </c>
      <c r="I69" s="415"/>
      <c r="J69" s="415">
        <v>10000</v>
      </c>
      <c r="K69" s="415"/>
      <c r="L69" s="415">
        <v>10000</v>
      </c>
      <c r="M69" s="415"/>
      <c r="N69" s="415">
        <v>10000</v>
      </c>
      <c r="O69" s="415"/>
      <c r="S69" s="416"/>
      <c r="U69" s="416"/>
      <c r="V69" s="416"/>
    </row>
    <row r="70" spans="2:22" x14ac:dyDescent="0.25">
      <c r="B70" s="364" t="s">
        <v>396</v>
      </c>
      <c r="C70" s="418"/>
      <c r="D70" s="418"/>
      <c r="E70" s="268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S70" s="416"/>
      <c r="U70" s="416"/>
    </row>
    <row r="71" spans="2:22" x14ac:dyDescent="0.25">
      <c r="B71" s="396" t="s">
        <v>368</v>
      </c>
      <c r="C71" s="354">
        <v>53000</v>
      </c>
      <c r="D71" s="269">
        <v>20000</v>
      </c>
      <c r="E71" s="268">
        <v>1</v>
      </c>
      <c r="F71" s="415"/>
      <c r="G71" s="415"/>
      <c r="H71" s="415">
        <v>53000</v>
      </c>
      <c r="I71" s="415"/>
      <c r="J71" s="415"/>
      <c r="K71" s="415">
        <v>53000</v>
      </c>
      <c r="L71" s="415"/>
      <c r="M71" s="415"/>
      <c r="N71" s="415">
        <v>53000</v>
      </c>
      <c r="O71" s="415"/>
      <c r="S71" s="416"/>
      <c r="U71" s="416"/>
      <c r="V71" s="416"/>
    </row>
    <row r="72" spans="2:22" x14ac:dyDescent="0.25">
      <c r="B72" s="396" t="s">
        <v>369</v>
      </c>
      <c r="C72" s="354">
        <v>75000</v>
      </c>
      <c r="D72" s="269">
        <v>20000</v>
      </c>
      <c r="E72" s="268">
        <v>2</v>
      </c>
      <c r="F72" s="415"/>
      <c r="G72" s="415"/>
      <c r="H72" s="415">
        <v>150000</v>
      </c>
      <c r="I72" s="415"/>
      <c r="J72" s="415"/>
      <c r="K72" s="415">
        <v>150000</v>
      </c>
      <c r="L72" s="415"/>
      <c r="M72" s="415"/>
      <c r="N72" s="415">
        <v>150000</v>
      </c>
      <c r="O72" s="415"/>
      <c r="S72" s="416"/>
      <c r="U72" s="416"/>
      <c r="V72" s="416"/>
    </row>
    <row r="73" spans="2:22" x14ac:dyDescent="0.25">
      <c r="B73" s="364" t="s">
        <v>397</v>
      </c>
      <c r="C73" s="418"/>
      <c r="D73" s="418"/>
      <c r="E73" s="268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S73" s="416"/>
      <c r="U73" s="416"/>
    </row>
    <row r="74" spans="2:22" x14ac:dyDescent="0.25">
      <c r="B74" s="392" t="s">
        <v>385</v>
      </c>
      <c r="C74" s="354">
        <v>10000</v>
      </c>
      <c r="D74" s="269">
        <v>30000</v>
      </c>
      <c r="E74" s="268">
        <v>1</v>
      </c>
      <c r="F74" s="415"/>
      <c r="G74" s="415"/>
      <c r="H74" s="415"/>
      <c r="I74" s="415"/>
      <c r="J74" s="415">
        <v>10000</v>
      </c>
      <c r="K74" s="415"/>
      <c r="L74" s="415"/>
      <c r="M74" s="415"/>
      <c r="N74" s="415">
        <v>10000</v>
      </c>
      <c r="O74" s="415"/>
      <c r="S74" s="416"/>
      <c r="U74" s="416"/>
    </row>
    <row r="75" spans="2:22" x14ac:dyDescent="0.25">
      <c r="B75" s="417" t="s">
        <v>386</v>
      </c>
      <c r="C75" s="354">
        <v>850</v>
      </c>
      <c r="D75" s="269">
        <v>30000</v>
      </c>
      <c r="E75" s="268">
        <v>1</v>
      </c>
      <c r="F75" s="415"/>
      <c r="G75" s="415"/>
      <c r="H75" s="415"/>
      <c r="I75" s="415"/>
      <c r="J75" s="415">
        <v>4000</v>
      </c>
      <c r="K75" s="415"/>
      <c r="L75" s="415"/>
      <c r="M75" s="415"/>
      <c r="N75" s="415">
        <v>4000</v>
      </c>
      <c r="O75" s="415"/>
      <c r="S75" s="416"/>
      <c r="U75" s="416"/>
      <c r="V75" s="416"/>
    </row>
    <row r="76" spans="2:22" x14ac:dyDescent="0.25">
      <c r="B76" s="392" t="s">
        <v>387</v>
      </c>
      <c r="C76" s="354">
        <v>1400</v>
      </c>
      <c r="D76" s="269">
        <v>20000</v>
      </c>
      <c r="E76" s="268">
        <v>3</v>
      </c>
      <c r="F76" s="415"/>
      <c r="G76" s="415"/>
      <c r="H76" s="415">
        <v>4200</v>
      </c>
      <c r="I76" s="415"/>
      <c r="J76" s="415">
        <v>4200</v>
      </c>
      <c r="K76" s="415"/>
      <c r="L76" s="415">
        <v>4200</v>
      </c>
      <c r="M76" s="415"/>
      <c r="N76" s="415">
        <v>4200</v>
      </c>
      <c r="O76" s="415"/>
      <c r="S76" s="416"/>
      <c r="U76" s="416"/>
      <c r="V76" s="416"/>
    </row>
    <row r="77" spans="2:22" x14ac:dyDescent="0.25">
      <c r="B77" s="364" t="s">
        <v>398</v>
      </c>
      <c r="C77" s="418"/>
      <c r="D77" s="269"/>
      <c r="E77" s="268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S77" s="416"/>
      <c r="U77" s="416"/>
    </row>
    <row r="78" spans="2:22" x14ac:dyDescent="0.25">
      <c r="B78" s="396" t="s">
        <v>370</v>
      </c>
      <c r="C78" s="354">
        <v>60000</v>
      </c>
      <c r="D78" s="269">
        <v>30000</v>
      </c>
      <c r="E78" s="268">
        <v>1</v>
      </c>
      <c r="F78" s="415"/>
      <c r="G78" s="415"/>
      <c r="H78" s="415"/>
      <c r="I78" s="415"/>
      <c r="J78" s="415">
        <f>C78</f>
        <v>60000</v>
      </c>
      <c r="K78" s="415"/>
      <c r="L78" s="415"/>
      <c r="M78" s="415"/>
      <c r="N78" s="415">
        <f>J78</f>
        <v>60000</v>
      </c>
      <c r="O78" s="415"/>
      <c r="S78" s="416"/>
      <c r="U78" s="416"/>
    </row>
    <row r="79" spans="2:22" x14ac:dyDescent="0.25">
      <c r="B79" s="417" t="s">
        <v>388</v>
      </c>
      <c r="C79" s="354">
        <v>20000</v>
      </c>
      <c r="D79" s="269">
        <v>25000</v>
      </c>
      <c r="E79" s="268">
        <v>1</v>
      </c>
      <c r="F79" s="415"/>
      <c r="G79" s="415"/>
      <c r="H79" s="415"/>
      <c r="I79" s="415">
        <v>20000</v>
      </c>
      <c r="J79" s="415"/>
      <c r="K79" s="415"/>
      <c r="L79" s="415"/>
      <c r="M79" s="415">
        <v>20000</v>
      </c>
      <c r="N79" s="415"/>
      <c r="O79" s="415"/>
      <c r="S79" s="416"/>
      <c r="U79" s="416"/>
    </row>
    <row r="80" spans="2:22" x14ac:dyDescent="0.25">
      <c r="B80" s="420"/>
      <c r="C80" s="348"/>
      <c r="D80" s="295"/>
      <c r="E80" s="370"/>
      <c r="F80" s="415"/>
      <c r="G80" s="415"/>
      <c r="H80" s="415"/>
      <c r="I80" s="415"/>
      <c r="J80" s="415"/>
      <c r="K80" s="415"/>
      <c r="L80" s="415"/>
      <c r="M80" s="415"/>
      <c r="N80" s="415"/>
      <c r="O80" s="415"/>
      <c r="U80" s="416"/>
      <c r="V80" s="416"/>
    </row>
    <row r="81" spans="2:15" ht="14.95" thickBot="1" x14ac:dyDescent="0.3">
      <c r="B81" s="421"/>
      <c r="C81" s="422"/>
      <c r="D81" s="375"/>
      <c r="E81" s="372"/>
      <c r="F81" s="423"/>
      <c r="G81" s="423"/>
      <c r="H81" s="423"/>
      <c r="I81" s="423"/>
      <c r="J81" s="423"/>
      <c r="K81" s="423"/>
      <c r="L81" s="423"/>
      <c r="M81" s="423"/>
      <c r="N81" s="423"/>
      <c r="O81" s="423"/>
    </row>
    <row r="82" spans="2:15" x14ac:dyDescent="0.25">
      <c r="F82" s="413"/>
      <c r="G82" s="413"/>
      <c r="H82" s="413"/>
      <c r="I82" s="413"/>
      <c r="J82" s="413"/>
      <c r="K82" s="413"/>
      <c r="L82" s="413"/>
      <c r="M82" s="413"/>
      <c r="N82" s="413"/>
      <c r="O82" s="413"/>
    </row>
  </sheetData>
  <printOptions horizontalCentered="1"/>
  <pageMargins left="0.25" right="0.25" top="0.75" bottom="0.75" header="0.3" footer="0.3"/>
  <pageSetup paperSize="8" scale="61" fitToWidth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53C7-5BC6-410E-BE66-4AEA2FEA3F32}">
  <sheetPr>
    <tabColor theme="9" tint="0.79998168889431442"/>
  </sheetPr>
  <dimension ref="A2:Q34"/>
  <sheetViews>
    <sheetView showGridLines="0" zoomScale="85" zoomScaleNormal="85" zoomScaleSheetLayoutView="100" workbookViewId="0">
      <selection activeCell="Q18" sqref="Q18"/>
    </sheetView>
  </sheetViews>
  <sheetFormatPr defaultColWidth="9.125" defaultRowHeight="12.9" x14ac:dyDescent="0.25"/>
  <cols>
    <col min="1" max="1" width="6" style="236" customWidth="1"/>
    <col min="2" max="2" width="43.625" style="274" customWidth="1"/>
    <col min="3" max="3" width="17" style="238" customWidth="1"/>
    <col min="4" max="4" width="17.75" style="238" customWidth="1"/>
    <col min="5" max="5" width="8.75" style="239" customWidth="1"/>
    <col min="6" max="12" width="8.25" style="239" customWidth="1"/>
    <col min="13" max="13" width="63.25" style="236" customWidth="1"/>
    <col min="14" max="14" width="14" style="236" bestFit="1" customWidth="1"/>
    <col min="15" max="16384" width="9.125" style="236"/>
  </cols>
  <sheetData>
    <row r="2" spans="1:14" ht="14.3" x14ac:dyDescent="0.25">
      <c r="B2" s="237" t="s">
        <v>259</v>
      </c>
    </row>
    <row r="3" spans="1:14" s="241" customFormat="1" ht="27" customHeight="1" x14ac:dyDescent="0.25">
      <c r="B3" s="242" t="s">
        <v>261</v>
      </c>
      <c r="C3" s="243" t="s">
        <v>419</v>
      </c>
      <c r="D3" s="244"/>
      <c r="E3" s="244"/>
      <c r="F3" s="244"/>
      <c r="G3" s="244"/>
      <c r="H3" s="244"/>
      <c r="I3" s="244"/>
      <c r="J3" s="244"/>
      <c r="K3" s="244"/>
      <c r="L3" s="244"/>
      <c r="M3" s="245" t="s">
        <v>263</v>
      </c>
    </row>
    <row r="4" spans="1:14" s="249" customFormat="1" ht="29.25" customHeight="1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L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469" t="s">
        <v>420</v>
      </c>
      <c r="N4" s="248"/>
    </row>
    <row r="5" spans="1:14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469"/>
      <c r="N5" s="248"/>
    </row>
    <row r="6" spans="1:14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>
        <v>7822</v>
      </c>
      <c r="E6" s="247"/>
      <c r="F6" s="247"/>
      <c r="G6" s="247"/>
      <c r="H6" s="247"/>
      <c r="I6" s="247"/>
      <c r="J6" s="247"/>
      <c r="K6" s="247"/>
      <c r="L6" s="247"/>
      <c r="M6" s="469"/>
      <c r="N6" s="248"/>
    </row>
    <row r="7" spans="1:14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>
        <v>7427</v>
      </c>
      <c r="E7" s="247"/>
      <c r="F7" s="247"/>
      <c r="G7" s="247"/>
      <c r="H7" s="247"/>
      <c r="I7" s="247"/>
      <c r="J7" s="247"/>
      <c r="K7" s="247"/>
      <c r="L7" s="247"/>
      <c r="M7" s="469"/>
      <c r="N7" s="248"/>
    </row>
    <row r="8" spans="1:14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>
        <v>14380</v>
      </c>
      <c r="E8" s="247"/>
      <c r="F8" s="247"/>
      <c r="G8" s="247"/>
      <c r="H8" s="247"/>
      <c r="I8" s="247"/>
      <c r="J8" s="247"/>
      <c r="K8" s="247"/>
      <c r="L8" s="247"/>
      <c r="M8" s="469"/>
      <c r="N8" s="248"/>
    </row>
    <row r="9" spans="1:14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>
        <v>230</v>
      </c>
      <c r="E9" s="247"/>
      <c r="F9" s="247"/>
      <c r="G9" s="247"/>
      <c r="H9" s="247"/>
      <c r="I9" s="247"/>
      <c r="J9" s="247"/>
      <c r="K9" s="247"/>
      <c r="L9" s="247"/>
      <c r="M9" s="469" t="s">
        <v>421</v>
      </c>
      <c r="N9" s="248"/>
    </row>
    <row r="10" spans="1:14" ht="27.2" x14ac:dyDescent="0.25">
      <c r="A10" s="236">
        <f t="shared" si="1"/>
        <v>7</v>
      </c>
      <c r="B10" s="246" t="s">
        <v>270</v>
      </c>
      <c r="C10" s="253" t="s">
        <v>271</v>
      </c>
      <c r="D10" s="252">
        <v>148</v>
      </c>
      <c r="E10" s="253"/>
      <c r="F10" s="253"/>
      <c r="G10" s="253"/>
      <c r="H10" s="253"/>
      <c r="I10" s="253"/>
      <c r="J10" s="253"/>
      <c r="K10" s="253"/>
      <c r="L10" s="253"/>
      <c r="M10" s="469" t="s">
        <v>422</v>
      </c>
      <c r="N10" s="254"/>
    </row>
    <row r="11" spans="1:14" ht="18.7" customHeight="1" x14ac:dyDescent="0.25">
      <c r="A11" s="236">
        <f>A10+1</f>
        <v>8</v>
      </c>
      <c r="B11" s="246" t="s">
        <v>12</v>
      </c>
      <c r="C11" s="253" t="s">
        <v>13</v>
      </c>
      <c r="D11" s="252">
        <v>2500</v>
      </c>
      <c r="E11" s="253"/>
      <c r="F11" s="253"/>
      <c r="G11" s="253"/>
      <c r="H11" s="253"/>
      <c r="I11" s="253"/>
      <c r="J11" s="253"/>
      <c r="K11" s="253"/>
      <c r="L11" s="253"/>
      <c r="M11" s="469"/>
      <c r="N11" s="254"/>
    </row>
    <row r="12" spans="1:14" ht="19.55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0.90962709284627086</v>
      </c>
      <c r="F12" s="255">
        <f>(8760-F13-F14-F15)/8760</f>
        <v>0.88376775748351089</v>
      </c>
      <c r="G12" s="255">
        <f>(8760-G13-G14-G15)/8760</f>
        <v>0.77400431253170976</v>
      </c>
      <c r="H12" s="255">
        <f t="shared" ref="H12:L12" si="2">(8760-H13-H14-H15)/8760</f>
        <v>0.88376775748351089</v>
      </c>
      <c r="I12" s="255">
        <f t="shared" si="2"/>
        <v>0.90962709284627086</v>
      </c>
      <c r="J12" s="255">
        <f t="shared" si="2"/>
        <v>0.74814497716894979</v>
      </c>
      <c r="K12" s="255">
        <f t="shared" si="2"/>
        <v>0.90962709284627086</v>
      </c>
      <c r="L12" s="255">
        <f t="shared" si="2"/>
        <v>0.88376775748351089</v>
      </c>
      <c r="M12" s="469"/>
    </row>
    <row r="13" spans="1:14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'TZCO ТО_1'!G7</f>
        <v>548</v>
      </c>
      <c r="F13" s="257">
        <f>'TZCO ТО_1'!H7</f>
        <v>548</v>
      </c>
      <c r="G13" s="257">
        <f>'TZCO ТО_1'!I7</f>
        <v>548</v>
      </c>
      <c r="H13" s="257">
        <f>'TZCO ТО_1'!J7</f>
        <v>548</v>
      </c>
      <c r="I13" s="257">
        <f>'TZCO ТО_1'!K7</f>
        <v>548</v>
      </c>
      <c r="J13" s="257">
        <f>'TZCO ТО_1'!L7</f>
        <v>548</v>
      </c>
      <c r="K13" s="257">
        <f>'TZCO ТО_1'!M7</f>
        <v>548</v>
      </c>
      <c r="L13" s="257">
        <f>'TZCO ТО_1'!N7</f>
        <v>548</v>
      </c>
      <c r="M13" s="424"/>
    </row>
    <row r="14" spans="1:14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'TZCO Рем_1'!F8</f>
        <v>16</v>
      </c>
      <c r="F14" s="257">
        <f>'TZCO Рем_1'!G8</f>
        <v>249</v>
      </c>
      <c r="G14" s="257">
        <f>'TZCO Рем_1'!H8</f>
        <v>1238</v>
      </c>
      <c r="H14" s="257">
        <f>'TZCO Рем_1'!I8</f>
        <v>249</v>
      </c>
      <c r="I14" s="257">
        <f>'TZCO Рем_1'!J8</f>
        <v>16</v>
      </c>
      <c r="J14" s="257">
        <f>'TZCO Рем_1'!K8</f>
        <v>1471</v>
      </c>
      <c r="K14" s="257">
        <f>'TZCO Рем_1'!L8</f>
        <v>16</v>
      </c>
      <c r="L14" s="257">
        <f>'TZCO Рем_1'!M8</f>
        <v>249</v>
      </c>
      <c r="M14" s="424"/>
    </row>
    <row r="15" spans="1:14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227.66666666666666</v>
      </c>
      <c r="F15" s="257">
        <f t="shared" ref="F15:L15" si="4">(8760-F13-F14)/12*20/60</f>
        <v>221.19444444444446</v>
      </c>
      <c r="G15" s="257">
        <f t="shared" si="4"/>
        <v>193.7222222222222</v>
      </c>
      <c r="H15" s="257">
        <f t="shared" si="4"/>
        <v>221.19444444444446</v>
      </c>
      <c r="I15" s="257">
        <f t="shared" si="4"/>
        <v>227.66666666666666</v>
      </c>
      <c r="J15" s="257">
        <f t="shared" si="4"/>
        <v>187.25</v>
      </c>
      <c r="K15" s="257">
        <f t="shared" si="4"/>
        <v>227.66666666666666</v>
      </c>
      <c r="L15" s="257">
        <f t="shared" si="4"/>
        <v>221.19444444444446</v>
      </c>
      <c r="M15" s="424"/>
    </row>
    <row r="16" spans="1:14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>
        <v>23</v>
      </c>
      <c r="E16" s="259"/>
      <c r="F16" s="259"/>
      <c r="G16" s="259"/>
      <c r="H16" s="259"/>
      <c r="I16" s="259"/>
      <c r="J16" s="259"/>
      <c r="K16" s="259"/>
      <c r="L16" s="259"/>
      <c r="M16" s="469"/>
    </row>
    <row r="17" spans="1:17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>
        <v>17</v>
      </c>
      <c r="E17" s="259"/>
      <c r="F17" s="259"/>
      <c r="G17" s="259"/>
      <c r="H17" s="259"/>
      <c r="I17" s="259"/>
      <c r="J17" s="259"/>
      <c r="K17" s="259"/>
      <c r="L17" s="259"/>
      <c r="M17" s="469"/>
      <c r="O17" s="531" t="s">
        <v>523</v>
      </c>
      <c r="P17" s="531" t="s">
        <v>524</v>
      </c>
    </row>
    <row r="18" spans="1:17" ht="30.75" customHeight="1" x14ac:dyDescent="0.25">
      <c r="A18" s="236">
        <f t="shared" si="3"/>
        <v>15</v>
      </c>
      <c r="B18" s="246" t="s">
        <v>423</v>
      </c>
      <c r="C18" s="260" t="s">
        <v>280</v>
      </c>
      <c r="D18" s="260"/>
      <c r="E18" s="261">
        <f>SUM(E19:E23)</f>
        <v>299.33592441558437</v>
      </c>
      <c r="F18" s="261">
        <f t="shared" ref="F18:L18" si="5">SUM(F19:F23)</f>
        <v>629.57257441558431</v>
      </c>
      <c r="G18" s="261">
        <f t="shared" si="5"/>
        <v>1881.2034744155847</v>
      </c>
      <c r="H18" s="261">
        <f t="shared" si="5"/>
        <v>629.57257441558431</v>
      </c>
      <c r="I18" s="261">
        <f t="shared" si="5"/>
        <v>299.33592441558437</v>
      </c>
      <c r="J18" s="261">
        <f t="shared" si="5"/>
        <v>2211.4401244155847</v>
      </c>
      <c r="K18" s="261">
        <f t="shared" si="5"/>
        <v>299.33592441558437</v>
      </c>
      <c r="L18" s="261">
        <f t="shared" si="5"/>
        <v>629.57257441558431</v>
      </c>
      <c r="M18" s="469"/>
      <c r="O18" s="528">
        <f>SUM(E18:L18)</f>
        <v>6879.369095324676</v>
      </c>
      <c r="P18" s="528">
        <f>O18/$L$4</f>
        <v>859.9211369155845</v>
      </c>
      <c r="Q18" s="1050">
        <f>P18*'ФОТ, МТР, макро'!$AJ$7</f>
        <v>80874.293045205355</v>
      </c>
    </row>
    <row r="19" spans="1:17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'TZCO ТО_1'!G9/1000</f>
        <v>217.03172441558436</v>
      </c>
      <c r="F19" s="263">
        <f>'TZCO ТО_1'!H9/1000</f>
        <v>217.03172441558436</v>
      </c>
      <c r="G19" s="263">
        <f>'TZCO ТО_1'!I9/1000</f>
        <v>217.03172441558436</v>
      </c>
      <c r="H19" s="263">
        <f>'TZCO ТО_1'!J9/1000</f>
        <v>217.03172441558436</v>
      </c>
      <c r="I19" s="263">
        <f>'TZCO ТО_1'!K9/1000</f>
        <v>217.03172441558436</v>
      </c>
      <c r="J19" s="263">
        <f>'TZCO ТО_1'!L9/1000</f>
        <v>217.03172441558436</v>
      </c>
      <c r="K19" s="263">
        <f>'TZCO ТО_1'!M9/1000</f>
        <v>217.03172441558436</v>
      </c>
      <c r="L19" s="263">
        <f>'TZCO ТО_1'!N9/1000</f>
        <v>217.03172441558436</v>
      </c>
      <c r="M19" s="424"/>
      <c r="O19" s="529">
        <f>SUM(E19:L19)</f>
        <v>1736.2537953246751</v>
      </c>
      <c r="P19" s="529">
        <f t="shared" ref="P19:P23" si="6">O19/$L$4</f>
        <v>217.03172441558439</v>
      </c>
    </row>
    <row r="20" spans="1:17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'TZCO Рем_1'!F10/1000</f>
        <v>7.5</v>
      </c>
      <c r="F20" s="263">
        <f>'TZCO Рем_1'!G10/1000</f>
        <v>7.5</v>
      </c>
      <c r="G20" s="263">
        <f>'TZCO Рем_1'!H10/1000</f>
        <v>7.5</v>
      </c>
      <c r="H20" s="263">
        <f>'TZCO Рем_1'!I10/1000</f>
        <v>7.5</v>
      </c>
      <c r="I20" s="263">
        <f>'TZCO Рем_1'!J10/1000</f>
        <v>7.5</v>
      </c>
      <c r="J20" s="263">
        <f>'TZCO Рем_1'!K10/1000</f>
        <v>7.5</v>
      </c>
      <c r="K20" s="263">
        <f>'TZCO Рем_1'!L10/1000</f>
        <v>7.5</v>
      </c>
      <c r="L20" s="263">
        <f>'TZCO Рем_1'!M10/1000</f>
        <v>7.5</v>
      </c>
      <c r="M20" s="424"/>
      <c r="O20" s="529">
        <f t="shared" ref="O20:O23" si="7">SUM(E20:L20)</f>
        <v>60</v>
      </c>
      <c r="P20" s="529">
        <f t="shared" si="6"/>
        <v>7.5</v>
      </c>
    </row>
    <row r="21" spans="1:17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'TZCO Рем_1'!F11/1000</f>
        <v>22.180199999999999</v>
      </c>
      <c r="F21" s="263">
        <f>'TZCO Рем_1'!G11/1000</f>
        <v>117.30164999999998</v>
      </c>
      <c r="G21" s="263">
        <f>'TZCO Рем_1'!H11/1000</f>
        <v>1471.5217500000003</v>
      </c>
      <c r="H21" s="263">
        <f>'TZCO Рем_1'!I11/1000</f>
        <v>117.30164999999998</v>
      </c>
      <c r="I21" s="263">
        <f>'TZCO Рем_1'!J11/1000</f>
        <v>22.180199999999999</v>
      </c>
      <c r="J21" s="263">
        <f>'TZCO Рем_1'!K11/1000</f>
        <v>1566.6432000000002</v>
      </c>
      <c r="K21" s="263">
        <f>'TZCO Рем_1'!L11/1000</f>
        <v>22.180199999999999</v>
      </c>
      <c r="L21" s="263">
        <f>'TZCO Рем_1'!M11/1000</f>
        <v>117.30164999999998</v>
      </c>
      <c r="M21" s="424"/>
      <c r="O21" s="529">
        <f t="shared" si="7"/>
        <v>3456.6105000000002</v>
      </c>
      <c r="P21" s="529">
        <f t="shared" si="6"/>
        <v>432.07631250000003</v>
      </c>
    </row>
    <row r="22" spans="1:17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'TZCO ТО_1'!G10/1000</f>
        <v>50.415999999999997</v>
      </c>
      <c r="F22" s="263">
        <f>'TZCO ТО_1'!H10/1000</f>
        <v>50.415999999999997</v>
      </c>
      <c r="G22" s="263">
        <f>'TZCO ТО_1'!I10/1000</f>
        <v>50.415999999999997</v>
      </c>
      <c r="H22" s="263">
        <f>'TZCO ТО_1'!J10/1000</f>
        <v>50.415999999999997</v>
      </c>
      <c r="I22" s="263">
        <f>'TZCO ТО_1'!K10/1000</f>
        <v>50.415999999999997</v>
      </c>
      <c r="J22" s="263">
        <f>'TZCO ТО_1'!L10/1000</f>
        <v>50.415999999999997</v>
      </c>
      <c r="K22" s="263">
        <f>'TZCO ТО_1'!M10/1000</f>
        <v>50.415999999999997</v>
      </c>
      <c r="L22" s="263">
        <f>'TZCO ТО_1'!N10/1000</f>
        <v>50.415999999999997</v>
      </c>
      <c r="M22" s="424"/>
      <c r="O22" s="529">
        <f t="shared" si="7"/>
        <v>403.32799999999997</v>
      </c>
      <c r="P22" s="529">
        <f t="shared" si="6"/>
        <v>50.415999999999997</v>
      </c>
    </row>
    <row r="23" spans="1:17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'TZCO Рем_1'!F12/1000</f>
        <v>2.2080000000000002</v>
      </c>
      <c r="F23" s="263">
        <f>'TZCO Рем_1'!G12/1000</f>
        <v>237.32319999999999</v>
      </c>
      <c r="G23" s="263">
        <f>'TZCO Рем_1'!H12/1000</f>
        <v>134.73400000000001</v>
      </c>
      <c r="H23" s="263">
        <f>'TZCO Рем_1'!I12/1000</f>
        <v>237.32319999999999</v>
      </c>
      <c r="I23" s="263">
        <f>'TZCO Рем_1'!J12/1000</f>
        <v>2.2080000000000002</v>
      </c>
      <c r="J23" s="263">
        <f>'TZCO Рем_1'!K12/1000</f>
        <v>369.84919999999994</v>
      </c>
      <c r="K23" s="263">
        <f>'TZCO Рем_1'!L12/1000</f>
        <v>2.2080000000000002</v>
      </c>
      <c r="L23" s="263">
        <f>'TZCO Рем_1'!M12/1000</f>
        <v>237.32319999999999</v>
      </c>
      <c r="M23" s="424" t="s">
        <v>424</v>
      </c>
      <c r="O23" s="529">
        <f t="shared" si="7"/>
        <v>1223.1767999999997</v>
      </c>
      <c r="P23" s="529">
        <f t="shared" si="6"/>
        <v>152.89709999999997</v>
      </c>
    </row>
    <row r="24" spans="1:17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469"/>
    </row>
    <row r="25" spans="1:17" ht="14.95" customHeight="1" x14ac:dyDescent="0.25">
      <c r="A25" s="236">
        <f t="shared" si="3"/>
        <v>22</v>
      </c>
      <c r="B25" s="266" t="s">
        <v>287</v>
      </c>
      <c r="C25" s="260"/>
      <c r="D25" s="268" t="s">
        <v>425</v>
      </c>
      <c r="E25" s="267"/>
      <c r="F25" s="265"/>
      <c r="G25" s="265"/>
      <c r="H25" s="265"/>
      <c r="I25" s="265"/>
      <c r="J25" s="265"/>
      <c r="K25" s="265"/>
      <c r="L25" s="265"/>
      <c r="M25" s="469" t="s">
        <v>426</v>
      </c>
    </row>
    <row r="26" spans="1:17" ht="14.3" x14ac:dyDescent="0.25">
      <c r="A26" s="236">
        <f t="shared" si="3"/>
        <v>23</v>
      </c>
      <c r="B26" s="266" t="s">
        <v>290</v>
      </c>
      <c r="C26" s="260"/>
      <c r="D26" s="470">
        <v>30000</v>
      </c>
      <c r="E26" s="270"/>
      <c r="F26" s="270"/>
      <c r="G26" s="270"/>
      <c r="H26" s="270"/>
      <c r="I26" s="270"/>
      <c r="J26" s="270"/>
      <c r="K26" s="270"/>
      <c r="L26" s="270"/>
      <c r="M26" s="469" t="s">
        <v>426</v>
      </c>
    </row>
    <row r="27" spans="1:17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469" t="s">
        <v>426</v>
      </c>
    </row>
    <row r="28" spans="1:17" x14ac:dyDescent="0.25">
      <c r="A28" s="236">
        <f t="shared" si="3"/>
        <v>25</v>
      </c>
      <c r="B28" s="266" t="s">
        <v>293</v>
      </c>
      <c r="C28" s="260" t="s">
        <v>145</v>
      </c>
      <c r="D28" s="471">
        <v>105.65</v>
      </c>
      <c r="E28" s="270"/>
      <c r="F28" s="270"/>
      <c r="G28" s="270"/>
      <c r="H28" s="270"/>
      <c r="I28" s="270"/>
      <c r="J28" s="270"/>
      <c r="K28" s="270"/>
      <c r="L28" s="270"/>
      <c r="M28" s="469"/>
    </row>
    <row r="29" spans="1:17" x14ac:dyDescent="0.25">
      <c r="A29" s="236">
        <f t="shared" si="3"/>
        <v>26</v>
      </c>
      <c r="B29" s="266" t="s">
        <v>294</v>
      </c>
      <c r="C29" s="260" t="s">
        <v>145</v>
      </c>
      <c r="D29" s="471">
        <v>140.9</v>
      </c>
      <c r="E29" s="270"/>
      <c r="F29" s="270"/>
      <c r="G29" s="270"/>
      <c r="H29" s="270"/>
      <c r="I29" s="270"/>
      <c r="J29" s="270"/>
      <c r="K29" s="270"/>
      <c r="L29" s="270"/>
      <c r="M29" s="469"/>
    </row>
    <row r="30" spans="1:17" x14ac:dyDescent="0.25">
      <c r="A30" s="236">
        <f t="shared" si="3"/>
        <v>27</v>
      </c>
      <c r="B30" s="266" t="s">
        <v>295</v>
      </c>
      <c r="C30" s="260" t="s">
        <v>145</v>
      </c>
      <c r="D30" s="471">
        <v>194.9</v>
      </c>
      <c r="E30" s="270"/>
      <c r="F30" s="270"/>
      <c r="G30" s="270"/>
      <c r="H30" s="270"/>
      <c r="I30" s="270"/>
      <c r="J30" s="270"/>
      <c r="K30" s="270"/>
      <c r="L30" s="270"/>
      <c r="M30" s="469"/>
    </row>
    <row r="31" spans="1:17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472" t="s">
        <v>427</v>
      </c>
      <c r="E31" s="270"/>
      <c r="F31" s="270"/>
      <c r="G31" s="270"/>
      <c r="H31" s="270"/>
      <c r="I31" s="270"/>
      <c r="J31" s="270"/>
      <c r="K31" s="270"/>
      <c r="L31" s="270"/>
      <c r="M31" s="473"/>
    </row>
    <row r="34" spans="5:13" ht="13.6" x14ac:dyDescent="0.25">
      <c r="E34" s="527">
        <f>E18/(365*24*E12)*1000</f>
        <v>37.565688067214104</v>
      </c>
      <c r="F34" s="527">
        <f t="shared" ref="F34:L34" si="8">F18/(365*24*F12)*1000</f>
        <v>81.321155626777539</v>
      </c>
      <c r="G34" s="527">
        <f t="shared" si="8"/>
        <v>277.4522720265519</v>
      </c>
      <c r="H34" s="527">
        <f t="shared" si="8"/>
        <v>81.321155626777539</v>
      </c>
      <c r="I34" s="527">
        <f t="shared" si="8"/>
        <v>37.565688067214104</v>
      </c>
      <c r="J34" s="527">
        <f t="shared" si="8"/>
        <v>337.43126063941787</v>
      </c>
      <c r="K34" s="527">
        <f t="shared" si="8"/>
        <v>37.565688067214104</v>
      </c>
      <c r="L34" s="527">
        <f t="shared" si="8"/>
        <v>81.321155626777539</v>
      </c>
      <c r="M34" s="532">
        <f>SUMPRODUCT(E34:L34,E12:L12)/SUM(E12:L12)</f>
        <v>113.77544536352323</v>
      </c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35C2-B046-465E-B822-E9A8EEC1DA40}">
  <sheetPr>
    <tabColor theme="9" tint="0.79998168889431442"/>
  </sheetPr>
  <dimension ref="B2:Q54"/>
  <sheetViews>
    <sheetView showGridLines="0" zoomScale="85" zoomScaleNormal="85" workbookViewId="0">
      <pane xSplit="5" ySplit="4" topLeftCell="F5" activePane="bottomRight" state="frozen"/>
      <selection activeCell="N49" sqref="N49"/>
      <selection pane="topRight" activeCell="N49" sqref="N49"/>
      <selection pane="bottomLeft" activeCell="N49" sqref="N49"/>
      <selection pane="bottomRight" activeCell="N49" sqref="N49"/>
    </sheetView>
  </sheetViews>
  <sheetFormatPr defaultRowHeight="14.3" x14ac:dyDescent="0.25"/>
  <cols>
    <col min="1" max="1" width="5.625" style="275" customWidth="1"/>
    <col min="2" max="2" width="70.625" style="275" customWidth="1"/>
    <col min="3" max="3" width="24.75" style="275" customWidth="1"/>
    <col min="4" max="4" width="14.75" style="275" customWidth="1"/>
    <col min="5" max="5" width="14" style="275" customWidth="1"/>
    <col min="6" max="6" width="9.25" style="275" bestFit="1" customWidth="1"/>
    <col min="7" max="14" width="10" style="275" customWidth="1"/>
    <col min="15" max="15" width="11.875" style="275" customWidth="1"/>
    <col min="16" max="16" width="9" style="275"/>
    <col min="17" max="17" width="10.375" style="275" customWidth="1"/>
    <col min="18" max="16384" width="9" style="275"/>
  </cols>
  <sheetData>
    <row r="2" spans="2:17" x14ac:dyDescent="0.25">
      <c r="B2" s="237" t="s">
        <v>259</v>
      </c>
    </row>
    <row r="3" spans="2:17" ht="14.95" thickBot="1" x14ac:dyDescent="0.3">
      <c r="B3" s="275" t="s">
        <v>298</v>
      </c>
      <c r="G3" s="277">
        <f>TZCO_1!E12</f>
        <v>0.90962709284627086</v>
      </c>
      <c r="H3" s="277">
        <f>TZCO_1!F12</f>
        <v>0.88376775748351089</v>
      </c>
      <c r="I3" s="277">
        <f>TZCO_1!G12</f>
        <v>0.77400431253170976</v>
      </c>
      <c r="J3" s="277">
        <f>TZCO_1!H12</f>
        <v>0.88376775748351089</v>
      </c>
      <c r="K3" s="277">
        <f>TZCO_1!I12</f>
        <v>0.90962709284627086</v>
      </c>
      <c r="L3" s="277">
        <f>TZCO_1!J12</f>
        <v>0.74814497716894979</v>
      </c>
      <c r="M3" s="277">
        <f>TZCO_1!K12</f>
        <v>0.90962709284627086</v>
      </c>
      <c r="N3" s="277">
        <f>TZCO_1!L12</f>
        <v>0.88376775748351089</v>
      </c>
    </row>
    <row r="4" spans="2:17" ht="22.1" customHeight="1" thickBot="1" x14ac:dyDescent="0.3">
      <c r="B4" s="278" t="s">
        <v>299</v>
      </c>
      <c r="C4" s="279" t="s">
        <v>8</v>
      </c>
      <c r="D4" s="280"/>
      <c r="E4" s="281"/>
      <c r="F4" s="282"/>
      <c r="G4" s="283">
        <f>E4+1</f>
        <v>1</v>
      </c>
      <c r="H4" s="283">
        <f>G4+1</f>
        <v>2</v>
      </c>
      <c r="I4" s="283">
        <f t="shared" ref="I4:N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</row>
    <row r="5" spans="2:17" x14ac:dyDescent="0.25">
      <c r="B5" s="284" t="s">
        <v>300</v>
      </c>
      <c r="C5" s="285" t="s">
        <v>301</v>
      </c>
      <c r="D5" s="286"/>
      <c r="E5" s="287"/>
      <c r="F5" s="288"/>
      <c r="G5" s="474">
        <v>0</v>
      </c>
      <c r="H5" s="475">
        <f>G6+1</f>
        <v>7001</v>
      </c>
      <c r="I5" s="475">
        <f t="shared" ref="I5:N5" si="1">H6+1</f>
        <v>14001</v>
      </c>
      <c r="J5" s="475">
        <f t="shared" si="1"/>
        <v>21001</v>
      </c>
      <c r="K5" s="475">
        <f t="shared" si="1"/>
        <v>28001</v>
      </c>
      <c r="L5" s="475">
        <f t="shared" si="1"/>
        <v>35001</v>
      </c>
      <c r="M5" s="475">
        <f t="shared" si="1"/>
        <v>42001</v>
      </c>
      <c r="N5" s="475">
        <f t="shared" si="1"/>
        <v>49001</v>
      </c>
    </row>
    <row r="6" spans="2:17" x14ac:dyDescent="0.25">
      <c r="B6" s="290" t="s">
        <v>302</v>
      </c>
      <c r="C6" s="291" t="s">
        <v>301</v>
      </c>
      <c r="D6" s="292"/>
      <c r="E6" s="293"/>
      <c r="F6" s="294">
        <v>7000</v>
      </c>
      <c r="G6" s="476">
        <f>F6</f>
        <v>7000</v>
      </c>
      <c r="H6" s="476">
        <f t="shared" ref="H6:N6" si="2">G6+$F6</f>
        <v>14000</v>
      </c>
      <c r="I6" s="476">
        <f t="shared" si="2"/>
        <v>21000</v>
      </c>
      <c r="J6" s="476">
        <f t="shared" si="2"/>
        <v>28000</v>
      </c>
      <c r="K6" s="476">
        <f t="shared" si="2"/>
        <v>35000</v>
      </c>
      <c r="L6" s="476">
        <f t="shared" si="2"/>
        <v>42000</v>
      </c>
      <c r="M6" s="476">
        <f t="shared" si="2"/>
        <v>49000</v>
      </c>
      <c r="N6" s="476">
        <f t="shared" si="2"/>
        <v>56000</v>
      </c>
    </row>
    <row r="7" spans="2:17" ht="21.75" customHeight="1" x14ac:dyDescent="0.25">
      <c r="B7" s="296" t="s">
        <v>303</v>
      </c>
      <c r="C7" s="297" t="s">
        <v>304</v>
      </c>
      <c r="D7" s="253"/>
      <c r="E7" s="298"/>
      <c r="F7" s="299"/>
      <c r="G7" s="257">
        <f>G13</f>
        <v>548</v>
      </c>
      <c r="H7" s="257">
        <f t="shared" ref="H7:N7" si="3">H13</f>
        <v>548</v>
      </c>
      <c r="I7" s="257">
        <f t="shared" si="3"/>
        <v>548</v>
      </c>
      <c r="J7" s="257">
        <f t="shared" si="3"/>
        <v>548</v>
      </c>
      <c r="K7" s="257">
        <f t="shared" si="3"/>
        <v>548</v>
      </c>
      <c r="L7" s="257">
        <f t="shared" si="3"/>
        <v>548</v>
      </c>
      <c r="M7" s="257">
        <f t="shared" si="3"/>
        <v>548</v>
      </c>
      <c r="N7" s="257">
        <f t="shared" si="3"/>
        <v>548</v>
      </c>
    </row>
    <row r="8" spans="2:17" ht="21.1" customHeight="1" x14ac:dyDescent="0.25">
      <c r="B8" s="300" t="s">
        <v>305</v>
      </c>
      <c r="C8" s="301" t="s">
        <v>306</v>
      </c>
      <c r="D8" s="260"/>
      <c r="E8" s="298"/>
      <c r="F8" s="299"/>
      <c r="G8" s="302">
        <f t="shared" ref="G8:N8" si="4">SUM(G9:G10)</f>
        <v>267447.72441558435</v>
      </c>
      <c r="H8" s="302">
        <f t="shared" si="4"/>
        <v>267447.72441558435</v>
      </c>
      <c r="I8" s="302">
        <f t="shared" si="4"/>
        <v>267447.72441558435</v>
      </c>
      <c r="J8" s="302">
        <f t="shared" si="4"/>
        <v>267447.72441558435</v>
      </c>
      <c r="K8" s="302">
        <f t="shared" si="4"/>
        <v>267447.72441558435</v>
      </c>
      <c r="L8" s="302">
        <f t="shared" si="4"/>
        <v>267447.72441558435</v>
      </c>
      <c r="M8" s="302">
        <f t="shared" si="4"/>
        <v>267447.72441558435</v>
      </c>
      <c r="N8" s="302">
        <f t="shared" si="4"/>
        <v>267447.72441558435</v>
      </c>
    </row>
    <row r="9" spans="2:17" ht="20.25" customHeight="1" x14ac:dyDescent="0.25">
      <c r="B9" s="304" t="s">
        <v>307</v>
      </c>
      <c r="C9" s="305" t="s">
        <v>306</v>
      </c>
      <c r="D9" s="306"/>
      <c r="E9" s="307"/>
      <c r="F9" s="308"/>
      <c r="G9" s="263">
        <f t="shared" ref="G9:N9" si="5">G21</f>
        <v>217031.72441558435</v>
      </c>
      <c r="H9" s="263">
        <f t="shared" si="5"/>
        <v>217031.72441558435</v>
      </c>
      <c r="I9" s="263">
        <f t="shared" si="5"/>
        <v>217031.72441558435</v>
      </c>
      <c r="J9" s="263">
        <f t="shared" si="5"/>
        <v>217031.72441558435</v>
      </c>
      <c r="K9" s="263">
        <f t="shared" si="5"/>
        <v>217031.72441558435</v>
      </c>
      <c r="L9" s="263">
        <f t="shared" si="5"/>
        <v>217031.72441558435</v>
      </c>
      <c r="M9" s="263">
        <f t="shared" si="5"/>
        <v>217031.72441558435</v>
      </c>
      <c r="N9" s="263">
        <f t="shared" si="5"/>
        <v>217031.72441558435</v>
      </c>
    </row>
    <row r="10" spans="2:17" ht="23.3" customHeight="1" thickBot="1" x14ac:dyDescent="0.3">
      <c r="B10" s="309" t="s">
        <v>308</v>
      </c>
      <c r="C10" s="310" t="s">
        <v>306</v>
      </c>
      <c r="D10" s="311"/>
      <c r="E10" s="312"/>
      <c r="F10" s="313">
        <v>46</v>
      </c>
      <c r="G10" s="314">
        <f t="shared" ref="G10:N10" si="6">SUMPRODUCT(G14:G18,$F$14:$F$18)*$F10</f>
        <v>50416</v>
      </c>
      <c r="H10" s="314">
        <f t="shared" si="6"/>
        <v>50416</v>
      </c>
      <c r="I10" s="314">
        <f t="shared" si="6"/>
        <v>50416</v>
      </c>
      <c r="J10" s="314">
        <f t="shared" si="6"/>
        <v>50416</v>
      </c>
      <c r="K10" s="314">
        <f t="shared" si="6"/>
        <v>50416</v>
      </c>
      <c r="L10" s="314">
        <f t="shared" si="6"/>
        <v>50416</v>
      </c>
      <c r="M10" s="314">
        <f t="shared" si="6"/>
        <v>50416</v>
      </c>
      <c r="N10" s="314">
        <f t="shared" si="6"/>
        <v>50416</v>
      </c>
    </row>
    <row r="11" spans="2:17" ht="14.95" thickBot="1" x14ac:dyDescent="0.3">
      <c r="B11" s="1069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</row>
    <row r="12" spans="2:17" ht="34.65" x14ac:dyDescent="0.25">
      <c r="B12" s="315" t="s">
        <v>309</v>
      </c>
      <c r="C12" s="316" t="s">
        <v>310</v>
      </c>
      <c r="D12" s="317" t="s">
        <v>311</v>
      </c>
      <c r="E12" s="318" t="s">
        <v>312</v>
      </c>
      <c r="F12" s="319" t="s">
        <v>313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477" t="s">
        <v>314</v>
      </c>
      <c r="O12" s="1071" t="s">
        <v>428</v>
      </c>
      <c r="P12" s="1072"/>
      <c r="Q12" s="1073"/>
    </row>
    <row r="13" spans="2:17" ht="42.8" customHeight="1" x14ac:dyDescent="0.25">
      <c r="B13" s="321" t="s">
        <v>315</v>
      </c>
      <c r="C13" s="322"/>
      <c r="D13" s="323"/>
      <c r="E13" s="324"/>
      <c r="F13" s="325"/>
      <c r="G13" s="326">
        <f t="shared" ref="G13:N13" si="7">SUM(G14:G18)</f>
        <v>548</v>
      </c>
      <c r="H13" s="326">
        <f t="shared" si="7"/>
        <v>548</v>
      </c>
      <c r="I13" s="326">
        <f t="shared" si="7"/>
        <v>548</v>
      </c>
      <c r="J13" s="326">
        <f t="shared" si="7"/>
        <v>548</v>
      </c>
      <c r="K13" s="326">
        <f t="shared" si="7"/>
        <v>548</v>
      </c>
      <c r="L13" s="326">
        <f t="shared" si="7"/>
        <v>548</v>
      </c>
      <c r="M13" s="326">
        <f t="shared" si="7"/>
        <v>548</v>
      </c>
      <c r="N13" s="478">
        <f t="shared" si="7"/>
        <v>548</v>
      </c>
      <c r="O13" s="479" t="s">
        <v>429</v>
      </c>
      <c r="P13" s="480" t="s">
        <v>430</v>
      </c>
      <c r="Q13" s="481" t="s">
        <v>431</v>
      </c>
    </row>
    <row r="14" spans="2:17" x14ac:dyDescent="0.25">
      <c r="B14" s="327" t="s">
        <v>432</v>
      </c>
      <c r="C14" s="328">
        <v>250</v>
      </c>
      <c r="D14" s="268">
        <v>7</v>
      </c>
      <c r="E14" s="329">
        <v>28</v>
      </c>
      <c r="F14" s="330">
        <v>2</v>
      </c>
      <c r="G14" s="268">
        <f>$E14*$D14</f>
        <v>196</v>
      </c>
      <c r="H14" s="268">
        <f t="shared" ref="H14:N18" si="8">$E14*$D14</f>
        <v>196</v>
      </c>
      <c r="I14" s="268">
        <f>$E14*$D14</f>
        <v>196</v>
      </c>
      <c r="J14" s="268">
        <f t="shared" si="8"/>
        <v>196</v>
      </c>
      <c r="K14" s="268">
        <f t="shared" si="8"/>
        <v>196</v>
      </c>
      <c r="L14" s="268">
        <f t="shared" si="8"/>
        <v>196</v>
      </c>
      <c r="M14" s="268">
        <f t="shared" si="8"/>
        <v>196</v>
      </c>
      <c r="N14" s="482">
        <f t="shared" si="8"/>
        <v>196</v>
      </c>
      <c r="O14" s="483">
        <v>15.3</v>
      </c>
      <c r="P14" s="484">
        <v>4</v>
      </c>
      <c r="Q14" s="485">
        <v>7</v>
      </c>
    </row>
    <row r="15" spans="2:17" x14ac:dyDescent="0.25">
      <c r="B15" s="327" t="s">
        <v>433</v>
      </c>
      <c r="C15" s="328">
        <v>500</v>
      </c>
      <c r="D15" s="268">
        <v>14</v>
      </c>
      <c r="E15" s="329">
        <v>14</v>
      </c>
      <c r="F15" s="330">
        <v>2</v>
      </c>
      <c r="G15" s="268">
        <f>$E15*$D15</f>
        <v>196</v>
      </c>
      <c r="H15" s="268">
        <f t="shared" si="8"/>
        <v>196</v>
      </c>
      <c r="I15" s="268">
        <f t="shared" si="8"/>
        <v>196</v>
      </c>
      <c r="J15" s="268">
        <f t="shared" si="8"/>
        <v>196</v>
      </c>
      <c r="K15" s="268">
        <f t="shared" si="8"/>
        <v>196</v>
      </c>
      <c r="L15" s="268">
        <f t="shared" si="8"/>
        <v>196</v>
      </c>
      <c r="M15" s="268">
        <f t="shared" si="8"/>
        <v>196</v>
      </c>
      <c r="N15" s="482">
        <f t="shared" si="8"/>
        <v>196</v>
      </c>
      <c r="O15" s="483">
        <v>27.999999999999996</v>
      </c>
      <c r="P15" s="484">
        <v>10</v>
      </c>
      <c r="Q15" s="485">
        <v>14</v>
      </c>
    </row>
    <row r="16" spans="2:17" x14ac:dyDescent="0.25">
      <c r="B16" s="327" t="s">
        <v>434</v>
      </c>
      <c r="C16" s="328">
        <v>1000</v>
      </c>
      <c r="D16" s="268">
        <v>17</v>
      </c>
      <c r="E16" s="329">
        <v>7</v>
      </c>
      <c r="F16" s="330">
        <v>2</v>
      </c>
      <c r="G16" s="268">
        <f>$E16*$D16</f>
        <v>119</v>
      </c>
      <c r="H16" s="268">
        <f t="shared" si="8"/>
        <v>119</v>
      </c>
      <c r="I16" s="268">
        <f t="shared" si="8"/>
        <v>119</v>
      </c>
      <c r="J16" s="268">
        <f t="shared" si="8"/>
        <v>119</v>
      </c>
      <c r="K16" s="268">
        <f t="shared" si="8"/>
        <v>119</v>
      </c>
      <c r="L16" s="268">
        <f t="shared" si="8"/>
        <v>119</v>
      </c>
      <c r="M16" s="268">
        <f t="shared" si="8"/>
        <v>119</v>
      </c>
      <c r="N16" s="482">
        <f t="shared" si="8"/>
        <v>119</v>
      </c>
      <c r="O16" s="483">
        <v>35.200000000000003</v>
      </c>
      <c r="P16" s="484">
        <v>12</v>
      </c>
      <c r="Q16" s="485">
        <v>17</v>
      </c>
    </row>
    <row r="17" spans="2:17" x14ac:dyDescent="0.25">
      <c r="B17" s="327" t="s">
        <v>435</v>
      </c>
      <c r="C17" s="328">
        <v>2500</v>
      </c>
      <c r="D17" s="268">
        <v>17</v>
      </c>
      <c r="E17" s="329">
        <v>1</v>
      </c>
      <c r="F17" s="330">
        <v>2</v>
      </c>
      <c r="G17" s="268">
        <f>$E17*$D17</f>
        <v>17</v>
      </c>
      <c r="H17" s="268">
        <f t="shared" si="8"/>
        <v>17</v>
      </c>
      <c r="I17" s="268">
        <f t="shared" si="8"/>
        <v>17</v>
      </c>
      <c r="J17" s="268">
        <f t="shared" si="8"/>
        <v>17</v>
      </c>
      <c r="K17" s="268">
        <f t="shared" si="8"/>
        <v>17</v>
      </c>
      <c r="L17" s="268">
        <f t="shared" si="8"/>
        <v>17</v>
      </c>
      <c r="M17" s="268">
        <f t="shared" si="8"/>
        <v>17</v>
      </c>
      <c r="N17" s="482">
        <f t="shared" si="8"/>
        <v>17</v>
      </c>
      <c r="O17" s="483">
        <v>35.200000000000003</v>
      </c>
      <c r="P17" s="484">
        <v>12</v>
      </c>
      <c r="Q17" s="485">
        <v>17</v>
      </c>
    </row>
    <row r="18" spans="2:17" ht="14.95" thickBot="1" x14ac:dyDescent="0.3">
      <c r="B18" s="327" t="s">
        <v>436</v>
      </c>
      <c r="C18" s="328">
        <v>5000</v>
      </c>
      <c r="D18" s="268">
        <v>20</v>
      </c>
      <c r="E18" s="329">
        <v>1</v>
      </c>
      <c r="F18" s="330">
        <v>2</v>
      </c>
      <c r="G18" s="268">
        <f>$E18*$D18</f>
        <v>20</v>
      </c>
      <c r="H18" s="268">
        <f t="shared" si="8"/>
        <v>20</v>
      </c>
      <c r="I18" s="268">
        <f t="shared" si="8"/>
        <v>20</v>
      </c>
      <c r="J18" s="268">
        <f t="shared" si="8"/>
        <v>20</v>
      </c>
      <c r="K18" s="268">
        <f t="shared" si="8"/>
        <v>20</v>
      </c>
      <c r="L18" s="268">
        <f t="shared" si="8"/>
        <v>20</v>
      </c>
      <c r="M18" s="268">
        <f t="shared" si="8"/>
        <v>20</v>
      </c>
      <c r="N18" s="482">
        <f t="shared" si="8"/>
        <v>20</v>
      </c>
      <c r="O18" s="486">
        <v>39</v>
      </c>
      <c r="P18" s="487">
        <v>14</v>
      </c>
      <c r="Q18" s="488">
        <v>20</v>
      </c>
    </row>
    <row r="19" spans="2:17" ht="14.95" thickBot="1" x14ac:dyDescent="0.3">
      <c r="B19" s="1069"/>
      <c r="C19" s="1070"/>
      <c r="D19" s="1070"/>
      <c r="E19" s="1070"/>
      <c r="F19" s="1070"/>
      <c r="G19" s="1070"/>
      <c r="H19" s="1070"/>
      <c r="I19" s="1070"/>
      <c r="J19" s="1070"/>
      <c r="K19" s="1070"/>
      <c r="L19" s="1070"/>
      <c r="M19" s="1070"/>
      <c r="N19" s="1070"/>
    </row>
    <row r="20" spans="2:17" ht="27.2" x14ac:dyDescent="0.25">
      <c r="B20" s="335" t="s">
        <v>305</v>
      </c>
      <c r="C20" s="336" t="s">
        <v>323</v>
      </c>
      <c r="D20" s="337" t="s">
        <v>324</v>
      </c>
      <c r="E20" s="338" t="s">
        <v>325</v>
      </c>
      <c r="F20" s="339" t="s">
        <v>312</v>
      </c>
      <c r="G20" s="340" t="s">
        <v>292</v>
      </c>
      <c r="H20" s="340" t="s">
        <v>292</v>
      </c>
      <c r="I20" s="340" t="s">
        <v>292</v>
      </c>
      <c r="J20" s="340" t="s">
        <v>292</v>
      </c>
      <c r="K20" s="340" t="s">
        <v>292</v>
      </c>
      <c r="L20" s="340" t="s">
        <v>292</v>
      </c>
      <c r="M20" s="340" t="s">
        <v>292</v>
      </c>
      <c r="N20" s="340" t="s">
        <v>292</v>
      </c>
    </row>
    <row r="21" spans="2:17" x14ac:dyDescent="0.25">
      <c r="B21" s="341" t="s">
        <v>326</v>
      </c>
      <c r="C21" s="342"/>
      <c r="D21" s="343"/>
      <c r="E21" s="344"/>
      <c r="F21" s="345"/>
      <c r="G21" s="346">
        <f t="shared" ref="G21:N21" si="9">SUM(G22:G54)</f>
        <v>217031.72441558435</v>
      </c>
      <c r="H21" s="346">
        <f t="shared" si="9"/>
        <v>217031.72441558435</v>
      </c>
      <c r="I21" s="346">
        <f t="shared" si="9"/>
        <v>217031.72441558435</v>
      </c>
      <c r="J21" s="346">
        <f t="shared" si="9"/>
        <v>217031.72441558435</v>
      </c>
      <c r="K21" s="346">
        <f t="shared" si="9"/>
        <v>217031.72441558435</v>
      </c>
      <c r="L21" s="346">
        <f t="shared" si="9"/>
        <v>217031.72441558435</v>
      </c>
      <c r="M21" s="346">
        <f t="shared" si="9"/>
        <v>217031.72441558435</v>
      </c>
      <c r="N21" s="346">
        <f t="shared" si="9"/>
        <v>217031.72441558435</v>
      </c>
    </row>
    <row r="22" spans="2:17" x14ac:dyDescent="0.25">
      <c r="B22" s="347" t="s">
        <v>432</v>
      </c>
      <c r="C22" s="364"/>
      <c r="D22" s="348"/>
      <c r="E22" s="349">
        <f>VLOOKUP($B22,$B$14:$C$18,2,FALSE)</f>
        <v>250</v>
      </c>
      <c r="F22" s="294">
        <f>VLOOKUP($B22,$B$14:$E$18,4,FALSE)</f>
        <v>28</v>
      </c>
      <c r="G22" s="476"/>
      <c r="H22" s="476"/>
      <c r="I22" s="476"/>
      <c r="J22" s="476"/>
      <c r="K22" s="476"/>
      <c r="L22" s="476"/>
      <c r="M22" s="476"/>
      <c r="N22" s="476"/>
    </row>
    <row r="23" spans="2:17" x14ac:dyDescent="0.25">
      <c r="B23" s="352" t="s">
        <v>437</v>
      </c>
      <c r="C23" s="489" t="s">
        <v>438</v>
      </c>
      <c r="D23" s="354">
        <v>6.6233766233766236</v>
      </c>
      <c r="E23" s="490">
        <v>280</v>
      </c>
      <c r="F23" s="491"/>
      <c r="G23" s="492">
        <f>IF(G$14=0,0,G$14/$D$14*$E23*$D23)</f>
        <v>51927.272727272728</v>
      </c>
      <c r="H23" s="492">
        <f t="shared" ref="H23:N24" si="10">IF(H$14=0,0,H$14/$D$14*$E23*$D23)</f>
        <v>51927.272727272728</v>
      </c>
      <c r="I23" s="492">
        <f t="shared" si="10"/>
        <v>51927.272727272728</v>
      </c>
      <c r="J23" s="492">
        <f t="shared" si="10"/>
        <v>51927.272727272728</v>
      </c>
      <c r="K23" s="492">
        <f t="shared" si="10"/>
        <v>51927.272727272728</v>
      </c>
      <c r="L23" s="492">
        <f t="shared" si="10"/>
        <v>51927.272727272728</v>
      </c>
      <c r="M23" s="492">
        <f t="shared" si="10"/>
        <v>51927.272727272728</v>
      </c>
      <c r="N23" s="492">
        <f t="shared" si="10"/>
        <v>51927.272727272728</v>
      </c>
    </row>
    <row r="24" spans="2:17" x14ac:dyDescent="0.25">
      <c r="B24" s="352" t="s">
        <v>439</v>
      </c>
      <c r="C24" s="489" t="s">
        <v>440</v>
      </c>
      <c r="D24" s="354">
        <v>7.2727272727272725</v>
      </c>
      <c r="E24" s="490">
        <v>30</v>
      </c>
      <c r="F24" s="491"/>
      <c r="G24" s="492">
        <f>IF(G$14=0,0,G$14/$D$14*$E24*$D24)</f>
        <v>6109.090909090909</v>
      </c>
      <c r="H24" s="492">
        <f t="shared" si="10"/>
        <v>6109.090909090909</v>
      </c>
      <c r="I24" s="492">
        <f t="shared" si="10"/>
        <v>6109.090909090909</v>
      </c>
      <c r="J24" s="492">
        <f t="shared" si="10"/>
        <v>6109.090909090909</v>
      </c>
      <c r="K24" s="492">
        <f t="shared" si="10"/>
        <v>6109.090909090909</v>
      </c>
      <c r="L24" s="492">
        <f t="shared" si="10"/>
        <v>6109.090909090909</v>
      </c>
      <c r="M24" s="492">
        <f t="shared" si="10"/>
        <v>6109.090909090909</v>
      </c>
      <c r="N24" s="492">
        <f t="shared" si="10"/>
        <v>6109.090909090909</v>
      </c>
    </row>
    <row r="25" spans="2:17" x14ac:dyDescent="0.25">
      <c r="B25" s="347" t="s">
        <v>433</v>
      </c>
      <c r="C25" s="364"/>
      <c r="D25" s="348"/>
      <c r="E25" s="349">
        <f>VLOOKUP($B25,$B$14:$C$18,2,FALSE)</f>
        <v>500</v>
      </c>
      <c r="F25" s="294">
        <f>VLOOKUP($B25,$B$14:$E$18,4,FALSE)</f>
        <v>14</v>
      </c>
      <c r="G25" s="476"/>
      <c r="H25" s="476"/>
      <c r="I25" s="476"/>
      <c r="J25" s="476"/>
      <c r="K25" s="476"/>
      <c r="L25" s="476"/>
      <c r="M25" s="476"/>
      <c r="N25" s="476"/>
    </row>
    <row r="26" spans="2:17" x14ac:dyDescent="0.25">
      <c r="B26" s="352" t="s">
        <v>441</v>
      </c>
      <c r="C26" s="353" t="s">
        <v>442</v>
      </c>
      <c r="D26" s="354">
        <v>198.15</v>
      </c>
      <c r="E26" s="490">
        <v>2</v>
      </c>
      <c r="F26" s="491"/>
      <c r="G26" s="492">
        <f>IF(G$15=0,0,G$15/$D$15*$E26*$D26)</f>
        <v>5548.2</v>
      </c>
      <c r="H26" s="492">
        <f t="shared" ref="H26:N33" si="11">IF(H$15=0,0,H$15/$D$15*$E26*$D26)</f>
        <v>5548.2</v>
      </c>
      <c r="I26" s="492">
        <f t="shared" si="11"/>
        <v>5548.2</v>
      </c>
      <c r="J26" s="492">
        <f t="shared" si="11"/>
        <v>5548.2</v>
      </c>
      <c r="K26" s="492">
        <f t="shared" si="11"/>
        <v>5548.2</v>
      </c>
      <c r="L26" s="492">
        <f t="shared" si="11"/>
        <v>5548.2</v>
      </c>
      <c r="M26" s="492">
        <f t="shared" si="11"/>
        <v>5548.2</v>
      </c>
      <c r="N26" s="492">
        <f t="shared" si="11"/>
        <v>5548.2</v>
      </c>
    </row>
    <row r="27" spans="2:17" x14ac:dyDescent="0.25">
      <c r="B27" s="352" t="s">
        <v>443</v>
      </c>
      <c r="C27" s="353" t="s">
        <v>444</v>
      </c>
      <c r="D27" s="354">
        <v>21</v>
      </c>
      <c r="E27" s="490">
        <v>2</v>
      </c>
      <c r="F27" s="491"/>
      <c r="G27" s="492">
        <f t="shared" ref="G27:N33" si="12">IF(G$15=0,0,G$15/$D$15*$E27*$D27)</f>
        <v>588</v>
      </c>
      <c r="H27" s="492">
        <f t="shared" si="12"/>
        <v>588</v>
      </c>
      <c r="I27" s="492">
        <f t="shared" si="12"/>
        <v>588</v>
      </c>
      <c r="J27" s="492">
        <f t="shared" si="12"/>
        <v>588</v>
      </c>
      <c r="K27" s="492">
        <f t="shared" si="12"/>
        <v>588</v>
      </c>
      <c r="L27" s="492">
        <f t="shared" si="12"/>
        <v>588</v>
      </c>
      <c r="M27" s="492">
        <f t="shared" si="12"/>
        <v>588</v>
      </c>
      <c r="N27" s="492">
        <f t="shared" si="12"/>
        <v>588</v>
      </c>
    </row>
    <row r="28" spans="2:17" x14ac:dyDescent="0.25">
      <c r="B28" s="352" t="s">
        <v>445</v>
      </c>
      <c r="C28" s="353" t="s">
        <v>446</v>
      </c>
      <c r="D28" s="354">
        <v>74.55</v>
      </c>
      <c r="E28" s="490">
        <v>4</v>
      </c>
      <c r="F28" s="491"/>
      <c r="G28" s="492">
        <f t="shared" si="12"/>
        <v>4174.8</v>
      </c>
      <c r="H28" s="492">
        <f t="shared" si="12"/>
        <v>4174.8</v>
      </c>
      <c r="I28" s="492">
        <f t="shared" si="12"/>
        <v>4174.8</v>
      </c>
      <c r="J28" s="492">
        <f t="shared" si="12"/>
        <v>4174.8</v>
      </c>
      <c r="K28" s="492">
        <f t="shared" si="12"/>
        <v>4174.8</v>
      </c>
      <c r="L28" s="492">
        <f t="shared" si="12"/>
        <v>4174.8</v>
      </c>
      <c r="M28" s="492">
        <f t="shared" si="12"/>
        <v>4174.8</v>
      </c>
      <c r="N28" s="492">
        <f t="shared" si="12"/>
        <v>4174.8</v>
      </c>
    </row>
    <row r="29" spans="2:17" x14ac:dyDescent="0.25">
      <c r="B29" s="352" t="s">
        <v>447</v>
      </c>
      <c r="C29" s="353" t="s">
        <v>448</v>
      </c>
      <c r="D29" s="354">
        <v>256.64999999999998</v>
      </c>
      <c r="E29" s="490">
        <v>2</v>
      </c>
      <c r="F29" s="491"/>
      <c r="G29" s="492">
        <f t="shared" si="12"/>
        <v>7186.1999999999989</v>
      </c>
      <c r="H29" s="492">
        <f t="shared" si="12"/>
        <v>7186.1999999999989</v>
      </c>
      <c r="I29" s="492">
        <f t="shared" si="12"/>
        <v>7186.1999999999989</v>
      </c>
      <c r="J29" s="492">
        <f t="shared" si="12"/>
        <v>7186.1999999999989</v>
      </c>
      <c r="K29" s="492">
        <f t="shared" si="12"/>
        <v>7186.1999999999989</v>
      </c>
      <c r="L29" s="492">
        <f t="shared" si="12"/>
        <v>7186.1999999999989</v>
      </c>
      <c r="M29" s="492">
        <f t="shared" si="12"/>
        <v>7186.1999999999989</v>
      </c>
      <c r="N29" s="492">
        <f t="shared" si="12"/>
        <v>7186.1999999999989</v>
      </c>
    </row>
    <row r="30" spans="2:17" x14ac:dyDescent="0.25">
      <c r="B30" s="352" t="s">
        <v>449</v>
      </c>
      <c r="C30" s="353" t="s">
        <v>450</v>
      </c>
      <c r="D30" s="354">
        <v>1726.35</v>
      </c>
      <c r="E30" s="490">
        <v>2</v>
      </c>
      <c r="F30" s="491"/>
      <c r="G30" s="492">
        <f t="shared" si="12"/>
        <v>48337.799999999996</v>
      </c>
      <c r="H30" s="492">
        <f t="shared" si="12"/>
        <v>48337.799999999996</v>
      </c>
      <c r="I30" s="492">
        <f t="shared" si="12"/>
        <v>48337.799999999996</v>
      </c>
      <c r="J30" s="492">
        <f t="shared" si="12"/>
        <v>48337.799999999996</v>
      </c>
      <c r="K30" s="492">
        <f t="shared" si="12"/>
        <v>48337.799999999996</v>
      </c>
      <c r="L30" s="492">
        <f t="shared" si="12"/>
        <v>48337.799999999996</v>
      </c>
      <c r="M30" s="492">
        <f t="shared" si="12"/>
        <v>48337.799999999996</v>
      </c>
      <c r="N30" s="492">
        <f t="shared" si="12"/>
        <v>48337.799999999996</v>
      </c>
    </row>
    <row r="31" spans="2:17" x14ac:dyDescent="0.25">
      <c r="B31" s="352" t="s">
        <v>451</v>
      </c>
      <c r="C31" s="353" t="s">
        <v>452</v>
      </c>
      <c r="D31" s="354">
        <v>998.69999999999993</v>
      </c>
      <c r="E31" s="490">
        <v>1</v>
      </c>
      <c r="F31" s="491"/>
      <c r="G31" s="492">
        <f t="shared" si="12"/>
        <v>13981.8</v>
      </c>
      <c r="H31" s="492">
        <f t="shared" si="12"/>
        <v>13981.8</v>
      </c>
      <c r="I31" s="492">
        <f t="shared" si="12"/>
        <v>13981.8</v>
      </c>
      <c r="J31" s="492">
        <f t="shared" si="12"/>
        <v>13981.8</v>
      </c>
      <c r="K31" s="492">
        <f t="shared" si="12"/>
        <v>13981.8</v>
      </c>
      <c r="L31" s="492">
        <f t="shared" si="12"/>
        <v>13981.8</v>
      </c>
      <c r="M31" s="492">
        <f t="shared" si="12"/>
        <v>13981.8</v>
      </c>
      <c r="N31" s="492">
        <f t="shared" si="12"/>
        <v>13981.8</v>
      </c>
    </row>
    <row r="32" spans="2:17" x14ac:dyDescent="0.25">
      <c r="B32" s="352" t="s">
        <v>453</v>
      </c>
      <c r="C32" s="353" t="s">
        <v>454</v>
      </c>
      <c r="D32" s="354">
        <v>2.6999999999999997</v>
      </c>
      <c r="E32" s="490">
        <v>1</v>
      </c>
      <c r="F32" s="491"/>
      <c r="G32" s="492">
        <f t="shared" si="12"/>
        <v>37.799999999999997</v>
      </c>
      <c r="H32" s="492">
        <f t="shared" si="11"/>
        <v>37.799999999999997</v>
      </c>
      <c r="I32" s="492">
        <f t="shared" si="11"/>
        <v>37.799999999999997</v>
      </c>
      <c r="J32" s="492">
        <f t="shared" si="11"/>
        <v>37.799999999999997</v>
      </c>
      <c r="K32" s="492">
        <f t="shared" si="11"/>
        <v>37.799999999999997</v>
      </c>
      <c r="L32" s="492">
        <f t="shared" si="11"/>
        <v>37.799999999999997</v>
      </c>
      <c r="M32" s="492">
        <f t="shared" si="11"/>
        <v>37.799999999999997</v>
      </c>
      <c r="N32" s="492">
        <f t="shared" si="11"/>
        <v>37.799999999999997</v>
      </c>
    </row>
    <row r="33" spans="2:14" x14ac:dyDescent="0.25">
      <c r="B33" s="352" t="s">
        <v>455</v>
      </c>
      <c r="C33" s="353" t="s">
        <v>456</v>
      </c>
      <c r="D33" s="354">
        <v>6.45</v>
      </c>
      <c r="E33" s="490">
        <v>2</v>
      </c>
      <c r="F33" s="491"/>
      <c r="G33" s="492">
        <f t="shared" si="12"/>
        <v>180.6</v>
      </c>
      <c r="H33" s="492">
        <f t="shared" si="11"/>
        <v>180.6</v>
      </c>
      <c r="I33" s="492">
        <f t="shared" si="11"/>
        <v>180.6</v>
      </c>
      <c r="J33" s="492">
        <f t="shared" si="11"/>
        <v>180.6</v>
      </c>
      <c r="K33" s="492">
        <f t="shared" si="11"/>
        <v>180.6</v>
      </c>
      <c r="L33" s="492">
        <f t="shared" si="11"/>
        <v>180.6</v>
      </c>
      <c r="M33" s="492">
        <f t="shared" si="11"/>
        <v>180.6</v>
      </c>
      <c r="N33" s="492">
        <f t="shared" si="11"/>
        <v>180.6</v>
      </c>
    </row>
    <row r="34" spans="2:14" x14ac:dyDescent="0.25">
      <c r="B34" s="347" t="s">
        <v>434</v>
      </c>
      <c r="C34" s="364"/>
      <c r="D34" s="348"/>
      <c r="E34" s="349">
        <f>VLOOKUP($B34,$B$14:$C$18,2,FALSE)</f>
        <v>1000</v>
      </c>
      <c r="F34" s="294">
        <f>VLOOKUP($B34,$B$14:$E$18,4,FALSE)</f>
        <v>7</v>
      </c>
      <c r="G34" s="476"/>
      <c r="H34" s="476"/>
      <c r="I34" s="476"/>
      <c r="J34" s="476"/>
      <c r="K34" s="476"/>
      <c r="L34" s="476"/>
      <c r="M34" s="476"/>
      <c r="N34" s="476"/>
    </row>
    <row r="35" spans="2:14" x14ac:dyDescent="0.25">
      <c r="B35" s="352" t="s">
        <v>457</v>
      </c>
      <c r="C35" s="353" t="s">
        <v>458</v>
      </c>
      <c r="D35" s="354">
        <v>23.099999999999998</v>
      </c>
      <c r="E35" s="490">
        <v>1</v>
      </c>
      <c r="F35" s="491"/>
      <c r="G35" s="492">
        <f>IF(G$16=0,0,G$16/$D$16*$E35*$D35)</f>
        <v>161.69999999999999</v>
      </c>
      <c r="H35" s="492">
        <f t="shared" ref="H35:N37" si="13">IF(H$16=0,0,H$16/$D$16*$E35*$D35)</f>
        <v>161.69999999999999</v>
      </c>
      <c r="I35" s="492">
        <f t="shared" si="13"/>
        <v>161.69999999999999</v>
      </c>
      <c r="J35" s="492">
        <f t="shared" si="13"/>
        <v>161.69999999999999</v>
      </c>
      <c r="K35" s="492">
        <f t="shared" si="13"/>
        <v>161.69999999999999</v>
      </c>
      <c r="L35" s="492">
        <f t="shared" si="13"/>
        <v>161.69999999999999</v>
      </c>
      <c r="M35" s="492">
        <f t="shared" si="13"/>
        <v>161.69999999999999</v>
      </c>
      <c r="N35" s="492">
        <f t="shared" si="13"/>
        <v>161.69999999999999</v>
      </c>
    </row>
    <row r="36" spans="2:14" x14ac:dyDescent="0.25">
      <c r="B36" s="352" t="s">
        <v>459</v>
      </c>
      <c r="C36" s="353" t="s">
        <v>460</v>
      </c>
      <c r="D36" s="354">
        <v>90.3</v>
      </c>
      <c r="E36" s="490">
        <v>1</v>
      </c>
      <c r="F36" s="491"/>
      <c r="G36" s="492">
        <f t="shared" ref="G36:N42" si="14">IF(G$16=0,0,G$16/$D$16*$E36*$D36)</f>
        <v>632.1</v>
      </c>
      <c r="H36" s="492">
        <f t="shared" si="14"/>
        <v>632.1</v>
      </c>
      <c r="I36" s="492">
        <f t="shared" si="14"/>
        <v>632.1</v>
      </c>
      <c r="J36" s="492">
        <f t="shared" si="14"/>
        <v>632.1</v>
      </c>
      <c r="K36" s="492">
        <f t="shared" si="14"/>
        <v>632.1</v>
      </c>
      <c r="L36" s="492">
        <f t="shared" si="14"/>
        <v>632.1</v>
      </c>
      <c r="M36" s="492">
        <f t="shared" si="14"/>
        <v>632.1</v>
      </c>
      <c r="N36" s="492">
        <f t="shared" si="14"/>
        <v>632.1</v>
      </c>
    </row>
    <row r="37" spans="2:14" x14ac:dyDescent="0.25">
      <c r="B37" s="352" t="s">
        <v>461</v>
      </c>
      <c r="C37" s="353" t="s">
        <v>462</v>
      </c>
      <c r="D37" s="354">
        <v>26.49</v>
      </c>
      <c r="E37" s="490">
        <v>1</v>
      </c>
      <c r="F37" s="491"/>
      <c r="G37" s="492">
        <f t="shared" si="14"/>
        <v>185.42999999999998</v>
      </c>
      <c r="H37" s="492">
        <f t="shared" si="13"/>
        <v>185.42999999999998</v>
      </c>
      <c r="I37" s="492">
        <f t="shared" si="13"/>
        <v>185.42999999999998</v>
      </c>
      <c r="J37" s="492">
        <f t="shared" si="13"/>
        <v>185.42999999999998</v>
      </c>
      <c r="K37" s="492">
        <f t="shared" si="13"/>
        <v>185.42999999999998</v>
      </c>
      <c r="L37" s="492">
        <f t="shared" si="13"/>
        <v>185.42999999999998</v>
      </c>
      <c r="M37" s="492">
        <f t="shared" si="13"/>
        <v>185.42999999999998</v>
      </c>
      <c r="N37" s="492">
        <f t="shared" si="13"/>
        <v>185.42999999999998</v>
      </c>
    </row>
    <row r="38" spans="2:14" x14ac:dyDescent="0.25">
      <c r="B38" s="352" t="s">
        <v>461</v>
      </c>
      <c r="C38" s="353" t="s">
        <v>463</v>
      </c>
      <c r="D38" s="354">
        <v>51.53</v>
      </c>
      <c r="E38" s="490">
        <v>1</v>
      </c>
      <c r="F38" s="491"/>
      <c r="G38" s="492">
        <f t="shared" si="14"/>
        <v>360.71000000000004</v>
      </c>
      <c r="H38" s="492">
        <f t="shared" si="14"/>
        <v>360.71000000000004</v>
      </c>
      <c r="I38" s="492">
        <f t="shared" si="14"/>
        <v>360.71000000000004</v>
      </c>
      <c r="J38" s="492">
        <f t="shared" si="14"/>
        <v>360.71000000000004</v>
      </c>
      <c r="K38" s="492">
        <f t="shared" si="14"/>
        <v>360.71000000000004</v>
      </c>
      <c r="L38" s="492">
        <f t="shared" si="14"/>
        <v>360.71000000000004</v>
      </c>
      <c r="M38" s="492">
        <f t="shared" si="14"/>
        <v>360.71000000000004</v>
      </c>
      <c r="N38" s="492">
        <f t="shared" si="14"/>
        <v>360.71000000000004</v>
      </c>
    </row>
    <row r="39" spans="2:14" x14ac:dyDescent="0.25">
      <c r="B39" s="352" t="s">
        <v>464</v>
      </c>
      <c r="C39" s="353" t="s">
        <v>465</v>
      </c>
      <c r="D39" s="354">
        <v>434.25</v>
      </c>
      <c r="E39" s="490">
        <v>4</v>
      </c>
      <c r="F39" s="491"/>
      <c r="G39" s="492">
        <f t="shared" si="14"/>
        <v>12159</v>
      </c>
      <c r="H39" s="492">
        <f t="shared" si="14"/>
        <v>12159</v>
      </c>
      <c r="I39" s="492">
        <f t="shared" si="14"/>
        <v>12159</v>
      </c>
      <c r="J39" s="492">
        <f t="shared" si="14"/>
        <v>12159</v>
      </c>
      <c r="K39" s="492">
        <f t="shared" si="14"/>
        <v>12159</v>
      </c>
      <c r="L39" s="492">
        <f t="shared" si="14"/>
        <v>12159</v>
      </c>
      <c r="M39" s="492">
        <f t="shared" si="14"/>
        <v>12159</v>
      </c>
      <c r="N39" s="492">
        <f t="shared" si="14"/>
        <v>12159</v>
      </c>
    </row>
    <row r="40" spans="2:14" x14ac:dyDescent="0.25">
      <c r="B40" s="352" t="s">
        <v>466</v>
      </c>
      <c r="C40" s="353" t="s">
        <v>467</v>
      </c>
      <c r="D40" s="354">
        <v>207</v>
      </c>
      <c r="E40" s="490">
        <v>4</v>
      </c>
      <c r="F40" s="491"/>
      <c r="G40" s="492">
        <f t="shared" si="14"/>
        <v>5796</v>
      </c>
      <c r="H40" s="492">
        <f t="shared" si="14"/>
        <v>5796</v>
      </c>
      <c r="I40" s="492">
        <f t="shared" si="14"/>
        <v>5796</v>
      </c>
      <c r="J40" s="492">
        <f t="shared" si="14"/>
        <v>5796</v>
      </c>
      <c r="K40" s="492">
        <f t="shared" si="14"/>
        <v>5796</v>
      </c>
      <c r="L40" s="492">
        <f t="shared" si="14"/>
        <v>5796</v>
      </c>
      <c r="M40" s="492">
        <f t="shared" si="14"/>
        <v>5796</v>
      </c>
      <c r="N40" s="492">
        <f t="shared" si="14"/>
        <v>5796</v>
      </c>
    </row>
    <row r="41" spans="2:14" x14ac:dyDescent="0.25">
      <c r="B41" s="352" t="s">
        <v>468</v>
      </c>
      <c r="C41" s="353" t="s">
        <v>469</v>
      </c>
      <c r="D41" s="354">
        <v>6.2337662337662341</v>
      </c>
      <c r="E41" s="490">
        <v>947</v>
      </c>
      <c r="F41" s="491"/>
      <c r="G41" s="492">
        <f t="shared" si="14"/>
        <v>41323.636363636368</v>
      </c>
      <c r="H41" s="492">
        <f t="shared" si="14"/>
        <v>41323.636363636368</v>
      </c>
      <c r="I41" s="492">
        <f t="shared" si="14"/>
        <v>41323.636363636368</v>
      </c>
      <c r="J41" s="492">
        <f t="shared" si="14"/>
        <v>41323.636363636368</v>
      </c>
      <c r="K41" s="492">
        <f t="shared" si="14"/>
        <v>41323.636363636368</v>
      </c>
      <c r="L41" s="492">
        <f t="shared" si="14"/>
        <v>41323.636363636368</v>
      </c>
      <c r="M41" s="492">
        <f t="shared" si="14"/>
        <v>41323.636363636368</v>
      </c>
      <c r="N41" s="492">
        <f t="shared" si="14"/>
        <v>41323.636363636368</v>
      </c>
    </row>
    <row r="42" spans="2:14" x14ac:dyDescent="0.25">
      <c r="B42" s="352" t="s">
        <v>470</v>
      </c>
      <c r="C42" s="353" t="s">
        <v>471</v>
      </c>
      <c r="D42" s="354">
        <v>3.5064935064935066</v>
      </c>
      <c r="E42" s="490">
        <v>598</v>
      </c>
      <c r="F42" s="491"/>
      <c r="G42" s="492">
        <f t="shared" si="14"/>
        <v>14678.181818181818</v>
      </c>
      <c r="H42" s="492">
        <f t="shared" si="14"/>
        <v>14678.181818181818</v>
      </c>
      <c r="I42" s="492">
        <f t="shared" si="14"/>
        <v>14678.181818181818</v>
      </c>
      <c r="J42" s="492">
        <f t="shared" si="14"/>
        <v>14678.181818181818</v>
      </c>
      <c r="K42" s="492">
        <f t="shared" si="14"/>
        <v>14678.181818181818</v>
      </c>
      <c r="L42" s="492">
        <f t="shared" si="14"/>
        <v>14678.181818181818</v>
      </c>
      <c r="M42" s="492">
        <f t="shared" si="14"/>
        <v>14678.181818181818</v>
      </c>
      <c r="N42" s="492">
        <f t="shared" si="14"/>
        <v>14678.181818181818</v>
      </c>
    </row>
    <row r="43" spans="2:14" x14ac:dyDescent="0.25">
      <c r="B43" s="347" t="s">
        <v>435</v>
      </c>
      <c r="C43" s="364"/>
      <c r="D43" s="348"/>
      <c r="E43" s="349">
        <f>VLOOKUP($B43,$B$14:$C$18,2,FALSE)</f>
        <v>2500</v>
      </c>
      <c r="F43" s="294">
        <f>VLOOKUP($B43,$B$14:$E$18,4,FALSE)</f>
        <v>1</v>
      </c>
      <c r="G43" s="476"/>
      <c r="H43" s="476"/>
      <c r="I43" s="476"/>
      <c r="J43" s="476"/>
      <c r="K43" s="476"/>
      <c r="L43" s="476"/>
      <c r="M43" s="476"/>
      <c r="N43" s="476"/>
    </row>
    <row r="44" spans="2:14" x14ac:dyDescent="0.25">
      <c r="B44" s="352" t="s">
        <v>472</v>
      </c>
      <c r="C44" s="489" t="s">
        <v>473</v>
      </c>
      <c r="D44" s="354">
        <v>303</v>
      </c>
      <c r="E44" s="490">
        <v>1</v>
      </c>
      <c r="F44" s="491"/>
      <c r="G44" s="492">
        <f>IF(G$17=0,0,G$17/$D$17*$E44*$D44)</f>
        <v>303</v>
      </c>
      <c r="H44" s="492">
        <f t="shared" ref="H44:N47" si="15">IF(H$17=0,0,H$17/$D$17*$E44*$D44)</f>
        <v>303</v>
      </c>
      <c r="I44" s="492">
        <f t="shared" si="15"/>
        <v>303</v>
      </c>
      <c r="J44" s="492">
        <f t="shared" si="15"/>
        <v>303</v>
      </c>
      <c r="K44" s="492">
        <f t="shared" si="15"/>
        <v>303</v>
      </c>
      <c r="L44" s="492">
        <f t="shared" si="15"/>
        <v>303</v>
      </c>
      <c r="M44" s="492">
        <f t="shared" si="15"/>
        <v>303</v>
      </c>
      <c r="N44" s="492">
        <f t="shared" si="15"/>
        <v>303</v>
      </c>
    </row>
    <row r="45" spans="2:14" x14ac:dyDescent="0.25">
      <c r="B45" s="352" t="s">
        <v>474</v>
      </c>
      <c r="C45" s="489" t="s">
        <v>475</v>
      </c>
      <c r="D45" s="354">
        <v>4.3766233766233764</v>
      </c>
      <c r="E45" s="490">
        <v>60</v>
      </c>
      <c r="F45" s="491"/>
      <c r="G45" s="492">
        <f t="shared" ref="G45:N47" si="16">IF(G$17=0,0,G$17/$D$17*$E45*$D45)</f>
        <v>262.59740259740261</v>
      </c>
      <c r="H45" s="492">
        <f t="shared" si="16"/>
        <v>262.59740259740261</v>
      </c>
      <c r="I45" s="492">
        <f t="shared" si="16"/>
        <v>262.59740259740261</v>
      </c>
      <c r="J45" s="492">
        <f t="shared" si="16"/>
        <v>262.59740259740261</v>
      </c>
      <c r="K45" s="492">
        <f t="shared" si="16"/>
        <v>262.59740259740261</v>
      </c>
      <c r="L45" s="492">
        <f t="shared" si="16"/>
        <v>262.59740259740261</v>
      </c>
      <c r="M45" s="492">
        <f t="shared" si="16"/>
        <v>262.59740259740261</v>
      </c>
      <c r="N45" s="492">
        <f t="shared" si="16"/>
        <v>262.59740259740261</v>
      </c>
    </row>
    <row r="46" spans="2:14" x14ac:dyDescent="0.25">
      <c r="B46" s="352" t="s">
        <v>476</v>
      </c>
      <c r="C46" s="489"/>
      <c r="D46" s="354">
        <v>16.688311688311689</v>
      </c>
      <c r="E46" s="490">
        <v>74</v>
      </c>
      <c r="F46" s="491"/>
      <c r="G46" s="492">
        <f t="shared" si="16"/>
        <v>1234.9350649350649</v>
      </c>
      <c r="H46" s="492">
        <f t="shared" si="15"/>
        <v>1234.9350649350649</v>
      </c>
      <c r="I46" s="492">
        <f t="shared" si="15"/>
        <v>1234.9350649350649</v>
      </c>
      <c r="J46" s="492">
        <f t="shared" si="15"/>
        <v>1234.9350649350649</v>
      </c>
      <c r="K46" s="492">
        <f t="shared" si="15"/>
        <v>1234.9350649350649</v>
      </c>
      <c r="L46" s="492">
        <f t="shared" si="15"/>
        <v>1234.9350649350649</v>
      </c>
      <c r="M46" s="492">
        <f t="shared" si="15"/>
        <v>1234.9350649350649</v>
      </c>
      <c r="N46" s="492">
        <f t="shared" si="15"/>
        <v>1234.9350649350649</v>
      </c>
    </row>
    <row r="47" spans="2:14" x14ac:dyDescent="0.25">
      <c r="B47" s="352" t="s">
        <v>477</v>
      </c>
      <c r="C47" s="363"/>
      <c r="D47" s="354">
        <v>15.584415584415584</v>
      </c>
      <c r="E47" s="490">
        <v>2</v>
      </c>
      <c r="F47" s="491"/>
      <c r="G47" s="492">
        <f t="shared" si="16"/>
        <v>31.168831168831169</v>
      </c>
      <c r="H47" s="492">
        <f t="shared" si="15"/>
        <v>31.168831168831169</v>
      </c>
      <c r="I47" s="492">
        <f t="shared" si="15"/>
        <v>31.168831168831169</v>
      </c>
      <c r="J47" s="492">
        <f t="shared" si="15"/>
        <v>31.168831168831169</v>
      </c>
      <c r="K47" s="492">
        <f t="shared" si="15"/>
        <v>31.168831168831169</v>
      </c>
      <c r="L47" s="492">
        <f t="shared" si="15"/>
        <v>31.168831168831169</v>
      </c>
      <c r="M47" s="492">
        <f t="shared" si="15"/>
        <v>31.168831168831169</v>
      </c>
      <c r="N47" s="492">
        <f t="shared" si="15"/>
        <v>31.168831168831169</v>
      </c>
    </row>
    <row r="48" spans="2:14" x14ac:dyDescent="0.25">
      <c r="B48" s="347" t="s">
        <v>436</v>
      </c>
      <c r="C48" s="364"/>
      <c r="D48" s="348"/>
      <c r="E48" s="349">
        <f>VLOOKUP($B48,$B$14:$C$18,2,FALSE)</f>
        <v>5000</v>
      </c>
      <c r="F48" s="294">
        <f>VLOOKUP($B48,$B$14:$E$18,4,FALSE)</f>
        <v>1</v>
      </c>
      <c r="G48" s="476"/>
      <c r="H48" s="476"/>
      <c r="I48" s="476"/>
      <c r="J48" s="476"/>
      <c r="K48" s="476"/>
      <c r="L48" s="476"/>
      <c r="M48" s="476"/>
      <c r="N48" s="476"/>
    </row>
    <row r="49" spans="2:14" x14ac:dyDescent="0.25">
      <c r="B49" s="352" t="s">
        <v>472</v>
      </c>
      <c r="C49" s="489" t="s">
        <v>473</v>
      </c>
      <c r="D49" s="354">
        <v>303</v>
      </c>
      <c r="E49" s="490">
        <v>1</v>
      </c>
      <c r="F49" s="491"/>
      <c r="G49" s="492">
        <f>IF(G$18=0,0,G$18/$D$18*$E49*$D49)</f>
        <v>303</v>
      </c>
      <c r="H49" s="492">
        <f t="shared" ref="H49:N54" si="17">IF(H$18=0,0,H$18/$D$18*$E49*$D49)</f>
        <v>303</v>
      </c>
      <c r="I49" s="492">
        <f t="shared" si="17"/>
        <v>303</v>
      </c>
      <c r="J49" s="492">
        <f t="shared" si="17"/>
        <v>303</v>
      </c>
      <c r="K49" s="492">
        <f t="shared" si="17"/>
        <v>303</v>
      </c>
      <c r="L49" s="492">
        <f t="shared" si="17"/>
        <v>303</v>
      </c>
      <c r="M49" s="492">
        <f t="shared" si="17"/>
        <v>303</v>
      </c>
      <c r="N49" s="492">
        <f t="shared" si="17"/>
        <v>303</v>
      </c>
    </row>
    <row r="50" spans="2:14" x14ac:dyDescent="0.25">
      <c r="B50" s="352" t="s">
        <v>474</v>
      </c>
      <c r="C50" s="489" t="s">
        <v>475</v>
      </c>
      <c r="D50" s="354">
        <v>4.3766233766233764</v>
      </c>
      <c r="E50" s="490">
        <v>60</v>
      </c>
      <c r="F50" s="491"/>
      <c r="G50" s="492">
        <f t="shared" ref="G50:N54" si="18">IF(G$18=0,0,G$18/$D$18*$E50*$D50)</f>
        <v>262.59740259740261</v>
      </c>
      <c r="H50" s="492">
        <f t="shared" si="18"/>
        <v>262.59740259740261</v>
      </c>
      <c r="I50" s="492">
        <f t="shared" si="18"/>
        <v>262.59740259740261</v>
      </c>
      <c r="J50" s="492">
        <f t="shared" si="18"/>
        <v>262.59740259740261</v>
      </c>
      <c r="K50" s="492">
        <f t="shared" si="18"/>
        <v>262.59740259740261</v>
      </c>
      <c r="L50" s="492">
        <f t="shared" si="18"/>
        <v>262.59740259740261</v>
      </c>
      <c r="M50" s="492">
        <f t="shared" si="18"/>
        <v>262.59740259740261</v>
      </c>
      <c r="N50" s="492">
        <f t="shared" si="18"/>
        <v>262.59740259740261</v>
      </c>
    </row>
    <row r="51" spans="2:14" x14ac:dyDescent="0.25">
      <c r="B51" s="352" t="s">
        <v>476</v>
      </c>
      <c r="C51" s="489"/>
      <c r="D51" s="354">
        <v>16.688311688311689</v>
      </c>
      <c r="E51" s="490">
        <v>74</v>
      </c>
      <c r="F51" s="491"/>
      <c r="G51" s="492">
        <f t="shared" si="18"/>
        <v>1234.9350649350649</v>
      </c>
      <c r="H51" s="492">
        <f t="shared" si="17"/>
        <v>1234.9350649350649</v>
      </c>
      <c r="I51" s="492">
        <f t="shared" si="17"/>
        <v>1234.9350649350649</v>
      </c>
      <c r="J51" s="492">
        <f t="shared" si="17"/>
        <v>1234.9350649350649</v>
      </c>
      <c r="K51" s="492">
        <f t="shared" si="17"/>
        <v>1234.9350649350649</v>
      </c>
      <c r="L51" s="492">
        <f t="shared" si="17"/>
        <v>1234.9350649350649</v>
      </c>
      <c r="M51" s="492">
        <f t="shared" si="17"/>
        <v>1234.9350649350649</v>
      </c>
      <c r="N51" s="492">
        <f t="shared" si="17"/>
        <v>1234.9350649350649</v>
      </c>
    </row>
    <row r="52" spans="2:14" x14ac:dyDescent="0.25">
      <c r="B52" s="352" t="s">
        <v>477</v>
      </c>
      <c r="C52" s="363"/>
      <c r="D52" s="354">
        <v>15.584415584415584</v>
      </c>
      <c r="E52" s="490">
        <v>2</v>
      </c>
      <c r="F52" s="491"/>
      <c r="G52" s="492">
        <f t="shared" si="18"/>
        <v>31.168831168831169</v>
      </c>
      <c r="H52" s="492">
        <f t="shared" si="17"/>
        <v>31.168831168831169</v>
      </c>
      <c r="I52" s="492">
        <f t="shared" si="17"/>
        <v>31.168831168831169</v>
      </c>
      <c r="J52" s="492">
        <f t="shared" si="17"/>
        <v>31.168831168831169</v>
      </c>
      <c r="K52" s="492">
        <f t="shared" si="17"/>
        <v>31.168831168831169</v>
      </c>
      <c r="L52" s="492">
        <f t="shared" si="17"/>
        <v>31.168831168831169</v>
      </c>
      <c r="M52" s="492">
        <f t="shared" si="17"/>
        <v>31.168831168831169</v>
      </c>
      <c r="N52" s="492">
        <f t="shared" si="17"/>
        <v>31.168831168831169</v>
      </c>
    </row>
    <row r="53" spans="2:14" x14ac:dyDescent="0.25">
      <c r="B53" s="352"/>
      <c r="C53" s="363"/>
      <c r="D53" s="354"/>
      <c r="E53" s="490"/>
      <c r="F53" s="491"/>
      <c r="G53" s="492">
        <f t="shared" si="18"/>
        <v>0</v>
      </c>
      <c r="H53" s="492">
        <f t="shared" si="17"/>
        <v>0</v>
      </c>
      <c r="I53" s="492">
        <f t="shared" si="17"/>
        <v>0</v>
      </c>
      <c r="J53" s="492">
        <f t="shared" si="17"/>
        <v>0</v>
      </c>
      <c r="K53" s="492">
        <f t="shared" si="17"/>
        <v>0</v>
      </c>
      <c r="L53" s="492">
        <f t="shared" si="17"/>
        <v>0</v>
      </c>
      <c r="M53" s="492">
        <f t="shared" si="17"/>
        <v>0</v>
      </c>
      <c r="N53" s="492">
        <f t="shared" si="17"/>
        <v>0</v>
      </c>
    </row>
    <row r="54" spans="2:14" x14ac:dyDescent="0.25">
      <c r="B54" s="352"/>
      <c r="C54" s="363"/>
      <c r="D54" s="354"/>
      <c r="E54" s="490"/>
      <c r="F54" s="491"/>
      <c r="G54" s="492">
        <f t="shared" si="18"/>
        <v>0</v>
      </c>
      <c r="H54" s="492">
        <f t="shared" si="17"/>
        <v>0</v>
      </c>
      <c r="I54" s="492">
        <f t="shared" si="17"/>
        <v>0</v>
      </c>
      <c r="J54" s="492">
        <f t="shared" si="17"/>
        <v>0</v>
      </c>
      <c r="K54" s="492">
        <f t="shared" si="17"/>
        <v>0</v>
      </c>
      <c r="L54" s="492">
        <f t="shared" si="17"/>
        <v>0</v>
      </c>
      <c r="M54" s="492">
        <f t="shared" si="17"/>
        <v>0</v>
      </c>
      <c r="N54" s="492">
        <f t="shared" si="17"/>
        <v>0</v>
      </c>
    </row>
  </sheetData>
  <mergeCells count="3">
    <mergeCell ref="B11:N11"/>
    <mergeCell ref="O12:Q12"/>
    <mergeCell ref="B19:N19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E436-55C9-425A-B9F6-21F9048C1154}">
  <sheetPr>
    <tabColor theme="9" tint="0.79998168889431442"/>
  </sheetPr>
  <dimension ref="B2:AA73"/>
  <sheetViews>
    <sheetView showGridLines="0" zoomScale="85" zoomScaleNormal="85" zoomScaleSheetLayoutView="85" workbookViewId="0">
      <pane xSplit="2" ySplit="6" topLeftCell="C7" activePane="bottomRight" state="frozen"/>
      <selection activeCell="N49" sqref="N49"/>
      <selection pane="topRight" activeCell="N49" sqref="N49"/>
      <selection pane="bottomLeft" activeCell="N49" sqref="N49"/>
      <selection pane="bottomRight" activeCell="N49" sqref="N49"/>
    </sheetView>
  </sheetViews>
  <sheetFormatPr defaultRowHeight="14.3" x14ac:dyDescent="0.25"/>
  <cols>
    <col min="1" max="1" width="5.375" style="275" customWidth="1"/>
    <col min="2" max="2" width="58.75" style="275" customWidth="1"/>
    <col min="3" max="3" width="14.25" style="275" customWidth="1"/>
    <col min="4" max="4" width="17.375" style="275" customWidth="1"/>
    <col min="5" max="5" width="11.375" style="275" customWidth="1"/>
    <col min="6" max="14" width="11.125" style="275" customWidth="1"/>
    <col min="15" max="15" width="11.375" style="275" customWidth="1"/>
    <col min="16" max="16" width="9" style="275"/>
    <col min="17" max="17" width="12.125" style="275" customWidth="1"/>
    <col min="18" max="16384" width="9" style="275"/>
  </cols>
  <sheetData>
    <row r="2" spans="2:13" x14ac:dyDescent="0.25">
      <c r="B2" s="365" t="s">
        <v>259</v>
      </c>
    </row>
    <row r="3" spans="2:13" ht="14.95" thickBot="1" x14ac:dyDescent="0.3">
      <c r="B3" s="275" t="s">
        <v>298</v>
      </c>
      <c r="F3" s="277">
        <f>TZCO_1!E12</f>
        <v>0.90962709284627086</v>
      </c>
      <c r="G3" s="277">
        <f>TZCO_1!F12</f>
        <v>0.88376775748351089</v>
      </c>
      <c r="H3" s="277">
        <f>TZCO_1!G12</f>
        <v>0.77400431253170976</v>
      </c>
      <c r="I3" s="277">
        <f>TZCO_1!H12</f>
        <v>0.88376775748351089</v>
      </c>
      <c r="J3" s="277">
        <f>TZCO_1!I12</f>
        <v>0.90962709284627086</v>
      </c>
      <c r="K3" s="277">
        <f>TZCO_1!J12</f>
        <v>0.74814497716894979</v>
      </c>
      <c r="L3" s="277">
        <f>TZCO_1!K12</f>
        <v>0.90962709284627086</v>
      </c>
      <c r="M3" s="277">
        <f>TZCO_1!L12</f>
        <v>0.88376775748351089</v>
      </c>
    </row>
    <row r="4" spans="2:13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M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</row>
    <row r="5" spans="2:13" x14ac:dyDescent="0.25">
      <c r="B5" s="369" t="s">
        <v>300</v>
      </c>
      <c r="C5" s="370" t="s">
        <v>301</v>
      </c>
      <c r="D5" s="292"/>
      <c r="E5" s="370"/>
      <c r="F5" s="476">
        <v>0</v>
      </c>
      <c r="G5" s="476">
        <f>F6+1</f>
        <v>7001</v>
      </c>
      <c r="H5" s="476">
        <f t="shared" ref="H5:M5" si="1">G6+1</f>
        <v>14001</v>
      </c>
      <c r="I5" s="476">
        <f t="shared" si="1"/>
        <v>21001</v>
      </c>
      <c r="J5" s="476">
        <f t="shared" si="1"/>
        <v>28001</v>
      </c>
      <c r="K5" s="476">
        <f t="shared" si="1"/>
        <v>35001</v>
      </c>
      <c r="L5" s="476">
        <f t="shared" si="1"/>
        <v>42001</v>
      </c>
      <c r="M5" s="476">
        <f t="shared" si="1"/>
        <v>49001</v>
      </c>
    </row>
    <row r="6" spans="2:13" ht="14.95" thickBot="1" x14ac:dyDescent="0.3">
      <c r="B6" s="371" t="s">
        <v>302</v>
      </c>
      <c r="C6" s="372" t="s">
        <v>301</v>
      </c>
      <c r="D6" s="373"/>
      <c r="E6" s="374">
        <f>'TZCO ТО_1'!F6</f>
        <v>7000</v>
      </c>
      <c r="F6" s="493">
        <f>E6</f>
        <v>7000</v>
      </c>
      <c r="G6" s="493">
        <f t="shared" ref="G6:M6" si="2">F6+$E6</f>
        <v>14000</v>
      </c>
      <c r="H6" s="493">
        <f t="shared" si="2"/>
        <v>21000</v>
      </c>
      <c r="I6" s="493">
        <f t="shared" si="2"/>
        <v>28000</v>
      </c>
      <c r="J6" s="493">
        <f t="shared" si="2"/>
        <v>35000</v>
      </c>
      <c r="K6" s="493">
        <f t="shared" si="2"/>
        <v>42000</v>
      </c>
      <c r="L6" s="493">
        <f t="shared" si="2"/>
        <v>49000</v>
      </c>
      <c r="M6" s="493">
        <f t="shared" si="2"/>
        <v>56000</v>
      </c>
    </row>
    <row r="7" spans="2:13" ht="14.95" thickBot="1" x14ac:dyDescent="0.3"/>
    <row r="8" spans="2:13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16</v>
      </c>
      <c r="G8" s="378">
        <f t="shared" ref="G8:M8" si="3">G16</f>
        <v>249</v>
      </c>
      <c r="H8" s="378">
        <f t="shared" si="3"/>
        <v>1238</v>
      </c>
      <c r="I8" s="378">
        <f t="shared" si="3"/>
        <v>249</v>
      </c>
      <c r="J8" s="378">
        <f t="shared" si="3"/>
        <v>16</v>
      </c>
      <c r="K8" s="378">
        <f t="shared" si="3"/>
        <v>1471</v>
      </c>
      <c r="L8" s="378">
        <f t="shared" si="3"/>
        <v>16</v>
      </c>
      <c r="M8" s="378">
        <f t="shared" si="3"/>
        <v>249</v>
      </c>
    </row>
    <row r="9" spans="2:13" ht="21.1" customHeight="1" x14ac:dyDescent="0.25">
      <c r="B9" s="390" t="s">
        <v>357</v>
      </c>
      <c r="C9" s="380" t="s">
        <v>358</v>
      </c>
      <c r="D9" s="253"/>
      <c r="E9" s="253"/>
      <c r="F9" s="302">
        <f>SUM(F10:F12)</f>
        <v>31888.2</v>
      </c>
      <c r="G9" s="302">
        <f t="shared" ref="G9:M9" si="4">SUM(G10:G12)</f>
        <v>362124.85</v>
      </c>
      <c r="H9" s="302">
        <f t="shared" si="4"/>
        <v>1613755.7500000002</v>
      </c>
      <c r="I9" s="302">
        <f t="shared" si="4"/>
        <v>362124.85</v>
      </c>
      <c r="J9" s="302">
        <f t="shared" si="4"/>
        <v>31888.2</v>
      </c>
      <c r="K9" s="302">
        <f t="shared" si="4"/>
        <v>1943992.4000000001</v>
      </c>
      <c r="L9" s="302">
        <f t="shared" si="4"/>
        <v>31888.2</v>
      </c>
      <c r="M9" s="302">
        <f t="shared" si="4"/>
        <v>362124.85</v>
      </c>
    </row>
    <row r="10" spans="2:13" ht="18.7" customHeight="1" x14ac:dyDescent="0.25">
      <c r="B10" s="381" t="s">
        <v>283</v>
      </c>
      <c r="C10" s="260" t="s">
        <v>358</v>
      </c>
      <c r="D10" s="260"/>
      <c r="E10" s="260"/>
      <c r="F10" s="263">
        <f t="shared" ref="F10:M10" si="5">F30</f>
        <v>7500</v>
      </c>
      <c r="G10" s="263">
        <f t="shared" si="5"/>
        <v>7500</v>
      </c>
      <c r="H10" s="263">
        <f t="shared" si="5"/>
        <v>7500</v>
      </c>
      <c r="I10" s="263">
        <f t="shared" si="5"/>
        <v>7500</v>
      </c>
      <c r="J10" s="263">
        <f t="shared" si="5"/>
        <v>7500</v>
      </c>
      <c r="K10" s="263">
        <f t="shared" si="5"/>
        <v>7500</v>
      </c>
      <c r="L10" s="263">
        <f t="shared" si="5"/>
        <v>7500</v>
      </c>
      <c r="M10" s="263">
        <f t="shared" si="5"/>
        <v>7500</v>
      </c>
    </row>
    <row r="11" spans="2:13" ht="18.7" customHeight="1" x14ac:dyDescent="0.25">
      <c r="B11" s="381" t="s">
        <v>284</v>
      </c>
      <c r="C11" s="260" t="s">
        <v>358</v>
      </c>
      <c r="D11" s="260"/>
      <c r="E11" s="260"/>
      <c r="F11" s="263">
        <f t="shared" ref="F11:M11" si="6">F36</f>
        <v>22180.2</v>
      </c>
      <c r="G11" s="263">
        <f t="shared" si="6"/>
        <v>117301.64999999998</v>
      </c>
      <c r="H11" s="263">
        <f t="shared" si="6"/>
        <v>1471521.7500000002</v>
      </c>
      <c r="I11" s="263">
        <f t="shared" si="6"/>
        <v>117301.64999999998</v>
      </c>
      <c r="J11" s="263">
        <f t="shared" si="6"/>
        <v>22180.2</v>
      </c>
      <c r="K11" s="263">
        <f t="shared" si="6"/>
        <v>1566643.2000000002</v>
      </c>
      <c r="L11" s="263">
        <f t="shared" si="6"/>
        <v>22180.2</v>
      </c>
      <c r="M11" s="263">
        <f t="shared" si="6"/>
        <v>117301.64999999998</v>
      </c>
    </row>
    <row r="12" spans="2:13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SUMPRODUCT($D24:$D26,F$24:F$26)</f>
        <v>2208</v>
      </c>
      <c r="G12" s="314">
        <f t="shared" ref="G12:M12" si="7">SUMPRODUCT($D24:$D26,G$24:G$26)</f>
        <v>237323.19999999998</v>
      </c>
      <c r="H12" s="314">
        <f t="shared" si="7"/>
        <v>134734</v>
      </c>
      <c r="I12" s="314">
        <f t="shared" si="7"/>
        <v>237323.19999999998</v>
      </c>
      <c r="J12" s="314">
        <f t="shared" si="7"/>
        <v>2208</v>
      </c>
      <c r="K12" s="314">
        <f t="shared" si="7"/>
        <v>369849.19999999995</v>
      </c>
      <c r="L12" s="314">
        <f t="shared" si="7"/>
        <v>2208</v>
      </c>
      <c r="M12" s="314">
        <f t="shared" si="7"/>
        <v>237323.19999999998</v>
      </c>
    </row>
    <row r="13" spans="2:13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</row>
    <row r="14" spans="2:13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</row>
    <row r="15" spans="2:13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M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</row>
    <row r="16" spans="2:13" ht="16.5" customHeight="1" x14ac:dyDescent="0.25">
      <c r="B16" s="390" t="s">
        <v>362</v>
      </c>
      <c r="C16" s="246"/>
      <c r="D16" s="260"/>
      <c r="E16" s="260"/>
      <c r="F16" s="391">
        <f t="shared" ref="F16:M16" si="9">SUM(F17:F19)</f>
        <v>16</v>
      </c>
      <c r="G16" s="391">
        <f t="shared" si="9"/>
        <v>249</v>
      </c>
      <c r="H16" s="391">
        <f t="shared" si="9"/>
        <v>1238</v>
      </c>
      <c r="I16" s="391">
        <f t="shared" si="9"/>
        <v>249</v>
      </c>
      <c r="J16" s="391">
        <f t="shared" si="9"/>
        <v>16</v>
      </c>
      <c r="K16" s="391">
        <f t="shared" si="9"/>
        <v>1471</v>
      </c>
      <c r="L16" s="391">
        <f t="shared" si="9"/>
        <v>16</v>
      </c>
      <c r="M16" s="391">
        <f t="shared" si="9"/>
        <v>249</v>
      </c>
    </row>
    <row r="17" spans="2:27" ht="16.5" customHeight="1" x14ac:dyDescent="0.25">
      <c r="B17" s="396" t="s">
        <v>478</v>
      </c>
      <c r="C17" s="406" t="s">
        <v>304</v>
      </c>
      <c r="D17" s="271"/>
      <c r="E17" s="271"/>
      <c r="F17" s="394">
        <f>$E42*$P42+$E52*$P52</f>
        <v>16</v>
      </c>
      <c r="G17" s="394">
        <f t="shared" ref="G17:M17" si="10">$E42*$P42+$E52*$P52</f>
        <v>16</v>
      </c>
      <c r="H17" s="394">
        <f t="shared" si="10"/>
        <v>16</v>
      </c>
      <c r="I17" s="394">
        <f t="shared" si="10"/>
        <v>16</v>
      </c>
      <c r="J17" s="394">
        <f t="shared" si="10"/>
        <v>16</v>
      </c>
      <c r="K17" s="394">
        <f t="shared" si="10"/>
        <v>16</v>
      </c>
      <c r="L17" s="394">
        <f t="shared" si="10"/>
        <v>16</v>
      </c>
      <c r="M17" s="394">
        <f t="shared" si="10"/>
        <v>16</v>
      </c>
    </row>
    <row r="18" spans="2:27" ht="16.5" customHeight="1" x14ac:dyDescent="0.25">
      <c r="B18" s="396" t="s">
        <v>479</v>
      </c>
      <c r="C18" s="406" t="s">
        <v>304</v>
      </c>
      <c r="D18" s="271"/>
      <c r="E18" s="271"/>
      <c r="F18" s="394"/>
      <c r="G18" s="394">
        <f>$E44*$P44+$E47*$P47+$E48*$P48+$E50*$P50+$E54*$P54+$E55*$P55+$E58*$P58+$E60*$P60+$E66*$P66+$E69*$P69</f>
        <v>233</v>
      </c>
      <c r="H18" s="394"/>
      <c r="I18" s="394">
        <f>$E44*$P44+$E47*$P47+$E48*$P48+$E50*$P50+$E54*$P54+$E55*$P55+$E58*$P58+$E60*$P60+$E66*$P66+$E69*$P69</f>
        <v>233</v>
      </c>
      <c r="J18" s="394"/>
      <c r="K18" s="394">
        <f>$E44*$P44+$E47*$P47+$E48*$P48+$E50*$P50+$E54*$P54+$E55*$P55+$E58*$P58+$E60*$P60+$E66*$P66+$E69*$P69</f>
        <v>233</v>
      </c>
      <c r="L18" s="394"/>
      <c r="M18" s="394">
        <f>$E44*$P44+$E47*$P47+$E48*$P48+$E50*$P50+$E54*$P54+$E55*$P55+$E58*$P58+$E60*$P60+$E66*$P66+$E69*$P69</f>
        <v>233</v>
      </c>
    </row>
    <row r="19" spans="2:27" ht="16.5" customHeight="1" x14ac:dyDescent="0.25">
      <c r="B19" s="396" t="s">
        <v>480</v>
      </c>
      <c r="C19" s="406" t="s">
        <v>304</v>
      </c>
      <c r="D19" s="271"/>
      <c r="E19" s="271"/>
      <c r="F19" s="394"/>
      <c r="G19" s="394"/>
      <c r="H19" s="394">
        <f>$E38*$P38+$E40*$P40+$E41*$P41+$E43*$P43+$E45*$P45+$E46*$P46+$E51*$P51+$E53*$P53+$E56*$P56+$E57*$P57+$E61*$P61+$E62*$P62+$E63*$P63+$E64*$P64+$E65*$P65+$E67*$P67+$E68*$P68+$E71*$P71+$E72*$P72</f>
        <v>1222</v>
      </c>
      <c r="I19" s="394"/>
      <c r="J19" s="394"/>
      <c r="K19" s="394">
        <f>$E38*$P38+$E40*$P40+$E41*$P41+$E43*$P43+$E45*$P45+$E46*$P46+$E51*$P51+$E53*$P53+$E56*$P56+$E57*$P57+$E61*$P61+$E62*$P62+$E63*$P63+$E64*$P64+$E65*$P65+$E67*$P67+$E68*$P68+$E71*$P71+$E72*$P72</f>
        <v>1222</v>
      </c>
      <c r="L19" s="394"/>
      <c r="M19" s="394"/>
    </row>
    <row r="20" spans="2:27" ht="16.5" customHeight="1" x14ac:dyDescent="0.25">
      <c r="B20" s="384"/>
      <c r="C20" s="400"/>
      <c r="D20" s="385"/>
      <c r="E20" s="385"/>
      <c r="F20" s="386"/>
      <c r="G20" s="386"/>
      <c r="H20" s="386"/>
      <c r="I20" s="386"/>
      <c r="J20" s="386"/>
      <c r="K20" s="386"/>
      <c r="L20" s="386"/>
      <c r="M20" s="386"/>
    </row>
    <row r="21" spans="2:27" ht="16.5" customHeight="1" thickBot="1" x14ac:dyDescent="0.3">
      <c r="B21" s="401" t="s">
        <v>372</v>
      </c>
      <c r="C21" s="400"/>
      <c r="D21" s="402">
        <f>'TZCO ТО_1'!F10</f>
        <v>46</v>
      </c>
      <c r="E21" s="385"/>
      <c r="F21" s="386"/>
      <c r="G21" s="386"/>
      <c r="H21" s="386"/>
      <c r="I21" s="386"/>
      <c r="J21" s="386"/>
      <c r="K21" s="386"/>
      <c r="L21" s="386"/>
      <c r="M21" s="386"/>
    </row>
    <row r="22" spans="2:27" ht="24.8" customHeight="1" x14ac:dyDescent="0.25">
      <c r="B22" s="336" t="s">
        <v>361</v>
      </c>
      <c r="C22" s="367" t="s">
        <v>355</v>
      </c>
      <c r="D22" s="403" t="s">
        <v>373</v>
      </c>
      <c r="E22" s="388"/>
      <c r="F22" s="389">
        <f t="shared" ref="F22:M22" si="11">F15</f>
        <v>1</v>
      </c>
      <c r="G22" s="389">
        <f t="shared" si="11"/>
        <v>2</v>
      </c>
      <c r="H22" s="389">
        <f t="shared" si="11"/>
        <v>3</v>
      </c>
      <c r="I22" s="389">
        <f t="shared" si="11"/>
        <v>4</v>
      </c>
      <c r="J22" s="389">
        <f t="shared" si="11"/>
        <v>5</v>
      </c>
      <c r="K22" s="389">
        <f t="shared" si="11"/>
        <v>6</v>
      </c>
      <c r="L22" s="389">
        <f t="shared" si="11"/>
        <v>7</v>
      </c>
      <c r="M22" s="389">
        <f t="shared" si="11"/>
        <v>8</v>
      </c>
    </row>
    <row r="23" spans="2:27" ht="14.95" customHeight="1" x14ac:dyDescent="0.25">
      <c r="B23" s="390" t="s">
        <v>374</v>
      </c>
      <c r="C23" s="302" t="s">
        <v>375</v>
      </c>
      <c r="D23" s="260"/>
      <c r="E23" s="260"/>
      <c r="F23" s="391">
        <f t="shared" ref="F23:M23" si="12">SUM(F24:F26)</f>
        <v>48</v>
      </c>
      <c r="G23" s="391">
        <f t="shared" si="12"/>
        <v>5159.2</v>
      </c>
      <c r="H23" s="391">
        <f t="shared" si="12"/>
        <v>2929</v>
      </c>
      <c r="I23" s="391">
        <f t="shared" si="12"/>
        <v>5159.2</v>
      </c>
      <c r="J23" s="391">
        <f t="shared" si="12"/>
        <v>48</v>
      </c>
      <c r="K23" s="391">
        <f t="shared" si="12"/>
        <v>8040.2</v>
      </c>
      <c r="L23" s="391">
        <f t="shared" si="12"/>
        <v>48</v>
      </c>
      <c r="M23" s="391">
        <f t="shared" si="12"/>
        <v>5159.2</v>
      </c>
    </row>
    <row r="24" spans="2:27" ht="16.5" customHeight="1" x14ac:dyDescent="0.25">
      <c r="B24" s="396" t="str">
        <f>B17</f>
        <v>ремонт-1</v>
      </c>
      <c r="C24" s="406" t="s">
        <v>375</v>
      </c>
      <c r="D24" s="407">
        <f>$D$21</f>
        <v>46</v>
      </c>
      <c r="E24" s="271"/>
      <c r="F24" s="394">
        <f>$E42*$N42+$E52*$N52</f>
        <v>48</v>
      </c>
      <c r="G24" s="394">
        <f t="shared" ref="G24:M24" si="13">$E42*$N42+$E52*$N52</f>
        <v>48</v>
      </c>
      <c r="H24" s="394">
        <f t="shared" si="13"/>
        <v>48</v>
      </c>
      <c r="I24" s="394">
        <f t="shared" si="13"/>
        <v>48</v>
      </c>
      <c r="J24" s="394">
        <f t="shared" si="13"/>
        <v>48</v>
      </c>
      <c r="K24" s="394">
        <f t="shared" si="13"/>
        <v>48</v>
      </c>
      <c r="L24" s="394">
        <f t="shared" si="13"/>
        <v>48</v>
      </c>
      <c r="M24" s="394">
        <f t="shared" si="13"/>
        <v>48</v>
      </c>
    </row>
    <row r="25" spans="2:27" ht="16.5" customHeight="1" x14ac:dyDescent="0.25">
      <c r="B25" s="396" t="str">
        <f>B18</f>
        <v>ремонт-2</v>
      </c>
      <c r="C25" s="406" t="s">
        <v>375</v>
      </c>
      <c r="D25" s="407">
        <f>$D$21</f>
        <v>46</v>
      </c>
      <c r="E25" s="271"/>
      <c r="F25" s="394"/>
      <c r="G25" s="394">
        <f>$E44*$N44+$E47*$N47+$E48*$N48+$E50*$N50+$E54*$N54+$E55*$N55+$E58*$N58+$E60*$N60+$E66*$N66+$E69*$G69</f>
        <v>5111.2</v>
      </c>
      <c r="H25" s="394"/>
      <c r="I25" s="394">
        <f>$E44*$N44+$E47*$N47+$E48*$N48+$E50*$N50+$E54*$N54+$E55*$N55+$E58*$N58+$E60*$N60+$E66*$N66+$E69*$G69</f>
        <v>5111.2</v>
      </c>
      <c r="J25" s="394"/>
      <c r="K25" s="394">
        <f>$E44*$N44+$E47*$N47+$E48*$N48+$E50*$N50+$E54*$N54+$E55*$N55+$E58*$N58+$E60*$N60+$E66*$N66+$E69*$G69</f>
        <v>5111.2</v>
      </c>
      <c r="L25" s="394"/>
      <c r="M25" s="394">
        <f>$E44*$N44+$E47*$N47+$E48*$N48+$E50*$N50+$E54*$N54+$E55*$N55+$E58*$N58+$E60*$N60+$E66*$N66+$E69*$G69</f>
        <v>5111.2</v>
      </c>
      <c r="AA25" s="275" t="s">
        <v>481</v>
      </c>
    </row>
    <row r="26" spans="2:27" ht="16.5" customHeight="1" x14ac:dyDescent="0.25">
      <c r="B26" s="396" t="str">
        <f>B19</f>
        <v>ремонт-3</v>
      </c>
      <c r="C26" s="406" t="s">
        <v>375</v>
      </c>
      <c r="D26" s="407">
        <f>$D$21</f>
        <v>46</v>
      </c>
      <c r="E26" s="271"/>
      <c r="F26" s="394"/>
      <c r="G26" s="394"/>
      <c r="H26" s="394">
        <f>$E40*$N40+$E41*$N41+$E43*$N43+$E45*$N45+$E46*$N46+$E51*$N51+$E53*$N53+$E56*$N56+$E57*$N57+$E61*$N61+$E62*$N62+$E63*$N63+$E64*$N64+$E65*$N65+$E67*$N67+$E68*$N68+$E69*$N69+$E71*$N71+$E72*$N72</f>
        <v>2881</v>
      </c>
      <c r="I26" s="394"/>
      <c r="J26" s="394"/>
      <c r="K26" s="394">
        <f>$E40*$N40+$E41*$N41+$E43*$N43+$E45*$N45+$E46*$N46+$E51*$N51+$E53*$N53+$E56*$N56+$E57*$N57+$E61*$N61+$E62*$N62+$E63*$N63+$E64*$N64+$E65*$N65+$E67*$N67+$E68*$N68+$E69*$N69+$E71*$N71+$E72*$N72</f>
        <v>2881</v>
      </c>
      <c r="L26" s="394"/>
      <c r="M26" s="394"/>
    </row>
    <row r="27" spans="2:27" x14ac:dyDescent="0.25">
      <c r="B27" s="384"/>
      <c r="E27" s="412"/>
      <c r="F27" s="303"/>
      <c r="G27" s="303"/>
      <c r="H27" s="303"/>
      <c r="I27" s="303"/>
      <c r="J27" s="303"/>
      <c r="K27" s="303"/>
      <c r="L27" s="303"/>
      <c r="M27" s="303"/>
    </row>
    <row r="28" spans="2:27" ht="14.95" thickBot="1" x14ac:dyDescent="0.3">
      <c r="B28" s="387" t="s">
        <v>389</v>
      </c>
      <c r="F28" s="303"/>
    </row>
    <row r="29" spans="2:27" ht="43.5" customHeight="1" x14ac:dyDescent="0.25">
      <c r="B29" s="336" t="s">
        <v>390</v>
      </c>
      <c r="C29" s="337" t="s">
        <v>391</v>
      </c>
      <c r="D29" s="337" t="s">
        <v>392</v>
      </c>
      <c r="E29" s="337" t="s">
        <v>393</v>
      </c>
      <c r="F29" s="340" t="s">
        <v>292</v>
      </c>
      <c r="G29" s="340" t="s">
        <v>292</v>
      </c>
      <c r="H29" s="340" t="s">
        <v>292</v>
      </c>
      <c r="I29" s="340" t="s">
        <v>292</v>
      </c>
      <c r="J29" s="340" t="s">
        <v>292</v>
      </c>
      <c r="K29" s="340" t="s">
        <v>292</v>
      </c>
      <c r="L29" s="340" t="s">
        <v>292</v>
      </c>
      <c r="M29" s="494" t="s">
        <v>292</v>
      </c>
    </row>
    <row r="30" spans="2:27" ht="28.55" customHeight="1" x14ac:dyDescent="0.25">
      <c r="B30" s="379" t="s">
        <v>394</v>
      </c>
      <c r="C30" s="247"/>
      <c r="D30" s="247"/>
      <c r="E30" s="247"/>
      <c r="F30" s="346">
        <f>SUM(F31:F35)</f>
        <v>7500</v>
      </c>
      <c r="G30" s="346">
        <f t="shared" ref="G30:M30" si="14">SUM(G31:G35)</f>
        <v>7500</v>
      </c>
      <c r="H30" s="346">
        <f t="shared" si="14"/>
        <v>7500</v>
      </c>
      <c r="I30" s="346">
        <f t="shared" si="14"/>
        <v>7500</v>
      </c>
      <c r="J30" s="346">
        <f t="shared" si="14"/>
        <v>7500</v>
      </c>
      <c r="K30" s="346">
        <f t="shared" si="14"/>
        <v>7500</v>
      </c>
      <c r="L30" s="346">
        <f t="shared" si="14"/>
        <v>7500</v>
      </c>
      <c r="M30" s="495">
        <f t="shared" si="14"/>
        <v>7500</v>
      </c>
    </row>
    <row r="31" spans="2:27" x14ac:dyDescent="0.25">
      <c r="B31" s="496" t="s">
        <v>482</v>
      </c>
      <c r="C31" s="354">
        <v>500</v>
      </c>
      <c r="D31" s="497">
        <v>500</v>
      </c>
      <c r="E31" s="258">
        <v>5</v>
      </c>
      <c r="F31" s="476">
        <f>$E31*$C31</f>
        <v>2500</v>
      </c>
      <c r="G31" s="476">
        <f t="shared" ref="G31:M31" si="15">$E31*$C31</f>
        <v>2500</v>
      </c>
      <c r="H31" s="476">
        <f t="shared" si="15"/>
        <v>2500</v>
      </c>
      <c r="I31" s="476">
        <f t="shared" si="15"/>
        <v>2500</v>
      </c>
      <c r="J31" s="476">
        <f t="shared" si="15"/>
        <v>2500</v>
      </c>
      <c r="K31" s="476">
        <f t="shared" si="15"/>
        <v>2500</v>
      </c>
      <c r="L31" s="476">
        <f t="shared" si="15"/>
        <v>2500</v>
      </c>
      <c r="M31" s="498">
        <f t="shared" si="15"/>
        <v>2500</v>
      </c>
    </row>
    <row r="32" spans="2:27" x14ac:dyDescent="0.25">
      <c r="B32" s="496" t="s">
        <v>483</v>
      </c>
      <c r="C32" s="354">
        <v>500</v>
      </c>
      <c r="D32" s="497">
        <v>1000</v>
      </c>
      <c r="E32" s="258">
        <v>4</v>
      </c>
      <c r="F32" s="476">
        <f t="shared" ref="F32:M35" si="16">$E32*$C32</f>
        <v>2000</v>
      </c>
      <c r="G32" s="476">
        <f t="shared" si="16"/>
        <v>2000</v>
      </c>
      <c r="H32" s="476">
        <f t="shared" si="16"/>
        <v>2000</v>
      </c>
      <c r="I32" s="476">
        <f t="shared" si="16"/>
        <v>2000</v>
      </c>
      <c r="J32" s="476">
        <f t="shared" si="16"/>
        <v>2000</v>
      </c>
      <c r="K32" s="476">
        <f t="shared" si="16"/>
        <v>2000</v>
      </c>
      <c r="L32" s="476">
        <f t="shared" si="16"/>
        <v>2000</v>
      </c>
      <c r="M32" s="498">
        <f t="shared" si="16"/>
        <v>2000</v>
      </c>
    </row>
    <row r="33" spans="2:16" x14ac:dyDescent="0.25">
      <c r="B33" s="496" t="s">
        <v>484</v>
      </c>
      <c r="C33" s="354">
        <v>500</v>
      </c>
      <c r="D33" s="497">
        <v>2000</v>
      </c>
      <c r="E33" s="258">
        <v>3</v>
      </c>
      <c r="F33" s="476">
        <f t="shared" si="16"/>
        <v>1500</v>
      </c>
      <c r="G33" s="476">
        <f t="shared" si="16"/>
        <v>1500</v>
      </c>
      <c r="H33" s="476">
        <f t="shared" si="16"/>
        <v>1500</v>
      </c>
      <c r="I33" s="476">
        <f t="shared" si="16"/>
        <v>1500</v>
      </c>
      <c r="J33" s="476">
        <f t="shared" si="16"/>
        <v>1500</v>
      </c>
      <c r="K33" s="476">
        <f t="shared" si="16"/>
        <v>1500</v>
      </c>
      <c r="L33" s="476">
        <f t="shared" si="16"/>
        <v>1500</v>
      </c>
      <c r="M33" s="498">
        <f t="shared" si="16"/>
        <v>1500</v>
      </c>
    </row>
    <row r="34" spans="2:16" x14ac:dyDescent="0.25">
      <c r="B34" s="496" t="s">
        <v>485</v>
      </c>
      <c r="C34" s="354">
        <v>500</v>
      </c>
      <c r="D34" s="497">
        <v>4000</v>
      </c>
      <c r="E34" s="258">
        <v>2</v>
      </c>
      <c r="F34" s="476">
        <f t="shared" si="16"/>
        <v>1000</v>
      </c>
      <c r="G34" s="476">
        <f t="shared" si="16"/>
        <v>1000</v>
      </c>
      <c r="H34" s="476">
        <f t="shared" si="16"/>
        <v>1000</v>
      </c>
      <c r="I34" s="476">
        <f t="shared" si="16"/>
        <v>1000</v>
      </c>
      <c r="J34" s="476">
        <f t="shared" si="16"/>
        <v>1000</v>
      </c>
      <c r="K34" s="476">
        <f t="shared" si="16"/>
        <v>1000</v>
      </c>
      <c r="L34" s="476">
        <f t="shared" si="16"/>
        <v>1000</v>
      </c>
      <c r="M34" s="498">
        <f t="shared" si="16"/>
        <v>1000</v>
      </c>
    </row>
    <row r="35" spans="2:16" ht="14.95" thickBot="1" x14ac:dyDescent="0.3">
      <c r="B35" s="496" t="s">
        <v>486</v>
      </c>
      <c r="C35" s="354">
        <v>500</v>
      </c>
      <c r="D35" s="497">
        <v>6000</v>
      </c>
      <c r="E35" s="258">
        <v>1</v>
      </c>
      <c r="F35" s="476">
        <f t="shared" si="16"/>
        <v>500</v>
      </c>
      <c r="G35" s="476">
        <f t="shared" si="16"/>
        <v>500</v>
      </c>
      <c r="H35" s="476">
        <f t="shared" si="16"/>
        <v>500</v>
      </c>
      <c r="I35" s="476">
        <f t="shared" si="16"/>
        <v>500</v>
      </c>
      <c r="J35" s="476">
        <f t="shared" si="16"/>
        <v>500</v>
      </c>
      <c r="K35" s="476">
        <f t="shared" si="16"/>
        <v>500</v>
      </c>
      <c r="L35" s="476">
        <f t="shared" si="16"/>
        <v>500</v>
      </c>
      <c r="M35" s="498">
        <f t="shared" si="16"/>
        <v>500</v>
      </c>
    </row>
    <row r="36" spans="2:16" ht="47.25" customHeight="1" x14ac:dyDescent="0.25">
      <c r="B36" s="379" t="s">
        <v>284</v>
      </c>
      <c r="C36" s="247" t="s">
        <v>391</v>
      </c>
      <c r="D36" s="247" t="s">
        <v>392</v>
      </c>
      <c r="E36" s="247" t="s">
        <v>393</v>
      </c>
      <c r="F36" s="346">
        <f>SUM(F37:F73)</f>
        <v>22180.2</v>
      </c>
      <c r="G36" s="346">
        <f t="shared" ref="G36:M36" si="17">SUM(G37:G73)</f>
        <v>117301.64999999998</v>
      </c>
      <c r="H36" s="346">
        <f t="shared" si="17"/>
        <v>1471521.7500000002</v>
      </c>
      <c r="I36" s="346">
        <f t="shared" si="17"/>
        <v>117301.64999999998</v>
      </c>
      <c r="J36" s="346">
        <f t="shared" si="17"/>
        <v>22180.2</v>
      </c>
      <c r="K36" s="346">
        <f t="shared" si="17"/>
        <v>1566643.2000000002</v>
      </c>
      <c r="L36" s="346">
        <f t="shared" si="17"/>
        <v>22180.2</v>
      </c>
      <c r="M36" s="499">
        <f t="shared" si="17"/>
        <v>117301.64999999998</v>
      </c>
      <c r="N36" s="1071" t="s">
        <v>428</v>
      </c>
      <c r="O36" s="1072"/>
      <c r="P36" s="1073"/>
    </row>
    <row r="37" spans="2:16" ht="46.55" customHeight="1" x14ac:dyDescent="0.25">
      <c r="B37" s="364" t="s">
        <v>395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500"/>
      <c r="N37" s="479" t="s">
        <v>429</v>
      </c>
      <c r="O37" s="480" t="s">
        <v>430</v>
      </c>
      <c r="P37" s="481" t="s">
        <v>431</v>
      </c>
    </row>
    <row r="38" spans="2:16" x14ac:dyDescent="0.25">
      <c r="B38" s="420" t="s">
        <v>487</v>
      </c>
      <c r="C38" s="354">
        <v>244341.15</v>
      </c>
      <c r="D38" s="269">
        <v>20000</v>
      </c>
      <c r="E38" s="268">
        <v>1</v>
      </c>
      <c r="F38" s="501"/>
      <c r="G38" s="501"/>
      <c r="H38" s="501">
        <f>$C38*$E38</f>
        <v>244341.15</v>
      </c>
      <c r="I38" s="501"/>
      <c r="J38" s="501"/>
      <c r="K38" s="501">
        <f>$C38*$E38</f>
        <v>244341.15</v>
      </c>
      <c r="L38" s="501"/>
      <c r="M38" s="502"/>
      <c r="N38" s="503">
        <v>520</v>
      </c>
      <c r="O38" s="504">
        <v>40</v>
      </c>
      <c r="P38" s="505">
        <v>240</v>
      </c>
    </row>
    <row r="39" spans="2:16" x14ac:dyDescent="0.25">
      <c r="B39" s="364" t="s">
        <v>396</v>
      </c>
      <c r="C39" s="292"/>
      <c r="D39" s="292"/>
      <c r="E39" s="370"/>
      <c r="F39" s="292"/>
      <c r="G39" s="292"/>
      <c r="H39" s="292"/>
      <c r="I39" s="292"/>
      <c r="J39" s="292"/>
      <c r="K39" s="292"/>
      <c r="L39" s="292"/>
      <c r="M39" s="500"/>
      <c r="N39" s="506"/>
      <c r="O39" s="507"/>
      <c r="P39" s="508"/>
    </row>
    <row r="40" spans="2:16" x14ac:dyDescent="0.25">
      <c r="B40" s="420" t="s">
        <v>488</v>
      </c>
      <c r="C40" s="354">
        <v>22050</v>
      </c>
      <c r="D40" s="269">
        <v>22500</v>
      </c>
      <c r="E40" s="268">
        <v>1</v>
      </c>
      <c r="F40" s="501"/>
      <c r="G40" s="501"/>
      <c r="H40" s="501">
        <f t="shared" ref="H40:H41" si="18">$C40*$E40</f>
        <v>22050</v>
      </c>
      <c r="I40" s="501"/>
      <c r="J40" s="501"/>
      <c r="K40" s="501">
        <f t="shared" ref="F40:M72" si="19">$C40*$E40</f>
        <v>22050</v>
      </c>
      <c r="L40" s="501"/>
      <c r="M40" s="502"/>
      <c r="N40" s="503">
        <v>552</v>
      </c>
      <c r="O40" s="504">
        <v>307</v>
      </c>
      <c r="P40" s="505">
        <v>149</v>
      </c>
    </row>
    <row r="41" spans="2:16" x14ac:dyDescent="0.25">
      <c r="B41" s="420" t="s">
        <v>489</v>
      </c>
      <c r="C41" s="354">
        <v>9750</v>
      </c>
      <c r="D41" s="269">
        <v>22000</v>
      </c>
      <c r="E41" s="268">
        <v>1</v>
      </c>
      <c r="F41" s="501"/>
      <c r="G41" s="501"/>
      <c r="H41" s="501">
        <f t="shared" si="18"/>
        <v>9750</v>
      </c>
      <c r="I41" s="501"/>
      <c r="J41" s="501"/>
      <c r="K41" s="501">
        <f t="shared" si="19"/>
        <v>9750</v>
      </c>
      <c r="L41" s="501"/>
      <c r="M41" s="502"/>
      <c r="N41" s="503">
        <v>56</v>
      </c>
      <c r="O41" s="504">
        <v>28</v>
      </c>
      <c r="P41" s="505">
        <v>21</v>
      </c>
    </row>
    <row r="42" spans="2:16" x14ac:dyDescent="0.25">
      <c r="B42" s="420" t="s">
        <v>490</v>
      </c>
      <c r="C42" s="354">
        <v>11002.65</v>
      </c>
      <c r="D42" s="269">
        <v>6500</v>
      </c>
      <c r="E42" s="268">
        <v>2</v>
      </c>
      <c r="F42" s="501">
        <f t="shared" si="19"/>
        <v>22005.3</v>
      </c>
      <c r="G42" s="501">
        <f t="shared" si="19"/>
        <v>22005.3</v>
      </c>
      <c r="H42" s="501">
        <f t="shared" si="19"/>
        <v>22005.3</v>
      </c>
      <c r="I42" s="501">
        <f t="shared" si="19"/>
        <v>22005.3</v>
      </c>
      <c r="J42" s="501">
        <f t="shared" si="19"/>
        <v>22005.3</v>
      </c>
      <c r="K42" s="501">
        <f t="shared" si="19"/>
        <v>22005.3</v>
      </c>
      <c r="L42" s="501">
        <f t="shared" si="19"/>
        <v>22005.3</v>
      </c>
      <c r="M42" s="502">
        <f t="shared" si="19"/>
        <v>22005.3</v>
      </c>
      <c r="N42" s="503">
        <v>16</v>
      </c>
      <c r="O42" s="504">
        <v>8</v>
      </c>
      <c r="P42" s="505">
        <v>5</v>
      </c>
    </row>
    <row r="43" spans="2:16" x14ac:dyDescent="0.25">
      <c r="B43" s="420" t="s">
        <v>491</v>
      </c>
      <c r="C43" s="354">
        <v>310336.64999999997</v>
      </c>
      <c r="D43" s="269">
        <v>22500</v>
      </c>
      <c r="E43" s="268">
        <v>2</v>
      </c>
      <c r="F43" s="501"/>
      <c r="G43" s="501"/>
      <c r="H43" s="501">
        <f>$C43*$E43</f>
        <v>620673.29999999993</v>
      </c>
      <c r="I43" s="501"/>
      <c r="J43" s="501"/>
      <c r="K43" s="501">
        <f>$C43*$E43</f>
        <v>620673.29999999993</v>
      </c>
      <c r="L43" s="501"/>
      <c r="M43" s="502"/>
      <c r="N43" s="503">
        <v>126</v>
      </c>
      <c r="O43" s="504">
        <v>75</v>
      </c>
      <c r="P43" s="505">
        <v>80</v>
      </c>
    </row>
    <row r="44" spans="2:16" x14ac:dyDescent="0.25">
      <c r="B44" s="420" t="s">
        <v>492</v>
      </c>
      <c r="C44" s="354">
        <v>42736.799999999996</v>
      </c>
      <c r="D44" s="269">
        <v>13000</v>
      </c>
      <c r="E44" s="268">
        <v>1</v>
      </c>
      <c r="F44" s="501"/>
      <c r="G44" s="501">
        <f t="shared" si="19"/>
        <v>42736.799999999996</v>
      </c>
      <c r="H44" s="501"/>
      <c r="I44" s="501">
        <f t="shared" si="19"/>
        <v>42736.799999999996</v>
      </c>
      <c r="J44" s="501"/>
      <c r="K44" s="501">
        <f t="shared" si="19"/>
        <v>42736.799999999996</v>
      </c>
      <c r="L44" s="501"/>
      <c r="M44" s="502">
        <f t="shared" si="19"/>
        <v>42736.799999999996</v>
      </c>
      <c r="N44" s="503">
        <v>88</v>
      </c>
      <c r="O44" s="504">
        <v>37</v>
      </c>
      <c r="P44" s="505">
        <v>30</v>
      </c>
    </row>
    <row r="45" spans="2:16" x14ac:dyDescent="0.25">
      <c r="B45" s="420" t="s">
        <v>493</v>
      </c>
      <c r="C45" s="354">
        <v>4223.55</v>
      </c>
      <c r="D45" s="269">
        <v>22000</v>
      </c>
      <c r="E45" s="268">
        <v>1</v>
      </c>
      <c r="F45" s="501"/>
      <c r="G45" s="501"/>
      <c r="H45" s="501">
        <f t="shared" ref="H45:H46" si="20">$C45*$E45</f>
        <v>4223.55</v>
      </c>
      <c r="I45" s="501"/>
      <c r="J45" s="501"/>
      <c r="K45" s="501">
        <f t="shared" si="19"/>
        <v>4223.55</v>
      </c>
      <c r="L45" s="501"/>
      <c r="M45" s="502"/>
      <c r="N45" s="503">
        <v>15</v>
      </c>
      <c r="O45" s="504">
        <v>0</v>
      </c>
      <c r="P45" s="505">
        <v>6</v>
      </c>
    </row>
    <row r="46" spans="2:16" x14ac:dyDescent="0.25">
      <c r="B46" s="420" t="s">
        <v>494</v>
      </c>
      <c r="C46" s="354">
        <v>7967.25</v>
      </c>
      <c r="D46" s="269">
        <v>20000</v>
      </c>
      <c r="E46" s="268">
        <v>1</v>
      </c>
      <c r="F46" s="501"/>
      <c r="G46" s="501"/>
      <c r="H46" s="501">
        <f t="shared" si="20"/>
        <v>7967.25</v>
      </c>
      <c r="I46" s="501"/>
      <c r="J46" s="501"/>
      <c r="K46" s="501">
        <f t="shared" si="19"/>
        <v>7967.25</v>
      </c>
      <c r="L46" s="501"/>
      <c r="M46" s="502"/>
      <c r="N46" s="503">
        <v>7</v>
      </c>
      <c r="O46" s="504">
        <v>4</v>
      </c>
      <c r="P46" s="505">
        <v>3</v>
      </c>
    </row>
    <row r="47" spans="2:16" x14ac:dyDescent="0.25">
      <c r="B47" s="420" t="s">
        <v>495</v>
      </c>
      <c r="C47" s="354">
        <v>2158.9499999999998</v>
      </c>
      <c r="D47" s="269">
        <v>12000</v>
      </c>
      <c r="E47" s="268">
        <v>1</v>
      </c>
      <c r="F47" s="501"/>
      <c r="G47" s="501">
        <f t="shared" si="19"/>
        <v>2158.9499999999998</v>
      </c>
      <c r="H47" s="501"/>
      <c r="I47" s="501">
        <f t="shared" si="19"/>
        <v>2158.9499999999998</v>
      </c>
      <c r="J47" s="501"/>
      <c r="K47" s="501">
        <f t="shared" si="19"/>
        <v>2158.9499999999998</v>
      </c>
      <c r="L47" s="501"/>
      <c r="M47" s="502">
        <f t="shared" si="19"/>
        <v>2158.9499999999998</v>
      </c>
      <c r="N47" s="503">
        <v>11</v>
      </c>
      <c r="O47" s="504">
        <v>0</v>
      </c>
      <c r="P47" s="505">
        <v>4</v>
      </c>
    </row>
    <row r="48" spans="2:16" x14ac:dyDescent="0.25">
      <c r="B48" s="420" t="s">
        <v>496</v>
      </c>
      <c r="C48" s="354">
        <v>1932.6</v>
      </c>
      <c r="D48" s="269">
        <v>12000</v>
      </c>
      <c r="E48" s="268">
        <v>2</v>
      </c>
      <c r="F48" s="501"/>
      <c r="G48" s="501">
        <f t="shared" si="19"/>
        <v>3865.2</v>
      </c>
      <c r="H48" s="501"/>
      <c r="I48" s="501">
        <f t="shared" si="19"/>
        <v>3865.2</v>
      </c>
      <c r="J48" s="501"/>
      <c r="K48" s="501">
        <f t="shared" si="19"/>
        <v>3865.2</v>
      </c>
      <c r="L48" s="501"/>
      <c r="M48" s="502">
        <f t="shared" si="19"/>
        <v>3865.2</v>
      </c>
      <c r="N48" s="503">
        <v>19</v>
      </c>
      <c r="O48" s="504">
        <v>0</v>
      </c>
      <c r="P48" s="505">
        <v>7</v>
      </c>
    </row>
    <row r="49" spans="2:16" x14ac:dyDescent="0.25">
      <c r="B49" s="364" t="s">
        <v>397</v>
      </c>
      <c r="C49" s="292"/>
      <c r="D49" s="292"/>
      <c r="E49" s="370"/>
      <c r="F49" s="292"/>
      <c r="G49" s="292"/>
      <c r="H49" s="292"/>
      <c r="I49" s="292"/>
      <c r="J49" s="292"/>
      <c r="K49" s="292"/>
      <c r="L49" s="292"/>
      <c r="M49" s="500"/>
      <c r="N49" s="506"/>
      <c r="O49" s="507"/>
      <c r="P49" s="508"/>
    </row>
    <row r="50" spans="2:16" x14ac:dyDescent="0.25">
      <c r="B50" s="509" t="s">
        <v>497</v>
      </c>
      <c r="C50" s="354">
        <v>1677.1499999999999</v>
      </c>
      <c r="D50" s="269">
        <v>14000</v>
      </c>
      <c r="E50" s="268">
        <v>2</v>
      </c>
      <c r="F50" s="501"/>
      <c r="G50" s="501">
        <f t="shared" si="19"/>
        <v>3354.2999999999997</v>
      </c>
      <c r="H50" s="501"/>
      <c r="I50" s="501">
        <f t="shared" si="19"/>
        <v>3354.2999999999997</v>
      </c>
      <c r="J50" s="501"/>
      <c r="K50" s="501">
        <f t="shared" si="19"/>
        <v>3354.2999999999997</v>
      </c>
      <c r="L50" s="501"/>
      <c r="M50" s="502">
        <f t="shared" si="19"/>
        <v>3354.2999999999997</v>
      </c>
      <c r="N50" s="503">
        <v>22</v>
      </c>
      <c r="O50" s="504">
        <v>1</v>
      </c>
      <c r="P50" s="505">
        <v>11</v>
      </c>
    </row>
    <row r="51" spans="2:16" x14ac:dyDescent="0.25">
      <c r="B51" s="509" t="s">
        <v>498</v>
      </c>
      <c r="C51" s="354">
        <v>9171.2999999999993</v>
      </c>
      <c r="D51" s="269">
        <v>22000</v>
      </c>
      <c r="E51" s="268">
        <v>2</v>
      </c>
      <c r="F51" s="501"/>
      <c r="G51" s="501"/>
      <c r="H51" s="501">
        <f>$C51*$E51</f>
        <v>18342.599999999999</v>
      </c>
      <c r="I51" s="501"/>
      <c r="J51" s="501"/>
      <c r="K51" s="501">
        <f>$C51*$E51</f>
        <v>18342.599999999999</v>
      </c>
      <c r="L51" s="501"/>
      <c r="M51" s="502"/>
      <c r="N51" s="503">
        <v>38</v>
      </c>
      <c r="O51" s="504">
        <v>3</v>
      </c>
      <c r="P51" s="505">
        <v>10</v>
      </c>
    </row>
    <row r="52" spans="2:16" x14ac:dyDescent="0.25">
      <c r="B52" s="509" t="s">
        <v>499</v>
      </c>
      <c r="C52" s="354">
        <v>87.45</v>
      </c>
      <c r="D52" s="269">
        <v>6500</v>
      </c>
      <c r="E52" s="268">
        <v>2</v>
      </c>
      <c r="F52" s="501">
        <f t="shared" si="19"/>
        <v>174.9</v>
      </c>
      <c r="G52" s="501">
        <f t="shared" si="19"/>
        <v>174.9</v>
      </c>
      <c r="H52" s="501">
        <f t="shared" si="19"/>
        <v>174.9</v>
      </c>
      <c r="I52" s="501">
        <f t="shared" si="19"/>
        <v>174.9</v>
      </c>
      <c r="J52" s="501">
        <f t="shared" si="19"/>
        <v>174.9</v>
      </c>
      <c r="K52" s="501">
        <f t="shared" si="19"/>
        <v>174.9</v>
      </c>
      <c r="L52" s="501">
        <f t="shared" si="19"/>
        <v>174.9</v>
      </c>
      <c r="M52" s="502">
        <f t="shared" si="19"/>
        <v>174.9</v>
      </c>
      <c r="N52" s="503">
        <v>8</v>
      </c>
      <c r="O52" s="504">
        <v>2</v>
      </c>
      <c r="P52" s="505">
        <v>3</v>
      </c>
    </row>
    <row r="53" spans="2:16" x14ac:dyDescent="0.25">
      <c r="B53" s="509" t="s">
        <v>500</v>
      </c>
      <c r="C53" s="354">
        <v>78030.3</v>
      </c>
      <c r="D53" s="269">
        <v>20500</v>
      </c>
      <c r="E53" s="268">
        <v>2</v>
      </c>
      <c r="F53" s="501"/>
      <c r="G53" s="501"/>
      <c r="H53" s="501">
        <f>$C53*$E53</f>
        <v>156060.6</v>
      </c>
      <c r="I53" s="501"/>
      <c r="J53" s="501"/>
      <c r="K53" s="501">
        <f>$C53*$E53</f>
        <v>156060.6</v>
      </c>
      <c r="L53" s="501"/>
      <c r="M53" s="502"/>
      <c r="N53" s="503">
        <v>53</v>
      </c>
      <c r="O53" s="504">
        <v>27</v>
      </c>
      <c r="P53" s="505">
        <v>21</v>
      </c>
    </row>
    <row r="54" spans="2:16" x14ac:dyDescent="0.25">
      <c r="B54" s="509" t="s">
        <v>501</v>
      </c>
      <c r="C54" s="354">
        <v>10677.75</v>
      </c>
      <c r="D54" s="269">
        <v>14000</v>
      </c>
      <c r="E54" s="268">
        <v>2</v>
      </c>
      <c r="F54" s="501"/>
      <c r="G54" s="501">
        <f t="shared" si="19"/>
        <v>21355.5</v>
      </c>
      <c r="H54" s="501"/>
      <c r="I54" s="501">
        <f t="shared" si="19"/>
        <v>21355.5</v>
      </c>
      <c r="J54" s="501"/>
      <c r="K54" s="501">
        <f t="shared" si="19"/>
        <v>21355.5</v>
      </c>
      <c r="L54" s="501"/>
      <c r="M54" s="502">
        <f t="shared" si="19"/>
        <v>21355.5</v>
      </c>
      <c r="N54" s="503">
        <v>28</v>
      </c>
      <c r="O54" s="504">
        <v>19</v>
      </c>
      <c r="P54" s="505">
        <v>11</v>
      </c>
    </row>
    <row r="55" spans="2:16" x14ac:dyDescent="0.25">
      <c r="B55" s="420" t="s">
        <v>502</v>
      </c>
      <c r="C55" s="354">
        <v>8146.0499999999993</v>
      </c>
      <c r="D55" s="269">
        <v>11000</v>
      </c>
      <c r="E55" s="268">
        <v>1</v>
      </c>
      <c r="F55" s="501"/>
      <c r="G55" s="501">
        <f t="shared" si="19"/>
        <v>8146.0499999999993</v>
      </c>
      <c r="H55" s="501"/>
      <c r="I55" s="501">
        <f t="shared" si="19"/>
        <v>8146.0499999999993</v>
      </c>
      <c r="J55" s="501"/>
      <c r="K55" s="501">
        <f t="shared" si="19"/>
        <v>8146.0499999999993</v>
      </c>
      <c r="L55" s="501"/>
      <c r="M55" s="502">
        <f t="shared" si="19"/>
        <v>8146.0499999999993</v>
      </c>
      <c r="N55" s="503">
        <v>8</v>
      </c>
      <c r="O55" s="504">
        <v>4</v>
      </c>
      <c r="P55" s="505">
        <v>6</v>
      </c>
    </row>
    <row r="56" spans="2:16" x14ac:dyDescent="0.25">
      <c r="B56" s="420" t="s">
        <v>503</v>
      </c>
      <c r="C56" s="354">
        <v>10096.049999999999</v>
      </c>
      <c r="D56" s="269">
        <v>18000</v>
      </c>
      <c r="E56" s="268">
        <v>1</v>
      </c>
      <c r="F56" s="501"/>
      <c r="G56" s="501"/>
      <c r="H56" s="501">
        <f t="shared" si="19"/>
        <v>10096.049999999999</v>
      </c>
      <c r="I56" s="501"/>
      <c r="J56" s="501"/>
      <c r="K56" s="501">
        <f t="shared" si="19"/>
        <v>10096.049999999999</v>
      </c>
      <c r="L56" s="501"/>
      <c r="M56" s="502"/>
      <c r="N56" s="503">
        <v>12</v>
      </c>
      <c r="O56" s="504">
        <v>6</v>
      </c>
      <c r="P56" s="505">
        <v>6</v>
      </c>
    </row>
    <row r="57" spans="2:16" x14ac:dyDescent="0.25">
      <c r="B57" s="420" t="s">
        <v>504</v>
      </c>
      <c r="C57" s="354">
        <v>13463.55</v>
      </c>
      <c r="D57" s="269">
        <v>20000</v>
      </c>
      <c r="E57" s="268">
        <v>1</v>
      </c>
      <c r="F57" s="501"/>
      <c r="G57" s="501"/>
      <c r="H57" s="501">
        <f>$C57*$E57</f>
        <v>13463.55</v>
      </c>
      <c r="I57" s="501"/>
      <c r="J57" s="501"/>
      <c r="K57" s="501">
        <f>$C57*$E57</f>
        <v>13463.55</v>
      </c>
      <c r="L57" s="501"/>
      <c r="M57" s="502"/>
      <c r="N57" s="503">
        <v>27</v>
      </c>
      <c r="O57" s="504">
        <v>5</v>
      </c>
      <c r="P57" s="505">
        <v>8</v>
      </c>
    </row>
    <row r="58" spans="2:16" x14ac:dyDescent="0.25">
      <c r="B58" s="420" t="s">
        <v>505</v>
      </c>
      <c r="C58" s="354">
        <v>999.75</v>
      </c>
      <c r="D58" s="269">
        <v>10000</v>
      </c>
      <c r="E58" s="268">
        <v>1</v>
      </c>
      <c r="F58" s="501"/>
      <c r="G58" s="501">
        <f t="shared" si="19"/>
        <v>999.75</v>
      </c>
      <c r="H58" s="501"/>
      <c r="I58" s="501">
        <f t="shared" si="19"/>
        <v>999.75</v>
      </c>
      <c r="J58" s="501"/>
      <c r="K58" s="501">
        <f t="shared" si="19"/>
        <v>999.75</v>
      </c>
      <c r="L58" s="501"/>
      <c r="M58" s="502">
        <f t="shared" si="19"/>
        <v>999.75</v>
      </c>
      <c r="N58" s="503">
        <v>5</v>
      </c>
      <c r="O58" s="504">
        <v>3</v>
      </c>
      <c r="P58" s="505">
        <v>3</v>
      </c>
    </row>
    <row r="59" spans="2:16" x14ac:dyDescent="0.25">
      <c r="B59" s="364" t="s">
        <v>506</v>
      </c>
      <c r="C59" s="292"/>
      <c r="D59" s="292"/>
      <c r="E59" s="370"/>
      <c r="F59" s="292"/>
      <c r="G59" s="292"/>
      <c r="H59" s="292"/>
      <c r="I59" s="292"/>
      <c r="J59" s="292"/>
      <c r="K59" s="292"/>
      <c r="L59" s="292"/>
      <c r="M59" s="500"/>
      <c r="N59" s="506"/>
      <c r="O59" s="507"/>
      <c r="P59" s="508"/>
    </row>
    <row r="60" spans="2:16" x14ac:dyDescent="0.25">
      <c r="B60" s="420" t="s">
        <v>507</v>
      </c>
      <c r="C60" s="354">
        <v>3076.35</v>
      </c>
      <c r="D60" s="269">
        <v>12000</v>
      </c>
      <c r="E60" s="268">
        <v>2</v>
      </c>
      <c r="F60" s="501"/>
      <c r="G60" s="501">
        <f t="shared" si="19"/>
        <v>6152.7</v>
      </c>
      <c r="H60" s="501"/>
      <c r="I60" s="501">
        <f t="shared" si="19"/>
        <v>6152.7</v>
      </c>
      <c r="J60" s="501"/>
      <c r="K60" s="501">
        <f t="shared" si="19"/>
        <v>6152.7</v>
      </c>
      <c r="L60" s="501"/>
      <c r="M60" s="502">
        <f t="shared" si="19"/>
        <v>6152.7</v>
      </c>
      <c r="N60" s="503">
        <v>63</v>
      </c>
      <c r="O60" s="504">
        <v>29</v>
      </c>
      <c r="P60" s="505">
        <v>18</v>
      </c>
    </row>
    <row r="61" spans="2:16" x14ac:dyDescent="0.25">
      <c r="B61" s="420" t="s">
        <v>508</v>
      </c>
      <c r="C61" s="354">
        <v>1230.45</v>
      </c>
      <c r="D61" s="269">
        <v>6000</v>
      </c>
      <c r="E61" s="268">
        <v>16</v>
      </c>
      <c r="F61" s="501"/>
      <c r="G61" s="501"/>
      <c r="H61" s="501">
        <f t="shared" si="19"/>
        <v>19687.2</v>
      </c>
      <c r="I61" s="501"/>
      <c r="J61" s="501"/>
      <c r="K61" s="501">
        <f t="shared" si="19"/>
        <v>19687.2</v>
      </c>
      <c r="L61" s="501"/>
      <c r="M61" s="502"/>
      <c r="N61" s="503">
        <v>35</v>
      </c>
      <c r="O61" s="504">
        <v>15</v>
      </c>
      <c r="P61" s="505">
        <v>9</v>
      </c>
    </row>
    <row r="62" spans="2:16" x14ac:dyDescent="0.25">
      <c r="B62" s="420" t="s">
        <v>509</v>
      </c>
      <c r="C62" s="354">
        <v>100027.34999999999</v>
      </c>
      <c r="D62" s="269">
        <v>19500</v>
      </c>
      <c r="E62" s="268">
        <v>2</v>
      </c>
      <c r="F62" s="501"/>
      <c r="G62" s="501"/>
      <c r="H62" s="501">
        <f>$C62*$E62</f>
        <v>200054.69999999998</v>
      </c>
      <c r="I62" s="501"/>
      <c r="J62" s="501"/>
      <c r="K62" s="501">
        <f>$C62*$E62</f>
        <v>200054.69999999998</v>
      </c>
      <c r="L62" s="501"/>
      <c r="M62" s="502"/>
      <c r="N62" s="503">
        <v>32</v>
      </c>
      <c r="O62" s="504">
        <v>19</v>
      </c>
      <c r="P62" s="505">
        <v>21</v>
      </c>
    </row>
    <row r="63" spans="2:16" x14ac:dyDescent="0.25">
      <c r="B63" s="420" t="s">
        <v>510</v>
      </c>
      <c r="C63" s="354">
        <v>37496.400000000001</v>
      </c>
      <c r="D63" s="269">
        <v>22000</v>
      </c>
      <c r="E63" s="268">
        <v>2</v>
      </c>
      <c r="F63" s="501"/>
      <c r="G63" s="501"/>
      <c r="H63" s="501">
        <f t="shared" si="19"/>
        <v>74992.800000000003</v>
      </c>
      <c r="I63" s="501"/>
      <c r="J63" s="501"/>
      <c r="K63" s="501">
        <f t="shared" si="19"/>
        <v>74992.800000000003</v>
      </c>
      <c r="L63" s="501"/>
      <c r="M63" s="502"/>
      <c r="N63" s="503">
        <v>71</v>
      </c>
      <c r="O63" s="504">
        <v>42</v>
      </c>
      <c r="P63" s="505">
        <v>26</v>
      </c>
    </row>
    <row r="64" spans="2:16" x14ac:dyDescent="0.25">
      <c r="B64" s="420" t="s">
        <v>511</v>
      </c>
      <c r="C64" s="354">
        <v>1627.2</v>
      </c>
      <c r="D64" s="269">
        <v>20000</v>
      </c>
      <c r="E64" s="268">
        <v>4</v>
      </c>
      <c r="F64" s="501"/>
      <c r="G64" s="501"/>
      <c r="H64" s="501">
        <f t="shared" si="19"/>
        <v>6508.8</v>
      </c>
      <c r="I64" s="501"/>
      <c r="J64" s="501"/>
      <c r="K64" s="501">
        <f t="shared" si="19"/>
        <v>6508.8</v>
      </c>
      <c r="L64" s="501"/>
      <c r="M64" s="502"/>
      <c r="N64" s="503">
        <v>45</v>
      </c>
      <c r="O64" s="504">
        <v>29</v>
      </c>
      <c r="P64" s="505">
        <v>18</v>
      </c>
    </row>
    <row r="65" spans="2:16" x14ac:dyDescent="0.25">
      <c r="B65" s="420" t="s">
        <v>512</v>
      </c>
      <c r="C65" s="354">
        <v>380.25</v>
      </c>
      <c r="D65" s="269">
        <v>6000</v>
      </c>
      <c r="E65" s="268">
        <v>8</v>
      </c>
      <c r="F65" s="501"/>
      <c r="G65" s="501"/>
      <c r="H65" s="501">
        <f t="shared" si="19"/>
        <v>3042</v>
      </c>
      <c r="I65" s="501"/>
      <c r="J65" s="501"/>
      <c r="K65" s="501">
        <f t="shared" si="19"/>
        <v>3042</v>
      </c>
      <c r="L65" s="501"/>
      <c r="M65" s="502"/>
      <c r="N65" s="503">
        <v>35</v>
      </c>
      <c r="O65" s="504">
        <v>15</v>
      </c>
      <c r="P65" s="505">
        <v>9</v>
      </c>
    </row>
    <row r="66" spans="2:16" x14ac:dyDescent="0.25">
      <c r="B66" s="420" t="s">
        <v>513</v>
      </c>
      <c r="C66" s="354">
        <v>1392.75</v>
      </c>
      <c r="D66" s="269">
        <v>12000</v>
      </c>
      <c r="E66" s="268">
        <v>4</v>
      </c>
      <c r="F66" s="501"/>
      <c r="G66" s="501">
        <f t="shared" si="19"/>
        <v>5571</v>
      </c>
      <c r="H66" s="501"/>
      <c r="I66" s="501">
        <f t="shared" si="19"/>
        <v>5571</v>
      </c>
      <c r="J66" s="501"/>
      <c r="K66" s="501">
        <f t="shared" si="19"/>
        <v>5571</v>
      </c>
      <c r="L66" s="501"/>
      <c r="M66" s="502">
        <f t="shared" si="19"/>
        <v>5571</v>
      </c>
      <c r="N66" s="503">
        <v>12</v>
      </c>
      <c r="O66" s="504">
        <v>6</v>
      </c>
      <c r="P66" s="505">
        <v>6</v>
      </c>
    </row>
    <row r="67" spans="2:16" x14ac:dyDescent="0.25">
      <c r="B67" s="420" t="s">
        <v>514</v>
      </c>
      <c r="C67" s="354">
        <v>28460.399999999998</v>
      </c>
      <c r="D67" s="269">
        <v>18000</v>
      </c>
      <c r="E67" s="268">
        <v>1</v>
      </c>
      <c r="F67" s="501"/>
      <c r="G67" s="501"/>
      <c r="H67" s="501">
        <f t="shared" si="19"/>
        <v>28460.399999999998</v>
      </c>
      <c r="I67" s="501"/>
      <c r="J67" s="501"/>
      <c r="K67" s="501">
        <f t="shared" si="19"/>
        <v>28460.399999999998</v>
      </c>
      <c r="L67" s="501"/>
      <c r="M67" s="502"/>
      <c r="N67" s="510">
        <v>165</v>
      </c>
      <c r="O67" s="511">
        <v>75</v>
      </c>
      <c r="P67" s="512">
        <v>80</v>
      </c>
    </row>
    <row r="68" spans="2:16" x14ac:dyDescent="0.25">
      <c r="B68" s="420" t="s">
        <v>515</v>
      </c>
      <c r="C68" s="354">
        <v>376.8</v>
      </c>
      <c r="D68" s="269">
        <v>6000</v>
      </c>
      <c r="E68" s="268">
        <v>6</v>
      </c>
      <c r="F68" s="501"/>
      <c r="G68" s="501"/>
      <c r="H68" s="501">
        <f t="shared" si="19"/>
        <v>2260.8000000000002</v>
      </c>
      <c r="I68" s="501"/>
      <c r="J68" s="501"/>
      <c r="K68" s="501">
        <f t="shared" si="19"/>
        <v>2260.8000000000002</v>
      </c>
      <c r="L68" s="501"/>
      <c r="M68" s="502"/>
      <c r="N68" s="513">
        <v>24</v>
      </c>
      <c r="O68" s="514">
        <v>12</v>
      </c>
      <c r="P68" s="515">
        <v>12</v>
      </c>
    </row>
    <row r="69" spans="2:16" x14ac:dyDescent="0.25">
      <c r="B69" s="420" t="s">
        <v>516</v>
      </c>
      <c r="C69" s="354">
        <v>130.19999999999999</v>
      </c>
      <c r="D69" s="269">
        <v>12000</v>
      </c>
      <c r="E69" s="268">
        <v>6</v>
      </c>
      <c r="F69" s="501"/>
      <c r="G69" s="501">
        <f t="shared" si="19"/>
        <v>781.19999999999993</v>
      </c>
      <c r="H69" s="501"/>
      <c r="I69" s="501">
        <f t="shared" si="19"/>
        <v>781.19999999999993</v>
      </c>
      <c r="J69" s="501"/>
      <c r="K69" s="501">
        <f t="shared" si="19"/>
        <v>781.19999999999993</v>
      </c>
      <c r="L69" s="501"/>
      <c r="M69" s="502">
        <f t="shared" si="19"/>
        <v>781.19999999999993</v>
      </c>
      <c r="N69" s="516">
        <v>24</v>
      </c>
      <c r="O69" s="514">
        <v>12</v>
      </c>
      <c r="P69" s="515">
        <v>12</v>
      </c>
    </row>
    <row r="70" spans="2:16" x14ac:dyDescent="0.25">
      <c r="B70" s="364" t="s">
        <v>398</v>
      </c>
      <c r="C70" s="292"/>
      <c r="D70" s="292"/>
      <c r="E70" s="370"/>
      <c r="F70" s="292"/>
      <c r="G70" s="292"/>
      <c r="H70" s="292"/>
      <c r="I70" s="292"/>
      <c r="J70" s="292"/>
      <c r="K70" s="292"/>
      <c r="L70" s="292"/>
      <c r="M70" s="500"/>
      <c r="N70" s="369"/>
      <c r="O70" s="292"/>
      <c r="P70" s="293"/>
    </row>
    <row r="71" spans="2:16" x14ac:dyDescent="0.25">
      <c r="B71" s="420" t="s">
        <v>517</v>
      </c>
      <c r="C71" s="354">
        <v>1049.8499999999999</v>
      </c>
      <c r="D71" s="269">
        <v>22000</v>
      </c>
      <c r="E71" s="268">
        <v>1</v>
      </c>
      <c r="F71" s="501"/>
      <c r="G71" s="501"/>
      <c r="H71" s="501">
        <f t="shared" si="19"/>
        <v>1049.8499999999999</v>
      </c>
      <c r="I71" s="501"/>
      <c r="J71" s="501"/>
      <c r="K71" s="501">
        <f t="shared" si="19"/>
        <v>1049.8499999999999</v>
      </c>
      <c r="L71" s="501"/>
      <c r="M71" s="502"/>
      <c r="N71" s="503">
        <v>9</v>
      </c>
      <c r="O71" s="504">
        <v>4</v>
      </c>
      <c r="P71" s="505">
        <v>3</v>
      </c>
    </row>
    <row r="72" spans="2:16" x14ac:dyDescent="0.25">
      <c r="B72" s="420" t="s">
        <v>518</v>
      </c>
      <c r="C72" s="354">
        <v>6316.95</v>
      </c>
      <c r="D72" s="269">
        <v>20000</v>
      </c>
      <c r="E72" s="268">
        <v>1</v>
      </c>
      <c r="F72" s="501"/>
      <c r="G72" s="501"/>
      <c r="H72" s="501">
        <f t="shared" si="19"/>
        <v>6316.95</v>
      </c>
      <c r="I72" s="501"/>
      <c r="J72" s="501"/>
      <c r="K72" s="501">
        <f t="shared" si="19"/>
        <v>6316.95</v>
      </c>
      <c r="L72" s="501"/>
      <c r="M72" s="502"/>
      <c r="N72" s="503">
        <v>90</v>
      </c>
      <c r="O72" s="504">
        <v>43</v>
      </c>
      <c r="P72" s="505">
        <v>30</v>
      </c>
    </row>
    <row r="73" spans="2:16" ht="14.95" thickBot="1" x14ac:dyDescent="0.3">
      <c r="B73" s="420" t="s">
        <v>519</v>
      </c>
      <c r="C73" s="354">
        <v>0</v>
      </c>
      <c r="D73" s="269">
        <v>0</v>
      </c>
      <c r="E73" s="268">
        <v>0</v>
      </c>
      <c r="F73" s="501"/>
      <c r="G73" s="501"/>
      <c r="H73" s="501"/>
      <c r="I73" s="501"/>
      <c r="J73" s="501"/>
      <c r="K73" s="501"/>
      <c r="L73" s="501"/>
      <c r="M73" s="502"/>
      <c r="N73" s="517"/>
      <c r="O73" s="518"/>
      <c r="P73" s="519"/>
    </row>
  </sheetData>
  <autoFilter ref="B2:M84" xr:uid="{00000000-0009-0000-0000-000002000000}"/>
  <mergeCells count="1">
    <mergeCell ref="N36:P36"/>
  </mergeCells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D897-76E0-457E-B7DD-196B2D4C797F}">
  <sheetPr>
    <tabColor theme="5" tint="0.79998168889431442"/>
  </sheetPr>
  <dimension ref="A2:U34"/>
  <sheetViews>
    <sheetView showGridLines="0" zoomScale="85" zoomScaleNormal="85" zoomScaleSheetLayoutView="100" workbookViewId="0">
      <selection activeCell="U18" sqref="U18"/>
    </sheetView>
  </sheetViews>
  <sheetFormatPr defaultColWidth="9.125" defaultRowHeight="12.9" x14ac:dyDescent="0.25"/>
  <cols>
    <col min="1" max="1" width="6" style="236" customWidth="1"/>
    <col min="2" max="2" width="43.5" style="274" customWidth="1"/>
    <col min="3" max="3" width="17" style="238" customWidth="1"/>
    <col min="4" max="4" width="17.625" style="238" customWidth="1"/>
    <col min="5" max="5" width="8.625" style="239" customWidth="1"/>
    <col min="6" max="16" width="8.375" style="239" customWidth="1"/>
    <col min="17" max="17" width="63.375" style="236" customWidth="1"/>
    <col min="18" max="18" width="14" style="236" bestFit="1" customWidth="1"/>
    <col min="19" max="16384" width="9.125" style="236"/>
  </cols>
  <sheetData>
    <row r="2" spans="1:19" ht="14.3" x14ac:dyDescent="0.25">
      <c r="B2" s="237" t="s">
        <v>259</v>
      </c>
    </row>
    <row r="3" spans="1:19" s="241" customFormat="1" ht="27" customHeight="1" x14ac:dyDescent="0.25">
      <c r="B3" s="242" t="s">
        <v>261</v>
      </c>
      <c r="C3" s="550" t="s">
        <v>161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5" t="s">
        <v>263</v>
      </c>
    </row>
    <row r="4" spans="1:19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247">
        <f>N4+1</f>
        <v>11</v>
      </c>
      <c r="P4" s="247">
        <f>O4+1</f>
        <v>12</v>
      </c>
      <c r="Q4" s="469" t="s">
        <v>547</v>
      </c>
      <c r="R4" s="248"/>
    </row>
    <row r="5" spans="1:19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469"/>
      <c r="R5" s="248"/>
    </row>
    <row r="6" spans="1:19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8">
        <v>8970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469"/>
      <c r="R6" s="248"/>
    </row>
    <row r="7" spans="1:19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8">
        <v>7050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469"/>
      <c r="R7" s="248"/>
    </row>
    <row r="8" spans="1:19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8">
        <v>14900</v>
      </c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469"/>
      <c r="R8" s="248"/>
    </row>
    <row r="9" spans="1:19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>
        <v>220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469" t="s">
        <v>421</v>
      </c>
      <c r="R9" s="248"/>
    </row>
    <row r="10" spans="1:19" ht="27.2" x14ac:dyDescent="0.25">
      <c r="A10" s="236">
        <f t="shared" si="1"/>
        <v>7</v>
      </c>
      <c r="B10" s="246" t="s">
        <v>270</v>
      </c>
      <c r="C10" s="253" t="s">
        <v>271</v>
      </c>
      <c r="D10" s="252">
        <v>147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469" t="s">
        <v>548</v>
      </c>
      <c r="R10" s="254"/>
    </row>
    <row r="11" spans="1:19" ht="18.7" customHeight="1" x14ac:dyDescent="0.25">
      <c r="A11" s="236">
        <f>A10+1</f>
        <v>8</v>
      </c>
      <c r="B11" s="246" t="s">
        <v>12</v>
      </c>
      <c r="C11" s="253" t="s">
        <v>13</v>
      </c>
      <c r="D11" s="258" t="s">
        <v>549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469"/>
      <c r="R11" s="254"/>
      <c r="S11" s="587">
        <v>2843</v>
      </c>
    </row>
    <row r="12" spans="1:19" ht="19.55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0.93570839675291717</v>
      </c>
      <c r="F12" s="255">
        <f>(8760-F13-F14-F15)/8760</f>
        <v>0.90263508371385082</v>
      </c>
      <c r="G12" s="255">
        <f>(8760-G13-G14-G15)/8760</f>
        <v>0.86578830542871643</v>
      </c>
      <c r="H12" s="255">
        <f t="shared" ref="H12:P12" si="2">(8760-H13-H14-H15)/8760</f>
        <v>0.90352295788939629</v>
      </c>
      <c r="I12" s="255">
        <f t="shared" si="2"/>
        <v>0.85025050735667174</v>
      </c>
      <c r="J12" s="255">
        <f t="shared" si="2"/>
        <v>0.90352295788939629</v>
      </c>
      <c r="K12" s="255">
        <f t="shared" si="2"/>
        <v>0.86578830542871643</v>
      </c>
      <c r="L12" s="255">
        <f t="shared" si="2"/>
        <v>0.90352295788939629</v>
      </c>
      <c r="M12" s="255">
        <f t="shared" si="2"/>
        <v>0.85025050735667174</v>
      </c>
      <c r="N12" s="255">
        <f t="shared" si="2"/>
        <v>0.88465563165905625</v>
      </c>
      <c r="O12" s="255">
        <f t="shared" si="2"/>
        <v>0.8635686199898529</v>
      </c>
      <c r="P12" s="255">
        <f t="shared" si="2"/>
        <v>0.8713375190258752</v>
      </c>
      <c r="Q12" s="424"/>
    </row>
    <row r="13" spans="1:19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'SANY ТО_1'!G7</f>
        <v>187</v>
      </c>
      <c r="F13" s="257">
        <f>'SANY ТО_1'!H7</f>
        <v>187</v>
      </c>
      <c r="G13" s="257">
        <f>'SANY ТО_1'!I7</f>
        <v>187</v>
      </c>
      <c r="H13" s="257">
        <f>'SANY ТО_1'!J7</f>
        <v>187</v>
      </c>
      <c r="I13" s="257">
        <f>'SANY ТО_1'!K7</f>
        <v>187</v>
      </c>
      <c r="J13" s="257">
        <f>'SANY ТО_1'!L7</f>
        <v>187</v>
      </c>
      <c r="K13" s="257">
        <f>'SANY ТО_1'!M7</f>
        <v>187</v>
      </c>
      <c r="L13" s="257">
        <f>'SANY ТО_1'!N7</f>
        <v>187</v>
      </c>
      <c r="M13" s="257">
        <f>'SANY ТО_1'!O7</f>
        <v>187</v>
      </c>
      <c r="N13" s="257">
        <f>'SANY ТО_1'!P7</f>
        <v>187</v>
      </c>
      <c r="O13" s="257">
        <f>'SANY ТО_1'!Q7</f>
        <v>187</v>
      </c>
      <c r="P13" s="257">
        <f>'SANY ТО_1'!R7</f>
        <v>187</v>
      </c>
      <c r="Q13" s="424"/>
    </row>
    <row r="14" spans="1:19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'SANY Рем_1'!F8</f>
        <v>142</v>
      </c>
      <c r="F14" s="257">
        <f>'SANY Рем_1'!G8</f>
        <v>440</v>
      </c>
      <c r="G14" s="257">
        <f>'SANY Рем_1'!H8</f>
        <v>772</v>
      </c>
      <c r="H14" s="257">
        <f>'SANY Рем_1'!I8</f>
        <v>432</v>
      </c>
      <c r="I14" s="257">
        <f>'SANY Рем_1'!J8</f>
        <v>912</v>
      </c>
      <c r="J14" s="257">
        <f>'SANY Рем_1'!K8</f>
        <v>432</v>
      </c>
      <c r="K14" s="257">
        <f>'SANY Рем_1'!L8</f>
        <v>772</v>
      </c>
      <c r="L14" s="257">
        <f>'SANY Рем_1'!M8</f>
        <v>432</v>
      </c>
      <c r="M14" s="257">
        <f>'SANY Рем_1'!N8</f>
        <v>912</v>
      </c>
      <c r="N14" s="257">
        <f>'SANY Рем_1'!O8</f>
        <v>602</v>
      </c>
      <c r="O14" s="257">
        <f>'SANY Рем_1'!P8</f>
        <v>792</v>
      </c>
      <c r="P14" s="257">
        <f>'SANY Рем_1'!Q8</f>
        <v>722</v>
      </c>
      <c r="Q14" s="424"/>
    </row>
    <row r="15" spans="1:19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234.19444444444446</v>
      </c>
      <c r="F15" s="257">
        <f t="shared" ref="F15:P15" si="4">(8760-F13-F14)/12*20/60</f>
        <v>225.91666666666666</v>
      </c>
      <c r="G15" s="257">
        <f t="shared" si="4"/>
        <v>216.69444444444446</v>
      </c>
      <c r="H15" s="257">
        <f t="shared" si="4"/>
        <v>226.13888888888886</v>
      </c>
      <c r="I15" s="257">
        <f t="shared" si="4"/>
        <v>212.80555555555554</v>
      </c>
      <c r="J15" s="257">
        <f t="shared" si="4"/>
        <v>226.13888888888886</v>
      </c>
      <c r="K15" s="257">
        <f t="shared" si="4"/>
        <v>216.69444444444446</v>
      </c>
      <c r="L15" s="257">
        <f t="shared" si="4"/>
        <v>226.13888888888886</v>
      </c>
      <c r="M15" s="257">
        <f t="shared" si="4"/>
        <v>212.80555555555554</v>
      </c>
      <c r="N15" s="257">
        <f t="shared" si="4"/>
        <v>221.41666666666666</v>
      </c>
      <c r="O15" s="257">
        <f t="shared" si="4"/>
        <v>216.13888888888886</v>
      </c>
      <c r="P15" s="257">
        <f t="shared" si="4"/>
        <v>218.08333333333334</v>
      </c>
      <c r="Q15" s="424"/>
    </row>
    <row r="16" spans="1:19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>
        <v>23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424"/>
    </row>
    <row r="17" spans="1:21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>
        <v>22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424"/>
      <c r="S17" s="531" t="s">
        <v>523</v>
      </c>
      <c r="T17" s="531" t="s">
        <v>524</v>
      </c>
    </row>
    <row r="18" spans="1:21" ht="30.75" customHeight="1" x14ac:dyDescent="0.25">
      <c r="A18" s="236">
        <f t="shared" si="3"/>
        <v>15</v>
      </c>
      <c r="B18" s="246" t="s">
        <v>423</v>
      </c>
      <c r="C18" s="260" t="s">
        <v>280</v>
      </c>
      <c r="D18" s="260"/>
      <c r="E18" s="261">
        <f>SUM(E19:E23)</f>
        <v>135.34770774674286</v>
      </c>
      <c r="F18" s="261">
        <f t="shared" ref="F18:P18" si="5">SUM(F19:F23)</f>
        <v>211.26697940950632</v>
      </c>
      <c r="G18" s="261">
        <f t="shared" si="5"/>
        <v>597.96064217297226</v>
      </c>
      <c r="H18" s="261">
        <f t="shared" si="5"/>
        <v>305.14197940950635</v>
      </c>
      <c r="I18" s="261">
        <f t="shared" si="5"/>
        <v>973.93700774674278</v>
      </c>
      <c r="J18" s="261">
        <f t="shared" si="5"/>
        <v>741.25919955002144</v>
      </c>
      <c r="K18" s="261">
        <f t="shared" si="5"/>
        <v>267.37570774674282</v>
      </c>
      <c r="L18" s="261">
        <f t="shared" si="5"/>
        <v>268.93297940950634</v>
      </c>
      <c r="M18" s="261">
        <f t="shared" si="5"/>
        <v>1349.3409421729723</v>
      </c>
      <c r="N18" s="261">
        <f t="shared" si="5"/>
        <v>196.00097940950633</v>
      </c>
      <c r="O18" s="261">
        <f t="shared" si="5"/>
        <v>258.79770774674284</v>
      </c>
      <c r="P18" s="261">
        <f t="shared" si="5"/>
        <v>282.98870774674282</v>
      </c>
      <c r="Q18" s="424"/>
      <c r="S18" s="528">
        <f>SUM(E18:P18)</f>
        <v>5588.3505402677065</v>
      </c>
      <c r="T18" s="528">
        <f>S18/$P$4</f>
        <v>465.69587835564221</v>
      </c>
      <c r="U18" s="1050">
        <f>T18*'ФОТ, МТР, макро'!$AJ$7</f>
        <v>43797.99881553062</v>
      </c>
    </row>
    <row r="19" spans="1:21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'SANY ТО_1'!G9/1000</f>
        <v>93.68070774674284</v>
      </c>
      <c r="F19" s="263">
        <f>'SANY ТО_1'!H9/1000</f>
        <v>93.68070774674284</v>
      </c>
      <c r="G19" s="263">
        <f>'SANY ТО_1'!I9/1000</f>
        <v>93.68070774674284</v>
      </c>
      <c r="H19" s="263">
        <f>'SANY ТО_1'!J9/1000</f>
        <v>93.68070774674284</v>
      </c>
      <c r="I19" s="263">
        <f>'SANY ТО_1'!K9/1000</f>
        <v>93.68070774674284</v>
      </c>
      <c r="J19" s="263">
        <f>'SANY ТО_1'!L9/1000</f>
        <v>93.68070774674284</v>
      </c>
      <c r="K19" s="263">
        <f>'SANY ТО_1'!M9/1000</f>
        <v>93.68070774674284</v>
      </c>
      <c r="L19" s="263">
        <f>'SANY ТО_1'!N9/1000</f>
        <v>93.68070774674284</v>
      </c>
      <c r="M19" s="263">
        <f>'SANY ТО_1'!O9/1000</f>
        <v>93.68070774674284</v>
      </c>
      <c r="N19" s="263">
        <f>'SANY ТО_1'!P9/1000</f>
        <v>93.68070774674284</v>
      </c>
      <c r="O19" s="263">
        <f>'SANY ТО_1'!Q9/1000</f>
        <v>93.68070774674284</v>
      </c>
      <c r="P19" s="263">
        <f>'SANY ТО_1'!R9/1000</f>
        <v>93.68070774674284</v>
      </c>
      <c r="Q19" s="424"/>
      <c r="S19" s="529">
        <f t="shared" ref="S19:S23" si="6">SUM(E19:P19)</f>
        <v>1124.1684929609144</v>
      </c>
      <c r="T19" s="529">
        <f t="shared" ref="T19:T23" si="7">S19/$P$4</f>
        <v>93.680707746742868</v>
      </c>
    </row>
    <row r="20" spans="1:21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'SANY Рем_1'!F10/1000</f>
        <v>17.931000000000001</v>
      </c>
      <c r="F20" s="263">
        <f>'SANY Рем_1'!G10/1000</f>
        <v>17.931000000000001</v>
      </c>
      <c r="G20" s="263">
        <f>'SANY Рем_1'!H10/1000</f>
        <v>17.931000000000001</v>
      </c>
      <c r="H20" s="263">
        <f>'SANY Рем_1'!I10/1000</f>
        <v>17.931000000000001</v>
      </c>
      <c r="I20" s="263">
        <f>'SANY Рем_1'!J10/1000</f>
        <v>17.931000000000001</v>
      </c>
      <c r="J20" s="263">
        <f>'SANY Рем_1'!K10/1000</f>
        <v>17.931000000000001</v>
      </c>
      <c r="K20" s="263">
        <f>'SANY Рем_1'!L10/1000</f>
        <v>17.931000000000001</v>
      </c>
      <c r="L20" s="263">
        <f>'SANY Рем_1'!M10/1000</f>
        <v>17.931000000000001</v>
      </c>
      <c r="M20" s="263">
        <f>'SANY Рем_1'!N10/1000</f>
        <v>17.931000000000001</v>
      </c>
      <c r="N20" s="263">
        <f>'SANY Рем_1'!O10/1000</f>
        <v>17.931000000000001</v>
      </c>
      <c r="O20" s="263">
        <f>'SANY Рем_1'!P10/1000</f>
        <v>17.931000000000001</v>
      </c>
      <c r="P20" s="263">
        <f>'SANY Рем_1'!Q10/1000</f>
        <v>17.931000000000001</v>
      </c>
      <c r="Q20" s="424"/>
      <c r="S20" s="529">
        <f t="shared" si="6"/>
        <v>215.17200000000005</v>
      </c>
      <c r="T20" s="529">
        <f t="shared" si="7"/>
        <v>17.931000000000004</v>
      </c>
    </row>
    <row r="21" spans="1:21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'SANY Рем_1'!F11/1000</f>
        <v>0</v>
      </c>
      <c r="F21" s="263">
        <f>'SANY Рем_1'!G11/1000</f>
        <v>62.211271662763465</v>
      </c>
      <c r="G21" s="263">
        <f>'SANY Рем_1'!H11/1000</f>
        <v>433.6329344262295</v>
      </c>
      <c r="H21" s="263">
        <f>'SANY Рем_1'!I11/1000</f>
        <v>156.45427166276346</v>
      </c>
      <c r="I21" s="263">
        <f>'SANY Рем_1'!J11/1000</f>
        <v>803.16930000000002</v>
      </c>
      <c r="J21" s="263">
        <f>'SANY Рем_1'!K11/1000</f>
        <v>592.57149180327872</v>
      </c>
      <c r="K21" s="263">
        <f>'SANY Рем_1'!L11/1000</f>
        <v>103.048</v>
      </c>
      <c r="L21" s="263">
        <f>'SANY Рем_1'!M11/1000</f>
        <v>120.24527166276347</v>
      </c>
      <c r="M21" s="263">
        <f>'SANY Рем_1'!N11/1000</f>
        <v>1178.5732344262294</v>
      </c>
      <c r="N21" s="263">
        <f>'SANY Рем_1'!O11/1000</f>
        <v>39.493271662763462</v>
      </c>
      <c r="O21" s="263">
        <f>'SANY Рем_1'!P11/1000</f>
        <v>93.55</v>
      </c>
      <c r="P21" s="263">
        <f>'SANY Рем_1'!Q11/1000</f>
        <v>120.961</v>
      </c>
      <c r="Q21" s="424"/>
      <c r="S21" s="529">
        <f t="shared" si="6"/>
        <v>3703.9100473067915</v>
      </c>
      <c r="T21" s="529">
        <f t="shared" si="7"/>
        <v>308.65917060889927</v>
      </c>
    </row>
    <row r="22" spans="1:21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'SANY ТО_1'!G10/1000</f>
        <v>17.204000000000001</v>
      </c>
      <c r="F22" s="263">
        <f>'SANY ТО_1'!H10/1000</f>
        <v>17.204000000000001</v>
      </c>
      <c r="G22" s="263">
        <f>'SANY ТО_1'!I10/1000</f>
        <v>17.204000000000001</v>
      </c>
      <c r="H22" s="263">
        <f>'SANY ТО_1'!J10/1000</f>
        <v>17.204000000000001</v>
      </c>
      <c r="I22" s="263">
        <f>'SANY ТО_1'!K10/1000</f>
        <v>17.204000000000001</v>
      </c>
      <c r="J22" s="263">
        <f>'SANY ТО_1'!L10/1000</f>
        <v>17.204000000000001</v>
      </c>
      <c r="K22" s="263">
        <f>'SANY ТО_1'!M10/1000</f>
        <v>17.204000000000001</v>
      </c>
      <c r="L22" s="263">
        <f>'SANY ТО_1'!N10/1000</f>
        <v>17.204000000000001</v>
      </c>
      <c r="M22" s="263">
        <f>'SANY ТО_1'!O10/1000</f>
        <v>17.204000000000001</v>
      </c>
      <c r="N22" s="263">
        <f>'SANY ТО_1'!P10/1000</f>
        <v>17.204000000000001</v>
      </c>
      <c r="O22" s="263">
        <f>'SANY ТО_1'!Q10/1000</f>
        <v>17.204000000000001</v>
      </c>
      <c r="P22" s="263">
        <f>'SANY ТО_1'!R10/1000</f>
        <v>17.204000000000001</v>
      </c>
      <c r="Q22" s="424"/>
      <c r="S22" s="529">
        <f t="shared" si="6"/>
        <v>206.44800000000006</v>
      </c>
      <c r="T22" s="529">
        <f t="shared" si="7"/>
        <v>17.204000000000004</v>
      </c>
    </row>
    <row r="23" spans="1:21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'SANY Рем_1'!F12/1000</f>
        <v>6.532</v>
      </c>
      <c r="F23" s="263">
        <f>'SANY Рем_1'!G12/1000</f>
        <v>20.239999999999998</v>
      </c>
      <c r="G23" s="263">
        <f>'SANY Рем_1'!H12/1000</f>
        <v>35.512</v>
      </c>
      <c r="H23" s="263">
        <f>'SANY Рем_1'!I12/1000</f>
        <v>19.872</v>
      </c>
      <c r="I23" s="263">
        <f>'SANY Рем_1'!J12/1000</f>
        <v>41.951999999999998</v>
      </c>
      <c r="J23" s="263">
        <f>'SANY Рем_1'!K12/1000</f>
        <v>19.872</v>
      </c>
      <c r="K23" s="263">
        <f>'SANY Рем_1'!L12/1000</f>
        <v>35.512</v>
      </c>
      <c r="L23" s="263">
        <f>'SANY Рем_1'!M12/1000</f>
        <v>19.872</v>
      </c>
      <c r="M23" s="263">
        <f>'SANY Рем_1'!N12/1000</f>
        <v>41.951999999999998</v>
      </c>
      <c r="N23" s="263">
        <f>'SANY Рем_1'!O12/1000</f>
        <v>27.692</v>
      </c>
      <c r="O23" s="263">
        <f>'SANY Рем_1'!P12/1000</f>
        <v>36.432000000000002</v>
      </c>
      <c r="P23" s="263">
        <f>'SANY Рем_1'!Q12/1000</f>
        <v>33.212000000000003</v>
      </c>
      <c r="Q23" s="424" t="s">
        <v>424</v>
      </c>
      <c r="S23" s="529">
        <f t="shared" si="6"/>
        <v>338.65200000000004</v>
      </c>
      <c r="T23" s="529">
        <f t="shared" si="7"/>
        <v>28.221000000000004</v>
      </c>
    </row>
    <row r="24" spans="1:21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469"/>
    </row>
    <row r="25" spans="1:21" ht="14.95" customHeight="1" x14ac:dyDescent="0.25">
      <c r="A25" s="236">
        <f t="shared" si="3"/>
        <v>22</v>
      </c>
      <c r="B25" s="266" t="s">
        <v>287</v>
      </c>
      <c r="C25" s="260"/>
      <c r="D25" s="268" t="s">
        <v>550</v>
      </c>
      <c r="E25" s="267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469" t="s">
        <v>426</v>
      </c>
    </row>
    <row r="26" spans="1:21" ht="14.3" x14ac:dyDescent="0.25">
      <c r="A26" s="236">
        <f t="shared" si="3"/>
        <v>23</v>
      </c>
      <c r="B26" s="266" t="s">
        <v>290</v>
      </c>
      <c r="C26" s="260"/>
      <c r="D26" s="269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469" t="s">
        <v>426</v>
      </c>
    </row>
    <row r="27" spans="1:21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469" t="s">
        <v>426</v>
      </c>
    </row>
    <row r="28" spans="1:21" x14ac:dyDescent="0.25">
      <c r="A28" s="236">
        <f t="shared" si="3"/>
        <v>25</v>
      </c>
      <c r="B28" s="266" t="s">
        <v>293</v>
      </c>
      <c r="C28" s="260" t="s">
        <v>145</v>
      </c>
      <c r="D28" s="271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469"/>
    </row>
    <row r="29" spans="1:21" x14ac:dyDescent="0.25">
      <c r="A29" s="236">
        <f t="shared" si="3"/>
        <v>26</v>
      </c>
      <c r="B29" s="266" t="s">
        <v>294</v>
      </c>
      <c r="C29" s="260" t="s">
        <v>145</v>
      </c>
      <c r="D29" s="271">
        <v>198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469"/>
    </row>
    <row r="30" spans="1:21" x14ac:dyDescent="0.25">
      <c r="A30" s="236">
        <f t="shared" si="3"/>
        <v>27</v>
      </c>
      <c r="B30" s="266" t="s">
        <v>295</v>
      </c>
      <c r="C30" s="260" t="s">
        <v>145</v>
      </c>
      <c r="D30" s="271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9"/>
    </row>
    <row r="31" spans="1:21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>
        <v>5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473"/>
    </row>
    <row r="34" spans="5:17" ht="13.6" x14ac:dyDescent="0.25">
      <c r="E34" s="527">
        <f>E18/(365*24*E12)*1000</f>
        <v>16.512250635859985</v>
      </c>
      <c r="F34" s="527">
        <f t="shared" ref="F34:P34" si="8">F18/(365*24*F12)*1000</f>
        <v>26.718698982073835</v>
      </c>
      <c r="G34" s="527">
        <f t="shared" si="8"/>
        <v>78.841844885186887</v>
      </c>
      <c r="H34" s="527">
        <f t="shared" si="8"/>
        <v>38.553042829916393</v>
      </c>
      <c r="I34" s="527">
        <f t="shared" si="8"/>
        <v>130.76149058825868</v>
      </c>
      <c r="J34" s="527">
        <f t="shared" si="8"/>
        <v>93.654100702970041</v>
      </c>
      <c r="K34" s="527">
        <f t="shared" si="8"/>
        <v>35.253815367563654</v>
      </c>
      <c r="L34" s="527">
        <f t="shared" si="8"/>
        <v>33.978231030734129</v>
      </c>
      <c r="M34" s="527">
        <f t="shared" si="8"/>
        <v>181.16349569517968</v>
      </c>
      <c r="N34" s="527">
        <f t="shared" si="8"/>
        <v>25.291808730728274</v>
      </c>
      <c r="O34" s="527">
        <f t="shared" si="8"/>
        <v>34.210503530147584</v>
      </c>
      <c r="P34" s="527">
        <f t="shared" si="8"/>
        <v>37.074780205916412</v>
      </c>
      <c r="Q34" s="532">
        <f>SUMPRODUCT(E34:P34,E12:P12)/SUM(E12:P12)</f>
        <v>60.179844824434838</v>
      </c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0C4-2598-4437-B3D3-EEAC2053028C}">
  <sheetPr>
    <tabColor theme="5" tint="0.79998168889431442"/>
  </sheetPr>
  <dimension ref="B2:T97"/>
  <sheetViews>
    <sheetView showGridLines="0" zoomScale="85" zoomScaleNormal="85" workbookViewId="0">
      <pane xSplit="5" ySplit="4" topLeftCell="F5" activePane="bottomRight" state="frozen"/>
      <selection activeCell="N49" sqref="N49"/>
      <selection pane="topRight" activeCell="N49" sqref="N49"/>
      <selection pane="bottomLeft" activeCell="N49" sqref="N49"/>
      <selection pane="bottomRight" activeCell="N49" sqref="N49"/>
    </sheetView>
  </sheetViews>
  <sheetFormatPr defaultColWidth="8.75" defaultRowHeight="14.3" x14ac:dyDescent="0.25"/>
  <cols>
    <col min="1" max="1" width="5.5" style="275" customWidth="1"/>
    <col min="2" max="2" width="34.625" style="275" customWidth="1"/>
    <col min="3" max="3" width="20.75" style="275" customWidth="1"/>
    <col min="4" max="4" width="14.625" style="275" customWidth="1"/>
    <col min="5" max="5" width="14" style="275" customWidth="1"/>
    <col min="6" max="6" width="9.375" style="275" bestFit="1" customWidth="1"/>
    <col min="7" max="18" width="10" style="275" customWidth="1"/>
    <col min="19" max="19" width="5.5" style="275" customWidth="1"/>
    <col min="20" max="16384" width="8.75" style="275"/>
  </cols>
  <sheetData>
    <row r="2" spans="2:20" x14ac:dyDescent="0.25">
      <c r="B2" s="237" t="s">
        <v>259</v>
      </c>
    </row>
    <row r="3" spans="2:20" ht="14.95" thickBot="1" x14ac:dyDescent="0.3">
      <c r="B3" s="275" t="s">
        <v>298</v>
      </c>
      <c r="G3" s="277">
        <f>SANY_1!E12</f>
        <v>0.93570839675291717</v>
      </c>
      <c r="H3" s="277">
        <f>SANY_1!F12</f>
        <v>0.90263508371385082</v>
      </c>
      <c r="I3" s="277">
        <f>SANY_1!G12</f>
        <v>0.86578830542871643</v>
      </c>
      <c r="J3" s="277">
        <f>SANY_1!H12</f>
        <v>0.90352295788939629</v>
      </c>
      <c r="K3" s="277">
        <f>SANY_1!I12</f>
        <v>0.85025050735667174</v>
      </c>
      <c r="L3" s="277">
        <f>SANY_1!J12</f>
        <v>0.90352295788939629</v>
      </c>
      <c r="M3" s="277">
        <f>SANY_1!K12</f>
        <v>0.86578830542871643</v>
      </c>
      <c r="N3" s="277">
        <f>SANY_1!L12</f>
        <v>0.90352295788939629</v>
      </c>
      <c r="O3" s="277">
        <f>SANY_1!M12</f>
        <v>0.85025050735667174</v>
      </c>
      <c r="P3" s="277">
        <f>SANY_1!N12</f>
        <v>0.88465563165905625</v>
      </c>
      <c r="Q3" s="277">
        <f>SANY_1!O12</f>
        <v>0.8635686199898529</v>
      </c>
      <c r="R3" s="277">
        <f>SANY_1!P12</f>
        <v>0.8713375190258752</v>
      </c>
    </row>
    <row r="4" spans="2:20" ht="22.25" customHeight="1" thickBot="1" x14ac:dyDescent="0.3">
      <c r="B4" s="278" t="s">
        <v>299</v>
      </c>
      <c r="C4" s="279" t="s">
        <v>8</v>
      </c>
      <c r="D4" s="280"/>
      <c r="E4" s="281"/>
      <c r="F4" s="282"/>
      <c r="G4" s="283">
        <f>E4+1</f>
        <v>1</v>
      </c>
      <c r="H4" s="283">
        <f>G4+1</f>
        <v>2</v>
      </c>
      <c r="I4" s="283">
        <f t="shared" ref="I4:P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  <c r="O4" s="283">
        <f t="shared" si="0"/>
        <v>9</v>
      </c>
      <c r="P4" s="283">
        <f t="shared" si="0"/>
        <v>10</v>
      </c>
      <c r="Q4" s="283">
        <f>P4+1</f>
        <v>11</v>
      </c>
      <c r="R4" s="283">
        <f>Q4+1</f>
        <v>12</v>
      </c>
    </row>
    <row r="5" spans="2:20" x14ac:dyDescent="0.25">
      <c r="B5" s="284" t="s">
        <v>300</v>
      </c>
      <c r="C5" s="285" t="s">
        <v>301</v>
      </c>
      <c r="D5" s="286"/>
      <c r="E5" s="287"/>
      <c r="F5" s="288"/>
      <c r="G5" s="475">
        <v>0</v>
      </c>
      <c r="H5" s="475">
        <f>G6+1</f>
        <v>7001</v>
      </c>
      <c r="I5" s="475">
        <f t="shared" ref="I5:R5" si="1">H6+1</f>
        <v>14001</v>
      </c>
      <c r="J5" s="475">
        <f t="shared" si="1"/>
        <v>21001</v>
      </c>
      <c r="K5" s="475">
        <f t="shared" si="1"/>
        <v>28001</v>
      </c>
      <c r="L5" s="475">
        <f t="shared" si="1"/>
        <v>35001</v>
      </c>
      <c r="M5" s="475">
        <f t="shared" si="1"/>
        <v>42001</v>
      </c>
      <c r="N5" s="475">
        <f t="shared" si="1"/>
        <v>49001</v>
      </c>
      <c r="O5" s="475">
        <f t="shared" si="1"/>
        <v>56001</v>
      </c>
      <c r="P5" s="475">
        <f t="shared" si="1"/>
        <v>63001</v>
      </c>
      <c r="Q5" s="475">
        <f t="shared" si="1"/>
        <v>70001</v>
      </c>
      <c r="R5" s="475">
        <f t="shared" si="1"/>
        <v>77001</v>
      </c>
    </row>
    <row r="6" spans="2:20" x14ac:dyDescent="0.25">
      <c r="B6" s="290" t="s">
        <v>302</v>
      </c>
      <c r="C6" s="291" t="s">
        <v>301</v>
      </c>
      <c r="D6" s="292"/>
      <c r="E6" s="293"/>
      <c r="F6" s="294">
        <v>7000</v>
      </c>
      <c r="G6" s="476">
        <f>F6</f>
        <v>7000</v>
      </c>
      <c r="H6" s="476">
        <f t="shared" ref="H6:R6" si="2">G6+$F6</f>
        <v>14000</v>
      </c>
      <c r="I6" s="476">
        <f t="shared" si="2"/>
        <v>21000</v>
      </c>
      <c r="J6" s="476">
        <f t="shared" si="2"/>
        <v>28000</v>
      </c>
      <c r="K6" s="476">
        <f t="shared" si="2"/>
        <v>35000</v>
      </c>
      <c r="L6" s="476">
        <f t="shared" si="2"/>
        <v>42000</v>
      </c>
      <c r="M6" s="476">
        <f t="shared" si="2"/>
        <v>49000</v>
      </c>
      <c r="N6" s="476">
        <f t="shared" si="2"/>
        <v>56000</v>
      </c>
      <c r="O6" s="476">
        <f t="shared" si="2"/>
        <v>63000</v>
      </c>
      <c r="P6" s="476">
        <f t="shared" si="2"/>
        <v>70000</v>
      </c>
      <c r="Q6" s="476">
        <f t="shared" si="2"/>
        <v>77000</v>
      </c>
      <c r="R6" s="476">
        <f t="shared" si="2"/>
        <v>84000</v>
      </c>
    </row>
    <row r="7" spans="2:20" ht="21.75" customHeight="1" x14ac:dyDescent="0.25">
      <c r="B7" s="296" t="s">
        <v>303</v>
      </c>
      <c r="C7" s="297" t="s">
        <v>304</v>
      </c>
      <c r="D7" s="253"/>
      <c r="E7" s="298"/>
      <c r="F7" s="299"/>
      <c r="G7" s="257">
        <f>G13</f>
        <v>187</v>
      </c>
      <c r="H7" s="257">
        <f t="shared" ref="H7:R7" si="3">H13</f>
        <v>187</v>
      </c>
      <c r="I7" s="257">
        <f t="shared" si="3"/>
        <v>187</v>
      </c>
      <c r="J7" s="257">
        <f t="shared" si="3"/>
        <v>187</v>
      </c>
      <c r="K7" s="257">
        <f t="shared" si="3"/>
        <v>187</v>
      </c>
      <c r="L7" s="257">
        <f t="shared" si="3"/>
        <v>187</v>
      </c>
      <c r="M7" s="257">
        <f t="shared" si="3"/>
        <v>187</v>
      </c>
      <c r="N7" s="257">
        <f t="shared" si="3"/>
        <v>187</v>
      </c>
      <c r="O7" s="257">
        <f t="shared" si="3"/>
        <v>187</v>
      </c>
      <c r="P7" s="257">
        <f t="shared" si="3"/>
        <v>187</v>
      </c>
      <c r="Q7" s="257">
        <f t="shared" si="3"/>
        <v>187</v>
      </c>
      <c r="R7" s="257">
        <f t="shared" si="3"/>
        <v>187</v>
      </c>
    </row>
    <row r="8" spans="2:20" ht="21.1" customHeight="1" x14ac:dyDescent="0.25">
      <c r="B8" s="300" t="s">
        <v>305</v>
      </c>
      <c r="C8" s="301" t="s">
        <v>306</v>
      </c>
      <c r="D8" s="260"/>
      <c r="E8" s="298"/>
      <c r="F8" s="299"/>
      <c r="G8" s="302">
        <f t="shared" ref="G8:R8" si="4">SUM(G9:G10)</f>
        <v>110884.70774674285</v>
      </c>
      <c r="H8" s="302">
        <f t="shared" si="4"/>
        <v>110884.70774674285</v>
      </c>
      <c r="I8" s="302">
        <f t="shared" si="4"/>
        <v>110884.70774674285</v>
      </c>
      <c r="J8" s="302">
        <f t="shared" si="4"/>
        <v>110884.70774674285</v>
      </c>
      <c r="K8" s="302">
        <f t="shared" si="4"/>
        <v>110884.70774674285</v>
      </c>
      <c r="L8" s="302">
        <f t="shared" si="4"/>
        <v>110884.70774674285</v>
      </c>
      <c r="M8" s="302">
        <f t="shared" si="4"/>
        <v>110884.70774674285</v>
      </c>
      <c r="N8" s="302">
        <f t="shared" si="4"/>
        <v>110884.70774674285</v>
      </c>
      <c r="O8" s="302">
        <f t="shared" si="4"/>
        <v>110884.70774674285</v>
      </c>
      <c r="P8" s="302">
        <f t="shared" si="4"/>
        <v>110884.70774674285</v>
      </c>
      <c r="Q8" s="302">
        <f t="shared" si="4"/>
        <v>110884.70774674285</v>
      </c>
      <c r="R8" s="302">
        <f t="shared" si="4"/>
        <v>110884.70774674285</v>
      </c>
    </row>
    <row r="9" spans="2:20" ht="20.25" customHeight="1" x14ac:dyDescent="0.25">
      <c r="B9" s="304" t="s">
        <v>307</v>
      </c>
      <c r="C9" s="305" t="s">
        <v>306</v>
      </c>
      <c r="D9" s="306"/>
      <c r="E9" s="307"/>
      <c r="F9" s="308"/>
      <c r="G9" s="263">
        <f>G22</f>
        <v>93680.707746742846</v>
      </c>
      <c r="H9" s="263">
        <f>H22</f>
        <v>93680.707746742846</v>
      </c>
      <c r="I9" s="263">
        <f t="shared" ref="I9:R9" si="5">I22</f>
        <v>93680.707746742846</v>
      </c>
      <c r="J9" s="263">
        <f t="shared" si="5"/>
        <v>93680.707746742846</v>
      </c>
      <c r="K9" s="263">
        <f t="shared" si="5"/>
        <v>93680.707746742846</v>
      </c>
      <c r="L9" s="263">
        <f t="shared" si="5"/>
        <v>93680.707746742846</v>
      </c>
      <c r="M9" s="263">
        <f t="shared" si="5"/>
        <v>93680.707746742846</v>
      </c>
      <c r="N9" s="263">
        <f t="shared" si="5"/>
        <v>93680.707746742846</v>
      </c>
      <c r="O9" s="263">
        <f t="shared" si="5"/>
        <v>93680.707746742846</v>
      </c>
      <c r="P9" s="263">
        <f t="shared" si="5"/>
        <v>93680.707746742846</v>
      </c>
      <c r="Q9" s="263">
        <f t="shared" si="5"/>
        <v>93680.707746742846</v>
      </c>
      <c r="R9" s="263">
        <f t="shared" si="5"/>
        <v>93680.707746742846</v>
      </c>
    </row>
    <row r="10" spans="2:20" ht="23.3" customHeight="1" thickBot="1" x14ac:dyDescent="0.3">
      <c r="B10" s="309" t="s">
        <v>308</v>
      </c>
      <c r="C10" s="310" t="s">
        <v>306</v>
      </c>
      <c r="D10" s="311"/>
      <c r="E10" s="312"/>
      <c r="F10" s="313">
        <v>46</v>
      </c>
      <c r="G10" s="314">
        <f>SUMPRODUCT(G14:G19,$F$14:$F$19)*$F10</f>
        <v>17204</v>
      </c>
      <c r="H10" s="314">
        <f>SUMPRODUCT(H14:H19,$F$14:$F$19)*$F10</f>
        <v>17204</v>
      </c>
      <c r="I10" s="314">
        <f t="shared" ref="I10:R10" si="6">SUMPRODUCT(I14:I19,$F$14:$F$19)*$F10</f>
        <v>17204</v>
      </c>
      <c r="J10" s="314">
        <f t="shared" si="6"/>
        <v>17204</v>
      </c>
      <c r="K10" s="314">
        <f t="shared" si="6"/>
        <v>17204</v>
      </c>
      <c r="L10" s="314">
        <f t="shared" si="6"/>
        <v>17204</v>
      </c>
      <c r="M10" s="314">
        <f t="shared" si="6"/>
        <v>17204</v>
      </c>
      <c r="N10" s="314">
        <f t="shared" si="6"/>
        <v>17204</v>
      </c>
      <c r="O10" s="314">
        <f t="shared" si="6"/>
        <v>17204</v>
      </c>
      <c r="P10" s="314">
        <f t="shared" si="6"/>
        <v>17204</v>
      </c>
      <c r="Q10" s="314">
        <f t="shared" si="6"/>
        <v>17204</v>
      </c>
      <c r="R10" s="314">
        <f t="shared" si="6"/>
        <v>17204</v>
      </c>
    </row>
    <row r="11" spans="2:20" ht="14.95" thickBot="1" x14ac:dyDescent="0.3">
      <c r="B11" s="1069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  <c r="Q11" s="1070"/>
      <c r="R11" s="1070"/>
    </row>
    <row r="12" spans="2:20" ht="34.65" x14ac:dyDescent="0.25">
      <c r="B12" s="315" t="s">
        <v>309</v>
      </c>
      <c r="C12" s="316" t="s">
        <v>310</v>
      </c>
      <c r="D12" s="317" t="s">
        <v>311</v>
      </c>
      <c r="E12" s="318" t="s">
        <v>312</v>
      </c>
      <c r="F12" s="319" t="s">
        <v>313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320" t="s">
        <v>314</v>
      </c>
      <c r="O12" s="320" t="s">
        <v>314</v>
      </c>
      <c r="P12" s="320" t="s">
        <v>314</v>
      </c>
      <c r="Q12" s="320" t="s">
        <v>314</v>
      </c>
      <c r="R12" s="320" t="s">
        <v>314</v>
      </c>
    </row>
    <row r="13" spans="2:20" x14ac:dyDescent="0.25">
      <c r="B13" s="321" t="s">
        <v>315</v>
      </c>
      <c r="C13" s="322"/>
      <c r="D13" s="323"/>
      <c r="E13" s="324"/>
      <c r="F13" s="325"/>
      <c r="G13" s="326">
        <f>SUM(G14:G19)</f>
        <v>187</v>
      </c>
      <c r="H13" s="326">
        <f t="shared" ref="H13:R13" si="7">SUM(H14:H19)</f>
        <v>187</v>
      </c>
      <c r="I13" s="326">
        <f t="shared" si="7"/>
        <v>187</v>
      </c>
      <c r="J13" s="326">
        <f t="shared" si="7"/>
        <v>187</v>
      </c>
      <c r="K13" s="326">
        <f t="shared" si="7"/>
        <v>187</v>
      </c>
      <c r="L13" s="326">
        <f t="shared" si="7"/>
        <v>187</v>
      </c>
      <c r="M13" s="326">
        <f t="shared" si="7"/>
        <v>187</v>
      </c>
      <c r="N13" s="326">
        <f t="shared" si="7"/>
        <v>187</v>
      </c>
      <c r="O13" s="326">
        <f t="shared" si="7"/>
        <v>187</v>
      </c>
      <c r="P13" s="326">
        <f t="shared" si="7"/>
        <v>187</v>
      </c>
      <c r="Q13" s="326">
        <f t="shared" si="7"/>
        <v>187</v>
      </c>
      <c r="R13" s="326">
        <f t="shared" si="7"/>
        <v>187</v>
      </c>
    </row>
    <row r="14" spans="2:20" x14ac:dyDescent="0.25">
      <c r="B14" s="327" t="s">
        <v>317</v>
      </c>
      <c r="C14" s="328">
        <v>500</v>
      </c>
      <c r="D14" s="268">
        <v>5</v>
      </c>
      <c r="E14" s="329">
        <f>$F$6/C14</f>
        <v>14</v>
      </c>
      <c r="F14" s="330">
        <v>2</v>
      </c>
      <c r="G14" s="268">
        <f>$E14*$D14</f>
        <v>70</v>
      </c>
      <c r="H14" s="268">
        <f t="shared" ref="H14:R18" si="8">$E14*$D14</f>
        <v>70</v>
      </c>
      <c r="I14" s="268">
        <f>$E14*$D14</f>
        <v>70</v>
      </c>
      <c r="J14" s="268">
        <f t="shared" si="8"/>
        <v>70</v>
      </c>
      <c r="K14" s="268">
        <f t="shared" si="8"/>
        <v>70</v>
      </c>
      <c r="L14" s="268">
        <f t="shared" si="8"/>
        <v>70</v>
      </c>
      <c r="M14" s="268">
        <f t="shared" si="8"/>
        <v>70</v>
      </c>
      <c r="N14" s="268">
        <f t="shared" si="8"/>
        <v>70</v>
      </c>
      <c r="O14" s="268">
        <f t="shared" si="8"/>
        <v>70</v>
      </c>
      <c r="P14" s="268">
        <f t="shared" si="8"/>
        <v>70</v>
      </c>
      <c r="Q14" s="268">
        <f t="shared" si="8"/>
        <v>70</v>
      </c>
      <c r="R14" s="268">
        <f t="shared" si="8"/>
        <v>70</v>
      </c>
      <c r="T14" s="275" t="s">
        <v>551</v>
      </c>
    </row>
    <row r="15" spans="2:20" x14ac:dyDescent="0.25">
      <c r="B15" s="327" t="s">
        <v>318</v>
      </c>
      <c r="C15" s="328">
        <v>1000</v>
      </c>
      <c r="D15" s="268">
        <v>7</v>
      </c>
      <c r="E15" s="329">
        <f>$F$6/C15</f>
        <v>7</v>
      </c>
      <c r="F15" s="330">
        <v>2</v>
      </c>
      <c r="G15" s="268">
        <f>$E15*$D15</f>
        <v>49</v>
      </c>
      <c r="H15" s="268">
        <f t="shared" si="8"/>
        <v>49</v>
      </c>
      <c r="I15" s="268">
        <f t="shared" si="8"/>
        <v>49</v>
      </c>
      <c r="J15" s="268">
        <f t="shared" si="8"/>
        <v>49</v>
      </c>
      <c r="K15" s="268">
        <f t="shared" si="8"/>
        <v>49</v>
      </c>
      <c r="L15" s="268">
        <f t="shared" si="8"/>
        <v>49</v>
      </c>
      <c r="M15" s="268">
        <f t="shared" si="8"/>
        <v>49</v>
      </c>
      <c r="N15" s="268">
        <f t="shared" si="8"/>
        <v>49</v>
      </c>
      <c r="O15" s="268">
        <f t="shared" si="8"/>
        <v>49</v>
      </c>
      <c r="P15" s="268">
        <f t="shared" si="8"/>
        <v>49</v>
      </c>
      <c r="Q15" s="268">
        <f t="shared" si="8"/>
        <v>49</v>
      </c>
      <c r="R15" s="268">
        <f t="shared" si="8"/>
        <v>49</v>
      </c>
      <c r="T15" s="275" t="s">
        <v>551</v>
      </c>
    </row>
    <row r="16" spans="2:20" x14ac:dyDescent="0.25">
      <c r="B16" s="327" t="s">
        <v>319</v>
      </c>
      <c r="C16" s="328">
        <v>2000</v>
      </c>
      <c r="D16" s="268">
        <v>16</v>
      </c>
      <c r="E16" s="329">
        <v>3</v>
      </c>
      <c r="F16" s="330">
        <v>2</v>
      </c>
      <c r="G16" s="268">
        <f>$E16*$D16</f>
        <v>48</v>
      </c>
      <c r="H16" s="268">
        <f t="shared" si="8"/>
        <v>48</v>
      </c>
      <c r="I16" s="268">
        <f t="shared" si="8"/>
        <v>48</v>
      </c>
      <c r="J16" s="268">
        <f t="shared" si="8"/>
        <v>48</v>
      </c>
      <c r="K16" s="268">
        <f t="shared" si="8"/>
        <v>48</v>
      </c>
      <c r="L16" s="268">
        <f t="shared" si="8"/>
        <v>48</v>
      </c>
      <c r="M16" s="268">
        <f t="shared" si="8"/>
        <v>48</v>
      </c>
      <c r="N16" s="268">
        <f t="shared" si="8"/>
        <v>48</v>
      </c>
      <c r="O16" s="268">
        <f t="shared" si="8"/>
        <v>48</v>
      </c>
      <c r="P16" s="268">
        <f t="shared" si="8"/>
        <v>48</v>
      </c>
      <c r="Q16" s="268">
        <f t="shared" si="8"/>
        <v>48</v>
      </c>
      <c r="R16" s="268">
        <f t="shared" si="8"/>
        <v>48</v>
      </c>
      <c r="T16" s="275" t="s">
        <v>551</v>
      </c>
    </row>
    <row r="17" spans="2:20" x14ac:dyDescent="0.25">
      <c r="B17" s="327" t="s">
        <v>552</v>
      </c>
      <c r="C17" s="328">
        <v>4000</v>
      </c>
      <c r="D17" s="268">
        <v>20</v>
      </c>
      <c r="E17" s="329">
        <v>1</v>
      </c>
      <c r="F17" s="330">
        <v>2</v>
      </c>
      <c r="G17" s="268">
        <f>$E17*$D17</f>
        <v>20</v>
      </c>
      <c r="H17" s="268">
        <f t="shared" si="8"/>
        <v>20</v>
      </c>
      <c r="I17" s="268">
        <f t="shared" si="8"/>
        <v>20</v>
      </c>
      <c r="J17" s="268">
        <f t="shared" si="8"/>
        <v>20</v>
      </c>
      <c r="K17" s="268">
        <f t="shared" si="8"/>
        <v>20</v>
      </c>
      <c r="L17" s="268">
        <f t="shared" si="8"/>
        <v>20</v>
      </c>
      <c r="M17" s="268">
        <f t="shared" si="8"/>
        <v>20</v>
      </c>
      <c r="N17" s="268">
        <f t="shared" si="8"/>
        <v>20</v>
      </c>
      <c r="O17" s="268">
        <f t="shared" si="8"/>
        <v>20</v>
      </c>
      <c r="P17" s="268">
        <f t="shared" si="8"/>
        <v>20</v>
      </c>
      <c r="Q17" s="268">
        <f t="shared" si="8"/>
        <v>20</v>
      </c>
      <c r="R17" s="268">
        <f t="shared" si="8"/>
        <v>20</v>
      </c>
      <c r="T17" s="275" t="s">
        <v>551</v>
      </c>
    </row>
    <row r="18" spans="2:20" x14ac:dyDescent="0.25">
      <c r="B18" s="327" t="s">
        <v>553</v>
      </c>
      <c r="C18" s="328">
        <v>6000</v>
      </c>
      <c r="D18" s="268">
        <v>0</v>
      </c>
      <c r="E18" s="329">
        <v>1</v>
      </c>
      <c r="F18" s="330">
        <v>2</v>
      </c>
      <c r="G18" s="268">
        <f>$E18*$D18</f>
        <v>0</v>
      </c>
      <c r="H18" s="268">
        <f t="shared" si="8"/>
        <v>0</v>
      </c>
      <c r="I18" s="268">
        <f t="shared" si="8"/>
        <v>0</v>
      </c>
      <c r="J18" s="268">
        <f t="shared" si="8"/>
        <v>0</v>
      </c>
      <c r="K18" s="268">
        <f t="shared" si="8"/>
        <v>0</v>
      </c>
      <c r="L18" s="268">
        <f t="shared" si="8"/>
        <v>0</v>
      </c>
      <c r="M18" s="268">
        <f t="shared" si="8"/>
        <v>0</v>
      </c>
      <c r="N18" s="268">
        <f t="shared" si="8"/>
        <v>0</v>
      </c>
      <c r="O18" s="268">
        <f t="shared" si="8"/>
        <v>0</v>
      </c>
      <c r="P18" s="268">
        <f t="shared" si="8"/>
        <v>0</v>
      </c>
      <c r="Q18" s="268">
        <f t="shared" si="8"/>
        <v>0</v>
      </c>
      <c r="R18" s="268">
        <f t="shared" si="8"/>
        <v>0</v>
      </c>
      <c r="T18" s="275" t="s">
        <v>551</v>
      </c>
    </row>
    <row r="19" spans="2:20" ht="14.95" thickBot="1" x14ac:dyDescent="0.3">
      <c r="B19" s="551" t="s">
        <v>554</v>
      </c>
      <c r="C19" s="552">
        <v>12000</v>
      </c>
      <c r="D19" s="332">
        <v>0</v>
      </c>
      <c r="E19" s="333"/>
      <c r="F19" s="334">
        <v>2</v>
      </c>
      <c r="G19" s="332"/>
      <c r="H19" s="332">
        <f>$D19</f>
        <v>0</v>
      </c>
      <c r="I19" s="332"/>
      <c r="J19" s="332">
        <f>$D19</f>
        <v>0</v>
      </c>
      <c r="K19" s="332"/>
      <c r="L19" s="332">
        <f>$D19</f>
        <v>0</v>
      </c>
      <c r="M19" s="332">
        <f>$D19</f>
        <v>0</v>
      </c>
      <c r="N19" s="332"/>
      <c r="O19" s="332">
        <f>$D19</f>
        <v>0</v>
      </c>
      <c r="P19" s="332"/>
      <c r="Q19" s="332">
        <f>$D19</f>
        <v>0</v>
      </c>
      <c r="R19" s="332">
        <f>$D19</f>
        <v>0</v>
      </c>
      <c r="T19" s="275" t="s">
        <v>551</v>
      </c>
    </row>
    <row r="20" spans="2:20" ht="14.95" thickBot="1" x14ac:dyDescent="0.3">
      <c r="B20" s="1069"/>
      <c r="C20" s="1070"/>
      <c r="D20" s="1070"/>
      <c r="E20" s="1070"/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0"/>
    </row>
    <row r="21" spans="2:20" ht="27.2" x14ac:dyDescent="0.25">
      <c r="B21" s="335" t="s">
        <v>305</v>
      </c>
      <c r="C21" s="339" t="s">
        <v>323</v>
      </c>
      <c r="D21" s="337" t="s">
        <v>324</v>
      </c>
      <c r="E21" s="338" t="s">
        <v>325</v>
      </c>
      <c r="F21" s="339" t="s">
        <v>312</v>
      </c>
      <c r="G21" s="340" t="s">
        <v>292</v>
      </c>
      <c r="H21" s="340" t="s">
        <v>292</v>
      </c>
      <c r="I21" s="340" t="s">
        <v>292</v>
      </c>
      <c r="J21" s="340" t="s">
        <v>292</v>
      </c>
      <c r="K21" s="340" t="s">
        <v>292</v>
      </c>
      <c r="L21" s="340" t="s">
        <v>292</v>
      </c>
      <c r="M21" s="340" t="s">
        <v>292</v>
      </c>
      <c r="N21" s="340" t="s">
        <v>292</v>
      </c>
      <c r="O21" s="340" t="s">
        <v>292</v>
      </c>
      <c r="P21" s="340" t="s">
        <v>292</v>
      </c>
      <c r="Q21" s="340" t="s">
        <v>292</v>
      </c>
      <c r="R21" s="340" t="s">
        <v>292</v>
      </c>
    </row>
    <row r="22" spans="2:20" x14ac:dyDescent="0.25">
      <c r="B22" s="341" t="s">
        <v>326</v>
      </c>
      <c r="C22" s="343"/>
      <c r="D22" s="343"/>
      <c r="E22" s="344"/>
      <c r="F22" s="345"/>
      <c r="G22" s="346">
        <f t="shared" ref="G22:R22" si="9">SUM(G23:G91)</f>
        <v>93680.707746742846</v>
      </c>
      <c r="H22" s="346">
        <f t="shared" si="9"/>
        <v>93680.707746742846</v>
      </c>
      <c r="I22" s="346">
        <f t="shared" si="9"/>
        <v>93680.707746742846</v>
      </c>
      <c r="J22" s="346">
        <f t="shared" si="9"/>
        <v>93680.707746742846</v>
      </c>
      <c r="K22" s="346">
        <f t="shared" si="9"/>
        <v>93680.707746742846</v>
      </c>
      <c r="L22" s="346">
        <f t="shared" si="9"/>
        <v>93680.707746742846</v>
      </c>
      <c r="M22" s="346">
        <f t="shared" si="9"/>
        <v>93680.707746742846</v>
      </c>
      <c r="N22" s="346">
        <f t="shared" si="9"/>
        <v>93680.707746742846</v>
      </c>
      <c r="O22" s="346">
        <f t="shared" si="9"/>
        <v>93680.707746742846</v>
      </c>
      <c r="P22" s="346">
        <f t="shared" si="9"/>
        <v>93680.707746742846</v>
      </c>
      <c r="Q22" s="346">
        <f t="shared" si="9"/>
        <v>93680.707746742846</v>
      </c>
      <c r="R22" s="346">
        <f t="shared" si="9"/>
        <v>93680.707746742846</v>
      </c>
    </row>
    <row r="23" spans="2:20" x14ac:dyDescent="0.25">
      <c r="B23" s="347" t="s">
        <v>317</v>
      </c>
      <c r="C23" s="553"/>
      <c r="D23" s="348"/>
      <c r="E23" s="349">
        <f>VLOOKUP($B23,$B$14:$C$19,2,FALSE)</f>
        <v>500</v>
      </c>
      <c r="F23" s="294">
        <f>VLOOKUP($B23,$B$14:$E$19,4,FALSE)</f>
        <v>14</v>
      </c>
      <c r="G23" s="476"/>
      <c r="H23" s="476"/>
      <c r="I23" s="476"/>
      <c r="J23" s="476"/>
      <c r="K23" s="476"/>
      <c r="L23" s="476"/>
      <c r="M23" s="476"/>
      <c r="N23" s="476"/>
      <c r="O23" s="476"/>
      <c r="P23" s="476"/>
      <c r="Q23" s="476"/>
      <c r="R23" s="476"/>
    </row>
    <row r="24" spans="2:20" x14ac:dyDescent="0.25">
      <c r="B24" s="352" t="s">
        <v>555</v>
      </c>
      <c r="C24" s="554" t="s">
        <v>556</v>
      </c>
      <c r="D24" s="354">
        <v>45.066773028571397</v>
      </c>
      <c r="E24" s="490">
        <v>3</v>
      </c>
      <c r="F24" s="358"/>
      <c r="G24" s="350">
        <f>IF(G$14=0,0,G$14/$D$14*$E24*$D24)</f>
        <v>1892.8044671999987</v>
      </c>
      <c r="H24" s="350">
        <f t="shared" ref="H24:R31" si="10">IF(H$14=0,0,H$14/$D$14*$E24*$D24)</f>
        <v>1892.8044671999987</v>
      </c>
      <c r="I24" s="350">
        <f t="shared" si="10"/>
        <v>1892.8044671999987</v>
      </c>
      <c r="J24" s="350">
        <f t="shared" si="10"/>
        <v>1892.8044671999987</v>
      </c>
      <c r="K24" s="350">
        <f t="shared" si="10"/>
        <v>1892.8044671999987</v>
      </c>
      <c r="L24" s="350">
        <f t="shared" si="10"/>
        <v>1892.8044671999987</v>
      </c>
      <c r="M24" s="350">
        <f t="shared" si="10"/>
        <v>1892.8044671999987</v>
      </c>
      <c r="N24" s="350">
        <f t="shared" si="10"/>
        <v>1892.8044671999987</v>
      </c>
      <c r="O24" s="350">
        <f t="shared" si="10"/>
        <v>1892.8044671999987</v>
      </c>
      <c r="P24" s="350">
        <f t="shared" si="10"/>
        <v>1892.8044671999987</v>
      </c>
      <c r="Q24" s="350">
        <f t="shared" si="10"/>
        <v>1892.8044671999987</v>
      </c>
      <c r="R24" s="350">
        <f t="shared" si="10"/>
        <v>1892.8044671999987</v>
      </c>
    </row>
    <row r="25" spans="2:20" x14ac:dyDescent="0.25">
      <c r="B25" s="352" t="s">
        <v>557</v>
      </c>
      <c r="C25" s="554" t="s">
        <v>558</v>
      </c>
      <c r="D25" s="354">
        <v>38.614429257142859</v>
      </c>
      <c r="E25" s="490">
        <v>3</v>
      </c>
      <c r="F25" s="358"/>
      <c r="G25" s="350">
        <f t="shared" ref="G25:R31" si="11">IF(G$14=0,0,G$14/$D$14*$E25*$D25)</f>
        <v>1621.8060288000001</v>
      </c>
      <c r="H25" s="350">
        <f t="shared" si="10"/>
        <v>1621.8060288000001</v>
      </c>
      <c r="I25" s="350">
        <f t="shared" si="10"/>
        <v>1621.8060288000001</v>
      </c>
      <c r="J25" s="350">
        <f t="shared" si="10"/>
        <v>1621.8060288000001</v>
      </c>
      <c r="K25" s="350">
        <f t="shared" si="10"/>
        <v>1621.8060288000001</v>
      </c>
      <c r="L25" s="350">
        <f t="shared" si="10"/>
        <v>1621.8060288000001</v>
      </c>
      <c r="M25" s="350">
        <f t="shared" si="10"/>
        <v>1621.8060288000001</v>
      </c>
      <c r="N25" s="350">
        <f t="shared" si="10"/>
        <v>1621.8060288000001</v>
      </c>
      <c r="O25" s="350">
        <f t="shared" si="10"/>
        <v>1621.8060288000001</v>
      </c>
      <c r="P25" s="350">
        <f t="shared" si="10"/>
        <v>1621.8060288000001</v>
      </c>
      <c r="Q25" s="350">
        <f t="shared" si="10"/>
        <v>1621.8060288000001</v>
      </c>
      <c r="R25" s="350">
        <f t="shared" si="10"/>
        <v>1621.8060288000001</v>
      </c>
    </row>
    <row r="26" spans="2:20" ht="28.55" x14ac:dyDescent="0.25">
      <c r="B26" s="352" t="s">
        <v>559</v>
      </c>
      <c r="C26" s="555" t="s">
        <v>560</v>
      </c>
      <c r="D26" s="354">
        <v>11.858537142857143</v>
      </c>
      <c r="E26" s="490">
        <v>6</v>
      </c>
      <c r="F26" s="358"/>
      <c r="G26" s="350">
        <f t="shared" si="11"/>
        <v>996.11712</v>
      </c>
      <c r="H26" s="350">
        <f t="shared" si="10"/>
        <v>996.11712</v>
      </c>
      <c r="I26" s="350">
        <f t="shared" si="10"/>
        <v>996.11712</v>
      </c>
      <c r="J26" s="350">
        <f t="shared" si="10"/>
        <v>996.11712</v>
      </c>
      <c r="K26" s="350">
        <f t="shared" si="10"/>
        <v>996.11712</v>
      </c>
      <c r="L26" s="350">
        <f t="shared" si="10"/>
        <v>996.11712</v>
      </c>
      <c r="M26" s="350">
        <f t="shared" si="10"/>
        <v>996.11712</v>
      </c>
      <c r="N26" s="350">
        <f t="shared" si="10"/>
        <v>996.11712</v>
      </c>
      <c r="O26" s="350">
        <f t="shared" si="10"/>
        <v>996.11712</v>
      </c>
      <c r="P26" s="350">
        <f t="shared" si="10"/>
        <v>996.11712</v>
      </c>
      <c r="Q26" s="350">
        <f t="shared" si="10"/>
        <v>996.11712</v>
      </c>
      <c r="R26" s="350">
        <f t="shared" si="10"/>
        <v>996.11712</v>
      </c>
    </row>
    <row r="27" spans="2:20" x14ac:dyDescent="0.25">
      <c r="B27" s="352" t="s">
        <v>561</v>
      </c>
      <c r="C27" s="554" t="s">
        <v>562</v>
      </c>
      <c r="D27" s="354">
        <v>28.363021714285715</v>
      </c>
      <c r="E27" s="490">
        <v>6</v>
      </c>
      <c r="F27" s="358"/>
      <c r="G27" s="350">
        <f t="shared" si="11"/>
        <v>2382.4938240000001</v>
      </c>
      <c r="H27" s="350">
        <f t="shared" si="10"/>
        <v>2382.4938240000001</v>
      </c>
      <c r="I27" s="350">
        <f t="shared" si="10"/>
        <v>2382.4938240000001</v>
      </c>
      <c r="J27" s="350">
        <f t="shared" si="10"/>
        <v>2382.4938240000001</v>
      </c>
      <c r="K27" s="350">
        <f t="shared" si="10"/>
        <v>2382.4938240000001</v>
      </c>
      <c r="L27" s="350">
        <f t="shared" si="10"/>
        <v>2382.4938240000001</v>
      </c>
      <c r="M27" s="350">
        <f t="shared" si="10"/>
        <v>2382.4938240000001</v>
      </c>
      <c r="N27" s="350">
        <f t="shared" si="10"/>
        <v>2382.4938240000001</v>
      </c>
      <c r="O27" s="350">
        <f t="shared" si="10"/>
        <v>2382.4938240000001</v>
      </c>
      <c r="P27" s="350">
        <f t="shared" si="10"/>
        <v>2382.4938240000001</v>
      </c>
      <c r="Q27" s="350">
        <f t="shared" si="10"/>
        <v>2382.4938240000001</v>
      </c>
      <c r="R27" s="350">
        <f t="shared" si="10"/>
        <v>2382.4938240000001</v>
      </c>
    </row>
    <row r="28" spans="2:20" x14ac:dyDescent="0.25">
      <c r="B28" s="556" t="s">
        <v>563</v>
      </c>
      <c r="C28" s="554" t="s">
        <v>564</v>
      </c>
      <c r="D28" s="354">
        <v>120.70149760000001</v>
      </c>
      <c r="E28" s="490">
        <v>4</v>
      </c>
      <c r="F28" s="358"/>
      <c r="G28" s="350">
        <f t="shared" si="11"/>
        <v>6759.2838656000004</v>
      </c>
      <c r="H28" s="350">
        <f t="shared" si="10"/>
        <v>6759.2838656000004</v>
      </c>
      <c r="I28" s="350">
        <f t="shared" si="10"/>
        <v>6759.2838656000004</v>
      </c>
      <c r="J28" s="350">
        <f t="shared" si="10"/>
        <v>6759.2838656000004</v>
      </c>
      <c r="K28" s="350">
        <f t="shared" si="10"/>
        <v>6759.2838656000004</v>
      </c>
      <c r="L28" s="350">
        <f t="shared" si="10"/>
        <v>6759.2838656000004</v>
      </c>
      <c r="M28" s="350">
        <f t="shared" si="10"/>
        <v>6759.2838656000004</v>
      </c>
      <c r="N28" s="350">
        <f t="shared" si="10"/>
        <v>6759.2838656000004</v>
      </c>
      <c r="O28" s="350">
        <f t="shared" si="10"/>
        <v>6759.2838656000004</v>
      </c>
      <c r="P28" s="350">
        <f t="shared" si="10"/>
        <v>6759.2838656000004</v>
      </c>
      <c r="Q28" s="350">
        <f t="shared" si="10"/>
        <v>6759.2838656000004</v>
      </c>
      <c r="R28" s="350">
        <f t="shared" si="10"/>
        <v>6759.2838656000004</v>
      </c>
    </row>
    <row r="29" spans="2:20" ht="28.55" x14ac:dyDescent="0.25">
      <c r="B29" s="556" t="s">
        <v>565</v>
      </c>
      <c r="C29" s="554" t="s">
        <v>566</v>
      </c>
      <c r="D29" s="354">
        <v>61.642733714285718</v>
      </c>
      <c r="E29" s="490">
        <v>4</v>
      </c>
      <c r="F29" s="358"/>
      <c r="G29" s="350">
        <f t="shared" si="11"/>
        <v>3451.9930880000002</v>
      </c>
      <c r="H29" s="350">
        <f t="shared" si="10"/>
        <v>3451.9930880000002</v>
      </c>
      <c r="I29" s="350">
        <f t="shared" si="10"/>
        <v>3451.9930880000002</v>
      </c>
      <c r="J29" s="350">
        <f t="shared" si="10"/>
        <v>3451.9930880000002</v>
      </c>
      <c r="K29" s="350">
        <f t="shared" si="10"/>
        <v>3451.9930880000002</v>
      </c>
      <c r="L29" s="350">
        <f t="shared" si="10"/>
        <v>3451.9930880000002</v>
      </c>
      <c r="M29" s="350">
        <f t="shared" si="10"/>
        <v>3451.9930880000002</v>
      </c>
      <c r="N29" s="350">
        <f t="shared" si="10"/>
        <v>3451.9930880000002</v>
      </c>
      <c r="O29" s="350">
        <f t="shared" si="10"/>
        <v>3451.9930880000002</v>
      </c>
      <c r="P29" s="350">
        <f t="shared" si="10"/>
        <v>3451.9930880000002</v>
      </c>
      <c r="Q29" s="350">
        <f t="shared" si="10"/>
        <v>3451.9930880000002</v>
      </c>
      <c r="R29" s="350">
        <f t="shared" si="10"/>
        <v>3451.9930880000002</v>
      </c>
    </row>
    <row r="30" spans="2:20" ht="28.55" x14ac:dyDescent="0.25">
      <c r="B30" s="352" t="s">
        <v>567</v>
      </c>
      <c r="C30" s="557" t="s">
        <v>568</v>
      </c>
      <c r="D30" s="354">
        <v>8</v>
      </c>
      <c r="E30" s="490">
        <v>150</v>
      </c>
      <c r="F30" s="358"/>
      <c r="G30" s="350">
        <f t="shared" si="11"/>
        <v>16800</v>
      </c>
      <c r="H30" s="350">
        <f t="shared" si="11"/>
        <v>16800</v>
      </c>
      <c r="I30" s="350">
        <f t="shared" si="11"/>
        <v>16800</v>
      </c>
      <c r="J30" s="350">
        <f t="shared" si="11"/>
        <v>16800</v>
      </c>
      <c r="K30" s="350">
        <f t="shared" si="11"/>
        <v>16800</v>
      </c>
      <c r="L30" s="350">
        <f t="shared" si="11"/>
        <v>16800</v>
      </c>
      <c r="M30" s="350">
        <f t="shared" si="11"/>
        <v>16800</v>
      </c>
      <c r="N30" s="350">
        <f t="shared" si="11"/>
        <v>16800</v>
      </c>
      <c r="O30" s="350">
        <f t="shared" si="11"/>
        <v>16800</v>
      </c>
      <c r="P30" s="350">
        <f t="shared" si="11"/>
        <v>16800</v>
      </c>
      <c r="Q30" s="350">
        <f t="shared" si="11"/>
        <v>16800</v>
      </c>
      <c r="R30" s="350">
        <f t="shared" si="11"/>
        <v>16800</v>
      </c>
    </row>
    <row r="31" spans="2:20" x14ac:dyDescent="0.25">
      <c r="B31" s="352" t="s">
        <v>569</v>
      </c>
      <c r="C31" s="554" t="s">
        <v>570</v>
      </c>
      <c r="D31" s="354">
        <v>18</v>
      </c>
      <c r="E31" s="490">
        <v>10</v>
      </c>
      <c r="F31" s="358"/>
      <c r="G31" s="350">
        <f t="shared" si="11"/>
        <v>2520</v>
      </c>
      <c r="H31" s="350">
        <f t="shared" si="10"/>
        <v>2520</v>
      </c>
      <c r="I31" s="350">
        <f t="shared" si="10"/>
        <v>2520</v>
      </c>
      <c r="J31" s="350">
        <f t="shared" si="10"/>
        <v>2520</v>
      </c>
      <c r="K31" s="350">
        <f t="shared" si="10"/>
        <v>2520</v>
      </c>
      <c r="L31" s="350">
        <f t="shared" si="10"/>
        <v>2520</v>
      </c>
      <c r="M31" s="350">
        <f t="shared" si="10"/>
        <v>2520</v>
      </c>
      <c r="N31" s="350">
        <f t="shared" si="10"/>
        <v>2520</v>
      </c>
      <c r="O31" s="350">
        <f t="shared" si="10"/>
        <v>2520</v>
      </c>
      <c r="P31" s="350">
        <f t="shared" si="10"/>
        <v>2520</v>
      </c>
      <c r="Q31" s="350">
        <f t="shared" si="10"/>
        <v>2520</v>
      </c>
      <c r="R31" s="350">
        <f t="shared" si="10"/>
        <v>2520</v>
      </c>
    </row>
    <row r="32" spans="2:20" x14ac:dyDescent="0.25">
      <c r="B32" s="347" t="s">
        <v>318</v>
      </c>
      <c r="C32" s="553"/>
      <c r="D32" s="348"/>
      <c r="E32" s="349">
        <f>VLOOKUP($B32,$B$14:$C$19,2,FALSE)</f>
        <v>1000</v>
      </c>
      <c r="F32" s="294">
        <f>VLOOKUP($B32,$B$14:$E$19,4,FALSE)</f>
        <v>7</v>
      </c>
      <c r="G32" s="476"/>
      <c r="H32" s="476"/>
      <c r="I32" s="476"/>
      <c r="J32" s="476"/>
      <c r="K32" s="476"/>
      <c r="L32" s="476"/>
      <c r="M32" s="476"/>
      <c r="N32" s="476"/>
      <c r="O32" s="476"/>
      <c r="P32" s="476"/>
      <c r="Q32" s="476"/>
      <c r="R32" s="476"/>
    </row>
    <row r="33" spans="2:18" x14ac:dyDescent="0.25">
      <c r="B33" s="352" t="s">
        <v>555</v>
      </c>
      <c r="C33" s="554" t="s">
        <v>556</v>
      </c>
      <c r="D33" s="354">
        <v>45</v>
      </c>
      <c r="E33" s="558">
        <v>3</v>
      </c>
      <c r="F33" s="294"/>
      <c r="G33" s="350">
        <f t="shared" ref="G33:R46" si="12">IF(G$15=0,0,G$15/$D$15*$E33*$D33)</f>
        <v>945</v>
      </c>
      <c r="H33" s="350">
        <f t="shared" si="12"/>
        <v>945</v>
      </c>
      <c r="I33" s="350">
        <f t="shared" si="12"/>
        <v>945</v>
      </c>
      <c r="J33" s="350">
        <f t="shared" si="12"/>
        <v>945</v>
      </c>
      <c r="K33" s="350">
        <f t="shared" si="12"/>
        <v>945</v>
      </c>
      <c r="L33" s="350">
        <f t="shared" si="12"/>
        <v>945</v>
      </c>
      <c r="M33" s="350">
        <f t="shared" si="12"/>
        <v>945</v>
      </c>
      <c r="N33" s="350">
        <f t="shared" si="12"/>
        <v>945</v>
      </c>
      <c r="O33" s="350">
        <f t="shared" si="12"/>
        <v>945</v>
      </c>
      <c r="P33" s="350">
        <f t="shared" si="12"/>
        <v>945</v>
      </c>
      <c r="Q33" s="350">
        <f t="shared" si="12"/>
        <v>945</v>
      </c>
      <c r="R33" s="350">
        <f t="shared" si="12"/>
        <v>945</v>
      </c>
    </row>
    <row r="34" spans="2:18" x14ac:dyDescent="0.25">
      <c r="B34" s="352" t="s">
        <v>557</v>
      </c>
      <c r="C34" s="554" t="s">
        <v>558</v>
      </c>
      <c r="D34" s="354">
        <v>39</v>
      </c>
      <c r="E34" s="558">
        <v>3</v>
      </c>
      <c r="F34" s="294"/>
      <c r="G34" s="350">
        <f t="shared" si="12"/>
        <v>819</v>
      </c>
      <c r="H34" s="350">
        <f t="shared" si="12"/>
        <v>819</v>
      </c>
      <c r="I34" s="350">
        <f t="shared" si="12"/>
        <v>819</v>
      </c>
      <c r="J34" s="350">
        <f t="shared" si="12"/>
        <v>819</v>
      </c>
      <c r="K34" s="350">
        <f t="shared" si="12"/>
        <v>819</v>
      </c>
      <c r="L34" s="350">
        <f t="shared" si="12"/>
        <v>819</v>
      </c>
      <c r="M34" s="350">
        <f t="shared" si="12"/>
        <v>819</v>
      </c>
      <c r="N34" s="350">
        <f t="shared" si="12"/>
        <v>819</v>
      </c>
      <c r="O34" s="350">
        <f t="shared" si="12"/>
        <v>819</v>
      </c>
      <c r="P34" s="350">
        <f t="shared" si="12"/>
        <v>819</v>
      </c>
      <c r="Q34" s="350">
        <f t="shared" si="12"/>
        <v>819</v>
      </c>
      <c r="R34" s="350">
        <f t="shared" si="12"/>
        <v>819</v>
      </c>
    </row>
    <row r="35" spans="2:18" ht="28.55" x14ac:dyDescent="0.25">
      <c r="B35" s="352" t="s">
        <v>559</v>
      </c>
      <c r="C35" s="555" t="s">
        <v>560</v>
      </c>
      <c r="D35" s="354">
        <v>12</v>
      </c>
      <c r="E35" s="558">
        <v>6</v>
      </c>
      <c r="F35" s="294"/>
      <c r="G35" s="350">
        <f t="shared" si="12"/>
        <v>504</v>
      </c>
      <c r="H35" s="350">
        <f t="shared" si="12"/>
        <v>504</v>
      </c>
      <c r="I35" s="350">
        <f t="shared" si="12"/>
        <v>504</v>
      </c>
      <c r="J35" s="350">
        <f t="shared" si="12"/>
        <v>504</v>
      </c>
      <c r="K35" s="350">
        <f t="shared" si="12"/>
        <v>504</v>
      </c>
      <c r="L35" s="350">
        <f t="shared" si="12"/>
        <v>504</v>
      </c>
      <c r="M35" s="350">
        <f t="shared" si="12"/>
        <v>504</v>
      </c>
      <c r="N35" s="350">
        <f t="shared" si="12"/>
        <v>504</v>
      </c>
      <c r="O35" s="350">
        <f t="shared" si="12"/>
        <v>504</v>
      </c>
      <c r="P35" s="350">
        <f t="shared" si="12"/>
        <v>504</v>
      </c>
      <c r="Q35" s="350">
        <f t="shared" si="12"/>
        <v>504</v>
      </c>
      <c r="R35" s="350">
        <f t="shared" si="12"/>
        <v>504</v>
      </c>
    </row>
    <row r="36" spans="2:18" x14ac:dyDescent="0.25">
      <c r="B36" s="352" t="s">
        <v>571</v>
      </c>
      <c r="C36" s="554" t="s">
        <v>562</v>
      </c>
      <c r="D36" s="354">
        <v>28</v>
      </c>
      <c r="E36" s="558">
        <v>6</v>
      </c>
      <c r="F36" s="294"/>
      <c r="G36" s="350">
        <f t="shared" si="12"/>
        <v>1176</v>
      </c>
      <c r="H36" s="350">
        <f t="shared" si="12"/>
        <v>1176</v>
      </c>
      <c r="I36" s="350">
        <f t="shared" si="12"/>
        <v>1176</v>
      </c>
      <c r="J36" s="350">
        <f t="shared" si="12"/>
        <v>1176</v>
      </c>
      <c r="K36" s="350">
        <f t="shared" si="12"/>
        <v>1176</v>
      </c>
      <c r="L36" s="350">
        <f t="shared" si="12"/>
        <v>1176</v>
      </c>
      <c r="M36" s="350">
        <f t="shared" si="12"/>
        <v>1176</v>
      </c>
      <c r="N36" s="350">
        <f t="shared" si="12"/>
        <v>1176</v>
      </c>
      <c r="O36" s="350">
        <f t="shared" si="12"/>
        <v>1176</v>
      </c>
      <c r="P36" s="350">
        <f t="shared" si="12"/>
        <v>1176</v>
      </c>
      <c r="Q36" s="350">
        <f t="shared" si="12"/>
        <v>1176</v>
      </c>
      <c r="R36" s="350">
        <f t="shared" si="12"/>
        <v>1176</v>
      </c>
    </row>
    <row r="37" spans="2:18" x14ac:dyDescent="0.25">
      <c r="B37" s="556" t="s">
        <v>572</v>
      </c>
      <c r="C37" s="554" t="s">
        <v>564</v>
      </c>
      <c r="D37" s="354">
        <v>121</v>
      </c>
      <c r="E37" s="558">
        <v>4</v>
      </c>
      <c r="F37" s="294"/>
      <c r="G37" s="350">
        <f t="shared" si="12"/>
        <v>3388</v>
      </c>
      <c r="H37" s="350">
        <f t="shared" si="12"/>
        <v>3388</v>
      </c>
      <c r="I37" s="350">
        <f t="shared" si="12"/>
        <v>3388</v>
      </c>
      <c r="J37" s="350">
        <f t="shared" si="12"/>
        <v>3388</v>
      </c>
      <c r="K37" s="350">
        <f t="shared" si="12"/>
        <v>3388</v>
      </c>
      <c r="L37" s="350">
        <f t="shared" si="12"/>
        <v>3388</v>
      </c>
      <c r="M37" s="350">
        <f t="shared" si="12"/>
        <v>3388</v>
      </c>
      <c r="N37" s="350">
        <f t="shared" si="12"/>
        <v>3388</v>
      </c>
      <c r="O37" s="350">
        <f t="shared" si="12"/>
        <v>3388</v>
      </c>
      <c r="P37" s="350">
        <f t="shared" si="12"/>
        <v>3388</v>
      </c>
      <c r="Q37" s="350">
        <f t="shared" si="12"/>
        <v>3388</v>
      </c>
      <c r="R37" s="350">
        <f t="shared" si="12"/>
        <v>3388</v>
      </c>
    </row>
    <row r="38" spans="2:18" ht="28.55" x14ac:dyDescent="0.25">
      <c r="B38" s="556" t="s">
        <v>565</v>
      </c>
      <c r="C38" s="554" t="s">
        <v>566</v>
      </c>
      <c r="D38" s="354">
        <v>62</v>
      </c>
      <c r="E38" s="558">
        <v>4</v>
      </c>
      <c r="F38" s="294"/>
      <c r="G38" s="350">
        <f t="shared" si="12"/>
        <v>1736</v>
      </c>
      <c r="H38" s="350">
        <f t="shared" si="12"/>
        <v>1736</v>
      </c>
      <c r="I38" s="350">
        <f t="shared" si="12"/>
        <v>1736</v>
      </c>
      <c r="J38" s="350">
        <f t="shared" si="12"/>
        <v>1736</v>
      </c>
      <c r="K38" s="350">
        <f t="shared" si="12"/>
        <v>1736</v>
      </c>
      <c r="L38" s="350">
        <f t="shared" si="12"/>
        <v>1736</v>
      </c>
      <c r="M38" s="350">
        <f t="shared" si="12"/>
        <v>1736</v>
      </c>
      <c r="N38" s="350">
        <f t="shared" si="12"/>
        <v>1736</v>
      </c>
      <c r="O38" s="350">
        <f t="shared" si="12"/>
        <v>1736</v>
      </c>
      <c r="P38" s="350">
        <f t="shared" si="12"/>
        <v>1736</v>
      </c>
      <c r="Q38" s="350">
        <f t="shared" si="12"/>
        <v>1736</v>
      </c>
      <c r="R38" s="350">
        <f t="shared" si="12"/>
        <v>1736</v>
      </c>
    </row>
    <row r="39" spans="2:18" ht="28.55" x14ac:dyDescent="0.25">
      <c r="B39" s="352" t="s">
        <v>567</v>
      </c>
      <c r="C39" s="557" t="s">
        <v>568</v>
      </c>
      <c r="D39" s="354">
        <v>8</v>
      </c>
      <c r="E39" s="558">
        <v>150</v>
      </c>
      <c r="F39" s="294"/>
      <c r="G39" s="350">
        <f t="shared" si="12"/>
        <v>8400</v>
      </c>
      <c r="H39" s="350">
        <f t="shared" si="12"/>
        <v>8400</v>
      </c>
      <c r="I39" s="350">
        <f t="shared" si="12"/>
        <v>8400</v>
      </c>
      <c r="J39" s="350">
        <f t="shared" si="12"/>
        <v>8400</v>
      </c>
      <c r="K39" s="350">
        <f t="shared" si="12"/>
        <v>8400</v>
      </c>
      <c r="L39" s="350">
        <f t="shared" si="12"/>
        <v>8400</v>
      </c>
      <c r="M39" s="350">
        <f t="shared" si="12"/>
        <v>8400</v>
      </c>
      <c r="N39" s="350">
        <f t="shared" si="12"/>
        <v>8400</v>
      </c>
      <c r="O39" s="350">
        <f t="shared" si="12"/>
        <v>8400</v>
      </c>
      <c r="P39" s="350">
        <f t="shared" si="12"/>
        <v>8400</v>
      </c>
      <c r="Q39" s="350">
        <f t="shared" si="12"/>
        <v>8400</v>
      </c>
      <c r="R39" s="350">
        <f t="shared" si="12"/>
        <v>8400</v>
      </c>
    </row>
    <row r="40" spans="2:18" x14ac:dyDescent="0.25">
      <c r="B40" s="352" t="s">
        <v>569</v>
      </c>
      <c r="C40" s="554" t="s">
        <v>570</v>
      </c>
      <c r="D40" s="354">
        <v>18</v>
      </c>
      <c r="E40" s="558">
        <v>10</v>
      </c>
      <c r="F40" s="294"/>
      <c r="G40" s="350">
        <f t="shared" si="12"/>
        <v>1260</v>
      </c>
      <c r="H40" s="350">
        <f t="shared" si="12"/>
        <v>1260</v>
      </c>
      <c r="I40" s="350">
        <f t="shared" si="12"/>
        <v>1260</v>
      </c>
      <c r="J40" s="350">
        <f t="shared" si="12"/>
        <v>1260</v>
      </c>
      <c r="K40" s="350">
        <f t="shared" si="12"/>
        <v>1260</v>
      </c>
      <c r="L40" s="350">
        <f t="shared" si="12"/>
        <v>1260</v>
      </c>
      <c r="M40" s="350">
        <f t="shared" si="12"/>
        <v>1260</v>
      </c>
      <c r="N40" s="350">
        <f t="shared" si="12"/>
        <v>1260</v>
      </c>
      <c r="O40" s="350">
        <f t="shared" si="12"/>
        <v>1260</v>
      </c>
      <c r="P40" s="350">
        <f t="shared" si="12"/>
        <v>1260</v>
      </c>
      <c r="Q40" s="350">
        <f t="shared" si="12"/>
        <v>1260</v>
      </c>
      <c r="R40" s="350">
        <f t="shared" si="12"/>
        <v>1260</v>
      </c>
    </row>
    <row r="41" spans="2:18" x14ac:dyDescent="0.25">
      <c r="B41" s="556" t="s">
        <v>573</v>
      </c>
      <c r="C41" s="554" t="s">
        <v>574</v>
      </c>
      <c r="D41" s="354">
        <v>154</v>
      </c>
      <c r="E41" s="559">
        <v>1</v>
      </c>
      <c r="F41" s="358"/>
      <c r="G41" s="350">
        <f>IF(G$15=0,0,G$15/$D$15*$E41*$D41)</f>
        <v>1078</v>
      </c>
      <c r="H41" s="350">
        <f t="shared" si="12"/>
        <v>1078</v>
      </c>
      <c r="I41" s="350">
        <f t="shared" si="12"/>
        <v>1078</v>
      </c>
      <c r="J41" s="350">
        <f t="shared" si="12"/>
        <v>1078</v>
      </c>
      <c r="K41" s="350">
        <f t="shared" si="12"/>
        <v>1078</v>
      </c>
      <c r="L41" s="350">
        <f t="shared" si="12"/>
        <v>1078</v>
      </c>
      <c r="M41" s="350">
        <f t="shared" si="12"/>
        <v>1078</v>
      </c>
      <c r="N41" s="350">
        <f t="shared" si="12"/>
        <v>1078</v>
      </c>
      <c r="O41" s="350">
        <f t="shared" si="12"/>
        <v>1078</v>
      </c>
      <c r="P41" s="350">
        <f t="shared" si="12"/>
        <v>1078</v>
      </c>
      <c r="Q41" s="350">
        <f t="shared" si="12"/>
        <v>1078</v>
      </c>
      <c r="R41" s="350">
        <f t="shared" si="12"/>
        <v>1078</v>
      </c>
    </row>
    <row r="42" spans="2:18" ht="28.55" x14ac:dyDescent="0.25">
      <c r="B42" s="556" t="s">
        <v>575</v>
      </c>
      <c r="C42" s="554">
        <v>60326015</v>
      </c>
      <c r="D42" s="354">
        <v>77</v>
      </c>
      <c r="E42" s="559">
        <v>2</v>
      </c>
      <c r="F42" s="358"/>
      <c r="G42" s="350">
        <f t="shared" ref="G42:R46" si="13">IF(G$15=0,0,G$15/$D$15*$E42*$D42)</f>
        <v>1078</v>
      </c>
      <c r="H42" s="350">
        <f t="shared" si="13"/>
        <v>1078</v>
      </c>
      <c r="I42" s="350">
        <f t="shared" si="13"/>
        <v>1078</v>
      </c>
      <c r="J42" s="350">
        <f t="shared" si="13"/>
        <v>1078</v>
      </c>
      <c r="K42" s="350">
        <f t="shared" si="13"/>
        <v>1078</v>
      </c>
      <c r="L42" s="350">
        <f t="shared" si="13"/>
        <v>1078</v>
      </c>
      <c r="M42" s="350">
        <f t="shared" si="13"/>
        <v>1078</v>
      </c>
      <c r="N42" s="350">
        <f t="shared" si="13"/>
        <v>1078</v>
      </c>
      <c r="O42" s="350">
        <f t="shared" si="13"/>
        <v>1078</v>
      </c>
      <c r="P42" s="350">
        <f t="shared" si="13"/>
        <v>1078</v>
      </c>
      <c r="Q42" s="350">
        <f t="shared" si="13"/>
        <v>1078</v>
      </c>
      <c r="R42" s="350">
        <f t="shared" si="13"/>
        <v>1078</v>
      </c>
    </row>
    <row r="43" spans="2:18" ht="28.55" x14ac:dyDescent="0.25">
      <c r="B43" s="556" t="s">
        <v>576</v>
      </c>
      <c r="C43" s="554">
        <v>60283940</v>
      </c>
      <c r="D43" s="354">
        <v>34</v>
      </c>
      <c r="E43" s="559">
        <v>1</v>
      </c>
      <c r="F43" s="358"/>
      <c r="G43" s="350">
        <f t="shared" si="13"/>
        <v>238</v>
      </c>
      <c r="H43" s="350">
        <f t="shared" si="12"/>
        <v>238</v>
      </c>
      <c r="I43" s="350">
        <f t="shared" si="12"/>
        <v>238</v>
      </c>
      <c r="J43" s="350">
        <f t="shared" si="12"/>
        <v>238</v>
      </c>
      <c r="K43" s="350">
        <f t="shared" si="12"/>
        <v>238</v>
      </c>
      <c r="L43" s="350">
        <f t="shared" si="12"/>
        <v>238</v>
      </c>
      <c r="M43" s="350">
        <f t="shared" si="12"/>
        <v>238</v>
      </c>
      <c r="N43" s="350">
        <f t="shared" si="12"/>
        <v>238</v>
      </c>
      <c r="O43" s="350">
        <f t="shared" si="12"/>
        <v>238</v>
      </c>
      <c r="P43" s="350">
        <f t="shared" si="12"/>
        <v>238</v>
      </c>
      <c r="Q43" s="350">
        <f t="shared" si="12"/>
        <v>238</v>
      </c>
      <c r="R43" s="350">
        <f t="shared" si="12"/>
        <v>238</v>
      </c>
    </row>
    <row r="44" spans="2:18" x14ac:dyDescent="0.25">
      <c r="B44" s="556" t="s">
        <v>577</v>
      </c>
      <c r="C44" s="554">
        <v>60186788</v>
      </c>
      <c r="D44" s="354">
        <v>5</v>
      </c>
      <c r="E44" s="559">
        <v>2</v>
      </c>
      <c r="F44" s="358"/>
      <c r="G44" s="350">
        <f t="shared" si="13"/>
        <v>70</v>
      </c>
      <c r="H44" s="350">
        <f t="shared" si="12"/>
        <v>70</v>
      </c>
      <c r="I44" s="350">
        <f t="shared" si="12"/>
        <v>70</v>
      </c>
      <c r="J44" s="350">
        <f t="shared" si="12"/>
        <v>70</v>
      </c>
      <c r="K44" s="350">
        <f t="shared" si="12"/>
        <v>70</v>
      </c>
      <c r="L44" s="350">
        <f t="shared" si="12"/>
        <v>70</v>
      </c>
      <c r="M44" s="350">
        <f t="shared" si="12"/>
        <v>70</v>
      </c>
      <c r="N44" s="350">
        <f t="shared" si="12"/>
        <v>70</v>
      </c>
      <c r="O44" s="350">
        <f t="shared" si="12"/>
        <v>70</v>
      </c>
      <c r="P44" s="350">
        <f t="shared" si="12"/>
        <v>70</v>
      </c>
      <c r="Q44" s="350">
        <f t="shared" si="12"/>
        <v>70</v>
      </c>
      <c r="R44" s="350">
        <f t="shared" si="12"/>
        <v>70</v>
      </c>
    </row>
    <row r="45" spans="2:18" x14ac:dyDescent="0.25">
      <c r="B45" s="556" t="s">
        <v>578</v>
      </c>
      <c r="C45" s="554">
        <v>60205016</v>
      </c>
      <c r="D45" s="354">
        <v>159</v>
      </c>
      <c r="E45" s="559">
        <v>2</v>
      </c>
      <c r="F45" s="358"/>
      <c r="G45" s="350">
        <f t="shared" si="13"/>
        <v>2226</v>
      </c>
      <c r="H45" s="350">
        <f t="shared" si="12"/>
        <v>2226</v>
      </c>
      <c r="I45" s="350">
        <f t="shared" si="12"/>
        <v>2226</v>
      </c>
      <c r="J45" s="350">
        <f t="shared" si="12"/>
        <v>2226</v>
      </c>
      <c r="K45" s="350">
        <f t="shared" si="12"/>
        <v>2226</v>
      </c>
      <c r="L45" s="350">
        <f t="shared" si="12"/>
        <v>2226</v>
      </c>
      <c r="M45" s="350">
        <f t="shared" si="12"/>
        <v>2226</v>
      </c>
      <c r="N45" s="350">
        <f t="shared" si="12"/>
        <v>2226</v>
      </c>
      <c r="O45" s="350">
        <f t="shared" si="12"/>
        <v>2226</v>
      </c>
      <c r="P45" s="350">
        <f t="shared" si="12"/>
        <v>2226</v>
      </c>
      <c r="Q45" s="350">
        <f t="shared" si="12"/>
        <v>2226</v>
      </c>
      <c r="R45" s="350">
        <f t="shared" si="12"/>
        <v>2226</v>
      </c>
    </row>
    <row r="46" spans="2:18" x14ac:dyDescent="0.25">
      <c r="B46" s="556" t="s">
        <v>579</v>
      </c>
      <c r="C46" s="554">
        <v>60046289</v>
      </c>
      <c r="D46" s="354">
        <v>127</v>
      </c>
      <c r="E46" s="559">
        <v>2</v>
      </c>
      <c r="F46" s="358"/>
      <c r="G46" s="350">
        <f t="shared" si="13"/>
        <v>1778</v>
      </c>
      <c r="H46" s="350">
        <f t="shared" si="12"/>
        <v>1778</v>
      </c>
      <c r="I46" s="350">
        <f t="shared" si="12"/>
        <v>1778</v>
      </c>
      <c r="J46" s="350">
        <f t="shared" si="12"/>
        <v>1778</v>
      </c>
      <c r="K46" s="350">
        <f t="shared" si="12"/>
        <v>1778</v>
      </c>
      <c r="L46" s="350">
        <f t="shared" si="12"/>
        <v>1778</v>
      </c>
      <c r="M46" s="350">
        <f t="shared" si="12"/>
        <v>1778</v>
      </c>
      <c r="N46" s="350">
        <f t="shared" si="12"/>
        <v>1778</v>
      </c>
      <c r="O46" s="350">
        <f t="shared" si="12"/>
        <v>1778</v>
      </c>
      <c r="P46" s="350">
        <f t="shared" si="12"/>
        <v>1778</v>
      </c>
      <c r="Q46" s="350">
        <f t="shared" si="12"/>
        <v>1778</v>
      </c>
      <c r="R46" s="350">
        <f t="shared" si="12"/>
        <v>1778</v>
      </c>
    </row>
    <row r="47" spans="2:18" x14ac:dyDescent="0.25">
      <c r="B47" s="347" t="s">
        <v>319</v>
      </c>
      <c r="C47" s="553"/>
      <c r="D47" s="348"/>
      <c r="E47" s="349">
        <f>VLOOKUP($B47,$B$14:$C$19,2,FALSE)</f>
        <v>2000</v>
      </c>
      <c r="F47" s="294">
        <f>VLOOKUP($B47,$B$14:$E$19,4,FALSE)</f>
        <v>3</v>
      </c>
      <c r="G47" s="476"/>
      <c r="H47" s="476"/>
      <c r="I47" s="476"/>
      <c r="J47" s="476"/>
      <c r="K47" s="476"/>
      <c r="L47" s="476"/>
      <c r="M47" s="476"/>
      <c r="N47" s="476"/>
      <c r="O47" s="476"/>
      <c r="P47" s="476"/>
      <c r="Q47" s="476"/>
      <c r="R47" s="476"/>
    </row>
    <row r="48" spans="2:18" x14ac:dyDescent="0.25">
      <c r="B48" s="352" t="s">
        <v>555</v>
      </c>
      <c r="C48" s="554" t="s">
        <v>556</v>
      </c>
      <c r="D48" s="354">
        <v>45.066773028571426</v>
      </c>
      <c r="E48" s="558">
        <v>3</v>
      </c>
      <c r="F48" s="294"/>
      <c r="G48" s="350">
        <f t="shared" ref="G48:R63" si="14">IF(G$16=0,0,G$16/$D$16*$E48*$D48)</f>
        <v>405.60095725714285</v>
      </c>
      <c r="H48" s="350">
        <f t="shared" si="14"/>
        <v>405.60095725714285</v>
      </c>
      <c r="I48" s="350">
        <f t="shared" si="14"/>
        <v>405.60095725714285</v>
      </c>
      <c r="J48" s="350">
        <f t="shared" si="14"/>
        <v>405.60095725714285</v>
      </c>
      <c r="K48" s="350">
        <f t="shared" si="14"/>
        <v>405.60095725714285</v>
      </c>
      <c r="L48" s="350">
        <f t="shared" si="14"/>
        <v>405.60095725714285</v>
      </c>
      <c r="M48" s="350">
        <f t="shared" si="14"/>
        <v>405.60095725714285</v>
      </c>
      <c r="N48" s="350">
        <f t="shared" si="14"/>
        <v>405.60095725714285</v>
      </c>
      <c r="O48" s="350">
        <f t="shared" si="14"/>
        <v>405.60095725714285</v>
      </c>
      <c r="P48" s="350">
        <f t="shared" si="14"/>
        <v>405.60095725714285</v>
      </c>
      <c r="Q48" s="350">
        <f t="shared" si="14"/>
        <v>405.60095725714285</v>
      </c>
      <c r="R48" s="350">
        <f t="shared" si="14"/>
        <v>405.60095725714285</v>
      </c>
    </row>
    <row r="49" spans="2:18" x14ac:dyDescent="0.25">
      <c r="B49" s="352" t="s">
        <v>557</v>
      </c>
      <c r="C49" s="554" t="s">
        <v>558</v>
      </c>
      <c r="D49" s="354">
        <v>38.614429257142859</v>
      </c>
      <c r="E49" s="558">
        <v>3</v>
      </c>
      <c r="F49" s="294"/>
      <c r="G49" s="350">
        <f t="shared" si="14"/>
        <v>347.52986331428576</v>
      </c>
      <c r="H49" s="350">
        <f t="shared" si="14"/>
        <v>347.52986331428576</v>
      </c>
      <c r="I49" s="350">
        <f t="shared" si="14"/>
        <v>347.52986331428576</v>
      </c>
      <c r="J49" s="350">
        <f t="shared" si="14"/>
        <v>347.52986331428576</v>
      </c>
      <c r="K49" s="350">
        <f t="shared" si="14"/>
        <v>347.52986331428576</v>
      </c>
      <c r="L49" s="350">
        <f t="shared" si="14"/>
        <v>347.52986331428576</v>
      </c>
      <c r="M49" s="350">
        <f t="shared" si="14"/>
        <v>347.52986331428576</v>
      </c>
      <c r="N49" s="350">
        <f t="shared" si="14"/>
        <v>347.52986331428576</v>
      </c>
      <c r="O49" s="350">
        <f t="shared" si="14"/>
        <v>347.52986331428576</v>
      </c>
      <c r="P49" s="350">
        <f t="shared" si="14"/>
        <v>347.52986331428576</v>
      </c>
      <c r="Q49" s="350">
        <f t="shared" si="14"/>
        <v>347.52986331428576</v>
      </c>
      <c r="R49" s="350">
        <f t="shared" si="14"/>
        <v>347.52986331428576</v>
      </c>
    </row>
    <row r="50" spans="2:18" ht="28.55" x14ac:dyDescent="0.25">
      <c r="B50" s="352" t="s">
        <v>559</v>
      </c>
      <c r="C50" s="555" t="s">
        <v>560</v>
      </c>
      <c r="D50" s="354">
        <v>11.858537142857143</v>
      </c>
      <c r="E50" s="558">
        <v>6</v>
      </c>
      <c r="F50" s="294"/>
      <c r="G50" s="350">
        <f t="shared" si="14"/>
        <v>213.45366857142858</v>
      </c>
      <c r="H50" s="350">
        <f t="shared" si="14"/>
        <v>213.45366857142858</v>
      </c>
      <c r="I50" s="350">
        <f t="shared" si="14"/>
        <v>213.45366857142858</v>
      </c>
      <c r="J50" s="350">
        <f t="shared" si="14"/>
        <v>213.45366857142858</v>
      </c>
      <c r="K50" s="350">
        <f t="shared" si="14"/>
        <v>213.45366857142858</v>
      </c>
      <c r="L50" s="350">
        <f t="shared" si="14"/>
        <v>213.45366857142858</v>
      </c>
      <c r="M50" s="350">
        <f t="shared" si="14"/>
        <v>213.45366857142858</v>
      </c>
      <c r="N50" s="350">
        <f t="shared" si="14"/>
        <v>213.45366857142858</v>
      </c>
      <c r="O50" s="350">
        <f t="shared" si="14"/>
        <v>213.45366857142858</v>
      </c>
      <c r="P50" s="350">
        <f t="shared" si="14"/>
        <v>213.45366857142858</v>
      </c>
      <c r="Q50" s="350">
        <f t="shared" si="14"/>
        <v>213.45366857142858</v>
      </c>
      <c r="R50" s="350">
        <f t="shared" si="14"/>
        <v>213.45366857142858</v>
      </c>
    </row>
    <row r="51" spans="2:18" x14ac:dyDescent="0.25">
      <c r="B51" s="352" t="s">
        <v>571</v>
      </c>
      <c r="C51" s="554" t="s">
        <v>562</v>
      </c>
      <c r="D51" s="354">
        <v>28.363021714285715</v>
      </c>
      <c r="E51" s="558">
        <v>6</v>
      </c>
      <c r="F51" s="294"/>
      <c r="G51" s="350">
        <f t="shared" si="14"/>
        <v>510.53439085714285</v>
      </c>
      <c r="H51" s="350">
        <f t="shared" si="14"/>
        <v>510.53439085714285</v>
      </c>
      <c r="I51" s="350">
        <f t="shared" si="14"/>
        <v>510.53439085714285</v>
      </c>
      <c r="J51" s="350">
        <f t="shared" si="14"/>
        <v>510.53439085714285</v>
      </c>
      <c r="K51" s="350">
        <f t="shared" si="14"/>
        <v>510.53439085714285</v>
      </c>
      <c r="L51" s="350">
        <f t="shared" si="14"/>
        <v>510.53439085714285</v>
      </c>
      <c r="M51" s="350">
        <f t="shared" si="14"/>
        <v>510.53439085714285</v>
      </c>
      <c r="N51" s="350">
        <f t="shared" si="14"/>
        <v>510.53439085714285</v>
      </c>
      <c r="O51" s="350">
        <f t="shared" si="14"/>
        <v>510.53439085714285</v>
      </c>
      <c r="P51" s="350">
        <f t="shared" si="14"/>
        <v>510.53439085714285</v>
      </c>
      <c r="Q51" s="350">
        <f t="shared" si="14"/>
        <v>510.53439085714285</v>
      </c>
      <c r="R51" s="350">
        <f t="shared" si="14"/>
        <v>510.53439085714285</v>
      </c>
    </row>
    <row r="52" spans="2:18" x14ac:dyDescent="0.25">
      <c r="B52" s="556" t="s">
        <v>572</v>
      </c>
      <c r="C52" s="554" t="s">
        <v>564</v>
      </c>
      <c r="D52" s="354">
        <v>120.70149760000001</v>
      </c>
      <c r="E52" s="558">
        <v>4</v>
      </c>
      <c r="F52" s="294"/>
      <c r="G52" s="350">
        <f t="shared" si="14"/>
        <v>1448.4179712</v>
      </c>
      <c r="H52" s="350">
        <f t="shared" si="14"/>
        <v>1448.4179712</v>
      </c>
      <c r="I52" s="350">
        <f t="shared" si="14"/>
        <v>1448.4179712</v>
      </c>
      <c r="J52" s="350">
        <f t="shared" si="14"/>
        <v>1448.4179712</v>
      </c>
      <c r="K52" s="350">
        <f t="shared" si="14"/>
        <v>1448.4179712</v>
      </c>
      <c r="L52" s="350">
        <f t="shared" si="14"/>
        <v>1448.4179712</v>
      </c>
      <c r="M52" s="350">
        <f t="shared" si="14"/>
        <v>1448.4179712</v>
      </c>
      <c r="N52" s="350">
        <f t="shared" si="14"/>
        <v>1448.4179712</v>
      </c>
      <c r="O52" s="350">
        <f t="shared" si="14"/>
        <v>1448.4179712</v>
      </c>
      <c r="P52" s="350">
        <f t="shared" si="14"/>
        <v>1448.4179712</v>
      </c>
      <c r="Q52" s="350">
        <f t="shared" si="14"/>
        <v>1448.4179712</v>
      </c>
      <c r="R52" s="350">
        <f t="shared" si="14"/>
        <v>1448.4179712</v>
      </c>
    </row>
    <row r="53" spans="2:18" ht="28.55" x14ac:dyDescent="0.25">
      <c r="B53" s="556" t="s">
        <v>565</v>
      </c>
      <c r="C53" s="554" t="s">
        <v>566</v>
      </c>
      <c r="D53" s="354">
        <v>61.642733714285718</v>
      </c>
      <c r="E53" s="558">
        <v>4</v>
      </c>
      <c r="F53" s="294"/>
      <c r="G53" s="350">
        <f t="shared" si="14"/>
        <v>739.71280457142859</v>
      </c>
      <c r="H53" s="350">
        <f t="shared" si="14"/>
        <v>739.71280457142859</v>
      </c>
      <c r="I53" s="350">
        <f t="shared" si="14"/>
        <v>739.71280457142859</v>
      </c>
      <c r="J53" s="350">
        <f t="shared" si="14"/>
        <v>739.71280457142859</v>
      </c>
      <c r="K53" s="350">
        <f t="shared" si="14"/>
        <v>739.71280457142859</v>
      </c>
      <c r="L53" s="350">
        <f t="shared" si="14"/>
        <v>739.71280457142859</v>
      </c>
      <c r="M53" s="350">
        <f t="shared" si="14"/>
        <v>739.71280457142859</v>
      </c>
      <c r="N53" s="350">
        <f t="shared" si="14"/>
        <v>739.71280457142859</v>
      </c>
      <c r="O53" s="350">
        <f t="shared" si="14"/>
        <v>739.71280457142859</v>
      </c>
      <c r="P53" s="350">
        <f t="shared" si="14"/>
        <v>739.71280457142859</v>
      </c>
      <c r="Q53" s="350">
        <f t="shared" si="14"/>
        <v>739.71280457142859</v>
      </c>
      <c r="R53" s="350">
        <f t="shared" si="14"/>
        <v>739.71280457142859</v>
      </c>
    </row>
    <row r="54" spans="2:18" ht="28.55" x14ac:dyDescent="0.25">
      <c r="B54" s="352" t="s">
        <v>567</v>
      </c>
      <c r="C54" s="557" t="s">
        <v>568</v>
      </c>
      <c r="D54" s="354">
        <v>8</v>
      </c>
      <c r="E54" s="558">
        <v>150</v>
      </c>
      <c r="F54" s="294"/>
      <c r="G54" s="350">
        <f t="shared" si="14"/>
        <v>3600</v>
      </c>
      <c r="H54" s="350">
        <f t="shared" si="14"/>
        <v>3600</v>
      </c>
      <c r="I54" s="350">
        <f t="shared" si="14"/>
        <v>3600</v>
      </c>
      <c r="J54" s="350">
        <f t="shared" si="14"/>
        <v>3600</v>
      </c>
      <c r="K54" s="350">
        <f t="shared" si="14"/>
        <v>3600</v>
      </c>
      <c r="L54" s="350">
        <f t="shared" si="14"/>
        <v>3600</v>
      </c>
      <c r="M54" s="350">
        <f t="shared" si="14"/>
        <v>3600</v>
      </c>
      <c r="N54" s="350">
        <f t="shared" si="14"/>
        <v>3600</v>
      </c>
      <c r="O54" s="350">
        <f t="shared" si="14"/>
        <v>3600</v>
      </c>
      <c r="P54" s="350">
        <f t="shared" si="14"/>
        <v>3600</v>
      </c>
      <c r="Q54" s="350">
        <f t="shared" si="14"/>
        <v>3600</v>
      </c>
      <c r="R54" s="350">
        <f t="shared" si="14"/>
        <v>3600</v>
      </c>
    </row>
    <row r="55" spans="2:18" x14ac:dyDescent="0.25">
      <c r="B55" s="352" t="s">
        <v>569</v>
      </c>
      <c r="C55" s="554" t="s">
        <v>570</v>
      </c>
      <c r="D55" s="354">
        <v>18</v>
      </c>
      <c r="E55" s="558">
        <v>10</v>
      </c>
      <c r="F55" s="294"/>
      <c r="G55" s="350">
        <f t="shared" si="14"/>
        <v>540</v>
      </c>
      <c r="H55" s="350">
        <f t="shared" si="14"/>
        <v>540</v>
      </c>
      <c r="I55" s="350">
        <f t="shared" si="14"/>
        <v>540</v>
      </c>
      <c r="J55" s="350">
        <f t="shared" si="14"/>
        <v>540</v>
      </c>
      <c r="K55" s="350">
        <f t="shared" si="14"/>
        <v>540</v>
      </c>
      <c r="L55" s="350">
        <f t="shared" si="14"/>
        <v>540</v>
      </c>
      <c r="M55" s="350">
        <f t="shared" si="14"/>
        <v>540</v>
      </c>
      <c r="N55" s="350">
        <f t="shared" si="14"/>
        <v>540</v>
      </c>
      <c r="O55" s="350">
        <f t="shared" si="14"/>
        <v>540</v>
      </c>
      <c r="P55" s="350">
        <f t="shared" si="14"/>
        <v>540</v>
      </c>
      <c r="Q55" s="350">
        <f t="shared" si="14"/>
        <v>540</v>
      </c>
      <c r="R55" s="350">
        <f t="shared" si="14"/>
        <v>540</v>
      </c>
    </row>
    <row r="56" spans="2:18" x14ac:dyDescent="0.25">
      <c r="B56" s="556" t="s">
        <v>573</v>
      </c>
      <c r="C56" s="554" t="s">
        <v>574</v>
      </c>
      <c r="D56" s="354">
        <v>153.96388205714288</v>
      </c>
      <c r="E56" s="559">
        <v>1</v>
      </c>
      <c r="F56" s="294"/>
      <c r="G56" s="350">
        <f t="shared" si="14"/>
        <v>461.89164617142865</v>
      </c>
      <c r="H56" s="350">
        <f t="shared" si="14"/>
        <v>461.89164617142865</v>
      </c>
      <c r="I56" s="350">
        <f t="shared" si="14"/>
        <v>461.89164617142865</v>
      </c>
      <c r="J56" s="350">
        <f t="shared" si="14"/>
        <v>461.89164617142865</v>
      </c>
      <c r="K56" s="350">
        <f t="shared" si="14"/>
        <v>461.89164617142865</v>
      </c>
      <c r="L56" s="350">
        <f t="shared" si="14"/>
        <v>461.89164617142865</v>
      </c>
      <c r="M56" s="350">
        <f t="shared" si="14"/>
        <v>461.89164617142865</v>
      </c>
      <c r="N56" s="350">
        <f t="shared" si="14"/>
        <v>461.89164617142865</v>
      </c>
      <c r="O56" s="350">
        <f t="shared" si="14"/>
        <v>461.89164617142865</v>
      </c>
      <c r="P56" s="350">
        <f t="shared" si="14"/>
        <v>461.89164617142865</v>
      </c>
      <c r="Q56" s="350">
        <f t="shared" si="14"/>
        <v>461.89164617142865</v>
      </c>
      <c r="R56" s="350">
        <f t="shared" si="14"/>
        <v>461.89164617142865</v>
      </c>
    </row>
    <row r="57" spans="2:18" ht="28.55" x14ac:dyDescent="0.25">
      <c r="B57" s="556" t="s">
        <v>575</v>
      </c>
      <c r="C57" s="554">
        <v>60326015</v>
      </c>
      <c r="D57" s="354">
        <v>76.973277257142868</v>
      </c>
      <c r="E57" s="559">
        <v>2</v>
      </c>
      <c r="F57" s="294"/>
      <c r="G57" s="350">
        <f t="shared" si="14"/>
        <v>461.83966354285724</v>
      </c>
      <c r="H57" s="350">
        <f t="shared" si="14"/>
        <v>461.83966354285724</v>
      </c>
      <c r="I57" s="350">
        <f t="shared" si="14"/>
        <v>461.83966354285724</v>
      </c>
      <c r="J57" s="350">
        <f t="shared" si="14"/>
        <v>461.83966354285724</v>
      </c>
      <c r="K57" s="350">
        <f t="shared" si="14"/>
        <v>461.83966354285724</v>
      </c>
      <c r="L57" s="350">
        <f t="shared" si="14"/>
        <v>461.83966354285724</v>
      </c>
      <c r="M57" s="350">
        <f t="shared" si="14"/>
        <v>461.83966354285724</v>
      </c>
      <c r="N57" s="350">
        <f t="shared" si="14"/>
        <v>461.83966354285724</v>
      </c>
      <c r="O57" s="350">
        <f t="shared" si="14"/>
        <v>461.83966354285724</v>
      </c>
      <c r="P57" s="350">
        <f t="shared" si="14"/>
        <v>461.83966354285724</v>
      </c>
      <c r="Q57" s="350">
        <f t="shared" si="14"/>
        <v>461.83966354285724</v>
      </c>
      <c r="R57" s="350">
        <f t="shared" si="14"/>
        <v>461.83966354285724</v>
      </c>
    </row>
    <row r="58" spans="2:18" ht="28.55" x14ac:dyDescent="0.25">
      <c r="B58" s="556" t="s">
        <v>576</v>
      </c>
      <c r="C58" s="554">
        <v>60283940</v>
      </c>
      <c r="D58" s="354">
        <v>34.239224685714291</v>
      </c>
      <c r="E58" s="559">
        <v>1</v>
      </c>
      <c r="F58" s="294"/>
      <c r="G58" s="350">
        <f t="shared" si="14"/>
        <v>102.71767405714287</v>
      </c>
      <c r="H58" s="350">
        <f t="shared" si="14"/>
        <v>102.71767405714287</v>
      </c>
      <c r="I58" s="350">
        <f t="shared" si="14"/>
        <v>102.71767405714287</v>
      </c>
      <c r="J58" s="350">
        <f t="shared" si="14"/>
        <v>102.71767405714287</v>
      </c>
      <c r="K58" s="350">
        <f t="shared" si="14"/>
        <v>102.71767405714287</v>
      </c>
      <c r="L58" s="350">
        <f t="shared" si="14"/>
        <v>102.71767405714287</v>
      </c>
      <c r="M58" s="350">
        <f t="shared" si="14"/>
        <v>102.71767405714287</v>
      </c>
      <c r="N58" s="350">
        <f t="shared" si="14"/>
        <v>102.71767405714287</v>
      </c>
      <c r="O58" s="350">
        <f t="shared" si="14"/>
        <v>102.71767405714287</v>
      </c>
      <c r="P58" s="350">
        <f t="shared" si="14"/>
        <v>102.71767405714287</v>
      </c>
      <c r="Q58" s="350">
        <f t="shared" si="14"/>
        <v>102.71767405714287</v>
      </c>
      <c r="R58" s="350">
        <f t="shared" si="14"/>
        <v>102.71767405714287</v>
      </c>
    </row>
    <row r="59" spans="2:18" x14ac:dyDescent="0.25">
      <c r="B59" s="556" t="s">
        <v>577</v>
      </c>
      <c r="C59" s="554">
        <v>60186788</v>
      </c>
      <c r="D59" s="354">
        <v>4.7369170285714288</v>
      </c>
      <c r="E59" s="559">
        <v>2</v>
      </c>
      <c r="F59" s="358"/>
      <c r="G59" s="350">
        <f>IF(G$16=0,0,G$16/$D$16*$E59*$D59)</f>
        <v>28.421502171428571</v>
      </c>
      <c r="H59" s="350">
        <f t="shared" si="14"/>
        <v>28.421502171428571</v>
      </c>
      <c r="I59" s="350">
        <f t="shared" si="14"/>
        <v>28.421502171428571</v>
      </c>
      <c r="J59" s="350">
        <f t="shared" si="14"/>
        <v>28.421502171428571</v>
      </c>
      <c r="K59" s="350">
        <f t="shared" si="14"/>
        <v>28.421502171428571</v>
      </c>
      <c r="L59" s="350">
        <f t="shared" si="14"/>
        <v>28.421502171428571</v>
      </c>
      <c r="M59" s="350">
        <f t="shared" si="14"/>
        <v>28.421502171428571</v>
      </c>
      <c r="N59" s="350">
        <f t="shared" si="14"/>
        <v>28.421502171428571</v>
      </c>
      <c r="O59" s="350">
        <f t="shared" si="14"/>
        <v>28.421502171428571</v>
      </c>
      <c r="P59" s="350">
        <f t="shared" si="14"/>
        <v>28.421502171428571</v>
      </c>
      <c r="Q59" s="350">
        <f t="shared" si="14"/>
        <v>28.421502171428571</v>
      </c>
      <c r="R59" s="350">
        <f t="shared" si="14"/>
        <v>28.421502171428571</v>
      </c>
    </row>
    <row r="60" spans="2:18" x14ac:dyDescent="0.25">
      <c r="B60" s="556" t="s">
        <v>578</v>
      </c>
      <c r="C60" s="554">
        <v>60205016</v>
      </c>
      <c r="D60" s="354">
        <v>158.5383533714286</v>
      </c>
      <c r="E60" s="559">
        <v>2</v>
      </c>
      <c r="F60" s="358"/>
      <c r="G60" s="350">
        <f t="shared" ref="G60:R64" si="15">IF(G$16=0,0,G$16/$D$16*$E60*$D60)</f>
        <v>951.23012022857165</v>
      </c>
      <c r="H60" s="350">
        <f t="shared" si="15"/>
        <v>951.23012022857165</v>
      </c>
      <c r="I60" s="350">
        <f t="shared" si="15"/>
        <v>951.23012022857165</v>
      </c>
      <c r="J60" s="350">
        <f t="shared" si="15"/>
        <v>951.23012022857165</v>
      </c>
      <c r="K60" s="350">
        <f t="shared" si="15"/>
        <v>951.23012022857165</v>
      </c>
      <c r="L60" s="350">
        <f t="shared" si="15"/>
        <v>951.23012022857165</v>
      </c>
      <c r="M60" s="350">
        <f t="shared" si="15"/>
        <v>951.23012022857165</v>
      </c>
      <c r="N60" s="350">
        <f t="shared" si="15"/>
        <v>951.23012022857165</v>
      </c>
      <c r="O60" s="350">
        <f t="shared" si="15"/>
        <v>951.23012022857165</v>
      </c>
      <c r="P60" s="350">
        <f t="shared" si="15"/>
        <v>951.23012022857165</v>
      </c>
      <c r="Q60" s="350">
        <f t="shared" si="15"/>
        <v>951.23012022857165</v>
      </c>
      <c r="R60" s="350">
        <f t="shared" si="15"/>
        <v>951.23012022857165</v>
      </c>
    </row>
    <row r="61" spans="2:18" x14ac:dyDescent="0.25">
      <c r="B61" s="556" t="s">
        <v>579</v>
      </c>
      <c r="C61" s="554">
        <v>60046289</v>
      </c>
      <c r="D61" s="354">
        <v>127.30112548571429</v>
      </c>
      <c r="E61" s="559">
        <v>2</v>
      </c>
      <c r="F61" s="358"/>
      <c r="G61" s="350">
        <f t="shared" si="15"/>
        <v>763.80675291428577</v>
      </c>
      <c r="H61" s="350">
        <f t="shared" si="14"/>
        <v>763.80675291428577</v>
      </c>
      <c r="I61" s="350">
        <f t="shared" si="14"/>
        <v>763.80675291428577</v>
      </c>
      <c r="J61" s="350">
        <f t="shared" si="14"/>
        <v>763.80675291428577</v>
      </c>
      <c r="K61" s="350">
        <f t="shared" si="14"/>
        <v>763.80675291428577</v>
      </c>
      <c r="L61" s="350">
        <f t="shared" si="14"/>
        <v>763.80675291428577</v>
      </c>
      <c r="M61" s="350">
        <f t="shared" si="14"/>
        <v>763.80675291428577</v>
      </c>
      <c r="N61" s="350">
        <f t="shared" si="14"/>
        <v>763.80675291428577</v>
      </c>
      <c r="O61" s="350">
        <f t="shared" si="14"/>
        <v>763.80675291428577</v>
      </c>
      <c r="P61" s="350">
        <f t="shared" si="14"/>
        <v>763.80675291428577</v>
      </c>
      <c r="Q61" s="350">
        <f t="shared" si="14"/>
        <v>763.80675291428577</v>
      </c>
      <c r="R61" s="350">
        <f t="shared" si="14"/>
        <v>763.80675291428577</v>
      </c>
    </row>
    <row r="62" spans="2:18" x14ac:dyDescent="0.25">
      <c r="B62" s="556" t="s">
        <v>580</v>
      </c>
      <c r="C62" s="554" t="s">
        <v>581</v>
      </c>
      <c r="D62" s="354">
        <v>5</v>
      </c>
      <c r="E62" s="559">
        <v>320</v>
      </c>
      <c r="F62" s="358"/>
      <c r="G62" s="350">
        <f t="shared" si="15"/>
        <v>4800</v>
      </c>
      <c r="H62" s="350">
        <f t="shared" si="14"/>
        <v>4800</v>
      </c>
      <c r="I62" s="350">
        <f t="shared" si="14"/>
        <v>4800</v>
      </c>
      <c r="J62" s="350">
        <f t="shared" si="14"/>
        <v>4800</v>
      </c>
      <c r="K62" s="350">
        <f t="shared" si="14"/>
        <v>4800</v>
      </c>
      <c r="L62" s="350">
        <f t="shared" si="14"/>
        <v>4800</v>
      </c>
      <c r="M62" s="350">
        <f t="shared" si="14"/>
        <v>4800</v>
      </c>
      <c r="N62" s="350">
        <f t="shared" si="14"/>
        <v>4800</v>
      </c>
      <c r="O62" s="350">
        <f t="shared" si="14"/>
        <v>4800</v>
      </c>
      <c r="P62" s="350">
        <f t="shared" si="14"/>
        <v>4800</v>
      </c>
      <c r="Q62" s="350">
        <f t="shared" si="14"/>
        <v>4800</v>
      </c>
      <c r="R62" s="350">
        <f t="shared" si="14"/>
        <v>4800</v>
      </c>
    </row>
    <row r="63" spans="2:18" ht="71.349999999999994" x14ac:dyDescent="0.25">
      <c r="B63" s="556" t="s">
        <v>582</v>
      </c>
      <c r="C63" s="554" t="s">
        <v>583</v>
      </c>
      <c r="D63" s="354">
        <v>8</v>
      </c>
      <c r="E63" s="559">
        <v>80</v>
      </c>
      <c r="F63" s="358"/>
      <c r="G63" s="350">
        <f t="shared" si="15"/>
        <v>1920</v>
      </c>
      <c r="H63" s="350">
        <f t="shared" si="14"/>
        <v>1920</v>
      </c>
      <c r="I63" s="350">
        <f t="shared" si="14"/>
        <v>1920</v>
      </c>
      <c r="J63" s="350">
        <f t="shared" si="14"/>
        <v>1920</v>
      </c>
      <c r="K63" s="350">
        <f t="shared" si="14"/>
        <v>1920</v>
      </c>
      <c r="L63" s="350">
        <f t="shared" si="14"/>
        <v>1920</v>
      </c>
      <c r="M63" s="350">
        <f t="shared" si="14"/>
        <v>1920</v>
      </c>
      <c r="N63" s="350">
        <f t="shared" si="14"/>
        <v>1920</v>
      </c>
      <c r="O63" s="350">
        <f t="shared" si="14"/>
        <v>1920</v>
      </c>
      <c r="P63" s="350">
        <f t="shared" si="14"/>
        <v>1920</v>
      </c>
      <c r="Q63" s="350">
        <f t="shared" si="14"/>
        <v>1920</v>
      </c>
      <c r="R63" s="350">
        <f t="shared" si="14"/>
        <v>1920</v>
      </c>
    </row>
    <row r="64" spans="2:18" ht="71.349999999999994" x14ac:dyDescent="0.25">
      <c r="B64" s="556" t="s">
        <v>584</v>
      </c>
      <c r="C64" s="554" t="s">
        <v>583</v>
      </c>
      <c r="D64" s="354">
        <v>8</v>
      </c>
      <c r="E64" s="559">
        <v>100</v>
      </c>
      <c r="F64" s="358"/>
      <c r="G64" s="350">
        <f t="shared" si="15"/>
        <v>2400</v>
      </c>
      <c r="H64" s="350">
        <f t="shared" si="15"/>
        <v>2400</v>
      </c>
      <c r="I64" s="350">
        <f t="shared" si="15"/>
        <v>2400</v>
      </c>
      <c r="J64" s="350">
        <f t="shared" si="15"/>
        <v>2400</v>
      </c>
      <c r="K64" s="350">
        <f t="shared" si="15"/>
        <v>2400</v>
      </c>
      <c r="L64" s="350">
        <f t="shared" si="15"/>
        <v>2400</v>
      </c>
      <c r="M64" s="350">
        <f t="shared" si="15"/>
        <v>2400</v>
      </c>
      <c r="N64" s="350">
        <f t="shared" si="15"/>
        <v>2400</v>
      </c>
      <c r="O64" s="350">
        <f t="shared" si="15"/>
        <v>2400</v>
      </c>
      <c r="P64" s="350">
        <f t="shared" si="15"/>
        <v>2400</v>
      </c>
      <c r="Q64" s="350">
        <f t="shared" si="15"/>
        <v>2400</v>
      </c>
      <c r="R64" s="350">
        <f t="shared" si="15"/>
        <v>2400</v>
      </c>
    </row>
    <row r="65" spans="2:18" x14ac:dyDescent="0.25">
      <c r="B65" s="347" t="s">
        <v>552</v>
      </c>
      <c r="C65" s="553"/>
      <c r="D65" s="348"/>
      <c r="E65" s="349">
        <f>VLOOKUP($B65,$B$14:$C$19,2,FALSE)</f>
        <v>4000</v>
      </c>
      <c r="F65" s="294">
        <f>VLOOKUP($B65,$B$14:$E$19,4,FALSE)</f>
        <v>1</v>
      </c>
      <c r="G65" s="476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</row>
    <row r="66" spans="2:18" x14ac:dyDescent="0.25">
      <c r="B66" s="352" t="s">
        <v>555</v>
      </c>
      <c r="C66" s="554" t="s">
        <v>556</v>
      </c>
      <c r="D66" s="354">
        <v>45.066773028571426</v>
      </c>
      <c r="E66" s="558">
        <v>3</v>
      </c>
      <c r="F66" s="294"/>
      <c r="G66" s="350">
        <f t="shared" ref="G66:R81" si="16">IF(G$17=0,0,G$17/$D$17*$E66*$D66)</f>
        <v>135.20031908571428</v>
      </c>
      <c r="H66" s="350">
        <f t="shared" si="16"/>
        <v>135.20031908571428</v>
      </c>
      <c r="I66" s="350">
        <f t="shared" si="16"/>
        <v>135.20031908571428</v>
      </c>
      <c r="J66" s="350">
        <f t="shared" si="16"/>
        <v>135.20031908571428</v>
      </c>
      <c r="K66" s="350">
        <f t="shared" si="16"/>
        <v>135.20031908571428</v>
      </c>
      <c r="L66" s="350">
        <f t="shared" si="16"/>
        <v>135.20031908571428</v>
      </c>
      <c r="M66" s="350">
        <f t="shared" si="16"/>
        <v>135.20031908571428</v>
      </c>
      <c r="N66" s="350">
        <f t="shared" si="16"/>
        <v>135.20031908571428</v>
      </c>
      <c r="O66" s="350">
        <f t="shared" si="16"/>
        <v>135.20031908571428</v>
      </c>
      <c r="P66" s="350">
        <f t="shared" si="16"/>
        <v>135.20031908571428</v>
      </c>
      <c r="Q66" s="350">
        <f t="shared" si="16"/>
        <v>135.20031908571428</v>
      </c>
      <c r="R66" s="350">
        <f t="shared" si="16"/>
        <v>135.20031908571428</v>
      </c>
    </row>
    <row r="67" spans="2:18" x14ac:dyDescent="0.25">
      <c r="B67" s="352" t="s">
        <v>557</v>
      </c>
      <c r="C67" s="554" t="s">
        <v>558</v>
      </c>
      <c r="D67" s="354">
        <v>38.614429257142859</v>
      </c>
      <c r="E67" s="558">
        <v>3</v>
      </c>
      <c r="F67" s="294"/>
      <c r="G67" s="350">
        <f t="shared" si="16"/>
        <v>115.84328777142858</v>
      </c>
      <c r="H67" s="350">
        <f t="shared" si="16"/>
        <v>115.84328777142858</v>
      </c>
      <c r="I67" s="350">
        <f t="shared" si="16"/>
        <v>115.84328777142858</v>
      </c>
      <c r="J67" s="350">
        <f t="shared" si="16"/>
        <v>115.84328777142858</v>
      </c>
      <c r="K67" s="350">
        <f t="shared" si="16"/>
        <v>115.84328777142858</v>
      </c>
      <c r="L67" s="350">
        <f t="shared" si="16"/>
        <v>115.84328777142858</v>
      </c>
      <c r="M67" s="350">
        <f t="shared" si="16"/>
        <v>115.84328777142858</v>
      </c>
      <c r="N67" s="350">
        <f t="shared" si="16"/>
        <v>115.84328777142858</v>
      </c>
      <c r="O67" s="350">
        <f t="shared" si="16"/>
        <v>115.84328777142858</v>
      </c>
      <c r="P67" s="350">
        <f t="shared" si="16"/>
        <v>115.84328777142858</v>
      </c>
      <c r="Q67" s="350">
        <f t="shared" si="16"/>
        <v>115.84328777142858</v>
      </c>
      <c r="R67" s="350">
        <f t="shared" si="16"/>
        <v>115.84328777142858</v>
      </c>
    </row>
    <row r="68" spans="2:18" ht="28.55" x14ac:dyDescent="0.25">
      <c r="B68" s="352" t="s">
        <v>559</v>
      </c>
      <c r="C68" s="555" t="s">
        <v>560</v>
      </c>
      <c r="D68" s="354">
        <v>11.858537142857143</v>
      </c>
      <c r="E68" s="558">
        <v>6</v>
      </c>
      <c r="F68" s="294"/>
      <c r="G68" s="350">
        <f t="shared" si="16"/>
        <v>71.151222857142855</v>
      </c>
      <c r="H68" s="350">
        <f t="shared" si="16"/>
        <v>71.151222857142855</v>
      </c>
      <c r="I68" s="350">
        <f t="shared" si="16"/>
        <v>71.151222857142855</v>
      </c>
      <c r="J68" s="350">
        <f t="shared" si="16"/>
        <v>71.151222857142855</v>
      </c>
      <c r="K68" s="350">
        <f t="shared" si="16"/>
        <v>71.151222857142855</v>
      </c>
      <c r="L68" s="350">
        <f t="shared" si="16"/>
        <v>71.151222857142855</v>
      </c>
      <c r="M68" s="350">
        <f t="shared" si="16"/>
        <v>71.151222857142855</v>
      </c>
      <c r="N68" s="350">
        <f t="shared" si="16"/>
        <v>71.151222857142855</v>
      </c>
      <c r="O68" s="350">
        <f t="shared" si="16"/>
        <v>71.151222857142855</v>
      </c>
      <c r="P68" s="350">
        <f t="shared" si="16"/>
        <v>71.151222857142855</v>
      </c>
      <c r="Q68" s="350">
        <f t="shared" si="16"/>
        <v>71.151222857142855</v>
      </c>
      <c r="R68" s="350">
        <f t="shared" si="16"/>
        <v>71.151222857142855</v>
      </c>
    </row>
    <row r="69" spans="2:18" x14ac:dyDescent="0.25">
      <c r="B69" s="352" t="s">
        <v>571</v>
      </c>
      <c r="C69" s="554" t="s">
        <v>562</v>
      </c>
      <c r="D69" s="354">
        <v>28.363021714285715</v>
      </c>
      <c r="E69" s="558">
        <v>6</v>
      </c>
      <c r="F69" s="294"/>
      <c r="G69" s="350">
        <f t="shared" si="16"/>
        <v>170.1781302857143</v>
      </c>
      <c r="H69" s="350">
        <f t="shared" si="16"/>
        <v>170.1781302857143</v>
      </c>
      <c r="I69" s="350">
        <f t="shared" si="16"/>
        <v>170.1781302857143</v>
      </c>
      <c r="J69" s="350">
        <f t="shared" si="16"/>
        <v>170.1781302857143</v>
      </c>
      <c r="K69" s="350">
        <f t="shared" si="16"/>
        <v>170.1781302857143</v>
      </c>
      <c r="L69" s="350">
        <f t="shared" si="16"/>
        <v>170.1781302857143</v>
      </c>
      <c r="M69" s="350">
        <f t="shared" si="16"/>
        <v>170.1781302857143</v>
      </c>
      <c r="N69" s="350">
        <f t="shared" si="16"/>
        <v>170.1781302857143</v>
      </c>
      <c r="O69" s="350">
        <f t="shared" si="16"/>
        <v>170.1781302857143</v>
      </c>
      <c r="P69" s="350">
        <f t="shared" si="16"/>
        <v>170.1781302857143</v>
      </c>
      <c r="Q69" s="350">
        <f t="shared" si="16"/>
        <v>170.1781302857143</v>
      </c>
      <c r="R69" s="350">
        <f t="shared" si="16"/>
        <v>170.1781302857143</v>
      </c>
    </row>
    <row r="70" spans="2:18" x14ac:dyDescent="0.25">
      <c r="B70" s="556" t="s">
        <v>572</v>
      </c>
      <c r="C70" s="554" t="s">
        <v>564</v>
      </c>
      <c r="D70" s="354">
        <v>120.70149760000001</v>
      </c>
      <c r="E70" s="558">
        <v>4</v>
      </c>
      <c r="F70" s="294"/>
      <c r="G70" s="350">
        <f t="shared" si="16"/>
        <v>482.80599040000004</v>
      </c>
      <c r="H70" s="350">
        <f t="shared" si="16"/>
        <v>482.80599040000004</v>
      </c>
      <c r="I70" s="350">
        <f t="shared" si="16"/>
        <v>482.80599040000004</v>
      </c>
      <c r="J70" s="350">
        <f t="shared" si="16"/>
        <v>482.80599040000004</v>
      </c>
      <c r="K70" s="350">
        <f t="shared" si="16"/>
        <v>482.80599040000004</v>
      </c>
      <c r="L70" s="350">
        <f t="shared" si="16"/>
        <v>482.80599040000004</v>
      </c>
      <c r="M70" s="350">
        <f t="shared" si="16"/>
        <v>482.80599040000004</v>
      </c>
      <c r="N70" s="350">
        <f t="shared" si="16"/>
        <v>482.80599040000004</v>
      </c>
      <c r="O70" s="350">
        <f t="shared" si="16"/>
        <v>482.80599040000004</v>
      </c>
      <c r="P70" s="350">
        <f t="shared" si="16"/>
        <v>482.80599040000004</v>
      </c>
      <c r="Q70" s="350">
        <f t="shared" si="16"/>
        <v>482.80599040000004</v>
      </c>
      <c r="R70" s="350">
        <f t="shared" si="16"/>
        <v>482.80599040000004</v>
      </c>
    </row>
    <row r="71" spans="2:18" ht="28.55" x14ac:dyDescent="0.25">
      <c r="B71" s="556" t="s">
        <v>565</v>
      </c>
      <c r="C71" s="554" t="s">
        <v>566</v>
      </c>
      <c r="D71" s="354">
        <v>61.642733714285718</v>
      </c>
      <c r="E71" s="558">
        <v>4</v>
      </c>
      <c r="F71" s="294"/>
      <c r="G71" s="350">
        <f t="shared" si="16"/>
        <v>246.57093485714287</v>
      </c>
      <c r="H71" s="350">
        <f t="shared" si="16"/>
        <v>246.57093485714287</v>
      </c>
      <c r="I71" s="350">
        <f t="shared" si="16"/>
        <v>246.57093485714287</v>
      </c>
      <c r="J71" s="350">
        <f t="shared" si="16"/>
        <v>246.57093485714287</v>
      </c>
      <c r="K71" s="350">
        <f t="shared" si="16"/>
        <v>246.57093485714287</v>
      </c>
      <c r="L71" s="350">
        <f t="shared" si="16"/>
        <v>246.57093485714287</v>
      </c>
      <c r="M71" s="350">
        <f t="shared" si="16"/>
        <v>246.57093485714287</v>
      </c>
      <c r="N71" s="350">
        <f t="shared" si="16"/>
        <v>246.57093485714287</v>
      </c>
      <c r="O71" s="350">
        <f t="shared" si="16"/>
        <v>246.57093485714287</v>
      </c>
      <c r="P71" s="350">
        <f t="shared" si="16"/>
        <v>246.57093485714287</v>
      </c>
      <c r="Q71" s="350">
        <f t="shared" si="16"/>
        <v>246.57093485714287</v>
      </c>
      <c r="R71" s="350">
        <f t="shared" si="16"/>
        <v>246.57093485714287</v>
      </c>
    </row>
    <row r="72" spans="2:18" ht="28.55" x14ac:dyDescent="0.25">
      <c r="B72" s="352" t="s">
        <v>567</v>
      </c>
      <c r="C72" s="557" t="s">
        <v>568</v>
      </c>
      <c r="D72" s="354">
        <v>8</v>
      </c>
      <c r="E72" s="558">
        <v>150</v>
      </c>
      <c r="F72" s="294"/>
      <c r="G72" s="350">
        <f t="shared" si="16"/>
        <v>1200</v>
      </c>
      <c r="H72" s="350">
        <f t="shared" si="16"/>
        <v>1200</v>
      </c>
      <c r="I72" s="350">
        <f t="shared" si="16"/>
        <v>1200</v>
      </c>
      <c r="J72" s="350">
        <f t="shared" si="16"/>
        <v>1200</v>
      </c>
      <c r="K72" s="350">
        <f t="shared" si="16"/>
        <v>1200</v>
      </c>
      <c r="L72" s="350">
        <f t="shared" si="16"/>
        <v>1200</v>
      </c>
      <c r="M72" s="350">
        <f t="shared" si="16"/>
        <v>1200</v>
      </c>
      <c r="N72" s="350">
        <f t="shared" si="16"/>
        <v>1200</v>
      </c>
      <c r="O72" s="350">
        <f t="shared" si="16"/>
        <v>1200</v>
      </c>
      <c r="P72" s="350">
        <f t="shared" si="16"/>
        <v>1200</v>
      </c>
      <c r="Q72" s="350">
        <f t="shared" si="16"/>
        <v>1200</v>
      </c>
      <c r="R72" s="350">
        <f t="shared" si="16"/>
        <v>1200</v>
      </c>
    </row>
    <row r="73" spans="2:18" x14ac:dyDescent="0.25">
      <c r="B73" s="352" t="s">
        <v>569</v>
      </c>
      <c r="C73" s="554" t="s">
        <v>570</v>
      </c>
      <c r="D73" s="354">
        <v>18</v>
      </c>
      <c r="E73" s="558">
        <v>10</v>
      </c>
      <c r="F73" s="294"/>
      <c r="G73" s="350">
        <f t="shared" si="16"/>
        <v>180</v>
      </c>
      <c r="H73" s="350">
        <f t="shared" si="16"/>
        <v>180</v>
      </c>
      <c r="I73" s="350">
        <f t="shared" si="16"/>
        <v>180</v>
      </c>
      <c r="J73" s="350">
        <f t="shared" si="16"/>
        <v>180</v>
      </c>
      <c r="K73" s="350">
        <f t="shared" si="16"/>
        <v>180</v>
      </c>
      <c r="L73" s="350">
        <f t="shared" si="16"/>
        <v>180</v>
      </c>
      <c r="M73" s="350">
        <f t="shared" si="16"/>
        <v>180</v>
      </c>
      <c r="N73" s="350">
        <f t="shared" si="16"/>
        <v>180</v>
      </c>
      <c r="O73" s="350">
        <f t="shared" si="16"/>
        <v>180</v>
      </c>
      <c r="P73" s="350">
        <f t="shared" si="16"/>
        <v>180</v>
      </c>
      <c r="Q73" s="350">
        <f t="shared" si="16"/>
        <v>180</v>
      </c>
      <c r="R73" s="350">
        <f t="shared" si="16"/>
        <v>180</v>
      </c>
    </row>
    <row r="74" spans="2:18" x14ac:dyDescent="0.25">
      <c r="B74" s="556" t="s">
        <v>573</v>
      </c>
      <c r="C74" s="554" t="s">
        <v>574</v>
      </c>
      <c r="D74" s="354">
        <v>153.96388205714288</v>
      </c>
      <c r="E74" s="559">
        <v>1</v>
      </c>
      <c r="F74" s="294"/>
      <c r="G74" s="350">
        <f t="shared" si="16"/>
        <v>153.96388205714288</v>
      </c>
      <c r="H74" s="350">
        <f t="shared" si="16"/>
        <v>153.96388205714288</v>
      </c>
      <c r="I74" s="350">
        <f t="shared" si="16"/>
        <v>153.96388205714288</v>
      </c>
      <c r="J74" s="350">
        <f t="shared" si="16"/>
        <v>153.96388205714288</v>
      </c>
      <c r="K74" s="350">
        <f t="shared" si="16"/>
        <v>153.96388205714288</v>
      </c>
      <c r="L74" s="350">
        <f t="shared" si="16"/>
        <v>153.96388205714288</v>
      </c>
      <c r="M74" s="350">
        <f t="shared" si="16"/>
        <v>153.96388205714288</v>
      </c>
      <c r="N74" s="350">
        <f t="shared" si="16"/>
        <v>153.96388205714288</v>
      </c>
      <c r="O74" s="350">
        <f t="shared" si="16"/>
        <v>153.96388205714288</v>
      </c>
      <c r="P74" s="350">
        <f t="shared" si="16"/>
        <v>153.96388205714288</v>
      </c>
      <c r="Q74" s="350">
        <f t="shared" si="16"/>
        <v>153.96388205714288</v>
      </c>
      <c r="R74" s="350">
        <f t="shared" si="16"/>
        <v>153.96388205714288</v>
      </c>
    </row>
    <row r="75" spans="2:18" ht="28.55" x14ac:dyDescent="0.25">
      <c r="B75" s="556" t="s">
        <v>575</v>
      </c>
      <c r="C75" s="554">
        <v>60326015</v>
      </c>
      <c r="D75" s="354">
        <v>76.973277257142868</v>
      </c>
      <c r="E75" s="559">
        <v>2</v>
      </c>
      <c r="F75" s="294"/>
      <c r="G75" s="350">
        <f t="shared" si="16"/>
        <v>153.94655451428574</v>
      </c>
      <c r="H75" s="350">
        <f t="shared" si="16"/>
        <v>153.94655451428574</v>
      </c>
      <c r="I75" s="350">
        <f t="shared" si="16"/>
        <v>153.94655451428574</v>
      </c>
      <c r="J75" s="350">
        <f t="shared" si="16"/>
        <v>153.94655451428574</v>
      </c>
      <c r="K75" s="350">
        <f t="shared" si="16"/>
        <v>153.94655451428574</v>
      </c>
      <c r="L75" s="350">
        <f t="shared" si="16"/>
        <v>153.94655451428574</v>
      </c>
      <c r="M75" s="350">
        <f t="shared" si="16"/>
        <v>153.94655451428574</v>
      </c>
      <c r="N75" s="350">
        <f t="shared" si="16"/>
        <v>153.94655451428574</v>
      </c>
      <c r="O75" s="350">
        <f t="shared" si="16"/>
        <v>153.94655451428574</v>
      </c>
      <c r="P75" s="350">
        <f t="shared" si="16"/>
        <v>153.94655451428574</v>
      </c>
      <c r="Q75" s="350">
        <f t="shared" si="16"/>
        <v>153.94655451428574</v>
      </c>
      <c r="R75" s="350">
        <f t="shared" si="16"/>
        <v>153.94655451428574</v>
      </c>
    </row>
    <row r="76" spans="2:18" ht="28.55" x14ac:dyDescent="0.25">
      <c r="B76" s="556" t="s">
        <v>576</v>
      </c>
      <c r="C76" s="554">
        <v>60283940</v>
      </c>
      <c r="D76" s="354">
        <v>34.239224685714291</v>
      </c>
      <c r="E76" s="559">
        <v>1</v>
      </c>
      <c r="F76" s="294"/>
      <c r="G76" s="350">
        <f t="shared" si="16"/>
        <v>34.239224685714291</v>
      </c>
      <c r="H76" s="350">
        <f t="shared" si="16"/>
        <v>34.239224685714291</v>
      </c>
      <c r="I76" s="350">
        <f t="shared" si="16"/>
        <v>34.239224685714291</v>
      </c>
      <c r="J76" s="350">
        <f t="shared" si="16"/>
        <v>34.239224685714291</v>
      </c>
      <c r="K76" s="350">
        <f t="shared" si="16"/>
        <v>34.239224685714291</v>
      </c>
      <c r="L76" s="350">
        <f t="shared" si="16"/>
        <v>34.239224685714291</v>
      </c>
      <c r="M76" s="350">
        <f t="shared" si="16"/>
        <v>34.239224685714291</v>
      </c>
      <c r="N76" s="350">
        <f t="shared" si="16"/>
        <v>34.239224685714291</v>
      </c>
      <c r="O76" s="350">
        <f t="shared" si="16"/>
        <v>34.239224685714291</v>
      </c>
      <c r="P76" s="350">
        <f t="shared" si="16"/>
        <v>34.239224685714291</v>
      </c>
      <c r="Q76" s="350">
        <f t="shared" si="16"/>
        <v>34.239224685714291</v>
      </c>
      <c r="R76" s="350">
        <f t="shared" si="16"/>
        <v>34.239224685714291</v>
      </c>
    </row>
    <row r="77" spans="2:18" x14ac:dyDescent="0.25">
      <c r="B77" s="556" t="s">
        <v>577</v>
      </c>
      <c r="C77" s="554">
        <v>60186788</v>
      </c>
      <c r="D77" s="354">
        <v>4.7369170285714288</v>
      </c>
      <c r="E77" s="559">
        <v>2</v>
      </c>
      <c r="F77" s="294"/>
      <c r="G77" s="350">
        <f t="shared" si="16"/>
        <v>9.4738340571428576</v>
      </c>
      <c r="H77" s="350">
        <f t="shared" si="16"/>
        <v>9.4738340571428576</v>
      </c>
      <c r="I77" s="350">
        <f t="shared" si="16"/>
        <v>9.4738340571428576</v>
      </c>
      <c r="J77" s="350">
        <f t="shared" si="16"/>
        <v>9.4738340571428576</v>
      </c>
      <c r="K77" s="350">
        <f t="shared" si="16"/>
        <v>9.4738340571428576</v>
      </c>
      <c r="L77" s="350">
        <f t="shared" si="16"/>
        <v>9.4738340571428576</v>
      </c>
      <c r="M77" s="350">
        <f t="shared" si="16"/>
        <v>9.4738340571428576</v>
      </c>
      <c r="N77" s="350">
        <f t="shared" si="16"/>
        <v>9.4738340571428576</v>
      </c>
      <c r="O77" s="350">
        <f t="shared" si="16"/>
        <v>9.4738340571428576</v>
      </c>
      <c r="P77" s="350">
        <f t="shared" si="16"/>
        <v>9.4738340571428576</v>
      </c>
      <c r="Q77" s="350">
        <f t="shared" si="16"/>
        <v>9.4738340571428576</v>
      </c>
      <c r="R77" s="350">
        <f t="shared" si="16"/>
        <v>9.4738340571428576</v>
      </c>
    </row>
    <row r="78" spans="2:18" x14ac:dyDescent="0.25">
      <c r="B78" s="556" t="s">
        <v>578</v>
      </c>
      <c r="C78" s="554">
        <v>60205016</v>
      </c>
      <c r="D78" s="354">
        <v>158.5383533714286</v>
      </c>
      <c r="E78" s="559">
        <v>2</v>
      </c>
      <c r="F78" s="358"/>
      <c r="G78" s="350">
        <f>IF(G$17=0,0,G$17/$D$17*$E78*$D78)</f>
        <v>317.0767067428572</v>
      </c>
      <c r="H78" s="350">
        <f t="shared" si="16"/>
        <v>317.0767067428572</v>
      </c>
      <c r="I78" s="350">
        <f t="shared" si="16"/>
        <v>317.0767067428572</v>
      </c>
      <c r="J78" s="350">
        <f t="shared" si="16"/>
        <v>317.0767067428572</v>
      </c>
      <c r="K78" s="350">
        <f t="shared" si="16"/>
        <v>317.0767067428572</v>
      </c>
      <c r="L78" s="350">
        <f t="shared" si="16"/>
        <v>317.0767067428572</v>
      </c>
      <c r="M78" s="350">
        <f t="shared" si="16"/>
        <v>317.0767067428572</v>
      </c>
      <c r="N78" s="350">
        <f t="shared" si="16"/>
        <v>317.0767067428572</v>
      </c>
      <c r="O78" s="350">
        <f t="shared" si="16"/>
        <v>317.0767067428572</v>
      </c>
      <c r="P78" s="350">
        <f t="shared" si="16"/>
        <v>317.0767067428572</v>
      </c>
      <c r="Q78" s="350">
        <f t="shared" si="16"/>
        <v>317.0767067428572</v>
      </c>
      <c r="R78" s="350">
        <f t="shared" si="16"/>
        <v>317.0767067428572</v>
      </c>
    </row>
    <row r="79" spans="2:18" x14ac:dyDescent="0.25">
      <c r="B79" s="556" t="s">
        <v>579</v>
      </c>
      <c r="C79" s="554">
        <v>60046289</v>
      </c>
      <c r="D79" s="354">
        <v>127.30112548571429</v>
      </c>
      <c r="E79" s="559">
        <v>2</v>
      </c>
      <c r="F79" s="358"/>
      <c r="G79" s="350">
        <f t="shared" ref="G79:R83" si="17">IF(G$17=0,0,G$17/$D$17*$E79*$D79)</f>
        <v>254.60225097142859</v>
      </c>
      <c r="H79" s="350">
        <f t="shared" si="17"/>
        <v>254.60225097142859</v>
      </c>
      <c r="I79" s="350">
        <f t="shared" si="17"/>
        <v>254.60225097142859</v>
      </c>
      <c r="J79" s="350">
        <f t="shared" si="17"/>
        <v>254.60225097142859</v>
      </c>
      <c r="K79" s="350">
        <f t="shared" si="17"/>
        <v>254.60225097142859</v>
      </c>
      <c r="L79" s="350">
        <f t="shared" si="17"/>
        <v>254.60225097142859</v>
      </c>
      <c r="M79" s="350">
        <f t="shared" si="17"/>
        <v>254.60225097142859</v>
      </c>
      <c r="N79" s="350">
        <f t="shared" si="17"/>
        <v>254.60225097142859</v>
      </c>
      <c r="O79" s="350">
        <f t="shared" si="17"/>
        <v>254.60225097142859</v>
      </c>
      <c r="P79" s="350">
        <f t="shared" si="17"/>
        <v>254.60225097142859</v>
      </c>
      <c r="Q79" s="350">
        <f t="shared" si="17"/>
        <v>254.60225097142859</v>
      </c>
      <c r="R79" s="350">
        <f t="shared" si="17"/>
        <v>254.60225097142859</v>
      </c>
    </row>
    <row r="80" spans="2:18" x14ac:dyDescent="0.25">
      <c r="B80" s="556" t="s">
        <v>580</v>
      </c>
      <c r="C80" s="554" t="s">
        <v>581</v>
      </c>
      <c r="D80" s="354">
        <v>5</v>
      </c>
      <c r="E80" s="559">
        <v>320</v>
      </c>
      <c r="F80" s="358"/>
      <c r="G80" s="350">
        <f t="shared" si="17"/>
        <v>1600</v>
      </c>
      <c r="H80" s="350">
        <f t="shared" si="16"/>
        <v>1600</v>
      </c>
      <c r="I80" s="350">
        <f t="shared" si="16"/>
        <v>1600</v>
      </c>
      <c r="J80" s="350">
        <f t="shared" si="16"/>
        <v>1600</v>
      </c>
      <c r="K80" s="350">
        <f t="shared" si="16"/>
        <v>1600</v>
      </c>
      <c r="L80" s="350">
        <f t="shared" si="16"/>
        <v>1600</v>
      </c>
      <c r="M80" s="350">
        <f t="shared" si="16"/>
        <v>1600</v>
      </c>
      <c r="N80" s="350">
        <f t="shared" si="16"/>
        <v>1600</v>
      </c>
      <c r="O80" s="350">
        <f t="shared" si="16"/>
        <v>1600</v>
      </c>
      <c r="P80" s="350">
        <f t="shared" si="16"/>
        <v>1600</v>
      </c>
      <c r="Q80" s="350">
        <f t="shared" si="16"/>
        <v>1600</v>
      </c>
      <c r="R80" s="350">
        <f t="shared" si="16"/>
        <v>1600</v>
      </c>
    </row>
    <row r="81" spans="2:18" ht="71.349999999999994" x14ac:dyDescent="0.25">
      <c r="B81" s="556" t="s">
        <v>582</v>
      </c>
      <c r="C81" s="554" t="s">
        <v>583</v>
      </c>
      <c r="D81" s="354">
        <v>8</v>
      </c>
      <c r="E81" s="559">
        <v>80</v>
      </c>
      <c r="F81" s="358"/>
      <c r="G81" s="350">
        <f t="shared" si="17"/>
        <v>640</v>
      </c>
      <c r="H81" s="350">
        <f t="shared" si="16"/>
        <v>640</v>
      </c>
      <c r="I81" s="350">
        <f t="shared" si="16"/>
        <v>640</v>
      </c>
      <c r="J81" s="350">
        <f t="shared" si="16"/>
        <v>640</v>
      </c>
      <c r="K81" s="350">
        <f t="shared" si="16"/>
        <v>640</v>
      </c>
      <c r="L81" s="350">
        <f t="shared" si="16"/>
        <v>640</v>
      </c>
      <c r="M81" s="350">
        <f t="shared" si="16"/>
        <v>640</v>
      </c>
      <c r="N81" s="350">
        <f t="shared" si="16"/>
        <v>640</v>
      </c>
      <c r="O81" s="350">
        <f t="shared" si="16"/>
        <v>640</v>
      </c>
      <c r="P81" s="350">
        <f t="shared" si="16"/>
        <v>640</v>
      </c>
      <c r="Q81" s="350">
        <f t="shared" si="16"/>
        <v>640</v>
      </c>
      <c r="R81" s="350">
        <f t="shared" si="16"/>
        <v>640</v>
      </c>
    </row>
    <row r="82" spans="2:18" ht="71.349999999999994" x14ac:dyDescent="0.25">
      <c r="B82" s="556" t="s">
        <v>584</v>
      </c>
      <c r="C82" s="554" t="s">
        <v>583</v>
      </c>
      <c r="D82" s="354">
        <v>8</v>
      </c>
      <c r="E82" s="559">
        <v>100</v>
      </c>
      <c r="F82" s="358"/>
      <c r="G82" s="350">
        <f t="shared" si="17"/>
        <v>800</v>
      </c>
      <c r="H82" s="350">
        <f t="shared" si="17"/>
        <v>800</v>
      </c>
      <c r="I82" s="350">
        <f t="shared" si="17"/>
        <v>800</v>
      </c>
      <c r="J82" s="350">
        <f t="shared" si="17"/>
        <v>800</v>
      </c>
      <c r="K82" s="350">
        <f t="shared" si="17"/>
        <v>800</v>
      </c>
      <c r="L82" s="350">
        <f t="shared" si="17"/>
        <v>800</v>
      </c>
      <c r="M82" s="350">
        <f t="shared" si="17"/>
        <v>800</v>
      </c>
      <c r="N82" s="350">
        <f t="shared" si="17"/>
        <v>800</v>
      </c>
      <c r="O82" s="350">
        <f t="shared" si="17"/>
        <v>800</v>
      </c>
      <c r="P82" s="350">
        <f t="shared" si="17"/>
        <v>800</v>
      </c>
      <c r="Q82" s="350">
        <f t="shared" si="17"/>
        <v>800</v>
      </c>
      <c r="R82" s="350">
        <f t="shared" si="17"/>
        <v>800</v>
      </c>
    </row>
    <row r="83" spans="2:18" ht="28.55" x14ac:dyDescent="0.25">
      <c r="B83" s="556" t="s">
        <v>585</v>
      </c>
      <c r="C83" s="554" t="s">
        <v>586</v>
      </c>
      <c r="D83" s="354">
        <v>7</v>
      </c>
      <c r="E83" s="490">
        <v>900</v>
      </c>
      <c r="F83" s="358"/>
      <c r="G83" s="350">
        <f t="shared" si="17"/>
        <v>6300</v>
      </c>
      <c r="H83" s="350">
        <f t="shared" si="17"/>
        <v>6300</v>
      </c>
      <c r="I83" s="350">
        <f t="shared" si="17"/>
        <v>6300</v>
      </c>
      <c r="J83" s="350">
        <f t="shared" si="17"/>
        <v>6300</v>
      </c>
      <c r="K83" s="350">
        <f t="shared" si="17"/>
        <v>6300</v>
      </c>
      <c r="L83" s="350">
        <f t="shared" si="17"/>
        <v>6300</v>
      </c>
      <c r="M83" s="350">
        <f t="shared" si="17"/>
        <v>6300</v>
      </c>
      <c r="N83" s="350">
        <f t="shared" si="17"/>
        <v>6300</v>
      </c>
      <c r="O83" s="350">
        <f t="shared" si="17"/>
        <v>6300</v>
      </c>
      <c r="P83" s="350">
        <f t="shared" si="17"/>
        <v>6300</v>
      </c>
      <c r="Q83" s="350">
        <f t="shared" si="17"/>
        <v>6300</v>
      </c>
      <c r="R83" s="350">
        <f t="shared" si="17"/>
        <v>6300</v>
      </c>
    </row>
    <row r="84" spans="2:18" x14ac:dyDescent="0.25">
      <c r="B84" s="347" t="s">
        <v>553</v>
      </c>
      <c r="C84" s="553"/>
      <c r="D84" s="348"/>
      <c r="E84" s="349">
        <f>VLOOKUP($B84,$B$14:$C$19,2,FALSE)</f>
        <v>6000</v>
      </c>
      <c r="F84" s="294">
        <v>0</v>
      </c>
      <c r="G84" s="476"/>
      <c r="H84" s="476"/>
      <c r="I84" s="476"/>
      <c r="J84" s="476"/>
      <c r="K84" s="476"/>
      <c r="L84" s="476"/>
      <c r="M84" s="476"/>
      <c r="N84" s="476"/>
      <c r="O84" s="476"/>
      <c r="P84" s="476"/>
      <c r="Q84" s="476"/>
      <c r="R84" s="476"/>
    </row>
    <row r="85" spans="2:18" x14ac:dyDescent="0.25">
      <c r="B85" s="352" t="s">
        <v>587</v>
      </c>
      <c r="C85" s="560"/>
      <c r="D85" s="354">
        <v>100</v>
      </c>
      <c r="E85" s="490">
        <v>0</v>
      </c>
      <c r="F85" s="358"/>
      <c r="G85" s="350">
        <f>IF(G$18=0,0,G$18/$D$18*$E85*$D85)</f>
        <v>0</v>
      </c>
      <c r="H85" s="350">
        <f t="shared" ref="H85:R90" si="18">IF(H$18=0,0,H$18/$D$18*$E85*$D85)</f>
        <v>0</v>
      </c>
      <c r="I85" s="350">
        <f t="shared" si="18"/>
        <v>0</v>
      </c>
      <c r="J85" s="350">
        <f t="shared" si="18"/>
        <v>0</v>
      </c>
      <c r="K85" s="350">
        <f t="shared" si="18"/>
        <v>0</v>
      </c>
      <c r="L85" s="350">
        <f t="shared" si="18"/>
        <v>0</v>
      </c>
      <c r="M85" s="350">
        <f t="shared" si="18"/>
        <v>0</v>
      </c>
      <c r="N85" s="350">
        <f t="shared" si="18"/>
        <v>0</v>
      </c>
      <c r="O85" s="350">
        <f t="shared" si="18"/>
        <v>0</v>
      </c>
      <c r="P85" s="350">
        <f t="shared" si="18"/>
        <v>0</v>
      </c>
      <c r="Q85" s="350">
        <f t="shared" si="18"/>
        <v>0</v>
      </c>
      <c r="R85" s="350">
        <f t="shared" si="18"/>
        <v>0</v>
      </c>
    </row>
    <row r="86" spans="2:18" x14ac:dyDescent="0.25">
      <c r="B86" s="352" t="s">
        <v>587</v>
      </c>
      <c r="C86" s="560"/>
      <c r="D86" s="354">
        <v>50</v>
      </c>
      <c r="E86" s="490">
        <v>0</v>
      </c>
      <c r="F86" s="358"/>
      <c r="G86" s="350">
        <f t="shared" ref="G86:R90" si="19">IF(G$18=0,0,G$18/$D$18*$E86*$D86)</f>
        <v>0</v>
      </c>
      <c r="H86" s="350">
        <f t="shared" si="19"/>
        <v>0</v>
      </c>
      <c r="I86" s="350">
        <f t="shared" si="19"/>
        <v>0</v>
      </c>
      <c r="J86" s="350">
        <f t="shared" si="19"/>
        <v>0</v>
      </c>
      <c r="K86" s="350">
        <f t="shared" si="19"/>
        <v>0</v>
      </c>
      <c r="L86" s="350">
        <f t="shared" si="19"/>
        <v>0</v>
      </c>
      <c r="M86" s="350">
        <f t="shared" si="19"/>
        <v>0</v>
      </c>
      <c r="N86" s="350">
        <f t="shared" si="19"/>
        <v>0</v>
      </c>
      <c r="O86" s="350">
        <f t="shared" si="19"/>
        <v>0</v>
      </c>
      <c r="P86" s="350">
        <f t="shared" si="19"/>
        <v>0</v>
      </c>
      <c r="Q86" s="350">
        <f t="shared" si="19"/>
        <v>0</v>
      </c>
      <c r="R86" s="350">
        <f t="shared" si="19"/>
        <v>0</v>
      </c>
    </row>
    <row r="87" spans="2:18" x14ac:dyDescent="0.25">
      <c r="B87" s="352" t="s">
        <v>588</v>
      </c>
      <c r="C87" s="560"/>
      <c r="D87" s="354">
        <v>3</v>
      </c>
      <c r="E87" s="490">
        <v>0</v>
      </c>
      <c r="F87" s="358"/>
      <c r="G87" s="350">
        <f t="shared" si="19"/>
        <v>0</v>
      </c>
      <c r="H87" s="350">
        <f t="shared" si="18"/>
        <v>0</v>
      </c>
      <c r="I87" s="350">
        <f t="shared" si="18"/>
        <v>0</v>
      </c>
      <c r="J87" s="350">
        <f t="shared" si="18"/>
        <v>0</v>
      </c>
      <c r="K87" s="350">
        <f t="shared" si="18"/>
        <v>0</v>
      </c>
      <c r="L87" s="350">
        <f t="shared" si="18"/>
        <v>0</v>
      </c>
      <c r="M87" s="350">
        <f t="shared" si="18"/>
        <v>0</v>
      </c>
      <c r="N87" s="350">
        <f t="shared" si="18"/>
        <v>0</v>
      </c>
      <c r="O87" s="350">
        <f t="shared" si="18"/>
        <v>0</v>
      </c>
      <c r="P87" s="350">
        <f t="shared" si="18"/>
        <v>0</v>
      </c>
      <c r="Q87" s="350">
        <f t="shared" si="18"/>
        <v>0</v>
      </c>
      <c r="R87" s="350">
        <f t="shared" si="18"/>
        <v>0</v>
      </c>
    </row>
    <row r="88" spans="2:18" x14ac:dyDescent="0.25">
      <c r="B88" s="352" t="s">
        <v>588</v>
      </c>
      <c r="C88" s="561"/>
      <c r="D88" s="354">
        <v>3</v>
      </c>
      <c r="E88" s="490">
        <v>0</v>
      </c>
      <c r="F88" s="358"/>
      <c r="G88" s="350">
        <f t="shared" si="19"/>
        <v>0</v>
      </c>
      <c r="H88" s="350">
        <f t="shared" si="18"/>
        <v>0</v>
      </c>
      <c r="I88" s="350">
        <f t="shared" si="18"/>
        <v>0</v>
      </c>
      <c r="J88" s="350">
        <f t="shared" si="18"/>
        <v>0</v>
      </c>
      <c r="K88" s="350">
        <f t="shared" si="18"/>
        <v>0</v>
      </c>
      <c r="L88" s="350">
        <f t="shared" si="18"/>
        <v>0</v>
      </c>
      <c r="M88" s="350">
        <f t="shared" si="18"/>
        <v>0</v>
      </c>
      <c r="N88" s="350">
        <f t="shared" si="18"/>
        <v>0</v>
      </c>
      <c r="O88" s="350">
        <f t="shared" si="18"/>
        <v>0</v>
      </c>
      <c r="P88" s="350">
        <f t="shared" si="18"/>
        <v>0</v>
      </c>
      <c r="Q88" s="350">
        <f t="shared" si="18"/>
        <v>0</v>
      </c>
      <c r="R88" s="350">
        <f t="shared" si="18"/>
        <v>0</v>
      </c>
    </row>
    <row r="89" spans="2:18" x14ac:dyDescent="0.25">
      <c r="B89" s="352" t="s">
        <v>589</v>
      </c>
      <c r="C89" s="561"/>
      <c r="D89" s="354">
        <v>5</v>
      </c>
      <c r="E89" s="490">
        <v>0</v>
      </c>
      <c r="F89" s="358"/>
      <c r="G89" s="350">
        <f t="shared" si="19"/>
        <v>0</v>
      </c>
      <c r="H89" s="350">
        <f t="shared" si="18"/>
        <v>0</v>
      </c>
      <c r="I89" s="350">
        <f t="shared" si="18"/>
        <v>0</v>
      </c>
      <c r="J89" s="350">
        <f t="shared" si="18"/>
        <v>0</v>
      </c>
      <c r="K89" s="350">
        <f t="shared" si="18"/>
        <v>0</v>
      </c>
      <c r="L89" s="350">
        <f t="shared" si="18"/>
        <v>0</v>
      </c>
      <c r="M89" s="350">
        <f t="shared" si="18"/>
        <v>0</v>
      </c>
      <c r="N89" s="350">
        <f t="shared" si="18"/>
        <v>0</v>
      </c>
      <c r="O89" s="350">
        <f t="shared" si="18"/>
        <v>0</v>
      </c>
      <c r="P89" s="350">
        <f t="shared" si="18"/>
        <v>0</v>
      </c>
      <c r="Q89" s="350">
        <f t="shared" si="18"/>
        <v>0</v>
      </c>
      <c r="R89" s="350">
        <f t="shared" si="18"/>
        <v>0</v>
      </c>
    </row>
    <row r="90" spans="2:18" x14ac:dyDescent="0.25">
      <c r="B90" s="352" t="s">
        <v>589</v>
      </c>
      <c r="C90" s="561"/>
      <c r="D90" s="354">
        <v>5</v>
      </c>
      <c r="E90" s="490">
        <v>0</v>
      </c>
      <c r="F90" s="358"/>
      <c r="G90" s="350">
        <f t="shared" si="19"/>
        <v>0</v>
      </c>
      <c r="H90" s="350">
        <f t="shared" si="18"/>
        <v>0</v>
      </c>
      <c r="I90" s="350">
        <f t="shared" si="18"/>
        <v>0</v>
      </c>
      <c r="J90" s="350">
        <f t="shared" si="18"/>
        <v>0</v>
      </c>
      <c r="K90" s="350">
        <f t="shared" si="18"/>
        <v>0</v>
      </c>
      <c r="L90" s="350">
        <f t="shared" si="18"/>
        <v>0</v>
      </c>
      <c r="M90" s="350">
        <f t="shared" si="18"/>
        <v>0</v>
      </c>
      <c r="N90" s="350">
        <f t="shared" si="18"/>
        <v>0</v>
      </c>
      <c r="O90" s="350">
        <f t="shared" si="18"/>
        <v>0</v>
      </c>
      <c r="P90" s="350">
        <f t="shared" si="18"/>
        <v>0</v>
      </c>
      <c r="Q90" s="350">
        <f t="shared" si="18"/>
        <v>0</v>
      </c>
      <c r="R90" s="350">
        <f t="shared" si="18"/>
        <v>0</v>
      </c>
    </row>
    <row r="91" spans="2:18" x14ac:dyDescent="0.25">
      <c r="B91" s="347" t="s">
        <v>554</v>
      </c>
      <c r="C91" s="553"/>
      <c r="D91" s="348"/>
      <c r="E91" s="349">
        <f>VLOOKUP($B91,$B$14:$C$19,2,FALSE)</f>
        <v>12000</v>
      </c>
      <c r="F91" s="358"/>
      <c r="G91" s="476"/>
      <c r="H91" s="476"/>
      <c r="I91" s="292"/>
      <c r="J91" s="476"/>
      <c r="K91" s="292"/>
      <c r="L91" s="476"/>
      <c r="M91" s="292"/>
      <c r="N91" s="476"/>
      <c r="O91" s="292"/>
      <c r="P91" s="476"/>
      <c r="Q91" s="292"/>
      <c r="R91" s="476"/>
    </row>
    <row r="92" spans="2:18" x14ac:dyDescent="0.25">
      <c r="B92" s="352" t="s">
        <v>587</v>
      </c>
      <c r="C92" s="560"/>
      <c r="D92" s="354">
        <v>100</v>
      </c>
      <c r="E92" s="490">
        <v>0</v>
      </c>
      <c r="F92" s="562"/>
      <c r="G92" s="350">
        <f>IF(G$19=0,0,G$19/$D$19*$E92*$D92)</f>
        <v>0</v>
      </c>
      <c r="H92" s="350">
        <f t="shared" ref="H92:R97" si="20">IF(H$19=0,0,H$19/$D$19*$E92*$D92)</f>
        <v>0</v>
      </c>
      <c r="I92" s="350">
        <f t="shared" si="20"/>
        <v>0</v>
      </c>
      <c r="J92" s="350">
        <f t="shared" si="20"/>
        <v>0</v>
      </c>
      <c r="K92" s="350">
        <f t="shared" si="20"/>
        <v>0</v>
      </c>
      <c r="L92" s="350">
        <f t="shared" si="20"/>
        <v>0</v>
      </c>
      <c r="M92" s="350">
        <f t="shared" si="20"/>
        <v>0</v>
      </c>
      <c r="N92" s="350">
        <f t="shared" si="20"/>
        <v>0</v>
      </c>
      <c r="O92" s="350">
        <f t="shared" si="20"/>
        <v>0</v>
      </c>
      <c r="P92" s="350">
        <f t="shared" si="20"/>
        <v>0</v>
      </c>
      <c r="Q92" s="350">
        <f t="shared" si="20"/>
        <v>0</v>
      </c>
      <c r="R92" s="350">
        <f t="shared" si="20"/>
        <v>0</v>
      </c>
    </row>
    <row r="93" spans="2:18" x14ac:dyDescent="0.25">
      <c r="B93" s="352" t="s">
        <v>587</v>
      </c>
      <c r="C93" s="560"/>
      <c r="D93" s="354">
        <v>50</v>
      </c>
      <c r="E93" s="490">
        <v>0</v>
      </c>
      <c r="F93" s="562"/>
      <c r="G93" s="350">
        <f t="shared" ref="G93:R97" si="21">IF(G$19=0,0,G$19/$D$19*$E93*$D93)</f>
        <v>0</v>
      </c>
      <c r="H93" s="350">
        <f t="shared" si="21"/>
        <v>0</v>
      </c>
      <c r="I93" s="350">
        <f t="shared" si="21"/>
        <v>0</v>
      </c>
      <c r="J93" s="350">
        <f t="shared" si="21"/>
        <v>0</v>
      </c>
      <c r="K93" s="350">
        <f t="shared" si="21"/>
        <v>0</v>
      </c>
      <c r="L93" s="350">
        <f t="shared" si="21"/>
        <v>0</v>
      </c>
      <c r="M93" s="350">
        <f t="shared" si="21"/>
        <v>0</v>
      </c>
      <c r="N93" s="350">
        <f t="shared" si="21"/>
        <v>0</v>
      </c>
      <c r="O93" s="350">
        <f t="shared" si="21"/>
        <v>0</v>
      </c>
      <c r="P93" s="350">
        <f t="shared" si="21"/>
        <v>0</v>
      </c>
      <c r="Q93" s="350">
        <f t="shared" si="21"/>
        <v>0</v>
      </c>
      <c r="R93" s="350">
        <f t="shared" si="21"/>
        <v>0</v>
      </c>
    </row>
    <row r="94" spans="2:18" x14ac:dyDescent="0.25">
      <c r="B94" s="352" t="s">
        <v>588</v>
      </c>
      <c r="C94" s="560"/>
      <c r="D94" s="354">
        <v>3</v>
      </c>
      <c r="E94" s="490">
        <v>0</v>
      </c>
      <c r="F94" s="562"/>
      <c r="G94" s="350">
        <f t="shared" si="21"/>
        <v>0</v>
      </c>
      <c r="H94" s="350">
        <f t="shared" si="20"/>
        <v>0</v>
      </c>
      <c r="I94" s="350">
        <f t="shared" si="20"/>
        <v>0</v>
      </c>
      <c r="J94" s="350">
        <f t="shared" si="20"/>
        <v>0</v>
      </c>
      <c r="K94" s="350">
        <f t="shared" si="20"/>
        <v>0</v>
      </c>
      <c r="L94" s="350">
        <f t="shared" si="20"/>
        <v>0</v>
      </c>
      <c r="M94" s="350">
        <f t="shared" si="20"/>
        <v>0</v>
      </c>
      <c r="N94" s="350">
        <f t="shared" si="20"/>
        <v>0</v>
      </c>
      <c r="O94" s="350">
        <f t="shared" si="20"/>
        <v>0</v>
      </c>
      <c r="P94" s="350">
        <f t="shared" si="20"/>
        <v>0</v>
      </c>
      <c r="Q94" s="350">
        <f t="shared" si="20"/>
        <v>0</v>
      </c>
      <c r="R94" s="350">
        <f t="shared" si="20"/>
        <v>0</v>
      </c>
    </row>
    <row r="95" spans="2:18" x14ac:dyDescent="0.25">
      <c r="B95" s="352" t="s">
        <v>588</v>
      </c>
      <c r="C95" s="561"/>
      <c r="D95" s="354">
        <v>3</v>
      </c>
      <c r="E95" s="490">
        <v>0</v>
      </c>
      <c r="F95" s="562"/>
      <c r="G95" s="350">
        <f t="shared" si="21"/>
        <v>0</v>
      </c>
      <c r="H95" s="350">
        <f t="shared" si="20"/>
        <v>0</v>
      </c>
      <c r="I95" s="350">
        <f t="shared" si="20"/>
        <v>0</v>
      </c>
      <c r="J95" s="350">
        <f t="shared" si="20"/>
        <v>0</v>
      </c>
      <c r="K95" s="350">
        <f t="shared" si="20"/>
        <v>0</v>
      </c>
      <c r="L95" s="350">
        <f t="shared" si="20"/>
        <v>0</v>
      </c>
      <c r="M95" s="350">
        <f t="shared" si="20"/>
        <v>0</v>
      </c>
      <c r="N95" s="350">
        <f t="shared" si="20"/>
        <v>0</v>
      </c>
      <c r="O95" s="350">
        <f t="shared" si="20"/>
        <v>0</v>
      </c>
      <c r="P95" s="350">
        <f t="shared" si="20"/>
        <v>0</v>
      </c>
      <c r="Q95" s="350">
        <f t="shared" si="20"/>
        <v>0</v>
      </c>
      <c r="R95" s="350">
        <f t="shared" si="20"/>
        <v>0</v>
      </c>
    </row>
    <row r="96" spans="2:18" x14ac:dyDescent="0.25">
      <c r="B96" s="352" t="s">
        <v>589</v>
      </c>
      <c r="C96" s="561"/>
      <c r="D96" s="354">
        <v>5</v>
      </c>
      <c r="E96" s="490">
        <v>0</v>
      </c>
      <c r="F96" s="562"/>
      <c r="G96" s="350">
        <f t="shared" si="21"/>
        <v>0</v>
      </c>
      <c r="H96" s="350">
        <f t="shared" si="20"/>
        <v>0</v>
      </c>
      <c r="I96" s="350">
        <f t="shared" si="20"/>
        <v>0</v>
      </c>
      <c r="J96" s="350">
        <f t="shared" si="20"/>
        <v>0</v>
      </c>
      <c r="K96" s="350">
        <f t="shared" si="20"/>
        <v>0</v>
      </c>
      <c r="L96" s="350">
        <f t="shared" si="20"/>
        <v>0</v>
      </c>
      <c r="M96" s="350">
        <f t="shared" si="20"/>
        <v>0</v>
      </c>
      <c r="N96" s="350">
        <f t="shared" si="20"/>
        <v>0</v>
      </c>
      <c r="O96" s="350">
        <f t="shared" si="20"/>
        <v>0</v>
      </c>
      <c r="P96" s="350">
        <f t="shared" si="20"/>
        <v>0</v>
      </c>
      <c r="Q96" s="350">
        <f t="shared" si="20"/>
        <v>0</v>
      </c>
      <c r="R96" s="350">
        <f t="shared" si="20"/>
        <v>0</v>
      </c>
    </row>
    <row r="97" spans="2:18" ht="14.95" thickBot="1" x14ac:dyDescent="0.3">
      <c r="B97" s="563" t="s">
        <v>589</v>
      </c>
      <c r="C97" s="561"/>
      <c r="D97" s="354">
        <v>5</v>
      </c>
      <c r="E97" s="490">
        <v>0</v>
      </c>
      <c r="F97" s="564"/>
      <c r="G97" s="565">
        <f t="shared" si="21"/>
        <v>0</v>
      </c>
      <c r="H97" s="565">
        <f t="shared" si="20"/>
        <v>0</v>
      </c>
      <c r="I97" s="565">
        <f t="shared" si="20"/>
        <v>0</v>
      </c>
      <c r="J97" s="565">
        <f t="shared" si="20"/>
        <v>0</v>
      </c>
      <c r="K97" s="565">
        <f t="shared" si="20"/>
        <v>0</v>
      </c>
      <c r="L97" s="565">
        <f t="shared" si="20"/>
        <v>0</v>
      </c>
      <c r="M97" s="565">
        <f t="shared" si="20"/>
        <v>0</v>
      </c>
      <c r="N97" s="565">
        <f t="shared" si="20"/>
        <v>0</v>
      </c>
      <c r="O97" s="565">
        <f t="shared" si="20"/>
        <v>0</v>
      </c>
      <c r="P97" s="565">
        <f t="shared" si="20"/>
        <v>0</v>
      </c>
      <c r="Q97" s="565">
        <f t="shared" si="20"/>
        <v>0</v>
      </c>
      <c r="R97" s="565">
        <f t="shared" si="20"/>
        <v>0</v>
      </c>
    </row>
  </sheetData>
  <mergeCells count="2">
    <mergeCell ref="B11:R11"/>
    <mergeCell ref="B20:R20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A71D-39C7-46B5-9E95-0BE2807687B0}">
  <sheetPr>
    <tabColor theme="5" tint="0.79998168889431442"/>
  </sheetPr>
  <dimension ref="B2:S70"/>
  <sheetViews>
    <sheetView showGridLines="0" zoomScale="85" zoomScaleNormal="85" zoomScaleSheetLayoutView="85" workbookViewId="0">
      <pane xSplit="2" ySplit="6" topLeftCell="D7" activePane="bottomRight" state="frozen"/>
      <selection activeCell="N49" sqref="N49"/>
      <selection pane="topRight" activeCell="N49" sqref="N49"/>
      <selection pane="bottomLeft" activeCell="N49" sqref="N49"/>
      <selection pane="bottomRight" activeCell="Z48" sqref="Z48"/>
    </sheetView>
  </sheetViews>
  <sheetFormatPr defaultColWidth="8.75" defaultRowHeight="14.3" x14ac:dyDescent="0.25"/>
  <cols>
    <col min="1" max="1" width="5.5" style="275" customWidth="1"/>
    <col min="2" max="2" width="58.625" style="275" customWidth="1"/>
    <col min="3" max="3" width="14.375" style="275" customWidth="1"/>
    <col min="4" max="4" width="17.5" style="275" customWidth="1"/>
    <col min="5" max="5" width="11.5" style="275" customWidth="1"/>
    <col min="6" max="17" width="11.125" style="275" customWidth="1"/>
    <col min="18" max="18" width="6.75" style="275" customWidth="1"/>
    <col min="19" max="19" width="11.375" style="275" customWidth="1"/>
    <col min="20" max="16384" width="8.75" style="275"/>
  </cols>
  <sheetData>
    <row r="2" spans="2:19" x14ac:dyDescent="0.25">
      <c r="B2" s="365" t="s">
        <v>259</v>
      </c>
    </row>
    <row r="3" spans="2:19" ht="14.95" thickBot="1" x14ac:dyDescent="0.3">
      <c r="B3" s="275" t="s">
        <v>298</v>
      </c>
      <c r="F3" s="277">
        <f>SANY_1!E12</f>
        <v>0.93570839675291717</v>
      </c>
      <c r="G3" s="277">
        <f>SANY_1!F12</f>
        <v>0.90263508371385082</v>
      </c>
      <c r="H3" s="277">
        <f>SANY_1!G12</f>
        <v>0.86578830542871643</v>
      </c>
      <c r="I3" s="277">
        <f>SANY_1!H12</f>
        <v>0.90352295788939629</v>
      </c>
      <c r="J3" s="277">
        <f>SANY_1!I12</f>
        <v>0.85025050735667174</v>
      </c>
      <c r="K3" s="277">
        <f>SANY_1!J12</f>
        <v>0.90352295788939629</v>
      </c>
      <c r="L3" s="277">
        <f>SANY_1!K12</f>
        <v>0.86578830542871643</v>
      </c>
      <c r="M3" s="277">
        <f>SANY_1!L12</f>
        <v>0.90352295788939629</v>
      </c>
      <c r="N3" s="277">
        <f>SANY_1!M12</f>
        <v>0.85025050735667174</v>
      </c>
      <c r="O3" s="277">
        <f>SANY_1!N12</f>
        <v>0.88465563165905625</v>
      </c>
      <c r="P3" s="277">
        <f>SANY_1!O12</f>
        <v>0.8635686199898529</v>
      </c>
      <c r="Q3" s="277">
        <f>SANY_1!P12</f>
        <v>0.8713375190258752</v>
      </c>
    </row>
    <row r="4" spans="2:19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O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  <c r="N4" s="337">
        <f t="shared" si="0"/>
        <v>9</v>
      </c>
      <c r="O4" s="337">
        <f t="shared" si="0"/>
        <v>10</v>
      </c>
      <c r="P4" s="337">
        <f>O4+1</f>
        <v>11</v>
      </c>
      <c r="Q4" s="338">
        <f>P4+1</f>
        <v>12</v>
      </c>
    </row>
    <row r="5" spans="2:19" x14ac:dyDescent="0.25">
      <c r="B5" s="369" t="s">
        <v>300</v>
      </c>
      <c r="C5" s="370" t="s">
        <v>301</v>
      </c>
      <c r="D5" s="292"/>
      <c r="E5" s="370"/>
      <c r="F5" s="476">
        <v>0</v>
      </c>
      <c r="G5" s="476">
        <f>F6+1</f>
        <v>7001</v>
      </c>
      <c r="H5" s="476">
        <f t="shared" ref="H5:Q5" si="1">G6+1</f>
        <v>14001</v>
      </c>
      <c r="I5" s="476">
        <f t="shared" si="1"/>
        <v>21001</v>
      </c>
      <c r="J5" s="476">
        <f t="shared" si="1"/>
        <v>28001</v>
      </c>
      <c r="K5" s="476">
        <f t="shared" si="1"/>
        <v>35001</v>
      </c>
      <c r="L5" s="476">
        <f t="shared" si="1"/>
        <v>42001</v>
      </c>
      <c r="M5" s="476">
        <f t="shared" si="1"/>
        <v>49001</v>
      </c>
      <c r="N5" s="476">
        <f t="shared" si="1"/>
        <v>56001</v>
      </c>
      <c r="O5" s="476">
        <f t="shared" si="1"/>
        <v>63001</v>
      </c>
      <c r="P5" s="476">
        <f t="shared" si="1"/>
        <v>70001</v>
      </c>
      <c r="Q5" s="498">
        <f t="shared" si="1"/>
        <v>77001</v>
      </c>
    </row>
    <row r="6" spans="2:19" ht="14.95" thickBot="1" x14ac:dyDescent="0.3">
      <c r="B6" s="371" t="s">
        <v>302</v>
      </c>
      <c r="C6" s="372" t="s">
        <v>301</v>
      </c>
      <c r="D6" s="373"/>
      <c r="E6" s="374">
        <f>'SANY ТО_1'!F6</f>
        <v>7000</v>
      </c>
      <c r="F6" s="493">
        <f>E6</f>
        <v>7000</v>
      </c>
      <c r="G6" s="493">
        <f t="shared" ref="G6:Q6" si="2">F6+$E6</f>
        <v>14000</v>
      </c>
      <c r="H6" s="493">
        <f t="shared" si="2"/>
        <v>21000</v>
      </c>
      <c r="I6" s="493">
        <f t="shared" si="2"/>
        <v>28000</v>
      </c>
      <c r="J6" s="493">
        <f t="shared" si="2"/>
        <v>35000</v>
      </c>
      <c r="K6" s="493">
        <f t="shared" si="2"/>
        <v>42000</v>
      </c>
      <c r="L6" s="493">
        <f t="shared" si="2"/>
        <v>49000</v>
      </c>
      <c r="M6" s="493">
        <f t="shared" si="2"/>
        <v>56000</v>
      </c>
      <c r="N6" s="493">
        <f t="shared" si="2"/>
        <v>63000</v>
      </c>
      <c r="O6" s="493">
        <f t="shared" si="2"/>
        <v>70000</v>
      </c>
      <c r="P6" s="493">
        <f t="shared" si="2"/>
        <v>77000</v>
      </c>
      <c r="Q6" s="566">
        <f t="shared" si="2"/>
        <v>84000</v>
      </c>
    </row>
    <row r="7" spans="2:19" ht="14.95" thickBot="1" x14ac:dyDescent="0.3"/>
    <row r="8" spans="2:19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142</v>
      </c>
      <c r="G8" s="378">
        <f t="shared" ref="G8:Q8" si="3">G16</f>
        <v>440</v>
      </c>
      <c r="H8" s="378">
        <f t="shared" si="3"/>
        <v>772</v>
      </c>
      <c r="I8" s="378">
        <f t="shared" si="3"/>
        <v>432</v>
      </c>
      <c r="J8" s="378">
        <f t="shared" si="3"/>
        <v>912</v>
      </c>
      <c r="K8" s="378">
        <f t="shared" si="3"/>
        <v>432</v>
      </c>
      <c r="L8" s="378">
        <f t="shared" si="3"/>
        <v>772</v>
      </c>
      <c r="M8" s="378">
        <f t="shared" si="3"/>
        <v>432</v>
      </c>
      <c r="N8" s="378">
        <f t="shared" si="3"/>
        <v>912</v>
      </c>
      <c r="O8" s="378">
        <f t="shared" si="3"/>
        <v>602</v>
      </c>
      <c r="P8" s="378">
        <f t="shared" si="3"/>
        <v>792</v>
      </c>
      <c r="Q8" s="567">
        <f t="shared" si="3"/>
        <v>722</v>
      </c>
    </row>
    <row r="9" spans="2:19" ht="21.1" customHeight="1" x14ac:dyDescent="0.25">
      <c r="B9" s="390" t="s">
        <v>357</v>
      </c>
      <c r="C9" s="380" t="s">
        <v>358</v>
      </c>
      <c r="D9" s="253"/>
      <c r="E9" s="253"/>
      <c r="F9" s="302">
        <f>SUM(F10:F12)</f>
        <v>24463</v>
      </c>
      <c r="G9" s="302">
        <f t="shared" ref="G9:Q9" si="4">SUM(G10:G12)</f>
        <v>100382.27166276347</v>
      </c>
      <c r="H9" s="302">
        <f t="shared" si="4"/>
        <v>487075.93442622951</v>
      </c>
      <c r="I9" s="302">
        <f t="shared" si="4"/>
        <v>194257.27166276347</v>
      </c>
      <c r="J9" s="302">
        <f t="shared" si="4"/>
        <v>863052.3</v>
      </c>
      <c r="K9" s="302">
        <f t="shared" si="4"/>
        <v>630374.49180327868</v>
      </c>
      <c r="L9" s="302">
        <f t="shared" si="4"/>
        <v>156491</v>
      </c>
      <c r="M9" s="302">
        <f t="shared" si="4"/>
        <v>158048.27166276347</v>
      </c>
      <c r="N9" s="302">
        <f t="shared" si="4"/>
        <v>1238456.2344262295</v>
      </c>
      <c r="O9" s="302">
        <f t="shared" si="4"/>
        <v>85116.271662763465</v>
      </c>
      <c r="P9" s="302">
        <f t="shared" si="4"/>
        <v>147913</v>
      </c>
      <c r="Q9" s="568">
        <f t="shared" si="4"/>
        <v>172104</v>
      </c>
    </row>
    <row r="10" spans="2:19" ht="18.7" customHeight="1" x14ac:dyDescent="0.25">
      <c r="B10" s="381" t="s">
        <v>283</v>
      </c>
      <c r="C10" s="260" t="s">
        <v>358</v>
      </c>
      <c r="D10" s="260"/>
      <c r="E10" s="260"/>
      <c r="F10" s="263">
        <f>F34</f>
        <v>17931</v>
      </c>
      <c r="G10" s="263">
        <f t="shared" ref="G10:Q10" si="5">G34</f>
        <v>17931</v>
      </c>
      <c r="H10" s="263">
        <f t="shared" si="5"/>
        <v>17931</v>
      </c>
      <c r="I10" s="263">
        <f t="shared" si="5"/>
        <v>17931</v>
      </c>
      <c r="J10" s="263">
        <f t="shared" si="5"/>
        <v>17931</v>
      </c>
      <c r="K10" s="263">
        <f t="shared" si="5"/>
        <v>17931</v>
      </c>
      <c r="L10" s="263">
        <f t="shared" si="5"/>
        <v>17931</v>
      </c>
      <c r="M10" s="263">
        <f t="shared" si="5"/>
        <v>17931</v>
      </c>
      <c r="N10" s="263">
        <f t="shared" si="5"/>
        <v>17931</v>
      </c>
      <c r="O10" s="263">
        <f t="shared" si="5"/>
        <v>17931</v>
      </c>
      <c r="P10" s="263">
        <f t="shared" si="5"/>
        <v>17931</v>
      </c>
      <c r="Q10" s="569">
        <f t="shared" si="5"/>
        <v>17931</v>
      </c>
    </row>
    <row r="11" spans="2:19" ht="18.7" customHeight="1" x14ac:dyDescent="0.25">
      <c r="B11" s="381" t="s">
        <v>284</v>
      </c>
      <c r="C11" s="260" t="s">
        <v>358</v>
      </c>
      <c r="D11" s="260"/>
      <c r="E11" s="260"/>
      <c r="F11" s="263">
        <f>F40</f>
        <v>0</v>
      </c>
      <c r="G11" s="263">
        <f t="shared" ref="G11:Q11" si="6">G40</f>
        <v>62211.271662763465</v>
      </c>
      <c r="H11" s="263">
        <f t="shared" si="6"/>
        <v>433632.93442622951</v>
      </c>
      <c r="I11" s="263">
        <f t="shared" si="6"/>
        <v>156454.27166276347</v>
      </c>
      <c r="J11" s="263">
        <f t="shared" si="6"/>
        <v>803169.3</v>
      </c>
      <c r="K11" s="263">
        <f t="shared" si="6"/>
        <v>592571.49180327868</v>
      </c>
      <c r="L11" s="263">
        <f t="shared" si="6"/>
        <v>103048</v>
      </c>
      <c r="M11" s="263">
        <f t="shared" si="6"/>
        <v>120245.27166276347</v>
      </c>
      <c r="N11" s="263">
        <f t="shared" si="6"/>
        <v>1178573.2344262295</v>
      </c>
      <c r="O11" s="263">
        <f t="shared" si="6"/>
        <v>39493.271662763465</v>
      </c>
      <c r="P11" s="263">
        <f t="shared" si="6"/>
        <v>93550</v>
      </c>
      <c r="Q11" s="569">
        <f t="shared" si="6"/>
        <v>120961</v>
      </c>
    </row>
    <row r="12" spans="2:19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SUMPRODUCT($D26:$D30,F$26:F$30)</f>
        <v>6532</v>
      </c>
      <c r="G12" s="314">
        <f>SUMPRODUCT($D26:$D30,G$26:G$30)</f>
        <v>20240</v>
      </c>
      <c r="H12" s="314">
        <f>SUMPRODUCT($D26:$D30,H$26:H$30)</f>
        <v>35512</v>
      </c>
      <c r="I12" s="314">
        <f>SUMPRODUCT($D26:$D30,I$26:I$30)</f>
        <v>19872</v>
      </c>
      <c r="J12" s="314">
        <f>SUMPRODUCT($D26:$D30,J$26:J$30)</f>
        <v>41952</v>
      </c>
      <c r="K12" s="314">
        <f t="shared" ref="K12:Q12" si="7">SUMPRODUCT($D26:$D30,K$26:K$30)</f>
        <v>19872</v>
      </c>
      <c r="L12" s="314">
        <f t="shared" si="7"/>
        <v>35512</v>
      </c>
      <c r="M12" s="314">
        <f t="shared" si="7"/>
        <v>19872</v>
      </c>
      <c r="N12" s="314">
        <f t="shared" si="7"/>
        <v>41952</v>
      </c>
      <c r="O12" s="314">
        <f t="shared" si="7"/>
        <v>27692</v>
      </c>
      <c r="P12" s="314">
        <f t="shared" si="7"/>
        <v>36432</v>
      </c>
      <c r="Q12" s="570">
        <f t="shared" si="7"/>
        <v>33212</v>
      </c>
    </row>
    <row r="13" spans="2:19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386"/>
    </row>
    <row r="14" spans="2:19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6"/>
      <c r="Q14" s="386"/>
    </row>
    <row r="15" spans="2:19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Q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  <c r="N15" s="389">
        <f t="shared" si="8"/>
        <v>9</v>
      </c>
      <c r="O15" s="389">
        <f t="shared" si="8"/>
        <v>10</v>
      </c>
      <c r="P15" s="389">
        <f t="shared" si="8"/>
        <v>11</v>
      </c>
      <c r="Q15" s="571">
        <f t="shared" si="8"/>
        <v>12</v>
      </c>
      <c r="S15" s="572"/>
    </row>
    <row r="16" spans="2:19" ht="16.5" customHeight="1" x14ac:dyDescent="0.25">
      <c r="B16" s="390" t="s">
        <v>362</v>
      </c>
      <c r="C16" s="246"/>
      <c r="D16" s="260"/>
      <c r="E16" s="260"/>
      <c r="F16" s="391">
        <f>SUM(F17:F21)</f>
        <v>142</v>
      </c>
      <c r="G16" s="391">
        <f t="shared" ref="G16:Q16" si="9">SUM(G17:G21)</f>
        <v>440</v>
      </c>
      <c r="H16" s="391">
        <f t="shared" si="9"/>
        <v>772</v>
      </c>
      <c r="I16" s="391">
        <f t="shared" si="9"/>
        <v>432</v>
      </c>
      <c r="J16" s="391">
        <f t="shared" si="9"/>
        <v>912</v>
      </c>
      <c r="K16" s="391">
        <f t="shared" si="9"/>
        <v>432</v>
      </c>
      <c r="L16" s="391">
        <f t="shared" si="9"/>
        <v>772</v>
      </c>
      <c r="M16" s="391">
        <f t="shared" si="9"/>
        <v>432</v>
      </c>
      <c r="N16" s="391">
        <f t="shared" si="9"/>
        <v>912</v>
      </c>
      <c r="O16" s="391">
        <f t="shared" si="9"/>
        <v>602</v>
      </c>
      <c r="P16" s="391">
        <f t="shared" si="9"/>
        <v>792</v>
      </c>
      <c r="Q16" s="573">
        <f t="shared" si="9"/>
        <v>722</v>
      </c>
    </row>
    <row r="17" spans="2:17" ht="16.5" customHeight="1" x14ac:dyDescent="0.25">
      <c r="B17" s="396" t="s">
        <v>478</v>
      </c>
      <c r="C17" s="257" t="s">
        <v>304</v>
      </c>
      <c r="D17" s="260"/>
      <c r="E17" s="260"/>
      <c r="F17" s="394">
        <f>F26</f>
        <v>77</v>
      </c>
      <c r="G17" s="394">
        <f t="shared" ref="G17:Q17" si="10">G26</f>
        <v>77</v>
      </c>
      <c r="H17" s="394">
        <f t="shared" si="10"/>
        <v>77</v>
      </c>
      <c r="I17" s="394">
        <f t="shared" si="10"/>
        <v>77</v>
      </c>
      <c r="J17" s="394">
        <f t="shared" si="10"/>
        <v>77</v>
      </c>
      <c r="K17" s="394">
        <f t="shared" si="10"/>
        <v>77</v>
      </c>
      <c r="L17" s="394">
        <f t="shared" si="10"/>
        <v>77</v>
      </c>
      <c r="M17" s="394">
        <f t="shared" si="10"/>
        <v>77</v>
      </c>
      <c r="N17" s="394">
        <f t="shared" si="10"/>
        <v>77</v>
      </c>
      <c r="O17" s="394">
        <f t="shared" si="10"/>
        <v>77</v>
      </c>
      <c r="P17" s="394">
        <f t="shared" si="10"/>
        <v>77</v>
      </c>
      <c r="Q17" s="574">
        <f t="shared" si="10"/>
        <v>77</v>
      </c>
    </row>
    <row r="18" spans="2:17" ht="16.5" customHeight="1" x14ac:dyDescent="0.25">
      <c r="B18" s="396" t="s">
        <v>479</v>
      </c>
      <c r="C18" s="257" t="s">
        <v>304</v>
      </c>
      <c r="D18" s="260"/>
      <c r="E18" s="260"/>
      <c r="F18" s="394">
        <f t="shared" ref="F18:Q21" si="11">F27</f>
        <v>65</v>
      </c>
      <c r="G18" s="394">
        <f t="shared" si="11"/>
        <v>65</v>
      </c>
      <c r="H18" s="394">
        <f t="shared" si="11"/>
        <v>65</v>
      </c>
      <c r="I18" s="394">
        <f t="shared" si="11"/>
        <v>65</v>
      </c>
      <c r="J18" s="394">
        <f t="shared" si="11"/>
        <v>65</v>
      </c>
      <c r="K18" s="394">
        <f t="shared" si="11"/>
        <v>65</v>
      </c>
      <c r="L18" s="394">
        <f t="shared" si="11"/>
        <v>65</v>
      </c>
      <c r="M18" s="394">
        <f t="shared" si="11"/>
        <v>65</v>
      </c>
      <c r="N18" s="394">
        <f t="shared" si="11"/>
        <v>65</v>
      </c>
      <c r="O18" s="394">
        <f t="shared" si="11"/>
        <v>65</v>
      </c>
      <c r="P18" s="394">
        <f t="shared" si="11"/>
        <v>65</v>
      </c>
      <c r="Q18" s="574">
        <f t="shared" si="11"/>
        <v>65</v>
      </c>
    </row>
    <row r="19" spans="2:17" ht="16.5" customHeight="1" x14ac:dyDescent="0.25">
      <c r="B19" s="396" t="s">
        <v>480</v>
      </c>
      <c r="C19" s="257" t="s">
        <v>304</v>
      </c>
      <c r="D19" s="260"/>
      <c r="E19" s="260"/>
      <c r="F19" s="394">
        <f t="shared" si="11"/>
        <v>0</v>
      </c>
      <c r="G19" s="394">
        <f t="shared" si="11"/>
        <v>298</v>
      </c>
      <c r="H19" s="394">
        <f t="shared" si="11"/>
        <v>290</v>
      </c>
      <c r="I19" s="394">
        <f t="shared" si="11"/>
        <v>290</v>
      </c>
      <c r="J19" s="394">
        <f t="shared" si="11"/>
        <v>290</v>
      </c>
      <c r="K19" s="394">
        <f t="shared" si="11"/>
        <v>290</v>
      </c>
      <c r="L19" s="394">
        <f t="shared" si="11"/>
        <v>290</v>
      </c>
      <c r="M19" s="394">
        <f t="shared" si="11"/>
        <v>290</v>
      </c>
      <c r="N19" s="394">
        <f t="shared" si="11"/>
        <v>290</v>
      </c>
      <c r="O19" s="394">
        <f t="shared" si="11"/>
        <v>290</v>
      </c>
      <c r="P19" s="394">
        <f t="shared" si="11"/>
        <v>310</v>
      </c>
      <c r="Q19" s="574">
        <f t="shared" si="11"/>
        <v>290</v>
      </c>
    </row>
    <row r="20" spans="2:17" ht="16.5" customHeight="1" x14ac:dyDescent="0.25">
      <c r="B20" s="396" t="s">
        <v>590</v>
      </c>
      <c r="C20" s="257" t="s">
        <v>304</v>
      </c>
      <c r="D20" s="260"/>
      <c r="E20" s="260"/>
      <c r="F20" s="394">
        <f t="shared" si="11"/>
        <v>0</v>
      </c>
      <c r="G20" s="394">
        <f t="shared" si="11"/>
        <v>0</v>
      </c>
      <c r="H20" s="394">
        <f t="shared" si="11"/>
        <v>340</v>
      </c>
      <c r="I20" s="394">
        <f t="shared" si="11"/>
        <v>0</v>
      </c>
      <c r="J20" s="394">
        <f t="shared" si="11"/>
        <v>0</v>
      </c>
      <c r="K20" s="394">
        <f t="shared" si="11"/>
        <v>0</v>
      </c>
      <c r="L20" s="394">
        <f t="shared" si="11"/>
        <v>340</v>
      </c>
      <c r="M20" s="394">
        <f t="shared" si="11"/>
        <v>0</v>
      </c>
      <c r="N20" s="394">
        <f t="shared" si="11"/>
        <v>0</v>
      </c>
      <c r="O20" s="394">
        <f t="shared" si="11"/>
        <v>170</v>
      </c>
      <c r="P20" s="394">
        <f t="shared" si="11"/>
        <v>340</v>
      </c>
      <c r="Q20" s="394">
        <f t="shared" si="11"/>
        <v>170</v>
      </c>
    </row>
    <row r="21" spans="2:17" ht="16.5" customHeight="1" thickBot="1" x14ac:dyDescent="0.3">
      <c r="B21" s="397" t="s">
        <v>591</v>
      </c>
      <c r="C21" s="374" t="s">
        <v>304</v>
      </c>
      <c r="D21" s="383"/>
      <c r="E21" s="383"/>
      <c r="F21" s="399">
        <f t="shared" si="11"/>
        <v>0</v>
      </c>
      <c r="G21" s="399">
        <f t="shared" si="11"/>
        <v>0</v>
      </c>
      <c r="H21" s="399">
        <f t="shared" si="11"/>
        <v>0</v>
      </c>
      <c r="I21" s="399">
        <f t="shared" si="11"/>
        <v>0</v>
      </c>
      <c r="J21" s="399">
        <f t="shared" si="11"/>
        <v>480</v>
      </c>
      <c r="K21" s="399">
        <f t="shared" si="11"/>
        <v>0</v>
      </c>
      <c r="L21" s="399">
        <f t="shared" si="11"/>
        <v>0</v>
      </c>
      <c r="M21" s="399">
        <f t="shared" si="11"/>
        <v>0</v>
      </c>
      <c r="N21" s="399">
        <f t="shared" si="11"/>
        <v>480</v>
      </c>
      <c r="O21" s="399"/>
      <c r="P21" s="399">
        <f t="shared" si="11"/>
        <v>0</v>
      </c>
      <c r="Q21" s="575">
        <f t="shared" si="11"/>
        <v>120</v>
      </c>
    </row>
    <row r="22" spans="2:17" ht="16.5" customHeight="1" x14ac:dyDescent="0.25">
      <c r="B22" s="384"/>
      <c r="C22" s="400"/>
      <c r="D22" s="385"/>
      <c r="E22" s="385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</row>
    <row r="23" spans="2:17" ht="16.5" customHeight="1" thickBot="1" x14ac:dyDescent="0.3">
      <c r="B23" s="401" t="s">
        <v>372</v>
      </c>
      <c r="C23" s="400"/>
      <c r="D23" s="402">
        <f>'SANY ТО_1'!F10</f>
        <v>46</v>
      </c>
      <c r="E23" s="385"/>
      <c r="F23" s="386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</row>
    <row r="24" spans="2:17" ht="24.8" customHeight="1" x14ac:dyDescent="0.25">
      <c r="B24" s="336" t="s">
        <v>361</v>
      </c>
      <c r="C24" s="367" t="s">
        <v>355</v>
      </c>
      <c r="D24" s="403" t="s">
        <v>373</v>
      </c>
      <c r="E24" s="388"/>
      <c r="F24" s="389">
        <f>F15</f>
        <v>1</v>
      </c>
      <c r="G24" s="389">
        <f t="shared" ref="G24:Q24" si="12">G15</f>
        <v>2</v>
      </c>
      <c r="H24" s="389">
        <f t="shared" si="12"/>
        <v>3</v>
      </c>
      <c r="I24" s="389">
        <f t="shared" si="12"/>
        <v>4</v>
      </c>
      <c r="J24" s="389">
        <f t="shared" si="12"/>
        <v>5</v>
      </c>
      <c r="K24" s="389">
        <f t="shared" si="12"/>
        <v>6</v>
      </c>
      <c r="L24" s="389">
        <f t="shared" si="12"/>
        <v>7</v>
      </c>
      <c r="M24" s="389">
        <f t="shared" si="12"/>
        <v>8</v>
      </c>
      <c r="N24" s="389">
        <f t="shared" si="12"/>
        <v>9</v>
      </c>
      <c r="O24" s="389">
        <f t="shared" si="12"/>
        <v>10</v>
      </c>
      <c r="P24" s="389">
        <f t="shared" si="12"/>
        <v>11</v>
      </c>
      <c r="Q24" s="571">
        <f t="shared" si="12"/>
        <v>12</v>
      </c>
    </row>
    <row r="25" spans="2:17" ht="14.95" customHeight="1" x14ac:dyDescent="0.25">
      <c r="B25" s="390" t="s">
        <v>374</v>
      </c>
      <c r="C25" s="302" t="s">
        <v>375</v>
      </c>
      <c r="D25" s="260"/>
      <c r="E25" s="260"/>
      <c r="F25" s="391">
        <f>SUM(F26:F30)</f>
        <v>142</v>
      </c>
      <c r="G25" s="391">
        <f>SUM(G26:G30)</f>
        <v>440</v>
      </c>
      <c r="H25" s="391">
        <f t="shared" ref="H25:Q25" si="13">SUM(H26:H30)</f>
        <v>772</v>
      </c>
      <c r="I25" s="391">
        <f t="shared" si="13"/>
        <v>432</v>
      </c>
      <c r="J25" s="391">
        <f t="shared" si="13"/>
        <v>912</v>
      </c>
      <c r="K25" s="391">
        <f t="shared" si="13"/>
        <v>432</v>
      </c>
      <c r="L25" s="391">
        <f t="shared" si="13"/>
        <v>772</v>
      </c>
      <c r="M25" s="391">
        <f t="shared" si="13"/>
        <v>432</v>
      </c>
      <c r="N25" s="391">
        <f t="shared" si="13"/>
        <v>912</v>
      </c>
      <c r="O25" s="391">
        <f t="shared" si="13"/>
        <v>602</v>
      </c>
      <c r="P25" s="391">
        <f t="shared" si="13"/>
        <v>792</v>
      </c>
      <c r="Q25" s="573">
        <f t="shared" si="13"/>
        <v>722</v>
      </c>
    </row>
    <row r="26" spans="2:17" ht="16.5" customHeight="1" x14ac:dyDescent="0.25">
      <c r="B26" s="404" t="str">
        <f>B17</f>
        <v>ремонт-1</v>
      </c>
      <c r="C26" s="257" t="s">
        <v>375</v>
      </c>
      <c r="D26" s="405">
        <f>$D$23</f>
        <v>46</v>
      </c>
      <c r="E26" s="260"/>
      <c r="F26" s="394">
        <v>77</v>
      </c>
      <c r="G26" s="394">
        <v>77</v>
      </c>
      <c r="H26" s="394">
        <v>77</v>
      </c>
      <c r="I26" s="394">
        <v>77</v>
      </c>
      <c r="J26" s="394">
        <v>77</v>
      </c>
      <c r="K26" s="394">
        <v>77</v>
      </c>
      <c r="L26" s="394">
        <v>77</v>
      </c>
      <c r="M26" s="394">
        <v>77</v>
      </c>
      <c r="N26" s="394">
        <v>77</v>
      </c>
      <c r="O26" s="394">
        <v>77</v>
      </c>
      <c r="P26" s="394">
        <v>77</v>
      </c>
      <c r="Q26" s="394">
        <v>77</v>
      </c>
    </row>
    <row r="27" spans="2:17" ht="16.5" customHeight="1" x14ac:dyDescent="0.25">
      <c r="B27" s="404" t="str">
        <f t="shared" ref="B27" si="14">B18</f>
        <v>ремонт-2</v>
      </c>
      <c r="C27" s="257" t="s">
        <v>375</v>
      </c>
      <c r="D27" s="405">
        <f>$D$23</f>
        <v>46</v>
      </c>
      <c r="E27" s="260"/>
      <c r="F27" s="393">
        <v>65</v>
      </c>
      <c r="G27" s="393">
        <v>65</v>
      </c>
      <c r="H27" s="393">
        <v>65</v>
      </c>
      <c r="I27" s="393">
        <v>65</v>
      </c>
      <c r="J27" s="393">
        <v>65</v>
      </c>
      <c r="K27" s="393">
        <v>65</v>
      </c>
      <c r="L27" s="393">
        <v>65</v>
      </c>
      <c r="M27" s="393">
        <v>65</v>
      </c>
      <c r="N27" s="393">
        <v>65</v>
      </c>
      <c r="O27" s="393">
        <v>65</v>
      </c>
      <c r="P27" s="393">
        <v>65</v>
      </c>
      <c r="Q27" s="393">
        <v>65</v>
      </c>
    </row>
    <row r="28" spans="2:17" ht="16.5" customHeight="1" x14ac:dyDescent="0.25">
      <c r="B28" s="404" t="s">
        <v>592</v>
      </c>
      <c r="C28" s="257" t="s">
        <v>375</v>
      </c>
      <c r="D28" s="405">
        <f t="shared" ref="D28:D30" si="15">$D$23</f>
        <v>46</v>
      </c>
      <c r="E28" s="260"/>
      <c r="F28" s="394"/>
      <c r="G28" s="394">
        <v>298</v>
      </c>
      <c r="H28" s="394">
        <v>290</v>
      </c>
      <c r="I28" s="394">
        <v>290</v>
      </c>
      <c r="J28" s="394">
        <v>290</v>
      </c>
      <c r="K28" s="394">
        <v>290</v>
      </c>
      <c r="L28" s="394">
        <v>290</v>
      </c>
      <c r="M28" s="394">
        <v>290</v>
      </c>
      <c r="N28" s="394">
        <v>290</v>
      </c>
      <c r="O28" s="394">
        <v>290</v>
      </c>
      <c r="P28" s="394">
        <v>310</v>
      </c>
      <c r="Q28" s="394">
        <v>290</v>
      </c>
    </row>
    <row r="29" spans="2:17" ht="16.5" customHeight="1" x14ac:dyDescent="0.25">
      <c r="B29" s="404" t="s">
        <v>593</v>
      </c>
      <c r="C29" s="257" t="s">
        <v>375</v>
      </c>
      <c r="D29" s="405">
        <f t="shared" si="15"/>
        <v>46</v>
      </c>
      <c r="E29" s="260"/>
      <c r="F29" s="394"/>
      <c r="G29" s="394"/>
      <c r="H29" s="394">
        <v>340</v>
      </c>
      <c r="I29" s="394"/>
      <c r="J29" s="394"/>
      <c r="K29" s="394"/>
      <c r="L29" s="394">
        <v>340</v>
      </c>
      <c r="M29" s="394"/>
      <c r="N29" s="394"/>
      <c r="O29" s="394">
        <v>170</v>
      </c>
      <c r="P29" s="394">
        <v>340</v>
      </c>
      <c r="Q29" s="394">
        <v>170</v>
      </c>
    </row>
    <row r="30" spans="2:17" ht="16.5" customHeight="1" thickBot="1" x14ac:dyDescent="0.3">
      <c r="B30" s="576" t="s">
        <v>594</v>
      </c>
      <c r="C30" s="374" t="s">
        <v>375</v>
      </c>
      <c r="D30" s="577">
        <f t="shared" si="15"/>
        <v>46</v>
      </c>
      <c r="E30" s="383"/>
      <c r="F30" s="399"/>
      <c r="G30" s="399"/>
      <c r="H30" s="399"/>
      <c r="I30" s="399"/>
      <c r="J30" s="399">
        <v>480</v>
      </c>
      <c r="K30" s="399"/>
      <c r="L30" s="399"/>
      <c r="M30" s="399"/>
      <c r="N30" s="399">
        <v>480</v>
      </c>
      <c r="O30" s="399"/>
      <c r="P30" s="399"/>
      <c r="Q30" s="399">
        <v>120</v>
      </c>
    </row>
    <row r="31" spans="2:17" x14ac:dyDescent="0.25">
      <c r="B31" s="384"/>
      <c r="E31" s="412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</row>
    <row r="32" spans="2:17" ht="14.95" thickBot="1" x14ac:dyDescent="0.3">
      <c r="B32" s="387" t="s">
        <v>389</v>
      </c>
      <c r="F32" s="303"/>
    </row>
    <row r="33" spans="2:19" ht="43.5" customHeight="1" x14ac:dyDescent="0.25">
      <c r="B33" s="336" t="s">
        <v>390</v>
      </c>
      <c r="C33" s="337" t="s">
        <v>391</v>
      </c>
      <c r="D33" s="337" t="s">
        <v>392</v>
      </c>
      <c r="E33" s="337" t="s">
        <v>393</v>
      </c>
      <c r="F33" s="340" t="s">
        <v>292</v>
      </c>
      <c r="G33" s="340" t="s">
        <v>292</v>
      </c>
      <c r="H33" s="340" t="s">
        <v>292</v>
      </c>
      <c r="I33" s="340" t="s">
        <v>292</v>
      </c>
      <c r="J33" s="340" t="s">
        <v>292</v>
      </c>
      <c r="K33" s="340" t="s">
        <v>292</v>
      </c>
      <c r="L33" s="340" t="s">
        <v>292</v>
      </c>
      <c r="M33" s="340" t="s">
        <v>292</v>
      </c>
      <c r="N33" s="340" t="s">
        <v>292</v>
      </c>
      <c r="O33" s="340" t="s">
        <v>292</v>
      </c>
      <c r="P33" s="340" t="s">
        <v>292</v>
      </c>
      <c r="Q33" s="494" t="s">
        <v>292</v>
      </c>
    </row>
    <row r="34" spans="2:19" ht="28.55" customHeight="1" x14ac:dyDescent="0.25">
      <c r="B34" s="379" t="s">
        <v>394</v>
      </c>
      <c r="C34" s="247"/>
      <c r="D34" s="247"/>
      <c r="E34" s="247"/>
      <c r="F34" s="346">
        <f>SUM(F35:F39)</f>
        <v>17931</v>
      </c>
      <c r="G34" s="346">
        <f t="shared" ref="G34:Q34" si="16">SUM(G35:G39)</f>
        <v>17931</v>
      </c>
      <c r="H34" s="346">
        <f t="shared" si="16"/>
        <v>17931</v>
      </c>
      <c r="I34" s="346">
        <f t="shared" si="16"/>
        <v>17931</v>
      </c>
      <c r="J34" s="346">
        <f t="shared" si="16"/>
        <v>17931</v>
      </c>
      <c r="K34" s="346">
        <f t="shared" si="16"/>
        <v>17931</v>
      </c>
      <c r="L34" s="346">
        <f t="shared" si="16"/>
        <v>17931</v>
      </c>
      <c r="M34" s="346">
        <f t="shared" si="16"/>
        <v>17931</v>
      </c>
      <c r="N34" s="346">
        <f t="shared" si="16"/>
        <v>17931</v>
      </c>
      <c r="O34" s="346">
        <f t="shared" si="16"/>
        <v>17931</v>
      </c>
      <c r="P34" s="346">
        <f t="shared" si="16"/>
        <v>17931</v>
      </c>
      <c r="Q34" s="495">
        <f t="shared" si="16"/>
        <v>17931</v>
      </c>
    </row>
    <row r="35" spans="2:19" x14ac:dyDescent="0.25">
      <c r="B35" s="496" t="s">
        <v>482</v>
      </c>
      <c r="C35" s="354">
        <v>383</v>
      </c>
      <c r="D35" s="497">
        <v>1000</v>
      </c>
      <c r="E35" s="578">
        <f>7000/D35</f>
        <v>7</v>
      </c>
      <c r="F35" s="476">
        <f>$E35*$C35</f>
        <v>2681</v>
      </c>
      <c r="G35" s="476">
        <f t="shared" ref="G35:Q39" si="17">$E35*$C35</f>
        <v>2681</v>
      </c>
      <c r="H35" s="476">
        <f t="shared" si="17"/>
        <v>2681</v>
      </c>
      <c r="I35" s="476">
        <f t="shared" si="17"/>
        <v>2681</v>
      </c>
      <c r="J35" s="476">
        <f t="shared" si="17"/>
        <v>2681</v>
      </c>
      <c r="K35" s="476">
        <f t="shared" si="17"/>
        <v>2681</v>
      </c>
      <c r="L35" s="476">
        <f t="shared" si="17"/>
        <v>2681</v>
      </c>
      <c r="M35" s="476">
        <f t="shared" si="17"/>
        <v>2681</v>
      </c>
      <c r="N35" s="476">
        <f t="shared" si="17"/>
        <v>2681</v>
      </c>
      <c r="O35" s="476">
        <f t="shared" si="17"/>
        <v>2681</v>
      </c>
      <c r="P35" s="476">
        <f t="shared" si="17"/>
        <v>2681</v>
      </c>
      <c r="Q35" s="498">
        <f t="shared" si="17"/>
        <v>2681</v>
      </c>
    </row>
    <row r="36" spans="2:19" x14ac:dyDescent="0.25">
      <c r="B36" s="496" t="s">
        <v>483</v>
      </c>
      <c r="C36" s="354">
        <v>5000</v>
      </c>
      <c r="D36" s="497">
        <v>4000</v>
      </c>
      <c r="E36" s="578">
        <f>7000/D36</f>
        <v>1.75</v>
      </c>
      <c r="F36" s="476">
        <f t="shared" ref="F36:O39" si="18">$E36*$C36</f>
        <v>8750</v>
      </c>
      <c r="G36" s="476">
        <f t="shared" si="18"/>
        <v>8750</v>
      </c>
      <c r="H36" s="476">
        <f t="shared" si="18"/>
        <v>8750</v>
      </c>
      <c r="I36" s="476">
        <f t="shared" si="18"/>
        <v>8750</v>
      </c>
      <c r="J36" s="476">
        <f t="shared" si="18"/>
        <v>8750</v>
      </c>
      <c r="K36" s="476">
        <f t="shared" si="18"/>
        <v>8750</v>
      </c>
      <c r="L36" s="476">
        <f t="shared" si="18"/>
        <v>8750</v>
      </c>
      <c r="M36" s="476">
        <f t="shared" si="18"/>
        <v>8750</v>
      </c>
      <c r="N36" s="476">
        <f t="shared" si="18"/>
        <v>8750</v>
      </c>
      <c r="O36" s="476">
        <f t="shared" si="18"/>
        <v>8750</v>
      </c>
      <c r="P36" s="476">
        <f t="shared" si="17"/>
        <v>8750</v>
      </c>
      <c r="Q36" s="498">
        <f t="shared" si="17"/>
        <v>8750</v>
      </c>
    </row>
    <row r="37" spans="2:19" x14ac:dyDescent="0.25">
      <c r="B37" s="496" t="s">
        <v>484</v>
      </c>
      <c r="C37" s="354">
        <v>6500</v>
      </c>
      <c r="D37" s="497">
        <v>7000</v>
      </c>
      <c r="E37" s="578">
        <f>7000/D37</f>
        <v>1</v>
      </c>
      <c r="F37" s="476">
        <f t="shared" si="18"/>
        <v>6500</v>
      </c>
      <c r="G37" s="476">
        <f t="shared" si="18"/>
        <v>6500</v>
      </c>
      <c r="H37" s="476">
        <f t="shared" si="18"/>
        <v>6500</v>
      </c>
      <c r="I37" s="476">
        <f t="shared" si="18"/>
        <v>6500</v>
      </c>
      <c r="J37" s="476">
        <f t="shared" si="18"/>
        <v>6500</v>
      </c>
      <c r="K37" s="476">
        <f t="shared" si="18"/>
        <v>6500</v>
      </c>
      <c r="L37" s="476">
        <f t="shared" si="18"/>
        <v>6500</v>
      </c>
      <c r="M37" s="476">
        <f t="shared" si="18"/>
        <v>6500</v>
      </c>
      <c r="N37" s="476">
        <f t="shared" si="18"/>
        <v>6500</v>
      </c>
      <c r="O37" s="476">
        <f t="shared" si="18"/>
        <v>6500</v>
      </c>
      <c r="P37" s="476">
        <f t="shared" si="17"/>
        <v>6500</v>
      </c>
      <c r="Q37" s="498">
        <f t="shared" si="17"/>
        <v>6500</v>
      </c>
    </row>
    <row r="38" spans="2:19" hidden="1" x14ac:dyDescent="0.25">
      <c r="B38" s="496" t="s">
        <v>485</v>
      </c>
      <c r="C38" s="354"/>
      <c r="D38" s="497"/>
      <c r="E38" s="258"/>
      <c r="F38" s="476">
        <f t="shared" si="18"/>
        <v>0</v>
      </c>
      <c r="G38" s="476">
        <f t="shared" si="18"/>
        <v>0</v>
      </c>
      <c r="H38" s="476">
        <f t="shared" si="18"/>
        <v>0</v>
      </c>
      <c r="I38" s="476">
        <f t="shared" si="18"/>
        <v>0</v>
      </c>
      <c r="J38" s="476">
        <f t="shared" si="18"/>
        <v>0</v>
      </c>
      <c r="K38" s="476">
        <f t="shared" si="18"/>
        <v>0</v>
      </c>
      <c r="L38" s="476">
        <f t="shared" si="18"/>
        <v>0</v>
      </c>
      <c r="M38" s="476">
        <f t="shared" si="18"/>
        <v>0</v>
      </c>
      <c r="N38" s="476">
        <f t="shared" si="18"/>
        <v>0</v>
      </c>
      <c r="O38" s="476">
        <f t="shared" si="18"/>
        <v>0</v>
      </c>
      <c r="P38" s="476">
        <f t="shared" si="17"/>
        <v>0</v>
      </c>
      <c r="Q38" s="498">
        <f t="shared" si="17"/>
        <v>0</v>
      </c>
    </row>
    <row r="39" spans="2:19" hidden="1" x14ac:dyDescent="0.25">
      <c r="B39" s="496" t="s">
        <v>486</v>
      </c>
      <c r="C39" s="354"/>
      <c r="D39" s="497"/>
      <c r="E39" s="258"/>
      <c r="F39" s="476">
        <f t="shared" si="18"/>
        <v>0</v>
      </c>
      <c r="G39" s="476">
        <f t="shared" si="18"/>
        <v>0</v>
      </c>
      <c r="H39" s="476">
        <f t="shared" si="18"/>
        <v>0</v>
      </c>
      <c r="I39" s="476">
        <f t="shared" si="18"/>
        <v>0</v>
      </c>
      <c r="J39" s="476">
        <f t="shared" si="18"/>
        <v>0</v>
      </c>
      <c r="K39" s="476">
        <f t="shared" si="18"/>
        <v>0</v>
      </c>
      <c r="L39" s="476">
        <f t="shared" si="18"/>
        <v>0</v>
      </c>
      <c r="M39" s="476">
        <f t="shared" si="18"/>
        <v>0</v>
      </c>
      <c r="N39" s="476">
        <f t="shared" si="18"/>
        <v>0</v>
      </c>
      <c r="O39" s="476">
        <f t="shared" si="18"/>
        <v>0</v>
      </c>
      <c r="P39" s="476">
        <f t="shared" si="17"/>
        <v>0</v>
      </c>
      <c r="Q39" s="498">
        <f t="shared" si="17"/>
        <v>0</v>
      </c>
    </row>
    <row r="40" spans="2:19" ht="47.25" customHeight="1" x14ac:dyDescent="0.25">
      <c r="B40" s="379" t="s">
        <v>284</v>
      </c>
      <c r="C40" s="247" t="s">
        <v>391</v>
      </c>
      <c r="D40" s="247" t="s">
        <v>392</v>
      </c>
      <c r="E40" s="247" t="s">
        <v>393</v>
      </c>
      <c r="F40" s="346">
        <f>SUM(F41:F69)</f>
        <v>0</v>
      </c>
      <c r="G40" s="346">
        <f t="shared" ref="G40:Q40" si="19">SUM(G41:G69)</f>
        <v>62211.271662763465</v>
      </c>
      <c r="H40" s="346">
        <f t="shared" si="19"/>
        <v>433632.93442622951</v>
      </c>
      <c r="I40" s="346">
        <f t="shared" si="19"/>
        <v>156454.27166276347</v>
      </c>
      <c r="J40" s="346">
        <f t="shared" si="19"/>
        <v>803169.3</v>
      </c>
      <c r="K40" s="346">
        <f t="shared" si="19"/>
        <v>592571.49180327868</v>
      </c>
      <c r="L40" s="346">
        <f t="shared" si="19"/>
        <v>103048</v>
      </c>
      <c r="M40" s="346">
        <f t="shared" si="19"/>
        <v>120245.27166276347</v>
      </c>
      <c r="N40" s="346">
        <f t="shared" si="19"/>
        <v>1178573.2344262295</v>
      </c>
      <c r="O40" s="346">
        <f t="shared" si="19"/>
        <v>39493.271662763465</v>
      </c>
      <c r="P40" s="346">
        <f t="shared" si="19"/>
        <v>93550</v>
      </c>
      <c r="Q40" s="346">
        <f t="shared" si="19"/>
        <v>120961</v>
      </c>
    </row>
    <row r="41" spans="2:19" x14ac:dyDescent="0.25">
      <c r="B41" s="364" t="s">
        <v>595</v>
      </c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3"/>
    </row>
    <row r="42" spans="2:19" x14ac:dyDescent="0.25">
      <c r="B42" s="420" t="s">
        <v>596</v>
      </c>
      <c r="C42" s="354">
        <v>73500</v>
      </c>
      <c r="D42" s="269">
        <v>20000</v>
      </c>
      <c r="E42" s="268">
        <v>3</v>
      </c>
      <c r="F42" s="501"/>
      <c r="G42" s="501"/>
      <c r="H42" s="501">
        <f>$C42*$E42*0.6</f>
        <v>132300</v>
      </c>
      <c r="I42" s="501"/>
      <c r="J42" s="501"/>
      <c r="K42" s="501">
        <f>$C42*$E42</f>
        <v>220500</v>
      </c>
      <c r="L42" s="501"/>
      <c r="M42" s="501"/>
      <c r="N42" s="501">
        <f>$C42*$E42*0.6</f>
        <v>132300</v>
      </c>
      <c r="O42" s="501"/>
      <c r="P42" s="501"/>
      <c r="Q42" s="579"/>
      <c r="S42" s="416"/>
    </row>
    <row r="43" spans="2:19" x14ac:dyDescent="0.25">
      <c r="B43" s="420" t="s">
        <v>597</v>
      </c>
      <c r="C43" s="354">
        <f>6367/1.22</f>
        <v>5218.8524590163934</v>
      </c>
      <c r="D43" s="269">
        <v>8000</v>
      </c>
      <c r="E43" s="268">
        <v>3</v>
      </c>
      <c r="F43" s="501"/>
      <c r="G43" s="501">
        <f t="shared" ref="G43:O44" si="20">$C43*$E43</f>
        <v>15656.557377049179</v>
      </c>
      <c r="H43" s="501"/>
      <c r="I43" s="501">
        <f t="shared" si="20"/>
        <v>15656.557377049179</v>
      </c>
      <c r="J43" s="501"/>
      <c r="K43" s="501">
        <f t="shared" si="20"/>
        <v>15656.557377049179</v>
      </c>
      <c r="L43" s="501"/>
      <c r="M43" s="501">
        <f t="shared" si="20"/>
        <v>15656.557377049179</v>
      </c>
      <c r="N43" s="501"/>
      <c r="O43" s="501">
        <f t="shared" si="20"/>
        <v>15656.557377049179</v>
      </c>
      <c r="P43" s="501"/>
      <c r="Q43" s="579"/>
    </row>
    <row r="44" spans="2:19" x14ac:dyDescent="0.25">
      <c r="B44" s="420" t="s">
        <v>598</v>
      </c>
      <c r="C44" s="354">
        <v>376</v>
      </c>
      <c r="D44" s="269">
        <v>8000</v>
      </c>
      <c r="E44" s="268">
        <v>1</v>
      </c>
      <c r="F44" s="501"/>
      <c r="G44" s="501">
        <f t="shared" si="20"/>
        <v>376</v>
      </c>
      <c r="H44" s="501"/>
      <c r="I44" s="501">
        <f t="shared" si="20"/>
        <v>376</v>
      </c>
      <c r="J44" s="501"/>
      <c r="K44" s="501">
        <f t="shared" si="20"/>
        <v>376</v>
      </c>
      <c r="L44" s="501"/>
      <c r="M44" s="501">
        <f t="shared" si="20"/>
        <v>376</v>
      </c>
      <c r="N44" s="501"/>
      <c r="O44" s="501">
        <f t="shared" si="20"/>
        <v>376</v>
      </c>
      <c r="P44" s="501"/>
      <c r="Q44" s="579"/>
    </row>
    <row r="45" spans="2:19" x14ac:dyDescent="0.25">
      <c r="B45" s="420" t="s">
        <v>599</v>
      </c>
      <c r="C45" s="354">
        <v>5387</v>
      </c>
      <c r="D45" s="269">
        <v>30000</v>
      </c>
      <c r="E45" s="268">
        <v>1</v>
      </c>
      <c r="F45" s="501"/>
      <c r="G45" s="501"/>
      <c r="H45" s="501">
        <f t="shared" ref="H45:L49" si="21">$C45*$E45</f>
        <v>5387</v>
      </c>
      <c r="I45" s="501"/>
      <c r="J45" s="501">
        <f t="shared" si="21"/>
        <v>5387</v>
      </c>
      <c r="K45" s="501"/>
      <c r="L45" s="501">
        <f t="shared" si="21"/>
        <v>5387</v>
      </c>
      <c r="M45" s="501"/>
      <c r="N45" s="501">
        <f t="shared" ref="N45:P49" si="22">$C45*$E45</f>
        <v>5387</v>
      </c>
      <c r="O45" s="501"/>
      <c r="P45" s="501">
        <f t="shared" ref="P45" si="23">$C45*$E45</f>
        <v>5387</v>
      </c>
      <c r="Q45" s="579"/>
    </row>
    <row r="46" spans="2:19" x14ac:dyDescent="0.25">
      <c r="B46" s="420" t="s">
        <v>600</v>
      </c>
      <c r="C46" s="354">
        <v>43571</v>
      </c>
      <c r="D46" s="269">
        <v>18000</v>
      </c>
      <c r="E46" s="268">
        <v>3</v>
      </c>
      <c r="F46" s="501"/>
      <c r="G46" s="501"/>
      <c r="H46" s="501">
        <f t="shared" si="21"/>
        <v>130713</v>
      </c>
      <c r="I46" s="501"/>
      <c r="J46" s="501"/>
      <c r="K46" s="501">
        <f t="shared" ref="K46:L49" si="24">$C46*$E46</f>
        <v>130713</v>
      </c>
      <c r="L46" s="501"/>
      <c r="M46" s="501"/>
      <c r="N46" s="501">
        <f t="shared" si="22"/>
        <v>130713</v>
      </c>
      <c r="O46" s="501"/>
      <c r="P46" s="501"/>
      <c r="Q46" s="579"/>
    </row>
    <row r="47" spans="2:19" x14ac:dyDescent="0.25">
      <c r="B47" s="420" t="s">
        <v>601</v>
      </c>
      <c r="C47" s="354">
        <v>98535</v>
      </c>
      <c r="D47" s="269">
        <v>20000</v>
      </c>
      <c r="E47" s="268">
        <v>1</v>
      </c>
      <c r="F47" s="501"/>
      <c r="G47" s="501">
        <f>C47/4.2</f>
        <v>23460.714285714286</v>
      </c>
      <c r="H47" s="501"/>
      <c r="I47" s="501">
        <f>G47</f>
        <v>23460.714285714286</v>
      </c>
      <c r="J47" s="501"/>
      <c r="K47" s="501">
        <f t="shared" si="24"/>
        <v>98535</v>
      </c>
      <c r="L47" s="501"/>
      <c r="M47" s="501">
        <f>I47</f>
        <v>23460.714285714286</v>
      </c>
      <c r="N47" s="501"/>
      <c r="O47" s="501">
        <f>M47</f>
        <v>23460.714285714286</v>
      </c>
      <c r="P47" s="501"/>
      <c r="Q47" s="501">
        <f t="shared" ref="Q47" si="25">$C47*$E47</f>
        <v>98535</v>
      </c>
    </row>
    <row r="48" spans="2:19" x14ac:dyDescent="0.25">
      <c r="B48" s="580" t="s">
        <v>602</v>
      </c>
      <c r="C48" s="354">
        <v>49288</v>
      </c>
      <c r="D48" s="269">
        <v>25000</v>
      </c>
      <c r="E48" s="268">
        <v>1</v>
      </c>
      <c r="F48" s="501"/>
      <c r="G48" s="501"/>
      <c r="H48" s="501"/>
      <c r="I48" s="501">
        <f>$C48*$E48*1</f>
        <v>49288</v>
      </c>
      <c r="J48" s="501"/>
      <c r="K48" s="501"/>
      <c r="L48" s="501"/>
      <c r="M48" s="501">
        <f>$C48*$E48*1</f>
        <v>49288</v>
      </c>
      <c r="N48" s="501"/>
      <c r="O48" s="501"/>
      <c r="P48" s="501"/>
      <c r="Q48" s="579"/>
    </row>
    <row r="49" spans="2:17" x14ac:dyDescent="0.25">
      <c r="B49" s="420" t="s">
        <v>603</v>
      </c>
      <c r="C49" s="354">
        <v>22561</v>
      </c>
      <c r="D49" s="269">
        <v>24000</v>
      </c>
      <c r="E49" s="268">
        <v>1</v>
      </c>
      <c r="F49" s="501"/>
      <c r="G49" s="501"/>
      <c r="H49" s="501"/>
      <c r="I49" s="501">
        <f t="shared" si="21"/>
        <v>22561</v>
      </c>
      <c r="J49" s="501"/>
      <c r="K49" s="501"/>
      <c r="L49" s="501">
        <f t="shared" si="24"/>
        <v>22561</v>
      </c>
      <c r="M49" s="501"/>
      <c r="N49" s="501"/>
      <c r="O49" s="501"/>
      <c r="P49" s="501">
        <f t="shared" si="22"/>
        <v>22561</v>
      </c>
      <c r="Q49" s="579"/>
    </row>
    <row r="50" spans="2:17" x14ac:dyDescent="0.25">
      <c r="B50" s="364" t="s">
        <v>396</v>
      </c>
      <c r="C50" s="292"/>
      <c r="D50" s="292"/>
      <c r="E50" s="370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3"/>
    </row>
    <row r="51" spans="2:17" x14ac:dyDescent="0.25">
      <c r="B51" s="420" t="s">
        <v>377</v>
      </c>
      <c r="C51" s="354">
        <v>308698</v>
      </c>
      <c r="D51" s="269">
        <v>30000</v>
      </c>
      <c r="E51" s="268">
        <v>2</v>
      </c>
      <c r="F51" s="501"/>
      <c r="G51" s="501"/>
      <c r="H51" s="501">
        <v>25308</v>
      </c>
      <c r="I51" s="501"/>
      <c r="J51" s="501">
        <v>617396</v>
      </c>
      <c r="K51" s="501"/>
      <c r="L51" s="501">
        <v>25308</v>
      </c>
      <c r="M51" s="501"/>
      <c r="N51" s="501">
        <v>617396</v>
      </c>
      <c r="O51" s="501"/>
      <c r="P51" s="501">
        <v>25308</v>
      </c>
      <c r="Q51" s="501"/>
    </row>
    <row r="52" spans="2:17" x14ac:dyDescent="0.25">
      <c r="B52" s="420" t="s">
        <v>604</v>
      </c>
      <c r="C52" s="354">
        <v>177069</v>
      </c>
      <c r="D52" s="269">
        <v>30000</v>
      </c>
      <c r="E52" s="268">
        <v>2</v>
      </c>
      <c r="F52" s="501"/>
      <c r="G52" s="501"/>
      <c r="H52" s="501">
        <v>11480</v>
      </c>
      <c r="I52" s="501"/>
      <c r="J52" s="501">
        <v>123948.29999999999</v>
      </c>
      <c r="K52" s="501"/>
      <c r="L52" s="501">
        <v>11480</v>
      </c>
      <c r="M52" s="501"/>
      <c r="N52" s="501">
        <v>123948.29999999999</v>
      </c>
      <c r="O52" s="501"/>
      <c r="P52" s="501">
        <v>11480</v>
      </c>
      <c r="Q52" s="501"/>
    </row>
    <row r="53" spans="2:17" x14ac:dyDescent="0.25">
      <c r="B53" s="581" t="s">
        <v>397</v>
      </c>
      <c r="C53" s="582"/>
      <c r="D53" s="582"/>
      <c r="E53" s="583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4"/>
    </row>
    <row r="54" spans="2:17" x14ac:dyDescent="0.25">
      <c r="B54" s="585" t="s">
        <v>605</v>
      </c>
      <c r="C54" s="354">
        <v>2574</v>
      </c>
      <c r="D54" s="269">
        <v>28000</v>
      </c>
      <c r="E54" s="268">
        <v>2</v>
      </c>
      <c r="F54" s="501"/>
      <c r="G54" s="501"/>
      <c r="H54" s="501"/>
      <c r="I54" s="501">
        <f t="shared" ref="G54:Q69" si="26">$C54*$E54</f>
        <v>5148</v>
      </c>
      <c r="J54" s="501"/>
      <c r="K54" s="501"/>
      <c r="L54" s="501"/>
      <c r="M54" s="501">
        <f t="shared" ref="K54:P64" si="27">$C54*$E54</f>
        <v>5148</v>
      </c>
      <c r="N54" s="501">
        <f t="shared" si="27"/>
        <v>5148</v>
      </c>
      <c r="O54" s="501"/>
      <c r="P54" s="501"/>
      <c r="Q54" s="579"/>
    </row>
    <row r="55" spans="2:17" x14ac:dyDescent="0.25">
      <c r="B55" s="509" t="s">
        <v>606</v>
      </c>
      <c r="C55" s="354">
        <v>3598</v>
      </c>
      <c r="D55" s="269">
        <v>28000</v>
      </c>
      <c r="E55" s="268">
        <v>1</v>
      </c>
      <c r="F55" s="501"/>
      <c r="G55" s="501"/>
      <c r="H55" s="501"/>
      <c r="I55" s="501">
        <f t="shared" si="26"/>
        <v>3598</v>
      </c>
      <c r="J55" s="501"/>
      <c r="K55" s="501"/>
      <c r="L55" s="501"/>
      <c r="M55" s="501">
        <f t="shared" si="27"/>
        <v>3598</v>
      </c>
      <c r="N55" s="501">
        <f t="shared" si="27"/>
        <v>3598</v>
      </c>
      <c r="O55" s="501"/>
      <c r="P55" s="501"/>
      <c r="Q55" s="579"/>
    </row>
    <row r="56" spans="2:17" x14ac:dyDescent="0.25">
      <c r="B56" s="509" t="s">
        <v>607</v>
      </c>
      <c r="C56" s="354">
        <v>3275</v>
      </c>
      <c r="D56" s="269">
        <v>24000</v>
      </c>
      <c r="E56" s="268">
        <v>2</v>
      </c>
      <c r="F56" s="501"/>
      <c r="G56" s="501"/>
      <c r="H56" s="501"/>
      <c r="I56" s="501">
        <f t="shared" si="26"/>
        <v>6550</v>
      </c>
      <c r="J56" s="501"/>
      <c r="K56" s="501"/>
      <c r="L56" s="501">
        <f t="shared" si="27"/>
        <v>6550</v>
      </c>
      <c r="M56" s="501"/>
      <c r="N56" s="501"/>
      <c r="O56" s="501"/>
      <c r="P56" s="501"/>
      <c r="Q56" s="579"/>
    </row>
    <row r="57" spans="2:17" x14ac:dyDescent="0.25">
      <c r="B57" s="509" t="s">
        <v>608</v>
      </c>
      <c r="C57" s="354">
        <v>2948</v>
      </c>
      <c r="D57" s="269">
        <v>24000</v>
      </c>
      <c r="E57" s="268">
        <v>1</v>
      </c>
      <c r="F57" s="501"/>
      <c r="G57" s="501"/>
      <c r="H57" s="501"/>
      <c r="I57" s="501">
        <f t="shared" si="26"/>
        <v>2948</v>
      </c>
      <c r="J57" s="501"/>
      <c r="K57" s="501"/>
      <c r="L57" s="501">
        <f t="shared" si="27"/>
        <v>2948</v>
      </c>
      <c r="M57" s="501"/>
      <c r="N57" s="501"/>
      <c r="O57" s="501"/>
      <c r="P57" s="501"/>
      <c r="Q57" s="579"/>
    </row>
    <row r="58" spans="2:17" x14ac:dyDescent="0.25">
      <c r="B58" s="420" t="s">
        <v>515</v>
      </c>
      <c r="C58" s="354">
        <v>360</v>
      </c>
      <c r="D58" s="269">
        <v>20000</v>
      </c>
      <c r="E58" s="268">
        <v>2</v>
      </c>
      <c r="F58" s="501"/>
      <c r="G58" s="501"/>
      <c r="H58" s="501">
        <f t="shared" si="26"/>
        <v>720</v>
      </c>
      <c r="I58" s="501"/>
      <c r="J58" s="501"/>
      <c r="K58" s="501">
        <f t="shared" si="27"/>
        <v>720</v>
      </c>
      <c r="L58" s="501"/>
      <c r="M58" s="501"/>
      <c r="N58" s="501"/>
      <c r="O58" s="501"/>
      <c r="P58" s="501"/>
      <c r="Q58" s="579"/>
    </row>
    <row r="59" spans="2:17" x14ac:dyDescent="0.25">
      <c r="B59" s="420" t="s">
        <v>609</v>
      </c>
      <c r="C59" s="354">
        <v>973</v>
      </c>
      <c r="D59" s="269">
        <v>16000</v>
      </c>
      <c r="E59" s="268">
        <v>2</v>
      </c>
      <c r="F59" s="501"/>
      <c r="G59" s="501"/>
      <c r="H59" s="501">
        <f t="shared" si="26"/>
        <v>1946</v>
      </c>
      <c r="I59" s="501"/>
      <c r="J59" s="501">
        <f t="shared" si="26"/>
        <v>1946</v>
      </c>
      <c r="K59" s="501"/>
      <c r="L59" s="501">
        <f t="shared" si="26"/>
        <v>1946</v>
      </c>
      <c r="M59" s="501"/>
      <c r="N59" s="501">
        <f t="shared" si="27"/>
        <v>1946</v>
      </c>
      <c r="O59" s="501"/>
      <c r="P59" s="501">
        <f t="shared" ref="P59" si="28">$C59*$E59</f>
        <v>1946</v>
      </c>
      <c r="Q59" s="579"/>
    </row>
    <row r="60" spans="2:17" x14ac:dyDescent="0.25">
      <c r="B60" s="420" t="s">
        <v>610</v>
      </c>
      <c r="C60" s="354">
        <v>146</v>
      </c>
      <c r="D60" s="269">
        <v>12000</v>
      </c>
      <c r="E60" s="268">
        <v>2</v>
      </c>
      <c r="F60" s="501"/>
      <c r="G60" s="501">
        <f t="shared" si="26"/>
        <v>292</v>
      </c>
      <c r="H60" s="501"/>
      <c r="I60" s="501">
        <f t="shared" si="26"/>
        <v>292</v>
      </c>
      <c r="J60" s="501"/>
      <c r="K60" s="501">
        <f t="shared" si="26"/>
        <v>292</v>
      </c>
      <c r="L60" s="501">
        <f t="shared" si="26"/>
        <v>292</v>
      </c>
      <c r="M60" s="501">
        <f t="shared" si="27"/>
        <v>292</v>
      </c>
      <c r="N60" s="501">
        <f t="shared" si="27"/>
        <v>292</v>
      </c>
      <c r="O60" s="501"/>
      <c r="P60" s="501">
        <f t="shared" si="27"/>
        <v>292</v>
      </c>
      <c r="Q60" s="579"/>
    </row>
    <row r="61" spans="2:17" x14ac:dyDescent="0.25">
      <c r="B61" s="420" t="s">
        <v>611</v>
      </c>
      <c r="C61" s="354">
        <v>1904</v>
      </c>
      <c r="D61" s="269">
        <v>24000</v>
      </c>
      <c r="E61" s="268">
        <v>1</v>
      </c>
      <c r="F61" s="501"/>
      <c r="G61" s="501"/>
      <c r="H61" s="501"/>
      <c r="I61" s="501">
        <f t="shared" si="26"/>
        <v>1904</v>
      </c>
      <c r="J61" s="501"/>
      <c r="K61" s="501"/>
      <c r="L61" s="501">
        <f t="shared" si="26"/>
        <v>1904</v>
      </c>
      <c r="M61" s="501"/>
      <c r="N61" s="501"/>
      <c r="O61" s="501"/>
      <c r="P61" s="501">
        <f t="shared" si="27"/>
        <v>1904</v>
      </c>
      <c r="Q61" s="579"/>
    </row>
    <row r="62" spans="2:17" x14ac:dyDescent="0.25">
      <c r="B62" s="420" t="s">
        <v>612</v>
      </c>
      <c r="C62" s="354">
        <v>12336</v>
      </c>
      <c r="D62" s="269">
        <v>24000</v>
      </c>
      <c r="E62" s="268">
        <v>2</v>
      </c>
      <c r="F62" s="501"/>
      <c r="G62" s="501"/>
      <c r="H62" s="501"/>
      <c r="I62" s="501">
        <f t="shared" si="26"/>
        <v>24672</v>
      </c>
      <c r="J62" s="501"/>
      <c r="K62" s="501"/>
      <c r="L62" s="501">
        <f t="shared" si="26"/>
        <v>24672</v>
      </c>
      <c r="M62" s="501"/>
      <c r="N62" s="501"/>
      <c r="O62" s="501"/>
      <c r="P62" s="501">
        <f t="shared" si="27"/>
        <v>24672</v>
      </c>
      <c r="Q62" s="579"/>
    </row>
    <row r="63" spans="2:17" x14ac:dyDescent="0.25">
      <c r="B63" s="420" t="s">
        <v>613</v>
      </c>
      <c r="C63" s="354">
        <v>16033</v>
      </c>
      <c r="D63" s="269">
        <v>30000</v>
      </c>
      <c r="E63" s="268">
        <v>2</v>
      </c>
      <c r="F63" s="501"/>
      <c r="G63" s="501"/>
      <c r="H63" s="501"/>
      <c r="I63" s="501"/>
      <c r="J63" s="501">
        <f t="shared" si="26"/>
        <v>32066</v>
      </c>
      <c r="K63" s="501"/>
      <c r="L63" s="501"/>
      <c r="M63" s="501"/>
      <c r="N63" s="501">
        <f t="shared" si="27"/>
        <v>32066</v>
      </c>
      <c r="O63" s="501"/>
      <c r="P63" s="501"/>
      <c r="Q63" s="579"/>
    </row>
    <row r="64" spans="2:17" x14ac:dyDescent="0.25">
      <c r="B64" s="420" t="s">
        <v>614</v>
      </c>
      <c r="C64" s="354">
        <v>5927</v>
      </c>
      <c r="D64" s="269">
        <v>20000</v>
      </c>
      <c r="E64" s="268">
        <v>1</v>
      </c>
      <c r="F64" s="501"/>
      <c r="G64" s="501"/>
      <c r="H64" s="501">
        <f t="shared" si="26"/>
        <v>5927</v>
      </c>
      <c r="I64" s="501"/>
      <c r="J64" s="501"/>
      <c r="K64" s="501">
        <f t="shared" si="26"/>
        <v>5927</v>
      </c>
      <c r="L64" s="501"/>
      <c r="M64" s="501"/>
      <c r="N64" s="501">
        <f t="shared" si="27"/>
        <v>5927</v>
      </c>
      <c r="O64" s="501"/>
      <c r="P64" s="501"/>
      <c r="Q64" s="579"/>
    </row>
    <row r="65" spans="2:17" x14ac:dyDescent="0.25">
      <c r="B65" s="364" t="s">
        <v>506</v>
      </c>
      <c r="C65" s="292"/>
      <c r="D65" s="292"/>
      <c r="E65" s="370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3"/>
    </row>
    <row r="66" spans="2:17" x14ac:dyDescent="0.25">
      <c r="B66" s="586" t="s">
        <v>615</v>
      </c>
      <c r="C66" s="354">
        <v>8359</v>
      </c>
      <c r="D66" s="269">
        <v>20000</v>
      </c>
      <c r="E66" s="268">
        <v>2</v>
      </c>
      <c r="F66" s="501"/>
      <c r="G66" s="501"/>
      <c r="H66" s="501">
        <f t="shared" si="26"/>
        <v>16718</v>
      </c>
      <c r="I66" s="501"/>
      <c r="J66" s="501"/>
      <c r="K66" s="501">
        <f t="shared" ref="K66:K69" si="29">$C66*$E66</f>
        <v>16718</v>
      </c>
      <c r="L66" s="501"/>
      <c r="M66" s="501"/>
      <c r="N66" s="501">
        <f t="shared" ref="N66:N68" si="30">$C66*$E66</f>
        <v>16718</v>
      </c>
      <c r="O66" s="501"/>
      <c r="P66" s="501"/>
      <c r="Q66" s="579"/>
    </row>
    <row r="67" spans="2:17" x14ac:dyDescent="0.25">
      <c r="B67" s="586" t="s">
        <v>616</v>
      </c>
      <c r="C67" s="354">
        <v>15772</v>
      </c>
      <c r="D67" s="269">
        <v>20000</v>
      </c>
      <c r="E67" s="268">
        <v>2</v>
      </c>
      <c r="F67" s="501"/>
      <c r="G67" s="501"/>
      <c r="H67" s="501">
        <f t="shared" si="26"/>
        <v>31544</v>
      </c>
      <c r="I67" s="501"/>
      <c r="J67" s="501"/>
      <c r="K67" s="501">
        <f t="shared" si="29"/>
        <v>31544</v>
      </c>
      <c r="L67" s="501"/>
      <c r="M67" s="501"/>
      <c r="N67" s="501">
        <f t="shared" si="30"/>
        <v>31544</v>
      </c>
      <c r="O67" s="501"/>
      <c r="P67" s="501"/>
      <c r="Q67" s="579"/>
    </row>
    <row r="68" spans="2:17" x14ac:dyDescent="0.25">
      <c r="B68" s="586" t="s">
        <v>617</v>
      </c>
      <c r="C68" s="354">
        <v>12290.983606557378</v>
      </c>
      <c r="D68" s="269">
        <v>20000</v>
      </c>
      <c r="E68" s="268">
        <v>4</v>
      </c>
      <c r="F68" s="501"/>
      <c r="G68" s="501"/>
      <c r="H68" s="501">
        <f t="shared" si="26"/>
        <v>49163.934426229513</v>
      </c>
      <c r="I68" s="501"/>
      <c r="J68" s="501"/>
      <c r="K68" s="501">
        <f t="shared" si="29"/>
        <v>49163.934426229513</v>
      </c>
      <c r="L68" s="501"/>
      <c r="M68" s="501"/>
      <c r="N68" s="501">
        <f t="shared" si="30"/>
        <v>49163.934426229513</v>
      </c>
      <c r="O68" s="501"/>
      <c r="P68" s="501"/>
      <c r="Q68" s="579"/>
    </row>
    <row r="69" spans="2:17" x14ac:dyDescent="0.25">
      <c r="B69" s="586" t="s">
        <v>618</v>
      </c>
      <c r="C69" s="354">
        <v>11213</v>
      </c>
      <c r="D69" s="269">
        <v>20000</v>
      </c>
      <c r="E69" s="268">
        <v>2</v>
      </c>
      <c r="F69" s="501"/>
      <c r="G69" s="501">
        <f t="shared" si="26"/>
        <v>22426</v>
      </c>
      <c r="H69" s="501">
        <f t="shared" si="26"/>
        <v>22426</v>
      </c>
      <c r="I69" s="501"/>
      <c r="J69" s="501">
        <f t="shared" si="26"/>
        <v>22426</v>
      </c>
      <c r="K69" s="501">
        <f t="shared" si="29"/>
        <v>22426</v>
      </c>
      <c r="L69" s="501"/>
      <c r="M69" s="501">
        <f t="shared" si="26"/>
        <v>22426</v>
      </c>
      <c r="N69" s="501">
        <f t="shared" si="26"/>
        <v>22426</v>
      </c>
      <c r="O69" s="501"/>
      <c r="P69" s="501"/>
      <c r="Q69" s="579">
        <f t="shared" si="26"/>
        <v>22426</v>
      </c>
    </row>
    <row r="70" spans="2:17" x14ac:dyDescent="0.25">
      <c r="E70" s="416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111F-CE42-457D-8751-FB646BA60B89}">
  <sheetPr>
    <tabColor theme="8" tint="0.79998168889431442"/>
    <pageSetUpPr fitToPage="1"/>
  </sheetPr>
  <dimension ref="A2:S44"/>
  <sheetViews>
    <sheetView showGridLines="0" zoomScale="85" zoomScaleNormal="85" zoomScaleSheetLayoutView="100" workbookViewId="0">
      <selection activeCell="S18" sqref="S18"/>
    </sheetView>
  </sheetViews>
  <sheetFormatPr defaultColWidth="9.125" defaultRowHeight="12.9" x14ac:dyDescent="0.25"/>
  <cols>
    <col min="1" max="1" width="6" style="236" customWidth="1"/>
    <col min="2" max="2" width="43.5" style="274" customWidth="1"/>
    <col min="3" max="3" width="17" style="238" customWidth="1"/>
    <col min="4" max="4" width="17.75" style="238" customWidth="1"/>
    <col min="5" max="5" width="10.75" style="239" customWidth="1"/>
    <col min="6" max="6" width="9.25" style="239" customWidth="1"/>
    <col min="7" max="7" width="8.75" style="239" customWidth="1"/>
    <col min="8" max="12" width="8.625" style="239" bestFit="1" customWidth="1"/>
    <col min="13" max="14" width="8.25" style="239" customWidth="1"/>
    <col min="15" max="15" width="21.375" style="236" customWidth="1"/>
    <col min="16" max="16" width="14" style="236" bestFit="1" customWidth="1"/>
    <col min="17" max="17" width="17.25" style="236" customWidth="1"/>
    <col min="18" max="18" width="9.875" style="236" bestFit="1" customWidth="1"/>
    <col min="19" max="16384" width="9.125" style="236"/>
  </cols>
  <sheetData>
    <row r="2" spans="1:16" ht="14.3" x14ac:dyDescent="0.25">
      <c r="B2" s="237" t="s">
        <v>259</v>
      </c>
      <c r="P2" s="240" t="s">
        <v>680</v>
      </c>
    </row>
    <row r="3" spans="1:16" s="241" customFormat="1" ht="27" customHeight="1" x14ac:dyDescent="0.25">
      <c r="B3" s="242" t="s">
        <v>261</v>
      </c>
      <c r="C3" s="550" t="s">
        <v>419</v>
      </c>
      <c r="D3" s="550" t="s">
        <v>681</v>
      </c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263</v>
      </c>
    </row>
    <row r="4" spans="1:16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469"/>
      <c r="P4" s="248"/>
    </row>
    <row r="5" spans="1:16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469"/>
      <c r="P5" s="248"/>
    </row>
    <row r="6" spans="1:16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/>
      <c r="E6" s="253">
        <v>8400</v>
      </c>
      <c r="F6" s="253">
        <v>8400</v>
      </c>
      <c r="G6" s="253">
        <v>8400</v>
      </c>
      <c r="H6" s="253">
        <v>8400</v>
      </c>
      <c r="I6" s="253">
        <v>8400</v>
      </c>
      <c r="J6" s="253">
        <v>8400</v>
      </c>
      <c r="K6" s="253">
        <v>8400</v>
      </c>
      <c r="L6" s="253">
        <v>8400</v>
      </c>
      <c r="M6" s="253">
        <v>8400</v>
      </c>
      <c r="N6" s="253">
        <v>8400</v>
      </c>
      <c r="O6" s="469"/>
      <c r="P6" s="248"/>
    </row>
    <row r="7" spans="1:16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/>
      <c r="E7" s="253">
        <v>6720</v>
      </c>
      <c r="F7" s="253">
        <v>6720</v>
      </c>
      <c r="G7" s="253">
        <v>6720</v>
      </c>
      <c r="H7" s="253">
        <v>6720</v>
      </c>
      <c r="I7" s="253">
        <v>6720</v>
      </c>
      <c r="J7" s="253">
        <v>6720</v>
      </c>
      <c r="K7" s="253">
        <v>6720</v>
      </c>
      <c r="L7" s="253">
        <v>6720</v>
      </c>
      <c r="M7" s="253">
        <v>6720</v>
      </c>
      <c r="N7" s="253">
        <v>6720</v>
      </c>
      <c r="O7" s="469"/>
      <c r="P7" s="248"/>
    </row>
    <row r="8" spans="1:16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/>
      <c r="E8" s="253">
        <v>13390</v>
      </c>
      <c r="F8" s="253">
        <v>13390</v>
      </c>
      <c r="G8" s="253">
        <v>13390</v>
      </c>
      <c r="H8" s="253">
        <v>13390</v>
      </c>
      <c r="I8" s="253">
        <v>13390</v>
      </c>
      <c r="J8" s="253">
        <v>13390</v>
      </c>
      <c r="K8" s="253">
        <v>13390</v>
      </c>
      <c r="L8" s="253">
        <v>13390</v>
      </c>
      <c r="M8" s="253">
        <v>13390</v>
      </c>
      <c r="N8" s="253">
        <v>13390</v>
      </c>
      <c r="O8" s="469"/>
      <c r="P8" s="248"/>
    </row>
    <row r="9" spans="1:16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/>
      <c r="E9" s="253">
        <v>240</v>
      </c>
      <c r="F9" s="253">
        <v>240</v>
      </c>
      <c r="G9" s="253">
        <v>240</v>
      </c>
      <c r="H9" s="253">
        <v>240</v>
      </c>
      <c r="I9" s="253">
        <v>240</v>
      </c>
      <c r="J9" s="253">
        <v>240</v>
      </c>
      <c r="K9" s="253">
        <v>240</v>
      </c>
      <c r="L9" s="253">
        <v>240</v>
      </c>
      <c r="M9" s="253">
        <v>240</v>
      </c>
      <c r="N9" s="253">
        <v>240</v>
      </c>
      <c r="O9" s="469"/>
      <c r="P9" s="248"/>
    </row>
    <row r="10" spans="1:16" ht="27.2" x14ac:dyDescent="0.25">
      <c r="A10" s="236">
        <f t="shared" si="1"/>
        <v>7</v>
      </c>
      <c r="B10" s="246" t="s">
        <v>270</v>
      </c>
      <c r="C10" s="253" t="s">
        <v>271</v>
      </c>
      <c r="D10" s="252"/>
      <c r="E10" s="253">
        <v>141</v>
      </c>
      <c r="F10" s="253">
        <v>141</v>
      </c>
      <c r="G10" s="253">
        <v>141</v>
      </c>
      <c r="H10" s="253">
        <v>141</v>
      </c>
      <c r="I10" s="253">
        <v>141</v>
      </c>
      <c r="J10" s="253">
        <v>141</v>
      </c>
      <c r="K10" s="253">
        <v>141</v>
      </c>
      <c r="L10" s="253">
        <v>141</v>
      </c>
      <c r="M10" s="253">
        <v>141</v>
      </c>
      <c r="N10" s="253">
        <v>141</v>
      </c>
      <c r="O10" s="469" t="s">
        <v>682</v>
      </c>
      <c r="P10" s="254"/>
    </row>
    <row r="11" spans="1:16" ht="18.7" customHeight="1" x14ac:dyDescent="0.25">
      <c r="A11" s="236">
        <f>A10+1</f>
        <v>8</v>
      </c>
      <c r="B11" s="246" t="s">
        <v>12</v>
      </c>
      <c r="C11" s="253" t="s">
        <v>13</v>
      </c>
      <c r="D11" s="252"/>
      <c r="E11" s="253">
        <v>2535</v>
      </c>
      <c r="F11" s="253">
        <v>2535</v>
      </c>
      <c r="G11" s="253">
        <v>2535</v>
      </c>
      <c r="H11" s="253">
        <v>2535</v>
      </c>
      <c r="I11" s="253">
        <v>2535</v>
      </c>
      <c r="J11" s="253">
        <v>2535</v>
      </c>
      <c r="K11" s="253">
        <v>2535</v>
      </c>
      <c r="L11" s="253">
        <v>2535</v>
      </c>
      <c r="M11" s="253">
        <v>2535</v>
      </c>
      <c r="N11" s="253">
        <v>2535</v>
      </c>
      <c r="O11" s="469"/>
      <c r="P11" s="254"/>
    </row>
    <row r="12" spans="1:16" ht="29.25" customHeight="1" x14ac:dyDescent="0.25">
      <c r="A12" s="236">
        <f>A11+1</f>
        <v>9</v>
      </c>
      <c r="B12" s="246" t="s">
        <v>683</v>
      </c>
      <c r="C12" s="253"/>
      <c r="D12" s="253"/>
      <c r="E12" s="255">
        <f>(8760-E13-E14-E15)/8760</f>
        <v>0.92956036751648907</v>
      </c>
      <c r="F12" s="255">
        <f>(8760-F13-F14-F15)/8760</f>
        <v>0.90792065417300871</v>
      </c>
      <c r="G12" s="255">
        <f>(8760-G13-G14-G15)/8760</f>
        <v>0.8994118599906985</v>
      </c>
      <c r="H12" s="255">
        <f t="shared" ref="H12:M12" si="2">(8760-H13-H14-H15)/8760</f>
        <v>0.88050753900304413</v>
      </c>
      <c r="I12" s="255">
        <f t="shared" si="2"/>
        <v>0.9011506135844749</v>
      </c>
      <c r="J12" s="255">
        <f t="shared" si="2"/>
        <v>0.87025999122695752</v>
      </c>
      <c r="K12" s="255">
        <f>(8760-K13-K14-K15-300)/8760</f>
        <v>0.85058935026636229</v>
      </c>
      <c r="L12" s="255">
        <f>(8760-L13-L14-L15)/8760</f>
        <v>0.89171695046930488</v>
      </c>
      <c r="M12" s="255">
        <f t="shared" si="2"/>
        <v>0.85775576325469305</v>
      </c>
      <c r="N12" s="255">
        <f>(8760-N13-N14-N15)/8760</f>
        <v>0.85228053917216307</v>
      </c>
      <c r="O12" s="469" t="s">
        <v>684</v>
      </c>
    </row>
    <row r="13" spans="1:16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'БелАЗ_Б ТО_1'!F7</f>
        <v>249.39549999999994</v>
      </c>
      <c r="F13" s="257">
        <f>'БелАЗ_Б ТО_1'!G7</f>
        <v>238.37549999999996</v>
      </c>
      <c r="G13" s="257">
        <f>'БелАЗ_Б ТО_1'!H7</f>
        <v>238.37549999999996</v>
      </c>
      <c r="H13" s="257">
        <f>'БелАЗ_Б ТО_1'!I7</f>
        <v>238.37549999999996</v>
      </c>
      <c r="I13" s="257">
        <f>'БелАЗ_Б ТО_1'!J7</f>
        <v>238.37549999999996</v>
      </c>
      <c r="J13" s="257">
        <f>'БелАЗ_Б ТО_1'!K7</f>
        <v>238.37549999999996</v>
      </c>
      <c r="K13" s="257">
        <f>'БелАЗ_Б ТО_1'!L7</f>
        <v>238.37549999999996</v>
      </c>
      <c r="L13" s="257">
        <f>'БелАЗ_Б ТО_1'!M7</f>
        <v>238.37549999999996</v>
      </c>
      <c r="M13" s="257">
        <f>'БелАЗ_Б ТО_1'!N7</f>
        <v>238.37549999999996</v>
      </c>
      <c r="N13" s="257">
        <f>'БелАЗ_Б ТО_1'!O7</f>
        <v>238.37549999999996</v>
      </c>
      <c r="O13" s="424"/>
    </row>
    <row r="14" spans="1:16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'БелАЗ_Б Рем_1'!F9</f>
        <v>135</v>
      </c>
      <c r="F14" s="257">
        <f>'БелАЗ_Б Рем_1'!G9</f>
        <v>341</v>
      </c>
      <c r="G14" s="257">
        <f>'БелАЗ_Б Рем_1'!H9</f>
        <v>417.66666666666663</v>
      </c>
      <c r="H14" s="257">
        <f>'БелАЗ_Б Рем_1'!I9</f>
        <v>588</v>
      </c>
      <c r="I14" s="257">
        <f>'БелАЗ_Б Рем_1'!J9</f>
        <v>402</v>
      </c>
      <c r="J14" s="257">
        <f>'БелАЗ_Б Рем_1'!K9</f>
        <v>680.33333333333337</v>
      </c>
      <c r="K14" s="257">
        <f>'БелАЗ_Б Рем_1'!L9</f>
        <v>549</v>
      </c>
      <c r="L14" s="257">
        <f>'БелАЗ_Б Рем_1'!M9</f>
        <v>487</v>
      </c>
      <c r="M14" s="257">
        <f>'БелАЗ_Б Рем_1'!N9</f>
        <v>793</v>
      </c>
      <c r="N14" s="257">
        <f>'БелАЗ_Б Рем_1'!O9</f>
        <v>842.33333333333337</v>
      </c>
      <c r="O14" s="424"/>
    </row>
    <row r="15" spans="1:16" ht="21.75" customHeight="1" x14ac:dyDescent="0.25">
      <c r="A15" s="236">
        <f t="shared" si="3"/>
        <v>12</v>
      </c>
      <c r="B15" s="256" t="s">
        <v>685</v>
      </c>
      <c r="C15" s="253" t="s">
        <v>273</v>
      </c>
      <c r="D15" s="253"/>
      <c r="E15" s="257">
        <f>(8760-E13-E14)/12*20/60</f>
        <v>232.65568055555556</v>
      </c>
      <c r="F15" s="257">
        <f t="shared" ref="F15:N15" si="4">(8760-F13-F14)/12*20/60</f>
        <v>227.23956944444444</v>
      </c>
      <c r="G15" s="257">
        <f t="shared" si="4"/>
        <v>225.10993981481479</v>
      </c>
      <c r="H15" s="257">
        <f t="shared" si="4"/>
        <v>220.3784583333333</v>
      </c>
      <c r="I15" s="257">
        <f t="shared" si="4"/>
        <v>225.54512499999998</v>
      </c>
      <c r="J15" s="257">
        <f t="shared" si="4"/>
        <v>217.81364351851852</v>
      </c>
      <c r="K15" s="257">
        <f t="shared" si="4"/>
        <v>221.46179166666664</v>
      </c>
      <c r="L15" s="257">
        <f t="shared" si="4"/>
        <v>223.1840138888889</v>
      </c>
      <c r="M15" s="257">
        <f t="shared" si="4"/>
        <v>214.6840138888889</v>
      </c>
      <c r="N15" s="257">
        <f t="shared" si="4"/>
        <v>213.31364351851852</v>
      </c>
      <c r="O15" s="424"/>
    </row>
    <row r="16" spans="1:16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8"/>
      <c r="E16" s="259">
        <v>22</v>
      </c>
      <c r="F16" s="259">
        <v>22</v>
      </c>
      <c r="G16" s="259">
        <v>22</v>
      </c>
      <c r="H16" s="259">
        <v>22</v>
      </c>
      <c r="I16" s="259">
        <v>22</v>
      </c>
      <c r="J16" s="259">
        <v>22</v>
      </c>
      <c r="K16" s="259">
        <v>22</v>
      </c>
      <c r="L16" s="259">
        <v>22</v>
      </c>
      <c r="M16" s="259">
        <v>22</v>
      </c>
      <c r="N16" s="259">
        <v>22</v>
      </c>
      <c r="O16" s="469"/>
    </row>
    <row r="17" spans="1:19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8"/>
      <c r="E17" s="259">
        <v>33</v>
      </c>
      <c r="F17" s="259">
        <v>33</v>
      </c>
      <c r="G17" s="259">
        <v>33</v>
      </c>
      <c r="H17" s="259">
        <v>33</v>
      </c>
      <c r="I17" s="259">
        <v>33</v>
      </c>
      <c r="J17" s="259">
        <v>33</v>
      </c>
      <c r="K17" s="259">
        <v>33</v>
      </c>
      <c r="L17" s="259">
        <v>33</v>
      </c>
      <c r="M17" s="259">
        <v>33</v>
      </c>
      <c r="N17" s="259">
        <v>33</v>
      </c>
      <c r="O17" s="469"/>
      <c r="Q17" s="531" t="s">
        <v>523</v>
      </c>
      <c r="R17" s="531" t="s">
        <v>524</v>
      </c>
    </row>
    <row r="18" spans="1:19" ht="30.75" customHeight="1" x14ac:dyDescent="0.25">
      <c r="A18" s="236">
        <f t="shared" si="3"/>
        <v>15</v>
      </c>
      <c r="B18" s="246" t="s">
        <v>686</v>
      </c>
      <c r="C18" s="260" t="s">
        <v>280</v>
      </c>
      <c r="D18" s="260"/>
      <c r="E18" s="261">
        <f>SUM(E19:E23)</f>
        <v>130.79329823756859</v>
      </c>
      <c r="F18" s="261">
        <f t="shared" ref="F18:N18" si="5">SUM(F19:F23)</f>
        <v>209.0123796395294</v>
      </c>
      <c r="G18" s="261">
        <f t="shared" si="5"/>
        <v>615.43665081952929</v>
      </c>
      <c r="H18" s="261">
        <f t="shared" si="5"/>
        <v>911.52058893952938</v>
      </c>
      <c r="I18" s="261">
        <f t="shared" si="5"/>
        <v>364.66373933952946</v>
      </c>
      <c r="J18" s="261">
        <f t="shared" si="5"/>
        <v>636.96468201952939</v>
      </c>
      <c r="K18" s="261">
        <f t="shared" si="5"/>
        <v>323.46017843952939</v>
      </c>
      <c r="L18" s="261">
        <f t="shared" si="5"/>
        <v>971.72701011599997</v>
      </c>
      <c r="M18" s="261">
        <f t="shared" si="5"/>
        <v>805.29884171952949</v>
      </c>
      <c r="N18" s="261">
        <f t="shared" si="5"/>
        <v>335.15355463952937</v>
      </c>
      <c r="O18" s="424"/>
      <c r="P18" s="262"/>
      <c r="Q18" s="528">
        <f>SUM(E18:N18)</f>
        <v>5304.0309239098042</v>
      </c>
      <c r="R18" s="528">
        <f>Q18/$N$4</f>
        <v>530.40309239098042</v>
      </c>
      <c r="S18" s="1050">
        <f>R18*'ФОТ, МТР, макро'!$AJ$7</f>
        <v>49883.615234733123</v>
      </c>
    </row>
    <row r="19" spans="1:19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'БелАЗ_Б ТО_1'!F9/1000</f>
        <v>49.599955737568621</v>
      </c>
      <c r="F19" s="263">
        <f>'БелАЗ_Б ТО_1'!G9/1000</f>
        <v>41.134557139529406</v>
      </c>
      <c r="G19" s="263">
        <f>'БелАЗ_Б ТО_1'!H9/1000</f>
        <v>41.134557139529406</v>
      </c>
      <c r="H19" s="263">
        <f>'БелАЗ_Б ТО_1'!I9/1000</f>
        <v>41.134557139529406</v>
      </c>
      <c r="I19" s="263">
        <f>'БелАЗ_Б ТО_1'!J9/1000</f>
        <v>41.134557139529406</v>
      </c>
      <c r="J19" s="263">
        <f>'БелАЗ_Б ТО_1'!K9/1000</f>
        <v>41.134557139529406</v>
      </c>
      <c r="K19" s="263">
        <f>'БелАЗ_Б ТО_1'!L9/1000</f>
        <v>41.134557139529406</v>
      </c>
      <c r="L19" s="263">
        <f>'БелАЗ_Б ТО_1'!M9/1000</f>
        <v>41.134557139529406</v>
      </c>
      <c r="M19" s="263">
        <f>'БелАЗ_Б ТО_1'!N9/1000</f>
        <v>41.134557139529406</v>
      </c>
      <c r="N19" s="263">
        <f>'БелАЗ_Б ТО_1'!O9/1000</f>
        <v>41.134557139529406</v>
      </c>
      <c r="O19" s="424"/>
      <c r="Q19" s="529">
        <f>SUM(E19:N19)</f>
        <v>419.81096999333334</v>
      </c>
      <c r="R19" s="529">
        <f>Q19/$N$4</f>
        <v>41.981096999333332</v>
      </c>
    </row>
    <row r="20" spans="1:19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'БелАЗ_Б Рем_1'!F11/1000</f>
        <v>15.01122</v>
      </c>
      <c r="F20" s="263">
        <f>'БелАЗ_Б Рем_1'!G11/1000</f>
        <v>77.064600000000013</v>
      </c>
      <c r="G20" s="263">
        <f>'БелАЗ_Б Рем_1'!H11/1000</f>
        <v>50.720669999999998</v>
      </c>
      <c r="H20" s="263">
        <f>'БелАЗ_Б Рем_1'!I11/1000</f>
        <v>89.861000000000004</v>
      </c>
      <c r="I20" s="263">
        <f>'БелАЗ_Б Рем_1'!J11/1000</f>
        <v>60.140949999999997</v>
      </c>
      <c r="J20" s="263">
        <f>'БелАЗ_Б Рем_1'!K11/1000</f>
        <v>102.8737</v>
      </c>
      <c r="K20" s="263">
        <f>'БелАЗ_Б Рем_1'!L11/1000</f>
        <v>80.547399999999996</v>
      </c>
      <c r="L20" s="263">
        <f>'БелАЗ_Б Рем_1'!M11/1000</f>
        <v>64.172229999999999</v>
      </c>
      <c r="M20" s="263">
        <f>'БелАЗ_Б Рем_1'!N11/1000</f>
        <v>74.322850000000003</v>
      </c>
      <c r="N20" s="263">
        <f>'БелАЗ_Б Рем_1'!O11/1000</f>
        <v>90.365774999999999</v>
      </c>
      <c r="O20" s="424"/>
      <c r="Q20" s="529">
        <f t="shared" ref="Q20:Q23" si="6">SUM(E20:N20)</f>
        <v>705.08039499999995</v>
      </c>
      <c r="R20" s="529">
        <f t="shared" ref="R20:R23" si="7">Q20/$N$4</f>
        <v>70.508039499999995</v>
      </c>
    </row>
    <row r="21" spans="1:19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'БелАЗ_Б Рем_1'!F12/1000</f>
        <v>0</v>
      </c>
      <c r="F21" s="263">
        <f>'БелАЗ_Б Рем_1'!G12/1000</f>
        <v>0</v>
      </c>
      <c r="G21" s="263">
        <f>'БелАЗ_Б Рем_1'!H12/1000</f>
        <v>410.92820117999997</v>
      </c>
      <c r="H21" s="263">
        <f>'БелАЗ_Б Рем_1'!I12/1000</f>
        <v>652.53180929999996</v>
      </c>
      <c r="I21" s="263">
        <f>'БелАЗ_Б Рем_1'!J12/1000</f>
        <v>158.40500970000002</v>
      </c>
      <c r="J21" s="263">
        <f>'БелАЗ_Б Рем_1'!K12/1000</f>
        <v>339.48320237999997</v>
      </c>
      <c r="K21" s="263">
        <f>'БелАЗ_Б Рем_1'!L12/1000</f>
        <v>71.444998800000008</v>
      </c>
      <c r="L21" s="263">
        <f>'БелАЗ_Б Рем_1'!M12/1000</f>
        <v>721.65700047647056</v>
      </c>
      <c r="M21" s="263">
        <f>'БелАЗ_Б Рем_1'!N12/1000</f>
        <v>497.88821208000002</v>
      </c>
      <c r="N21" s="263">
        <f>'БелАЗ_Б Рем_1'!O12/1000</f>
        <v>0</v>
      </c>
      <c r="O21" s="424"/>
      <c r="Q21" s="529">
        <f t="shared" si="6"/>
        <v>2852.3384339164704</v>
      </c>
      <c r="R21" s="529">
        <f t="shared" si="7"/>
        <v>285.23384339164704</v>
      </c>
    </row>
    <row r="22" spans="1:19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'БелАЗ_Б ТО_1'!F10/1000</f>
        <v>48.63212249999998</v>
      </c>
      <c r="F22" s="263">
        <f>'БелАЗ_Б ТО_1'!G10/1000</f>
        <v>46.483222499999989</v>
      </c>
      <c r="G22" s="263">
        <f>'БелАЗ_Б ТО_1'!H10/1000</f>
        <v>46.483222499999989</v>
      </c>
      <c r="H22" s="263">
        <f>'БелАЗ_Б ТО_1'!I10/1000</f>
        <v>46.483222499999989</v>
      </c>
      <c r="I22" s="263">
        <f>'БелАЗ_Б ТО_1'!J10/1000</f>
        <v>46.483222499999989</v>
      </c>
      <c r="J22" s="263">
        <f>'БелАЗ_Б ТО_1'!K10/1000</f>
        <v>46.483222499999989</v>
      </c>
      <c r="K22" s="263">
        <f>'БелАЗ_Б ТО_1'!L10/1000</f>
        <v>46.483222499999989</v>
      </c>
      <c r="L22" s="263">
        <f>'БелАЗ_Б ТО_1'!M10/1000</f>
        <v>46.483222499999989</v>
      </c>
      <c r="M22" s="263">
        <f>'БелАЗ_Б ТО_1'!N10/1000</f>
        <v>46.483222499999989</v>
      </c>
      <c r="N22" s="263">
        <f>'БелАЗ_Б ТО_1'!O10/1000</f>
        <v>46.483222499999989</v>
      </c>
      <c r="O22" s="424"/>
      <c r="Q22" s="529">
        <f t="shared" si="6"/>
        <v>466.98112499999996</v>
      </c>
      <c r="R22" s="529">
        <f t="shared" si="7"/>
        <v>46.698112499999993</v>
      </c>
    </row>
    <row r="23" spans="1:19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'БелАЗ_Б Рем_1'!F13/1000</f>
        <v>17.55</v>
      </c>
      <c r="F23" s="263">
        <f>'БелАЗ_Б Рем_1'!G13/1000</f>
        <v>44.33</v>
      </c>
      <c r="G23" s="263">
        <f>'БелАЗ_Б Рем_1'!H13/1000</f>
        <v>66.17</v>
      </c>
      <c r="H23" s="263">
        <f>'БелАЗ_Б Рем_1'!I13/1000</f>
        <v>81.510000000000005</v>
      </c>
      <c r="I23" s="263">
        <f>'БелАЗ_Б Рем_1'!J13/1000</f>
        <v>58.5</v>
      </c>
      <c r="J23" s="263">
        <f>'БелАЗ_Б Рем_1'!K13/1000</f>
        <v>106.99</v>
      </c>
      <c r="K23" s="263">
        <f>'БелАЗ_Б Рем_1'!L13/1000</f>
        <v>83.85</v>
      </c>
      <c r="L23" s="263">
        <f>'БелАЗ_Б Рем_1'!M13/1000</f>
        <v>98.28</v>
      </c>
      <c r="M23" s="263">
        <f>'БелАЗ_Б Рем_1'!N13/1000</f>
        <v>145.47</v>
      </c>
      <c r="N23" s="263">
        <f>'БелАЗ_Б Рем_1'!O13/1000</f>
        <v>157.16999999999999</v>
      </c>
      <c r="O23" s="424"/>
      <c r="Q23" s="529">
        <f t="shared" si="6"/>
        <v>859.81999999999994</v>
      </c>
      <c r="R23" s="529">
        <f t="shared" si="7"/>
        <v>85.981999999999999</v>
      </c>
    </row>
    <row r="24" spans="1:19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469"/>
    </row>
    <row r="25" spans="1:19" ht="14.95" customHeight="1" x14ac:dyDescent="0.25">
      <c r="A25" s="236">
        <f t="shared" si="3"/>
        <v>22</v>
      </c>
      <c r="B25" s="266" t="s">
        <v>287</v>
      </c>
      <c r="C25" s="260"/>
      <c r="D25" s="268" t="s">
        <v>167</v>
      </c>
      <c r="E25" s="267" t="s">
        <v>167</v>
      </c>
      <c r="F25" s="267"/>
      <c r="G25" s="267"/>
      <c r="H25" s="267"/>
      <c r="I25" s="267"/>
      <c r="J25" s="267"/>
      <c r="K25" s="267"/>
      <c r="L25" s="267"/>
      <c r="M25" s="267"/>
      <c r="N25" s="267"/>
      <c r="O25" s="469"/>
    </row>
    <row r="26" spans="1:19" ht="14.3" x14ac:dyDescent="0.25">
      <c r="A26" s="236">
        <f t="shared" si="3"/>
        <v>23</v>
      </c>
      <c r="B26" s="266" t="s">
        <v>290</v>
      </c>
      <c r="C26" s="260"/>
      <c r="D26" s="269" t="s">
        <v>292</v>
      </c>
      <c r="E26" s="270" t="s">
        <v>675</v>
      </c>
      <c r="F26" s="270"/>
      <c r="G26" s="270"/>
      <c r="H26" s="270"/>
      <c r="I26" s="270"/>
      <c r="J26" s="270"/>
      <c r="K26" s="270"/>
      <c r="L26" s="270"/>
      <c r="M26" s="270"/>
      <c r="N26" s="270"/>
      <c r="O26" s="469" t="s">
        <v>687</v>
      </c>
    </row>
    <row r="27" spans="1:19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469"/>
    </row>
    <row r="28" spans="1:19" x14ac:dyDescent="0.25">
      <c r="A28" s="236">
        <f t="shared" si="3"/>
        <v>25</v>
      </c>
      <c r="B28" s="266" t="s">
        <v>293</v>
      </c>
      <c r="C28" s="260" t="s">
        <v>145</v>
      </c>
      <c r="D28" s="271"/>
      <c r="E28" s="270" t="s">
        <v>688</v>
      </c>
      <c r="F28" s="270"/>
      <c r="G28" s="270"/>
      <c r="H28" s="270"/>
      <c r="I28" s="270"/>
      <c r="J28" s="270"/>
      <c r="K28" s="270"/>
      <c r="L28" s="270"/>
      <c r="M28" s="270"/>
      <c r="N28" s="270"/>
      <c r="O28" s="469"/>
    </row>
    <row r="29" spans="1:19" x14ac:dyDescent="0.25">
      <c r="A29" s="236">
        <f t="shared" si="3"/>
        <v>26</v>
      </c>
      <c r="B29" s="266" t="s">
        <v>294</v>
      </c>
      <c r="C29" s="260" t="s">
        <v>145</v>
      </c>
      <c r="D29" s="271"/>
      <c r="E29" s="270" t="s">
        <v>689</v>
      </c>
      <c r="F29" s="270"/>
      <c r="G29" s="270"/>
      <c r="H29" s="270"/>
      <c r="I29" s="270"/>
      <c r="J29" s="270"/>
      <c r="K29" s="270"/>
      <c r="L29" s="270"/>
      <c r="M29" s="270"/>
      <c r="N29" s="270"/>
      <c r="O29" s="469"/>
    </row>
    <row r="30" spans="1:19" x14ac:dyDescent="0.25">
      <c r="A30" s="236">
        <f t="shared" si="3"/>
        <v>27</v>
      </c>
      <c r="B30" s="266" t="s">
        <v>295</v>
      </c>
      <c r="C30" s="260" t="s">
        <v>145</v>
      </c>
      <c r="D30" s="271"/>
      <c r="E30" s="270" t="s">
        <v>690</v>
      </c>
      <c r="F30" s="270"/>
      <c r="G30" s="270"/>
      <c r="H30" s="270"/>
      <c r="I30" s="270"/>
      <c r="J30" s="270"/>
      <c r="K30" s="270"/>
      <c r="L30" s="270"/>
      <c r="M30" s="270"/>
      <c r="N30" s="270"/>
      <c r="O30" s="469"/>
    </row>
    <row r="31" spans="1:19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473"/>
    </row>
    <row r="32" spans="1:19" hidden="1" x14ac:dyDescent="0.25"/>
    <row r="33" spans="2:15" hidden="1" x14ac:dyDescent="0.25">
      <c r="B33" s="274" t="s">
        <v>326</v>
      </c>
      <c r="D33" s="238" t="s">
        <v>691</v>
      </c>
      <c r="E33" s="239">
        <f>E22/E13*1000</f>
        <v>194.99999999999997</v>
      </c>
      <c r="F33" s="239">
        <f t="shared" ref="F33:N33" si="8">F22/F13*1000</f>
        <v>194.99999999999997</v>
      </c>
      <c r="G33" s="239">
        <f t="shared" si="8"/>
        <v>194.99999999999997</v>
      </c>
      <c r="H33" s="239">
        <f t="shared" si="8"/>
        <v>194.99999999999997</v>
      </c>
      <c r="I33" s="239">
        <f t="shared" si="8"/>
        <v>194.99999999999997</v>
      </c>
      <c r="J33" s="239">
        <f t="shared" si="8"/>
        <v>194.99999999999997</v>
      </c>
      <c r="K33" s="239">
        <f t="shared" si="8"/>
        <v>194.99999999999997</v>
      </c>
      <c r="L33" s="239">
        <f t="shared" si="8"/>
        <v>194.99999999999997</v>
      </c>
      <c r="M33" s="239">
        <f t="shared" si="8"/>
        <v>194.99999999999997</v>
      </c>
      <c r="N33" s="239">
        <f t="shared" si="8"/>
        <v>194.99999999999997</v>
      </c>
    </row>
    <row r="34" spans="2:15" hidden="1" x14ac:dyDescent="0.25">
      <c r="D34" s="238" t="s">
        <v>692</v>
      </c>
      <c r="E34" s="239">
        <f>E33/'БелАЗ_Б ТО_1'!$E$10</f>
        <v>2.9999999999999996</v>
      </c>
      <c r="F34" s="239">
        <f>F33/'БелАЗ_Б ТО_1'!$E$10</f>
        <v>2.9999999999999996</v>
      </c>
      <c r="G34" s="239">
        <f>G33/'БелАЗ_Б ТО_1'!$E$10</f>
        <v>2.9999999999999996</v>
      </c>
      <c r="H34" s="239">
        <f>H33/'БелАЗ_Б ТО_1'!$E$10</f>
        <v>2.9999999999999996</v>
      </c>
      <c r="I34" s="239">
        <f>I33/'БелАЗ_Б ТО_1'!$E$10</f>
        <v>2.9999999999999996</v>
      </c>
      <c r="J34" s="239">
        <f>J33/'БелАЗ_Б ТО_1'!$E$10</f>
        <v>2.9999999999999996</v>
      </c>
      <c r="K34" s="239">
        <f>K33/'БелАЗ_Б ТО_1'!$E$10</f>
        <v>2.9999999999999996</v>
      </c>
      <c r="L34" s="239">
        <f>L33/'БелАЗ_Б ТО_1'!$E$10</f>
        <v>2.9999999999999996</v>
      </c>
      <c r="M34" s="239">
        <f>M33/'БелАЗ_Б ТО_1'!$E$10</f>
        <v>2.9999999999999996</v>
      </c>
      <c r="N34" s="239">
        <f>N33/'БелАЗ_Б ТО_1'!$E$10</f>
        <v>2.9999999999999996</v>
      </c>
      <c r="O34" s="236" t="s">
        <v>693</v>
      </c>
    </row>
    <row r="35" spans="2:15" hidden="1" x14ac:dyDescent="0.25">
      <c r="D35" s="238" t="s">
        <v>694</v>
      </c>
      <c r="E35" s="239">
        <f>E23/E14*1000</f>
        <v>130</v>
      </c>
      <c r="F35" s="239">
        <f t="shared" ref="F35:N35" si="9">F23/F14*1000</f>
        <v>130</v>
      </c>
      <c r="G35" s="239">
        <f t="shared" si="9"/>
        <v>158.42777334397448</v>
      </c>
      <c r="H35" s="239">
        <f t="shared" si="9"/>
        <v>138.62244897959184</v>
      </c>
      <c r="I35" s="239">
        <f t="shared" si="9"/>
        <v>145.52238805970148</v>
      </c>
      <c r="J35" s="239">
        <f t="shared" si="9"/>
        <v>157.26114649681529</v>
      </c>
      <c r="K35" s="239">
        <f t="shared" si="9"/>
        <v>152.73224043715848</v>
      </c>
      <c r="L35" s="239">
        <f t="shared" si="9"/>
        <v>201.80698151950719</v>
      </c>
      <c r="M35" s="239">
        <f t="shared" si="9"/>
        <v>183.44262295081967</v>
      </c>
      <c r="N35" s="239">
        <f t="shared" si="9"/>
        <v>186.58884052235851</v>
      </c>
    </row>
    <row r="36" spans="2:15" hidden="1" x14ac:dyDescent="0.25">
      <c r="D36" s="238" t="s">
        <v>695</v>
      </c>
      <c r="E36" s="239" t="e">
        <f>E35/#REF!</f>
        <v>#REF!</v>
      </c>
      <c r="F36" s="239" t="e">
        <f>F35/#REF!</f>
        <v>#REF!</v>
      </c>
      <c r="G36" s="239" t="e">
        <f>G35/#REF!</f>
        <v>#REF!</v>
      </c>
      <c r="H36" s="663" t="e">
        <f>H35/#REF!</f>
        <v>#REF!</v>
      </c>
      <c r="I36" s="239" t="e">
        <f>I35/#REF!</f>
        <v>#REF!</v>
      </c>
      <c r="J36" s="239" t="e">
        <f>J35/#REF!</f>
        <v>#REF!</v>
      </c>
      <c r="K36" s="239" t="e">
        <f>K35/#REF!</f>
        <v>#REF!</v>
      </c>
      <c r="L36" s="239" t="e">
        <f>L35/#REF!</f>
        <v>#REF!</v>
      </c>
      <c r="M36" s="239" t="e">
        <f>M35/#REF!</f>
        <v>#REF!</v>
      </c>
      <c r="N36" s="663" t="e">
        <f>N35/#REF!</f>
        <v>#REF!</v>
      </c>
    </row>
    <row r="37" spans="2:15" hidden="1" x14ac:dyDescent="0.25"/>
    <row r="38" spans="2:15" hidden="1" x14ac:dyDescent="0.25"/>
    <row r="39" spans="2:15" hidden="1" x14ac:dyDescent="0.25">
      <c r="C39" s="238" t="s">
        <v>696</v>
      </c>
      <c r="D39" s="238">
        <f>'БелАЗ_Б ТО_1'!E10</f>
        <v>65</v>
      </c>
      <c r="E39" s="664" t="s">
        <v>697</v>
      </c>
    </row>
    <row r="40" spans="2:15" hidden="1" x14ac:dyDescent="0.25">
      <c r="C40" s="238" t="s">
        <v>698</v>
      </c>
      <c r="D40" s="238" t="e">
        <f>#REF!</f>
        <v>#REF!</v>
      </c>
    </row>
    <row r="41" spans="2:15" hidden="1" x14ac:dyDescent="0.25"/>
    <row r="42" spans="2:15" x14ac:dyDescent="0.25">
      <c r="B42" s="274" t="s">
        <v>699</v>
      </c>
    </row>
    <row r="43" spans="2:15" x14ac:dyDescent="0.25">
      <c r="B43" s="1074" t="s">
        <v>700</v>
      </c>
      <c r="C43" s="1074"/>
      <c r="D43" s="1074"/>
    </row>
    <row r="44" spans="2:15" ht="13.6" x14ac:dyDescent="0.25">
      <c r="B44" s="274" t="s">
        <v>701</v>
      </c>
      <c r="E44" s="527">
        <f t="shared" ref="E44:N44" si="10">E18/(365*24*E12)*1000</f>
        <v>16.062154035065152</v>
      </c>
      <c r="F44" s="527">
        <f t="shared" si="10"/>
        <v>26.279676070567046</v>
      </c>
      <c r="G44" s="527">
        <f t="shared" si="10"/>
        <v>78.112518370333575</v>
      </c>
      <c r="H44" s="527">
        <f t="shared" si="10"/>
        <v>118.17600320481536</v>
      </c>
      <c r="I44" s="527">
        <f t="shared" si="10"/>
        <v>46.194587363080508</v>
      </c>
      <c r="J44" s="527">
        <f t="shared" si="10"/>
        <v>83.553034699116168</v>
      </c>
      <c r="K44" s="527">
        <f t="shared" si="10"/>
        <v>43.410698585037409</v>
      </c>
      <c r="L44" s="527">
        <f t="shared" si="10"/>
        <v>124.39792786538527</v>
      </c>
      <c r="M44" s="527">
        <f t="shared" si="10"/>
        <v>107.17397126155802</v>
      </c>
      <c r="N44" s="527">
        <f t="shared" si="10"/>
        <v>44.890780021824462</v>
      </c>
      <c r="O44" s="532">
        <f>SUMPRODUCT(E44:N44,E12:N12)/SUM(E12:N12)</f>
        <v>68.484612711502649</v>
      </c>
    </row>
  </sheetData>
  <mergeCells count="1">
    <mergeCell ref="B43:D43"/>
  </mergeCells>
  <pageMargins left="0" right="0" top="0.31496062992125984" bottom="0.39370078740157483" header="0.15748031496062992" footer="0.15748031496062992"/>
  <pageSetup paperSize="9" scale="70" orientation="landscape" r:id="rId1"/>
  <headerFooter alignWithMargins="0">
    <oddFooter>&amp;R&amp;"Arial Cyr,полужирный курсив"&amp;12&amp;A,  стр.&amp;P из &amp;N</oddFooter>
  </headerFooter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DE7A-DD2E-4C37-BCE1-1E47F92A853B}">
  <sheetPr>
    <tabColor theme="8" tint="0.79998168889431442"/>
    <pageSetUpPr fitToPage="1"/>
  </sheetPr>
  <dimension ref="A2:R66"/>
  <sheetViews>
    <sheetView showGridLines="0" zoomScale="85" zoomScaleNormal="85" workbookViewId="0">
      <pane xSplit="4" ySplit="4" topLeftCell="E5" activePane="bottomRight" state="frozen"/>
      <selection activeCell="V29" sqref="V29"/>
      <selection pane="topRight" activeCell="V29" sqref="V29"/>
      <selection pane="bottomLeft" activeCell="V29" sqref="V29"/>
      <selection pane="bottomRight" activeCell="P43" sqref="P43"/>
    </sheetView>
  </sheetViews>
  <sheetFormatPr defaultRowHeight="14.3" x14ac:dyDescent="0.25"/>
  <cols>
    <col min="1" max="1" width="48.125" style="275" customWidth="1"/>
    <col min="2" max="2" width="33.375" style="275" customWidth="1"/>
    <col min="3" max="3" width="14.75" style="275" customWidth="1"/>
    <col min="4" max="4" width="14" style="275" customWidth="1"/>
    <col min="5" max="5" width="9.25" style="275" bestFit="1" customWidth="1"/>
    <col min="6" max="16" width="10" style="275" customWidth="1"/>
    <col min="17" max="16384" width="9" style="275"/>
  </cols>
  <sheetData>
    <row r="2" spans="1:18" x14ac:dyDescent="0.25">
      <c r="A2" s="237" t="s">
        <v>259</v>
      </c>
      <c r="B2" s="665" t="str">
        <f>БелАЗ_Б_1!C3</f>
        <v>Марка, модель</v>
      </c>
      <c r="C2" s="666" t="str">
        <f>БелАЗ_Б_1!D3</f>
        <v>7531N</v>
      </c>
    </row>
    <row r="3" spans="1:18" ht="14.95" thickBot="1" x14ac:dyDescent="0.3">
      <c r="A3" s="275" t="s">
        <v>298</v>
      </c>
      <c r="F3" s="277">
        <f>БелАЗ_Б_1!E12</f>
        <v>0.92956036751648907</v>
      </c>
      <c r="G3" s="277">
        <f>БелАЗ_Б_1!F12</f>
        <v>0.90792065417300871</v>
      </c>
      <c r="H3" s="277">
        <f>БелАЗ_Б_1!G12</f>
        <v>0.8994118599906985</v>
      </c>
      <c r="I3" s="277">
        <f>БелАЗ_Б_1!H12</f>
        <v>0.88050753900304413</v>
      </c>
      <c r="J3" s="277">
        <f>БелАЗ_Б_1!I12</f>
        <v>0.9011506135844749</v>
      </c>
      <c r="K3" s="277">
        <f>БелАЗ_Б_1!J12</f>
        <v>0.87025999122695752</v>
      </c>
      <c r="L3" s="277">
        <f>БелАЗ_Б_1!K12</f>
        <v>0.85058935026636229</v>
      </c>
      <c r="M3" s="277">
        <f>БелАЗ_Б_1!L12</f>
        <v>0.89171695046930488</v>
      </c>
      <c r="N3" s="277">
        <f>БелАЗ_Б_1!M12</f>
        <v>0.85775576325469305</v>
      </c>
      <c r="O3" s="277">
        <f>БелАЗ_Б_1!N12</f>
        <v>0.85228053917216307</v>
      </c>
      <c r="P3" s="277"/>
    </row>
    <row r="4" spans="1:18" ht="22.25" customHeight="1" thickBot="1" x14ac:dyDescent="0.3">
      <c r="A4" s="667" t="s">
        <v>299</v>
      </c>
      <c r="B4" s="668" t="s">
        <v>8</v>
      </c>
      <c r="C4" s="669"/>
      <c r="D4" s="670"/>
      <c r="E4" s="671"/>
      <c r="F4" s="672">
        <f>D4+1</f>
        <v>1</v>
      </c>
      <c r="G4" s="672">
        <f>F4+1</f>
        <v>2</v>
      </c>
      <c r="H4" s="672">
        <f t="shared" ref="H4:O4" si="0">G4+1</f>
        <v>3</v>
      </c>
      <c r="I4" s="672">
        <f t="shared" si="0"/>
        <v>4</v>
      </c>
      <c r="J4" s="672">
        <f t="shared" si="0"/>
        <v>5</v>
      </c>
      <c r="K4" s="672">
        <f t="shared" si="0"/>
        <v>6</v>
      </c>
      <c r="L4" s="672">
        <f t="shared" si="0"/>
        <v>7</v>
      </c>
      <c r="M4" s="672">
        <f t="shared" si="0"/>
        <v>8</v>
      </c>
      <c r="N4" s="672">
        <f t="shared" si="0"/>
        <v>9</v>
      </c>
      <c r="O4" s="672">
        <f t="shared" si="0"/>
        <v>10</v>
      </c>
      <c r="P4" s="343"/>
    </row>
    <row r="5" spans="1:18" x14ac:dyDescent="0.25">
      <c r="A5" s="284" t="s">
        <v>300</v>
      </c>
      <c r="B5" s="285" t="s">
        <v>301</v>
      </c>
      <c r="C5" s="286"/>
      <c r="D5" s="287"/>
      <c r="E5" s="288"/>
      <c r="F5" s="289">
        <v>0</v>
      </c>
      <c r="G5" s="289">
        <f>F6+1</f>
        <v>7001</v>
      </c>
      <c r="H5" s="289">
        <f t="shared" ref="H5:O5" si="1">G6+1</f>
        <v>14001</v>
      </c>
      <c r="I5" s="289">
        <f t="shared" si="1"/>
        <v>21001</v>
      </c>
      <c r="J5" s="289">
        <f t="shared" si="1"/>
        <v>28001</v>
      </c>
      <c r="K5" s="289">
        <f t="shared" si="1"/>
        <v>35001</v>
      </c>
      <c r="L5" s="289">
        <f t="shared" si="1"/>
        <v>42001</v>
      </c>
      <c r="M5" s="289">
        <f t="shared" si="1"/>
        <v>49001</v>
      </c>
      <c r="N5" s="289">
        <f t="shared" si="1"/>
        <v>56001</v>
      </c>
      <c r="O5" s="289">
        <f t="shared" si="1"/>
        <v>63001</v>
      </c>
      <c r="P5" s="413"/>
    </row>
    <row r="6" spans="1:18" x14ac:dyDescent="0.25">
      <c r="A6" s="290" t="s">
        <v>302</v>
      </c>
      <c r="B6" s="291" t="s">
        <v>301</v>
      </c>
      <c r="C6" s="292"/>
      <c r="D6" s="293"/>
      <c r="E6" s="294">
        <v>7000</v>
      </c>
      <c r="F6" s="295">
        <f>E6</f>
        <v>7000</v>
      </c>
      <c r="G6" s="295">
        <f t="shared" ref="G6:O6" si="2">F6+$E6</f>
        <v>14000</v>
      </c>
      <c r="H6" s="295">
        <f t="shared" si="2"/>
        <v>21000</v>
      </c>
      <c r="I6" s="295">
        <f t="shared" si="2"/>
        <v>28000</v>
      </c>
      <c r="J6" s="295">
        <f t="shared" si="2"/>
        <v>35000</v>
      </c>
      <c r="K6" s="295">
        <f t="shared" si="2"/>
        <v>42000</v>
      </c>
      <c r="L6" s="295">
        <f t="shared" si="2"/>
        <v>49000</v>
      </c>
      <c r="M6" s="295">
        <f t="shared" si="2"/>
        <v>56000</v>
      </c>
      <c r="N6" s="295">
        <f t="shared" si="2"/>
        <v>63000</v>
      </c>
      <c r="O6" s="295">
        <f t="shared" si="2"/>
        <v>70000</v>
      </c>
      <c r="P6" s="413"/>
    </row>
    <row r="7" spans="1:18" ht="21.75" customHeight="1" x14ac:dyDescent="0.25">
      <c r="A7" s="296" t="s">
        <v>303</v>
      </c>
      <c r="B7" s="297" t="s">
        <v>304</v>
      </c>
      <c r="C7" s="253"/>
      <c r="D7" s="298"/>
      <c r="E7" s="299"/>
      <c r="F7" s="257">
        <f>F13</f>
        <v>249.39549999999994</v>
      </c>
      <c r="G7" s="257">
        <f t="shared" ref="G7:O7" si="3">G13</f>
        <v>238.37549999999996</v>
      </c>
      <c r="H7" s="257">
        <f t="shared" si="3"/>
        <v>238.37549999999996</v>
      </c>
      <c r="I7" s="257">
        <f t="shared" si="3"/>
        <v>238.37549999999996</v>
      </c>
      <c r="J7" s="257">
        <f t="shared" si="3"/>
        <v>238.37549999999996</v>
      </c>
      <c r="K7" s="257">
        <f t="shared" si="3"/>
        <v>238.37549999999996</v>
      </c>
      <c r="L7" s="257">
        <f t="shared" si="3"/>
        <v>238.37549999999996</v>
      </c>
      <c r="M7" s="257">
        <f t="shared" si="3"/>
        <v>238.37549999999996</v>
      </c>
      <c r="N7" s="257">
        <f t="shared" si="3"/>
        <v>238.37549999999996</v>
      </c>
      <c r="O7" s="257">
        <f t="shared" si="3"/>
        <v>238.37549999999996</v>
      </c>
      <c r="P7" s="412"/>
    </row>
    <row r="8" spans="1:18" ht="21.1" customHeight="1" x14ac:dyDescent="0.25">
      <c r="A8" s="300" t="s">
        <v>305</v>
      </c>
      <c r="B8" s="301" t="s">
        <v>306</v>
      </c>
      <c r="C8" s="260"/>
      <c r="D8" s="298"/>
      <c r="E8" s="299"/>
      <c r="F8" s="302">
        <f t="shared" ref="F8:O8" si="4">SUM(F9:F10)</f>
        <v>98232.07823756861</v>
      </c>
      <c r="G8" s="302">
        <f t="shared" si="4"/>
        <v>87617.779639529384</v>
      </c>
      <c r="H8" s="302">
        <f t="shared" si="4"/>
        <v>87617.779639529384</v>
      </c>
      <c r="I8" s="302">
        <f t="shared" si="4"/>
        <v>87617.779639529384</v>
      </c>
      <c r="J8" s="302">
        <f t="shared" si="4"/>
        <v>87617.779639529384</v>
      </c>
      <c r="K8" s="302">
        <f t="shared" si="4"/>
        <v>87617.779639529384</v>
      </c>
      <c r="L8" s="302">
        <f t="shared" si="4"/>
        <v>87617.779639529384</v>
      </c>
      <c r="M8" s="302">
        <f t="shared" si="4"/>
        <v>87617.779639529384</v>
      </c>
      <c r="N8" s="302">
        <f t="shared" si="4"/>
        <v>87617.779639529384</v>
      </c>
      <c r="O8" s="302">
        <f t="shared" si="4"/>
        <v>87617.779639529384</v>
      </c>
      <c r="P8" s="673"/>
    </row>
    <row r="9" spans="1:18" ht="20.25" customHeight="1" x14ac:dyDescent="0.25">
      <c r="A9" s="304" t="s">
        <v>307</v>
      </c>
      <c r="B9" s="305" t="s">
        <v>306</v>
      </c>
      <c r="C9" s="306"/>
      <c r="D9" s="307"/>
      <c r="E9" s="308"/>
      <c r="F9" s="263">
        <f>F24</f>
        <v>49599.95573756862</v>
      </c>
      <c r="G9" s="263">
        <f>G24</f>
        <v>41134.557139529403</v>
      </c>
      <c r="H9" s="263">
        <f t="shared" ref="H9:O9" si="5">H24</f>
        <v>41134.557139529403</v>
      </c>
      <c r="I9" s="263">
        <f t="shared" si="5"/>
        <v>41134.557139529403</v>
      </c>
      <c r="J9" s="263">
        <f t="shared" si="5"/>
        <v>41134.557139529403</v>
      </c>
      <c r="K9" s="263">
        <f t="shared" si="5"/>
        <v>41134.557139529403</v>
      </c>
      <c r="L9" s="263">
        <f t="shared" si="5"/>
        <v>41134.557139529403</v>
      </c>
      <c r="M9" s="263">
        <f t="shared" si="5"/>
        <v>41134.557139529403</v>
      </c>
      <c r="N9" s="263">
        <f t="shared" si="5"/>
        <v>41134.557139529403</v>
      </c>
      <c r="O9" s="263">
        <f t="shared" si="5"/>
        <v>41134.557139529403</v>
      </c>
      <c r="P9" s="386"/>
    </row>
    <row r="10" spans="1:18" ht="23.3" customHeight="1" thickBot="1" x14ac:dyDescent="0.3">
      <c r="A10" s="309" t="s">
        <v>308</v>
      </c>
      <c r="B10" s="310" t="s">
        <v>306</v>
      </c>
      <c r="C10" s="311"/>
      <c r="D10" s="312"/>
      <c r="E10" s="313">
        <v>65</v>
      </c>
      <c r="F10" s="314">
        <f>SUMPRODUCT(F14:F21,$E$14:$E$21)*$E10</f>
        <v>48632.122499999983</v>
      </c>
      <c r="G10" s="314">
        <f t="shared" ref="G10:O10" si="6">SUMPRODUCT(G14:G21,$E$14:$E$21)*$E10</f>
        <v>46483.222499999989</v>
      </c>
      <c r="H10" s="314">
        <f t="shared" si="6"/>
        <v>46483.222499999989</v>
      </c>
      <c r="I10" s="314">
        <f t="shared" si="6"/>
        <v>46483.222499999989</v>
      </c>
      <c r="J10" s="314">
        <f t="shared" si="6"/>
        <v>46483.222499999989</v>
      </c>
      <c r="K10" s="314">
        <f t="shared" si="6"/>
        <v>46483.222499999989</v>
      </c>
      <c r="L10" s="314">
        <f t="shared" si="6"/>
        <v>46483.222499999989</v>
      </c>
      <c r="M10" s="314">
        <f t="shared" si="6"/>
        <v>46483.222499999989</v>
      </c>
      <c r="N10" s="314">
        <f t="shared" si="6"/>
        <v>46483.222499999989</v>
      </c>
      <c r="O10" s="314">
        <f t="shared" si="6"/>
        <v>46483.222499999989</v>
      </c>
      <c r="P10" s="386"/>
    </row>
    <row r="11" spans="1:18" ht="14.95" thickBot="1" x14ac:dyDescent="0.3">
      <c r="A11" s="1069"/>
      <c r="B11" s="1070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276"/>
    </row>
    <row r="12" spans="1:18" ht="34.65" x14ac:dyDescent="0.25">
      <c r="A12" s="674" t="s">
        <v>309</v>
      </c>
      <c r="B12" s="675" t="s">
        <v>310</v>
      </c>
      <c r="C12" s="676" t="s">
        <v>311</v>
      </c>
      <c r="D12" s="677" t="s">
        <v>312</v>
      </c>
      <c r="E12" s="678" t="s">
        <v>313</v>
      </c>
      <c r="F12" s="679" t="s">
        <v>314</v>
      </c>
      <c r="G12" s="679" t="s">
        <v>314</v>
      </c>
      <c r="H12" s="679" t="s">
        <v>314</v>
      </c>
      <c r="I12" s="679" t="s">
        <v>314</v>
      </c>
      <c r="J12" s="679" t="s">
        <v>314</v>
      </c>
      <c r="K12" s="679" t="s">
        <v>314</v>
      </c>
      <c r="L12" s="679" t="s">
        <v>314</v>
      </c>
      <c r="M12" s="679" t="s">
        <v>314</v>
      </c>
      <c r="N12" s="679" t="s">
        <v>314</v>
      </c>
      <c r="O12" s="679" t="s">
        <v>314</v>
      </c>
      <c r="P12" s="680"/>
    </row>
    <row r="13" spans="1:18" x14ac:dyDescent="0.25">
      <c r="A13" s="321" t="s">
        <v>315</v>
      </c>
      <c r="B13" s="322"/>
      <c r="C13" s="323"/>
      <c r="D13" s="324"/>
      <c r="E13" s="325"/>
      <c r="F13" s="681">
        <f>SUM(F14:F21)</f>
        <v>249.39549999999994</v>
      </c>
      <c r="G13" s="681">
        <f t="shared" ref="G13:O13" si="7">SUM(G14:G21)</f>
        <v>238.37549999999996</v>
      </c>
      <c r="H13" s="681">
        <f t="shared" si="7"/>
        <v>238.37549999999996</v>
      </c>
      <c r="I13" s="681">
        <f t="shared" si="7"/>
        <v>238.37549999999996</v>
      </c>
      <c r="J13" s="681">
        <f t="shared" si="7"/>
        <v>238.37549999999996</v>
      </c>
      <c r="K13" s="681">
        <f t="shared" si="7"/>
        <v>238.37549999999996</v>
      </c>
      <c r="L13" s="681">
        <f t="shared" si="7"/>
        <v>238.37549999999996</v>
      </c>
      <c r="M13" s="681">
        <f t="shared" si="7"/>
        <v>238.37549999999996</v>
      </c>
      <c r="N13" s="681">
        <f t="shared" si="7"/>
        <v>238.37549999999996</v>
      </c>
      <c r="O13" s="681">
        <f t="shared" si="7"/>
        <v>238.37549999999996</v>
      </c>
      <c r="P13" s="682"/>
      <c r="Q13" s="275" t="s">
        <v>702</v>
      </c>
      <c r="R13" s="275" t="s">
        <v>703</v>
      </c>
    </row>
    <row r="14" spans="1:18" x14ac:dyDescent="0.25">
      <c r="A14" s="327" t="s">
        <v>704</v>
      </c>
      <c r="B14" s="328">
        <v>100</v>
      </c>
      <c r="C14" s="268">
        <f>Q14</f>
        <v>11.02</v>
      </c>
      <c r="D14" s="329">
        <v>1</v>
      </c>
      <c r="E14" s="330">
        <v>3</v>
      </c>
      <c r="F14" s="683">
        <f t="shared" ref="F14:O21" si="8">$D14*$C14</f>
        <v>11.02</v>
      </c>
      <c r="G14" s="683"/>
      <c r="H14" s="683"/>
      <c r="I14" s="683"/>
      <c r="J14" s="683"/>
      <c r="K14" s="683"/>
      <c r="L14" s="683"/>
      <c r="M14" s="683"/>
      <c r="N14" s="683"/>
      <c r="O14" s="683"/>
      <c r="P14" s="684"/>
      <c r="Q14" s="275">
        <f>ROUND(R14/3,2)</f>
        <v>11.02</v>
      </c>
      <c r="R14" s="275">
        <v>33.049999999999997</v>
      </c>
    </row>
    <row r="15" spans="1:18" x14ac:dyDescent="0.25">
      <c r="A15" s="327" t="s">
        <v>317</v>
      </c>
      <c r="B15" s="328">
        <v>250</v>
      </c>
      <c r="C15" s="268">
        <f t="shared" ref="C15:C21" si="9">Q15</f>
        <v>0.47</v>
      </c>
      <c r="D15" s="329">
        <v>14</v>
      </c>
      <c r="E15" s="330">
        <v>3</v>
      </c>
      <c r="F15" s="683">
        <f t="shared" si="8"/>
        <v>6.58</v>
      </c>
      <c r="G15" s="683">
        <f t="shared" si="8"/>
        <v>6.58</v>
      </c>
      <c r="H15" s="683">
        <f>$D15*$C15</f>
        <v>6.58</v>
      </c>
      <c r="I15" s="683">
        <f t="shared" si="8"/>
        <v>6.58</v>
      </c>
      <c r="J15" s="683">
        <f t="shared" si="8"/>
        <v>6.58</v>
      </c>
      <c r="K15" s="683">
        <f t="shared" si="8"/>
        <v>6.58</v>
      </c>
      <c r="L15" s="683">
        <f t="shared" si="8"/>
        <v>6.58</v>
      </c>
      <c r="M15" s="683">
        <f t="shared" si="8"/>
        <v>6.58</v>
      </c>
      <c r="N15" s="683">
        <f t="shared" si="8"/>
        <v>6.58</v>
      </c>
      <c r="O15" s="683">
        <f t="shared" si="8"/>
        <v>6.58</v>
      </c>
      <c r="P15" s="684"/>
      <c r="Q15" s="275">
        <f t="shared" ref="Q15:Q21" si="10">ROUND(R15/3,2)</f>
        <v>0.47</v>
      </c>
      <c r="R15" s="275">
        <v>1.4</v>
      </c>
    </row>
    <row r="16" spans="1:18" x14ac:dyDescent="0.25">
      <c r="A16" s="327" t="s">
        <v>318</v>
      </c>
      <c r="B16" s="328">
        <v>500</v>
      </c>
      <c r="C16" s="268">
        <f t="shared" si="9"/>
        <v>10.9</v>
      </c>
      <c r="D16" s="329">
        <v>7</v>
      </c>
      <c r="E16" s="330">
        <v>3</v>
      </c>
      <c r="F16" s="683">
        <f t="shared" si="8"/>
        <v>76.3</v>
      </c>
      <c r="G16" s="683">
        <f t="shared" si="8"/>
        <v>76.3</v>
      </c>
      <c r="H16" s="683">
        <f t="shared" si="8"/>
        <v>76.3</v>
      </c>
      <c r="I16" s="683">
        <f t="shared" si="8"/>
        <v>76.3</v>
      </c>
      <c r="J16" s="683">
        <f t="shared" si="8"/>
        <v>76.3</v>
      </c>
      <c r="K16" s="683">
        <f t="shared" si="8"/>
        <v>76.3</v>
      </c>
      <c r="L16" s="683">
        <f t="shared" si="8"/>
        <v>76.3</v>
      </c>
      <c r="M16" s="683">
        <f t="shared" si="8"/>
        <v>76.3</v>
      </c>
      <c r="N16" s="683">
        <f t="shared" si="8"/>
        <v>76.3</v>
      </c>
      <c r="O16" s="683">
        <f t="shared" si="8"/>
        <v>76.3</v>
      </c>
      <c r="P16" s="684"/>
      <c r="Q16" s="275">
        <f t="shared" si="10"/>
        <v>10.9</v>
      </c>
      <c r="R16" s="275">
        <v>32.700000000000003</v>
      </c>
    </row>
    <row r="17" spans="1:18" x14ac:dyDescent="0.25">
      <c r="A17" s="327" t="s">
        <v>319</v>
      </c>
      <c r="B17" s="328">
        <v>1000</v>
      </c>
      <c r="C17" s="268">
        <f t="shared" si="9"/>
        <v>18.079999999999998</v>
      </c>
      <c r="D17" s="329">
        <v>7</v>
      </c>
      <c r="E17" s="330">
        <v>3</v>
      </c>
      <c r="F17" s="683">
        <f t="shared" si="8"/>
        <v>126.55999999999999</v>
      </c>
      <c r="G17" s="683">
        <f t="shared" si="8"/>
        <v>126.55999999999999</v>
      </c>
      <c r="H17" s="683">
        <f t="shared" si="8"/>
        <v>126.55999999999999</v>
      </c>
      <c r="I17" s="683">
        <f t="shared" si="8"/>
        <v>126.55999999999999</v>
      </c>
      <c r="J17" s="683">
        <f t="shared" si="8"/>
        <v>126.55999999999999</v>
      </c>
      <c r="K17" s="683">
        <f t="shared" si="8"/>
        <v>126.55999999999999</v>
      </c>
      <c r="L17" s="683">
        <f t="shared" si="8"/>
        <v>126.55999999999999</v>
      </c>
      <c r="M17" s="683">
        <f t="shared" si="8"/>
        <v>126.55999999999999</v>
      </c>
      <c r="N17" s="683">
        <f t="shared" si="8"/>
        <v>126.55999999999999</v>
      </c>
      <c r="O17" s="683">
        <f t="shared" si="8"/>
        <v>126.55999999999999</v>
      </c>
      <c r="P17" s="684"/>
      <c r="Q17" s="275">
        <f t="shared" si="10"/>
        <v>18.079999999999998</v>
      </c>
      <c r="R17" s="275">
        <v>54.25</v>
      </c>
    </row>
    <row r="18" spans="1:18" x14ac:dyDescent="0.25">
      <c r="A18" s="685" t="s">
        <v>705</v>
      </c>
      <c r="B18" s="686">
        <v>2500</v>
      </c>
      <c r="C18" s="268">
        <f t="shared" si="9"/>
        <v>1.47</v>
      </c>
      <c r="D18" s="687">
        <v>2.8</v>
      </c>
      <c r="E18" s="330">
        <v>3</v>
      </c>
      <c r="F18" s="688">
        <f t="shared" si="8"/>
        <v>4.1159999999999997</v>
      </c>
      <c r="G18" s="683">
        <f t="shared" si="8"/>
        <v>4.1159999999999997</v>
      </c>
      <c r="H18" s="683">
        <f t="shared" si="8"/>
        <v>4.1159999999999997</v>
      </c>
      <c r="I18" s="683">
        <f t="shared" si="8"/>
        <v>4.1159999999999997</v>
      </c>
      <c r="J18" s="683">
        <f t="shared" si="8"/>
        <v>4.1159999999999997</v>
      </c>
      <c r="K18" s="683">
        <f t="shared" si="8"/>
        <v>4.1159999999999997</v>
      </c>
      <c r="L18" s="683">
        <f t="shared" si="8"/>
        <v>4.1159999999999997</v>
      </c>
      <c r="M18" s="683">
        <f t="shared" si="8"/>
        <v>4.1159999999999997</v>
      </c>
      <c r="N18" s="683">
        <f t="shared" si="8"/>
        <v>4.1159999999999997</v>
      </c>
      <c r="O18" s="683">
        <f t="shared" si="8"/>
        <v>4.1159999999999997</v>
      </c>
      <c r="P18" s="684"/>
      <c r="Q18" s="275">
        <f t="shared" si="10"/>
        <v>1.47</v>
      </c>
      <c r="R18" s="275">
        <v>4.4000000000000004</v>
      </c>
    </row>
    <row r="19" spans="1:18" x14ac:dyDescent="0.25">
      <c r="A19" s="685" t="s">
        <v>706</v>
      </c>
      <c r="B19" s="686">
        <v>4000</v>
      </c>
      <c r="C19" s="268">
        <f t="shared" si="9"/>
        <v>2.33</v>
      </c>
      <c r="D19" s="689">
        <v>1.75</v>
      </c>
      <c r="E19" s="330">
        <v>3</v>
      </c>
      <c r="F19" s="688">
        <f t="shared" si="8"/>
        <v>4.0775000000000006</v>
      </c>
      <c r="G19" s="683">
        <f t="shared" si="8"/>
        <v>4.0775000000000006</v>
      </c>
      <c r="H19" s="683">
        <f t="shared" si="8"/>
        <v>4.0775000000000006</v>
      </c>
      <c r="I19" s="683">
        <f t="shared" si="8"/>
        <v>4.0775000000000006</v>
      </c>
      <c r="J19" s="683">
        <f t="shared" si="8"/>
        <v>4.0775000000000006</v>
      </c>
      <c r="K19" s="683">
        <f t="shared" si="8"/>
        <v>4.0775000000000006</v>
      </c>
      <c r="L19" s="683">
        <f t="shared" si="8"/>
        <v>4.0775000000000006</v>
      </c>
      <c r="M19" s="683">
        <f t="shared" si="8"/>
        <v>4.0775000000000006</v>
      </c>
      <c r="N19" s="683">
        <f t="shared" si="8"/>
        <v>4.0775000000000006</v>
      </c>
      <c r="O19" s="683">
        <f t="shared" si="8"/>
        <v>4.0775000000000006</v>
      </c>
      <c r="P19" s="684"/>
      <c r="Q19" s="275">
        <f t="shared" si="10"/>
        <v>2.33</v>
      </c>
      <c r="R19" s="275">
        <v>7</v>
      </c>
    </row>
    <row r="20" spans="1:18" x14ac:dyDescent="0.25">
      <c r="A20" s="685" t="s">
        <v>707</v>
      </c>
      <c r="B20" s="686">
        <v>5000</v>
      </c>
      <c r="C20" s="268">
        <f t="shared" si="9"/>
        <v>2.4300000000000002</v>
      </c>
      <c r="D20" s="687">
        <v>1.4</v>
      </c>
      <c r="E20" s="330">
        <v>3</v>
      </c>
      <c r="F20" s="688">
        <f t="shared" si="8"/>
        <v>3.4020000000000001</v>
      </c>
      <c r="G20" s="683">
        <f t="shared" si="8"/>
        <v>3.4020000000000001</v>
      </c>
      <c r="H20" s="683">
        <f t="shared" si="8"/>
        <v>3.4020000000000001</v>
      </c>
      <c r="I20" s="683">
        <f t="shared" si="8"/>
        <v>3.4020000000000001</v>
      </c>
      <c r="J20" s="683">
        <f t="shared" si="8"/>
        <v>3.4020000000000001</v>
      </c>
      <c r="K20" s="683">
        <f t="shared" si="8"/>
        <v>3.4020000000000001</v>
      </c>
      <c r="L20" s="683">
        <f t="shared" si="8"/>
        <v>3.4020000000000001</v>
      </c>
      <c r="M20" s="683">
        <f t="shared" si="8"/>
        <v>3.4020000000000001</v>
      </c>
      <c r="N20" s="683">
        <f t="shared" si="8"/>
        <v>3.4020000000000001</v>
      </c>
      <c r="O20" s="683">
        <f t="shared" si="8"/>
        <v>3.4020000000000001</v>
      </c>
      <c r="P20" s="684"/>
      <c r="Q20" s="275">
        <f t="shared" si="10"/>
        <v>2.4300000000000002</v>
      </c>
      <c r="R20" s="275">
        <v>7.3</v>
      </c>
    </row>
    <row r="21" spans="1:18" ht="14.95" thickBot="1" x14ac:dyDescent="0.3">
      <c r="A21" s="551" t="s">
        <v>320</v>
      </c>
      <c r="B21" s="552">
        <v>3500</v>
      </c>
      <c r="C21" s="268">
        <f t="shared" si="9"/>
        <v>8.67</v>
      </c>
      <c r="D21" s="690">
        <v>2</v>
      </c>
      <c r="E21" s="334">
        <v>3</v>
      </c>
      <c r="F21" s="691">
        <f t="shared" si="8"/>
        <v>17.34</v>
      </c>
      <c r="G21" s="691">
        <f t="shared" si="8"/>
        <v>17.34</v>
      </c>
      <c r="H21" s="691">
        <f t="shared" si="8"/>
        <v>17.34</v>
      </c>
      <c r="I21" s="691">
        <f t="shared" si="8"/>
        <v>17.34</v>
      </c>
      <c r="J21" s="691">
        <f t="shared" si="8"/>
        <v>17.34</v>
      </c>
      <c r="K21" s="691">
        <f t="shared" si="8"/>
        <v>17.34</v>
      </c>
      <c r="L21" s="691">
        <f t="shared" si="8"/>
        <v>17.34</v>
      </c>
      <c r="M21" s="691">
        <f t="shared" si="8"/>
        <v>17.34</v>
      </c>
      <c r="N21" s="691">
        <f t="shared" si="8"/>
        <v>17.34</v>
      </c>
      <c r="O21" s="691">
        <f t="shared" si="8"/>
        <v>17.34</v>
      </c>
      <c r="P21" s="684"/>
      <c r="Q21" s="275">
        <f t="shared" si="10"/>
        <v>8.67</v>
      </c>
      <c r="R21" s="275">
        <v>26</v>
      </c>
    </row>
    <row r="22" spans="1:18" ht="14.95" thickBot="1" x14ac:dyDescent="0.3">
      <c r="A22" s="1069"/>
      <c r="B22" s="1070"/>
      <c r="C22" s="1070"/>
      <c r="D22" s="1070"/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276"/>
    </row>
    <row r="23" spans="1:18" ht="27.2" x14ac:dyDescent="0.25">
      <c r="A23" s="692" t="s">
        <v>305</v>
      </c>
      <c r="B23" s="693" t="s">
        <v>323</v>
      </c>
      <c r="C23" s="694" t="s">
        <v>324</v>
      </c>
      <c r="D23" s="695" t="s">
        <v>325</v>
      </c>
      <c r="E23" s="696" t="s">
        <v>312</v>
      </c>
      <c r="F23" s="697" t="s">
        <v>292</v>
      </c>
      <c r="G23" s="697" t="s">
        <v>292</v>
      </c>
      <c r="H23" s="697" t="s">
        <v>292</v>
      </c>
      <c r="I23" s="697" t="s">
        <v>292</v>
      </c>
      <c r="J23" s="697" t="s">
        <v>292</v>
      </c>
      <c r="K23" s="697" t="s">
        <v>292</v>
      </c>
      <c r="L23" s="697" t="s">
        <v>292</v>
      </c>
      <c r="M23" s="697" t="s">
        <v>292</v>
      </c>
      <c r="N23" s="697" t="s">
        <v>292</v>
      </c>
      <c r="O23" s="697" t="s">
        <v>292</v>
      </c>
      <c r="P23" s="698"/>
    </row>
    <row r="24" spans="1:18" x14ac:dyDescent="0.25">
      <c r="A24" s="341" t="s">
        <v>326</v>
      </c>
      <c r="B24" s="342"/>
      <c r="C24" s="699"/>
      <c r="D24" s="344"/>
      <c r="E24" s="345"/>
      <c r="F24" s="346">
        <f t="shared" ref="F24:O24" si="11">SUM(F25:F66)</f>
        <v>49599.95573756862</v>
      </c>
      <c r="G24" s="346">
        <f t="shared" si="11"/>
        <v>41134.557139529403</v>
      </c>
      <c r="H24" s="346">
        <f t="shared" si="11"/>
        <v>41134.557139529403</v>
      </c>
      <c r="I24" s="346">
        <f t="shared" si="11"/>
        <v>41134.557139529403</v>
      </c>
      <c r="J24" s="346">
        <f t="shared" si="11"/>
        <v>41134.557139529403</v>
      </c>
      <c r="K24" s="346">
        <f t="shared" si="11"/>
        <v>41134.557139529403</v>
      </c>
      <c r="L24" s="346">
        <f t="shared" si="11"/>
        <v>41134.557139529403</v>
      </c>
      <c r="M24" s="346">
        <f t="shared" si="11"/>
        <v>41134.557139529403</v>
      </c>
      <c r="N24" s="346">
        <f t="shared" si="11"/>
        <v>41134.557139529403</v>
      </c>
      <c r="O24" s="346">
        <f t="shared" si="11"/>
        <v>41134.557139529403</v>
      </c>
      <c r="P24" s="700"/>
    </row>
    <row r="25" spans="1:18" x14ac:dyDescent="0.25">
      <c r="A25" s="701" t="s">
        <v>708</v>
      </c>
      <c r="B25" s="702"/>
      <c r="C25" s="703"/>
      <c r="D25" s="704">
        <v>100</v>
      </c>
      <c r="E25" s="705">
        <v>1</v>
      </c>
      <c r="F25" s="706"/>
      <c r="G25" s="706"/>
      <c r="H25" s="706"/>
      <c r="I25" s="706"/>
      <c r="J25" s="706"/>
      <c r="K25" s="706"/>
      <c r="L25" s="706"/>
      <c r="M25" s="706"/>
      <c r="N25" s="706"/>
      <c r="O25" s="706"/>
      <c r="P25" s="303"/>
    </row>
    <row r="26" spans="1:18" x14ac:dyDescent="0.25">
      <c r="A26" s="356" t="s">
        <v>709</v>
      </c>
      <c r="B26" s="353" t="s">
        <v>710</v>
      </c>
      <c r="C26" s="707">
        <v>3.43</v>
      </c>
      <c r="D26" s="708">
        <v>380</v>
      </c>
      <c r="E26" s="709"/>
      <c r="F26" s="350">
        <f>IF(F$14=0,0,F$14/$C$14*$D26*$C26)</f>
        <v>1303.4000000000001</v>
      </c>
      <c r="G26" s="350"/>
      <c r="H26" s="350"/>
      <c r="I26" s="350"/>
      <c r="J26" s="350"/>
      <c r="K26" s="350"/>
      <c r="L26" s="350"/>
      <c r="M26" s="350"/>
      <c r="N26" s="350"/>
      <c r="O26" s="350"/>
      <c r="P26" s="362"/>
    </row>
    <row r="27" spans="1:18" x14ac:dyDescent="0.25">
      <c r="A27" s="356" t="s">
        <v>711</v>
      </c>
      <c r="B27" s="353">
        <v>1005008511</v>
      </c>
      <c r="C27" s="707">
        <v>5.6785235294117653</v>
      </c>
      <c r="D27" s="710">
        <v>2</v>
      </c>
      <c r="E27" s="709"/>
      <c r="F27" s="350">
        <f t="shared" ref="F27:F35" si="12">IF(F$14=0,0,F$14/$C$14*$D27*$C27)</f>
        <v>11.357047058823531</v>
      </c>
      <c r="G27" s="350"/>
      <c r="H27" s="350"/>
      <c r="I27" s="350"/>
      <c r="J27" s="350"/>
      <c r="K27" s="350"/>
      <c r="L27" s="350"/>
      <c r="M27" s="350"/>
      <c r="N27" s="350"/>
      <c r="O27" s="350"/>
      <c r="P27" s="362"/>
    </row>
    <row r="28" spans="1:18" x14ac:dyDescent="0.25">
      <c r="A28" s="356" t="s">
        <v>712</v>
      </c>
      <c r="B28" s="353">
        <v>1013032300</v>
      </c>
      <c r="C28" s="707">
        <v>160.35278823529413</v>
      </c>
      <c r="D28" s="710">
        <v>5</v>
      </c>
      <c r="E28" s="709"/>
      <c r="F28" s="350">
        <f t="shared" si="12"/>
        <v>801.76394117647067</v>
      </c>
      <c r="G28" s="350"/>
      <c r="H28" s="350"/>
      <c r="I28" s="350"/>
      <c r="J28" s="350"/>
      <c r="K28" s="350"/>
      <c r="L28" s="350"/>
      <c r="M28" s="350"/>
      <c r="N28" s="350"/>
      <c r="O28" s="350"/>
      <c r="P28" s="362"/>
    </row>
    <row r="29" spans="1:18" x14ac:dyDescent="0.25">
      <c r="A29" s="356" t="s">
        <v>713</v>
      </c>
      <c r="B29" s="353" t="s">
        <v>714</v>
      </c>
      <c r="C29" s="707">
        <v>202.41121764705881</v>
      </c>
      <c r="D29" s="710">
        <v>1</v>
      </c>
      <c r="E29" s="709"/>
      <c r="F29" s="350">
        <f t="shared" si="12"/>
        <v>202.41121764705881</v>
      </c>
      <c r="G29" s="350"/>
      <c r="H29" s="350"/>
      <c r="I29" s="350"/>
      <c r="J29" s="350"/>
      <c r="K29" s="350"/>
      <c r="L29" s="350"/>
      <c r="M29" s="350"/>
      <c r="N29" s="350"/>
      <c r="O29" s="350"/>
      <c r="P29" s="362"/>
    </row>
    <row r="30" spans="1:18" x14ac:dyDescent="0.25">
      <c r="A30" s="356" t="s">
        <v>715</v>
      </c>
      <c r="B30" s="353" t="s">
        <v>716</v>
      </c>
      <c r="C30" s="707">
        <v>147.49115294117647</v>
      </c>
      <c r="D30" s="710">
        <v>3</v>
      </c>
      <c r="E30" s="709"/>
      <c r="F30" s="350">
        <f t="shared" si="12"/>
        <v>442.47345882352943</v>
      </c>
      <c r="G30" s="350"/>
      <c r="H30" s="350"/>
      <c r="I30" s="350"/>
      <c r="J30" s="350"/>
      <c r="K30" s="350"/>
      <c r="L30" s="350"/>
      <c r="M30" s="350"/>
      <c r="N30" s="350"/>
      <c r="O30" s="350"/>
      <c r="P30" s="362"/>
    </row>
    <row r="31" spans="1:18" x14ac:dyDescent="0.25">
      <c r="A31" s="356" t="s">
        <v>717</v>
      </c>
      <c r="B31" s="353" t="s">
        <v>718</v>
      </c>
      <c r="C31" s="707">
        <v>15.036</v>
      </c>
      <c r="D31" s="710">
        <v>210</v>
      </c>
      <c r="E31" s="709"/>
      <c r="F31" s="350">
        <f t="shared" si="12"/>
        <v>3157.56</v>
      </c>
      <c r="G31" s="350"/>
      <c r="H31" s="350"/>
      <c r="I31" s="350"/>
      <c r="J31" s="350"/>
      <c r="K31" s="350"/>
      <c r="L31" s="350"/>
      <c r="M31" s="350"/>
      <c r="N31" s="350"/>
      <c r="O31" s="350"/>
      <c r="P31" s="362"/>
    </row>
    <row r="32" spans="1:18" ht="28.55" x14ac:dyDescent="0.25">
      <c r="A32" s="356" t="s">
        <v>719</v>
      </c>
      <c r="B32" s="353" t="s">
        <v>720</v>
      </c>
      <c r="C32" s="707">
        <v>11.045999999999999</v>
      </c>
      <c r="D32" s="710">
        <v>0.6</v>
      </c>
      <c r="E32" s="709"/>
      <c r="F32" s="350">
        <f t="shared" si="12"/>
        <v>6.6275999999999993</v>
      </c>
      <c r="G32" s="350"/>
      <c r="H32" s="350"/>
      <c r="I32" s="350"/>
      <c r="J32" s="350"/>
      <c r="K32" s="350"/>
      <c r="L32" s="350"/>
      <c r="M32" s="350"/>
      <c r="N32" s="350"/>
      <c r="O32" s="350"/>
      <c r="P32" s="362"/>
    </row>
    <row r="33" spans="1:16" ht="28.55" x14ac:dyDescent="0.25">
      <c r="A33" s="711" t="s">
        <v>721</v>
      </c>
      <c r="B33" s="712" t="s">
        <v>722</v>
      </c>
      <c r="C33" s="707">
        <v>3.08</v>
      </c>
      <c r="D33" s="710">
        <v>790</v>
      </c>
      <c r="E33" s="709"/>
      <c r="F33" s="350">
        <f t="shared" si="12"/>
        <v>2433.2000000000003</v>
      </c>
      <c r="G33" s="350"/>
      <c r="H33" s="350"/>
      <c r="I33" s="350"/>
      <c r="J33" s="350"/>
      <c r="K33" s="350"/>
      <c r="L33" s="350"/>
      <c r="M33" s="350"/>
      <c r="N33" s="350"/>
      <c r="O33" s="350"/>
      <c r="P33" s="362"/>
    </row>
    <row r="34" spans="1:16" x14ac:dyDescent="0.25">
      <c r="A34" s="356" t="s">
        <v>723</v>
      </c>
      <c r="B34" s="353" t="s">
        <v>724</v>
      </c>
      <c r="C34" s="707">
        <v>86.669333333333327</v>
      </c>
      <c r="D34" s="710">
        <v>1</v>
      </c>
      <c r="E34" s="709"/>
      <c r="F34" s="350">
        <f t="shared" si="12"/>
        <v>86.669333333333327</v>
      </c>
      <c r="G34" s="350"/>
      <c r="H34" s="350"/>
      <c r="I34" s="350"/>
      <c r="J34" s="350"/>
      <c r="K34" s="350"/>
      <c r="L34" s="350"/>
      <c r="M34" s="350"/>
      <c r="N34" s="350"/>
      <c r="O34" s="350"/>
      <c r="P34" s="362"/>
    </row>
    <row r="35" spans="1:16" ht="28.55" x14ac:dyDescent="0.25">
      <c r="A35" s="356" t="s">
        <v>725</v>
      </c>
      <c r="B35" s="353" t="s">
        <v>726</v>
      </c>
      <c r="C35" s="707">
        <v>19.936</v>
      </c>
      <c r="D35" s="710">
        <v>1</v>
      </c>
      <c r="E35" s="709"/>
      <c r="F35" s="350">
        <f t="shared" si="12"/>
        <v>19.936</v>
      </c>
      <c r="G35" s="350"/>
      <c r="H35" s="350"/>
      <c r="I35" s="350"/>
      <c r="J35" s="350"/>
      <c r="K35" s="350"/>
      <c r="L35" s="350"/>
      <c r="M35" s="350"/>
      <c r="N35" s="350"/>
      <c r="O35" s="350"/>
      <c r="P35" s="362"/>
    </row>
    <row r="36" spans="1:16" x14ac:dyDescent="0.25">
      <c r="A36" s="701" t="s">
        <v>317</v>
      </c>
      <c r="B36" s="702"/>
      <c r="C36" s="703"/>
      <c r="D36" s="704">
        <f>VLOOKUP($A36,$A$15:$B$21,2,FALSE)</f>
        <v>250</v>
      </c>
      <c r="E36" s="705">
        <f>VLOOKUP($A36,$A$15:$D$21,4,)</f>
        <v>14</v>
      </c>
      <c r="F36" s="706"/>
      <c r="G36" s="706"/>
      <c r="H36" s="706"/>
      <c r="I36" s="706"/>
      <c r="J36" s="706"/>
      <c r="K36" s="706"/>
      <c r="L36" s="706"/>
      <c r="M36" s="706"/>
      <c r="N36" s="706"/>
      <c r="O36" s="706"/>
      <c r="P36" s="303"/>
    </row>
    <row r="37" spans="1:16" x14ac:dyDescent="0.25">
      <c r="A37" s="356"/>
      <c r="B37" s="291"/>
      <c r="C37" s="259"/>
      <c r="D37" s="713"/>
      <c r="E37" s="709"/>
      <c r="F37" s="350">
        <f t="shared" ref="F37:O37" si="13">IF(F$15=0,0,F$15/$C$15*$D37*$C37)</f>
        <v>0</v>
      </c>
      <c r="G37" s="350">
        <f t="shared" si="13"/>
        <v>0</v>
      </c>
      <c r="H37" s="350">
        <f t="shared" si="13"/>
        <v>0</v>
      </c>
      <c r="I37" s="350">
        <f t="shared" si="13"/>
        <v>0</v>
      </c>
      <c r="J37" s="350">
        <f t="shared" si="13"/>
        <v>0</v>
      </c>
      <c r="K37" s="350">
        <f t="shared" si="13"/>
        <v>0</v>
      </c>
      <c r="L37" s="350">
        <f t="shared" si="13"/>
        <v>0</v>
      </c>
      <c r="M37" s="350">
        <f t="shared" si="13"/>
        <v>0</v>
      </c>
      <c r="N37" s="350">
        <f t="shared" si="13"/>
        <v>0</v>
      </c>
      <c r="O37" s="350">
        <f t="shared" si="13"/>
        <v>0</v>
      </c>
      <c r="P37" s="362"/>
    </row>
    <row r="38" spans="1:16" x14ac:dyDescent="0.25">
      <c r="A38" s="701" t="s">
        <v>318</v>
      </c>
      <c r="B38" s="702"/>
      <c r="C38" s="703"/>
      <c r="D38" s="704">
        <f>VLOOKUP($A38,$A$15:$B$21,2,FALSE)</f>
        <v>500</v>
      </c>
      <c r="E38" s="705">
        <f>VLOOKUP($A38,$A$15:$D$21,4,FALSE)</f>
        <v>7</v>
      </c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303"/>
    </row>
    <row r="39" spans="1:16" x14ac:dyDescent="0.25">
      <c r="A39" s="356" t="s">
        <v>709</v>
      </c>
      <c r="B39" s="353" t="s">
        <v>710</v>
      </c>
      <c r="C39" s="707">
        <v>3.43</v>
      </c>
      <c r="D39" s="708">
        <v>380</v>
      </c>
      <c r="E39" s="257"/>
      <c r="F39" s="350">
        <f>IF(F$16=0,0,F$16/$C$16*$D39*$C39)</f>
        <v>9123.7999999999993</v>
      </c>
      <c r="G39" s="350">
        <f t="shared" ref="G39:O39" si="14">IF(G$16=0,0,G$16/$C$16*$D39*$C39)</f>
        <v>9123.7999999999993</v>
      </c>
      <c r="H39" s="350">
        <f t="shared" si="14"/>
        <v>9123.7999999999993</v>
      </c>
      <c r="I39" s="350">
        <f t="shared" si="14"/>
        <v>9123.7999999999993</v>
      </c>
      <c r="J39" s="350">
        <f t="shared" si="14"/>
        <v>9123.7999999999993</v>
      </c>
      <c r="K39" s="350">
        <f t="shared" si="14"/>
        <v>9123.7999999999993</v>
      </c>
      <c r="L39" s="350">
        <f t="shared" si="14"/>
        <v>9123.7999999999993</v>
      </c>
      <c r="M39" s="350">
        <f t="shared" si="14"/>
        <v>9123.7999999999993</v>
      </c>
      <c r="N39" s="350">
        <f t="shared" si="14"/>
        <v>9123.7999999999993</v>
      </c>
      <c r="O39" s="350">
        <f t="shared" si="14"/>
        <v>9123.7999999999993</v>
      </c>
      <c r="P39" s="362"/>
    </row>
    <row r="40" spans="1:16" x14ac:dyDescent="0.25">
      <c r="A40" s="356" t="s">
        <v>711</v>
      </c>
      <c r="B40" s="353">
        <v>1005008511</v>
      </c>
      <c r="C40" s="707">
        <v>5.6785235294117653</v>
      </c>
      <c r="D40" s="710">
        <v>2</v>
      </c>
      <c r="E40" s="257"/>
      <c r="F40" s="350">
        <f t="shared" ref="F40:O53" si="15">IF(F$16=0,0,F$16/$C$16*$D40*$C40)</f>
        <v>79.499329411764705</v>
      </c>
      <c r="G40" s="350">
        <f t="shared" si="15"/>
        <v>79.499329411764705</v>
      </c>
      <c r="H40" s="350">
        <f t="shared" si="15"/>
        <v>79.499329411764705</v>
      </c>
      <c r="I40" s="350">
        <f t="shared" si="15"/>
        <v>79.499329411764705</v>
      </c>
      <c r="J40" s="350">
        <f t="shared" si="15"/>
        <v>79.499329411764705</v>
      </c>
      <c r="K40" s="350">
        <f t="shared" si="15"/>
        <v>79.499329411764705</v>
      </c>
      <c r="L40" s="350">
        <f t="shared" si="15"/>
        <v>79.499329411764705</v>
      </c>
      <c r="M40" s="350">
        <f t="shared" si="15"/>
        <v>79.499329411764705</v>
      </c>
      <c r="N40" s="350">
        <f t="shared" si="15"/>
        <v>79.499329411764705</v>
      </c>
      <c r="O40" s="350">
        <f t="shared" si="15"/>
        <v>79.499329411764705</v>
      </c>
      <c r="P40" s="362"/>
    </row>
    <row r="41" spans="1:16" x14ac:dyDescent="0.25">
      <c r="A41" s="711" t="s">
        <v>712</v>
      </c>
      <c r="B41" s="353">
        <v>1013032300</v>
      </c>
      <c r="C41" s="707">
        <v>160.35278823529413</v>
      </c>
      <c r="D41" s="710">
        <v>5</v>
      </c>
      <c r="E41" s="257"/>
      <c r="F41" s="350">
        <f t="shared" si="15"/>
        <v>5612.3475882352932</v>
      </c>
      <c r="G41" s="350">
        <f t="shared" si="15"/>
        <v>5612.3475882352932</v>
      </c>
      <c r="H41" s="350">
        <f t="shared" si="15"/>
        <v>5612.3475882352932</v>
      </c>
      <c r="I41" s="350">
        <f t="shared" si="15"/>
        <v>5612.3475882352932</v>
      </c>
      <c r="J41" s="350">
        <f t="shared" si="15"/>
        <v>5612.3475882352932</v>
      </c>
      <c r="K41" s="350">
        <f t="shared" si="15"/>
        <v>5612.3475882352932</v>
      </c>
      <c r="L41" s="350">
        <f t="shared" si="15"/>
        <v>5612.3475882352932</v>
      </c>
      <c r="M41" s="350">
        <f t="shared" si="15"/>
        <v>5612.3475882352932</v>
      </c>
      <c r="N41" s="350">
        <f t="shared" si="15"/>
        <v>5612.3475882352932</v>
      </c>
      <c r="O41" s="350">
        <f t="shared" si="15"/>
        <v>5612.3475882352932</v>
      </c>
      <c r="P41" s="362"/>
    </row>
    <row r="42" spans="1:16" x14ac:dyDescent="0.25">
      <c r="A42" s="711" t="s">
        <v>713</v>
      </c>
      <c r="B42" s="353" t="s">
        <v>714</v>
      </c>
      <c r="C42" s="707">
        <v>202.41121764705881</v>
      </c>
      <c r="D42" s="710">
        <v>1</v>
      </c>
      <c r="E42" s="257"/>
      <c r="F42" s="350">
        <f t="shared" si="15"/>
        <v>1416.8785235294115</v>
      </c>
      <c r="G42" s="350">
        <f t="shared" si="15"/>
        <v>1416.8785235294115</v>
      </c>
      <c r="H42" s="350">
        <f t="shared" si="15"/>
        <v>1416.8785235294115</v>
      </c>
      <c r="I42" s="350">
        <f t="shared" si="15"/>
        <v>1416.8785235294115</v>
      </c>
      <c r="J42" s="350">
        <f t="shared" si="15"/>
        <v>1416.8785235294115</v>
      </c>
      <c r="K42" s="350">
        <f t="shared" si="15"/>
        <v>1416.8785235294115</v>
      </c>
      <c r="L42" s="350">
        <f t="shared" si="15"/>
        <v>1416.8785235294115</v>
      </c>
      <c r="M42" s="350">
        <f t="shared" si="15"/>
        <v>1416.8785235294115</v>
      </c>
      <c r="N42" s="350">
        <f t="shared" si="15"/>
        <v>1416.8785235294115</v>
      </c>
      <c r="O42" s="350">
        <f t="shared" si="15"/>
        <v>1416.8785235294115</v>
      </c>
      <c r="P42" s="362"/>
    </row>
    <row r="43" spans="1:16" x14ac:dyDescent="0.25">
      <c r="A43" s="711" t="s">
        <v>715</v>
      </c>
      <c r="B43" s="353" t="s">
        <v>716</v>
      </c>
      <c r="C43" s="707">
        <v>147.49115294117647</v>
      </c>
      <c r="D43" s="710">
        <v>3</v>
      </c>
      <c r="E43" s="257"/>
      <c r="F43" s="350">
        <f t="shared" si="15"/>
        <v>3097.3142117647053</v>
      </c>
      <c r="G43" s="350">
        <f t="shared" si="15"/>
        <v>3097.3142117647053</v>
      </c>
      <c r="H43" s="350">
        <f t="shared" si="15"/>
        <v>3097.3142117647053</v>
      </c>
      <c r="I43" s="350">
        <f t="shared" si="15"/>
        <v>3097.3142117647053</v>
      </c>
      <c r="J43" s="350">
        <f t="shared" si="15"/>
        <v>3097.3142117647053</v>
      </c>
      <c r="K43" s="350">
        <f t="shared" si="15"/>
        <v>3097.3142117647053</v>
      </c>
      <c r="L43" s="350">
        <f t="shared" si="15"/>
        <v>3097.3142117647053</v>
      </c>
      <c r="M43" s="350">
        <f t="shared" si="15"/>
        <v>3097.3142117647053</v>
      </c>
      <c r="N43" s="350">
        <f t="shared" si="15"/>
        <v>3097.3142117647053</v>
      </c>
      <c r="O43" s="350">
        <f t="shared" si="15"/>
        <v>3097.3142117647053</v>
      </c>
      <c r="P43" s="362"/>
    </row>
    <row r="44" spans="1:16" ht="28.55" x14ac:dyDescent="0.25">
      <c r="A44" s="714" t="s">
        <v>727</v>
      </c>
      <c r="B44" s="353" t="s">
        <v>728</v>
      </c>
      <c r="C44" s="707">
        <v>67.591999999999999</v>
      </c>
      <c r="D44" s="710">
        <v>4</v>
      </c>
      <c r="E44" s="257"/>
      <c r="F44" s="350">
        <f t="shared" si="15"/>
        <v>1892.5759999999998</v>
      </c>
      <c r="G44" s="350">
        <f t="shared" si="15"/>
        <v>1892.5759999999998</v>
      </c>
      <c r="H44" s="350">
        <f t="shared" si="15"/>
        <v>1892.5759999999998</v>
      </c>
      <c r="I44" s="350">
        <f t="shared" si="15"/>
        <v>1892.5759999999998</v>
      </c>
      <c r="J44" s="350">
        <f t="shared" si="15"/>
        <v>1892.5759999999998</v>
      </c>
      <c r="K44" s="350">
        <f t="shared" si="15"/>
        <v>1892.5759999999998</v>
      </c>
      <c r="L44" s="350">
        <f t="shared" si="15"/>
        <v>1892.5759999999998</v>
      </c>
      <c r="M44" s="350">
        <f t="shared" si="15"/>
        <v>1892.5759999999998</v>
      </c>
      <c r="N44" s="350">
        <f t="shared" si="15"/>
        <v>1892.5759999999998</v>
      </c>
      <c r="O44" s="350">
        <f t="shared" si="15"/>
        <v>1892.5759999999998</v>
      </c>
      <c r="P44" s="362"/>
    </row>
    <row r="45" spans="1:16" ht="28.55" x14ac:dyDescent="0.25">
      <c r="A45" s="714" t="s">
        <v>729</v>
      </c>
      <c r="B45" s="353" t="s">
        <v>730</v>
      </c>
      <c r="C45" s="707">
        <v>26.861333333333334</v>
      </c>
      <c r="D45" s="710">
        <v>4</v>
      </c>
      <c r="E45" s="257"/>
      <c r="F45" s="350">
        <f t="shared" si="15"/>
        <v>752.11733333333325</v>
      </c>
      <c r="G45" s="350">
        <f t="shared" si="15"/>
        <v>752.11733333333325</v>
      </c>
      <c r="H45" s="350">
        <f t="shared" si="15"/>
        <v>752.11733333333325</v>
      </c>
      <c r="I45" s="350">
        <f t="shared" si="15"/>
        <v>752.11733333333325</v>
      </c>
      <c r="J45" s="350">
        <f t="shared" si="15"/>
        <v>752.11733333333325</v>
      </c>
      <c r="K45" s="350">
        <f t="shared" si="15"/>
        <v>752.11733333333325</v>
      </c>
      <c r="L45" s="350">
        <f t="shared" si="15"/>
        <v>752.11733333333325</v>
      </c>
      <c r="M45" s="350">
        <f t="shared" si="15"/>
        <v>752.11733333333325</v>
      </c>
      <c r="N45" s="350">
        <f t="shared" si="15"/>
        <v>752.11733333333325</v>
      </c>
      <c r="O45" s="350">
        <f t="shared" si="15"/>
        <v>752.11733333333325</v>
      </c>
      <c r="P45" s="362"/>
    </row>
    <row r="46" spans="1:16" x14ac:dyDescent="0.25">
      <c r="A46" s="347" t="s">
        <v>731</v>
      </c>
      <c r="B46" s="712" t="s">
        <v>732</v>
      </c>
      <c r="C46" s="707">
        <v>46.47176470588235</v>
      </c>
      <c r="D46" s="710">
        <v>0.28000000000000003</v>
      </c>
      <c r="E46" s="257"/>
      <c r="F46" s="350">
        <f t="shared" si="15"/>
        <v>91.084658823529409</v>
      </c>
      <c r="G46" s="350">
        <f t="shared" si="15"/>
        <v>91.084658823529409</v>
      </c>
      <c r="H46" s="350">
        <f t="shared" si="15"/>
        <v>91.084658823529409</v>
      </c>
      <c r="I46" s="350">
        <f t="shared" si="15"/>
        <v>91.084658823529409</v>
      </c>
      <c r="J46" s="350">
        <f t="shared" si="15"/>
        <v>91.084658823529409</v>
      </c>
      <c r="K46" s="350">
        <f t="shared" si="15"/>
        <v>91.084658823529409</v>
      </c>
      <c r="L46" s="350">
        <f t="shared" si="15"/>
        <v>91.084658823529409</v>
      </c>
      <c r="M46" s="350">
        <f t="shared" si="15"/>
        <v>91.084658823529409</v>
      </c>
      <c r="N46" s="350">
        <f t="shared" si="15"/>
        <v>91.084658823529409</v>
      </c>
      <c r="O46" s="350">
        <f t="shared" si="15"/>
        <v>91.084658823529409</v>
      </c>
      <c r="P46" s="362"/>
    </row>
    <row r="47" spans="1:16" x14ac:dyDescent="0.25">
      <c r="A47" s="715" t="s">
        <v>733</v>
      </c>
      <c r="B47" s="353" t="s">
        <v>720</v>
      </c>
      <c r="C47" s="707">
        <v>11.045999999999999</v>
      </c>
      <c r="D47" s="708">
        <v>9</v>
      </c>
      <c r="E47" s="257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62"/>
    </row>
    <row r="48" spans="1:16" ht="28.55" x14ac:dyDescent="0.25">
      <c r="A48" s="715" t="s">
        <v>734</v>
      </c>
      <c r="B48" s="353" t="s">
        <v>720</v>
      </c>
      <c r="C48" s="707">
        <v>11.045999999999999</v>
      </c>
      <c r="D48" s="710">
        <v>0.2</v>
      </c>
      <c r="E48" s="257"/>
      <c r="F48" s="350">
        <f t="shared" si="15"/>
        <v>15.464399999999998</v>
      </c>
      <c r="G48" s="350">
        <f t="shared" si="15"/>
        <v>15.464399999999998</v>
      </c>
      <c r="H48" s="350">
        <f t="shared" si="15"/>
        <v>15.464399999999998</v>
      </c>
      <c r="I48" s="350">
        <f t="shared" si="15"/>
        <v>15.464399999999998</v>
      </c>
      <c r="J48" s="350">
        <f t="shared" si="15"/>
        <v>15.464399999999998</v>
      </c>
      <c r="K48" s="350">
        <f t="shared" si="15"/>
        <v>15.464399999999998</v>
      </c>
      <c r="L48" s="350">
        <f t="shared" si="15"/>
        <v>15.464399999999998</v>
      </c>
      <c r="M48" s="350">
        <f t="shared" si="15"/>
        <v>15.464399999999998</v>
      </c>
      <c r="N48" s="350">
        <f t="shared" si="15"/>
        <v>15.464399999999998</v>
      </c>
      <c r="O48" s="350">
        <f t="shared" si="15"/>
        <v>15.464399999999998</v>
      </c>
      <c r="P48" s="362"/>
    </row>
    <row r="49" spans="1:16" x14ac:dyDescent="0.25">
      <c r="A49" s="715" t="s">
        <v>735</v>
      </c>
      <c r="B49" s="353" t="s">
        <v>720</v>
      </c>
      <c r="C49" s="707">
        <v>11.045999999999999</v>
      </c>
      <c r="D49" s="710">
        <v>0.6</v>
      </c>
      <c r="E49" s="257"/>
      <c r="F49" s="350">
        <f t="shared" si="15"/>
        <v>46.393199999999986</v>
      </c>
      <c r="G49" s="350">
        <f t="shared" si="15"/>
        <v>46.393199999999986</v>
      </c>
      <c r="H49" s="350">
        <f t="shared" si="15"/>
        <v>46.393199999999986</v>
      </c>
      <c r="I49" s="350">
        <f t="shared" si="15"/>
        <v>46.393199999999986</v>
      </c>
      <c r="J49" s="350">
        <f t="shared" si="15"/>
        <v>46.393199999999986</v>
      </c>
      <c r="K49" s="350">
        <f t="shared" si="15"/>
        <v>46.393199999999986</v>
      </c>
      <c r="L49" s="350">
        <f t="shared" si="15"/>
        <v>46.393199999999986</v>
      </c>
      <c r="M49" s="350">
        <f t="shared" si="15"/>
        <v>46.393199999999986</v>
      </c>
      <c r="N49" s="350">
        <f t="shared" si="15"/>
        <v>46.393199999999986</v>
      </c>
      <c r="O49" s="350">
        <f t="shared" si="15"/>
        <v>46.393199999999986</v>
      </c>
      <c r="P49" s="362"/>
    </row>
    <row r="50" spans="1:16" ht="28.55" x14ac:dyDescent="0.25">
      <c r="A50" s="716" t="s">
        <v>736</v>
      </c>
      <c r="B50" s="353" t="s">
        <v>737</v>
      </c>
      <c r="C50" s="707">
        <v>3.9946666666666659</v>
      </c>
      <c r="D50" s="708">
        <v>2</v>
      </c>
      <c r="E50" s="257"/>
      <c r="F50" s="350">
        <f t="shared" si="15"/>
        <v>55.925333333333313</v>
      </c>
      <c r="G50" s="350">
        <f t="shared" si="15"/>
        <v>55.925333333333313</v>
      </c>
      <c r="H50" s="350">
        <f t="shared" si="15"/>
        <v>55.925333333333313</v>
      </c>
      <c r="I50" s="350">
        <f t="shared" si="15"/>
        <v>55.925333333333313</v>
      </c>
      <c r="J50" s="350">
        <f t="shared" si="15"/>
        <v>55.925333333333313</v>
      </c>
      <c r="K50" s="350">
        <f t="shared" si="15"/>
        <v>55.925333333333313</v>
      </c>
      <c r="L50" s="350">
        <f t="shared" si="15"/>
        <v>55.925333333333313</v>
      </c>
      <c r="M50" s="350">
        <f t="shared" si="15"/>
        <v>55.925333333333313</v>
      </c>
      <c r="N50" s="350">
        <f t="shared" si="15"/>
        <v>55.925333333333313</v>
      </c>
      <c r="O50" s="350">
        <f t="shared" si="15"/>
        <v>55.925333333333313</v>
      </c>
      <c r="P50" s="362"/>
    </row>
    <row r="51" spans="1:16" ht="28.55" x14ac:dyDescent="0.25">
      <c r="A51" s="716" t="s">
        <v>738</v>
      </c>
      <c r="B51" s="353" t="s">
        <v>739</v>
      </c>
      <c r="C51" s="707">
        <v>86.669333333333327</v>
      </c>
      <c r="D51" s="710">
        <v>1</v>
      </c>
      <c r="E51" s="257"/>
      <c r="F51" s="350">
        <f t="shared" si="15"/>
        <v>606.68533333333323</v>
      </c>
      <c r="G51" s="350">
        <f t="shared" si="15"/>
        <v>606.68533333333323</v>
      </c>
      <c r="H51" s="350">
        <f t="shared" si="15"/>
        <v>606.68533333333323</v>
      </c>
      <c r="I51" s="350">
        <f t="shared" si="15"/>
        <v>606.68533333333323</v>
      </c>
      <c r="J51" s="350">
        <f t="shared" si="15"/>
        <v>606.68533333333323</v>
      </c>
      <c r="K51" s="350">
        <f t="shared" si="15"/>
        <v>606.68533333333323</v>
      </c>
      <c r="L51" s="350">
        <f t="shared" si="15"/>
        <v>606.68533333333323</v>
      </c>
      <c r="M51" s="350">
        <f t="shared" si="15"/>
        <v>606.68533333333323</v>
      </c>
      <c r="N51" s="350">
        <f t="shared" si="15"/>
        <v>606.68533333333323</v>
      </c>
      <c r="O51" s="350">
        <f t="shared" si="15"/>
        <v>606.68533333333323</v>
      </c>
      <c r="P51" s="362"/>
    </row>
    <row r="52" spans="1:16" x14ac:dyDescent="0.25">
      <c r="A52" s="347" t="s">
        <v>740</v>
      </c>
      <c r="B52" s="353" t="s">
        <v>726</v>
      </c>
      <c r="C52" s="707">
        <v>19.936</v>
      </c>
      <c r="D52" s="710">
        <v>2</v>
      </c>
      <c r="E52" s="257"/>
      <c r="F52" s="350">
        <f t="shared" si="15"/>
        <v>279.10399999999998</v>
      </c>
      <c r="G52" s="350">
        <f t="shared" si="15"/>
        <v>279.10399999999998</v>
      </c>
      <c r="H52" s="350">
        <f t="shared" si="15"/>
        <v>279.10399999999998</v>
      </c>
      <c r="I52" s="350">
        <f t="shared" si="15"/>
        <v>279.10399999999998</v>
      </c>
      <c r="J52" s="350">
        <f t="shared" si="15"/>
        <v>279.10399999999998</v>
      </c>
      <c r="K52" s="350">
        <f t="shared" si="15"/>
        <v>279.10399999999998</v>
      </c>
      <c r="L52" s="350">
        <f t="shared" si="15"/>
        <v>279.10399999999998</v>
      </c>
      <c r="M52" s="350">
        <f t="shared" si="15"/>
        <v>279.10399999999998</v>
      </c>
      <c r="N52" s="350">
        <f t="shared" si="15"/>
        <v>279.10399999999998</v>
      </c>
      <c r="O52" s="350">
        <f t="shared" si="15"/>
        <v>279.10399999999998</v>
      </c>
      <c r="P52" s="362"/>
    </row>
    <row r="53" spans="1:16" ht="28.55" x14ac:dyDescent="0.25">
      <c r="A53" s="717" t="s">
        <v>741</v>
      </c>
      <c r="B53" s="353" t="s">
        <v>742</v>
      </c>
      <c r="C53" s="707">
        <v>17.229333333333333</v>
      </c>
      <c r="D53" s="710">
        <v>2</v>
      </c>
      <c r="E53" s="257"/>
      <c r="F53" s="350">
        <f t="shared" si="15"/>
        <v>241.21066666666664</v>
      </c>
      <c r="G53" s="350">
        <f t="shared" si="15"/>
        <v>241.21066666666664</v>
      </c>
      <c r="H53" s="350">
        <f t="shared" si="15"/>
        <v>241.21066666666664</v>
      </c>
      <c r="I53" s="350">
        <f t="shared" si="15"/>
        <v>241.21066666666664</v>
      </c>
      <c r="J53" s="350">
        <f t="shared" si="15"/>
        <v>241.21066666666664</v>
      </c>
      <c r="K53" s="350">
        <f t="shared" si="15"/>
        <v>241.21066666666664</v>
      </c>
      <c r="L53" s="350">
        <f t="shared" si="15"/>
        <v>241.21066666666664</v>
      </c>
      <c r="M53" s="350">
        <f t="shared" si="15"/>
        <v>241.21066666666664</v>
      </c>
      <c r="N53" s="350">
        <f t="shared" si="15"/>
        <v>241.21066666666664</v>
      </c>
      <c r="O53" s="350">
        <f t="shared" si="15"/>
        <v>241.21066666666664</v>
      </c>
      <c r="P53" s="362"/>
    </row>
    <row r="54" spans="1:16" x14ac:dyDescent="0.25">
      <c r="A54" s="701" t="s">
        <v>319</v>
      </c>
      <c r="B54" s="702"/>
      <c r="C54" s="703"/>
      <c r="D54" s="718">
        <f>VLOOKUP($A54,$A$15:$B$21,2,FALSE)</f>
        <v>1000</v>
      </c>
      <c r="E54" s="705">
        <f>VLOOKUP($A54,$A$15:$D$21,4,FALSE)</f>
        <v>7</v>
      </c>
      <c r="F54" s="706"/>
      <c r="G54" s="706"/>
      <c r="H54" s="706"/>
      <c r="I54" s="706"/>
      <c r="J54" s="706"/>
      <c r="K54" s="706"/>
      <c r="L54" s="706"/>
      <c r="M54" s="706"/>
      <c r="N54" s="706"/>
      <c r="O54" s="706"/>
      <c r="P54" s="303"/>
    </row>
    <row r="55" spans="1:16" ht="28.55" x14ac:dyDescent="0.25">
      <c r="A55" s="719" t="s">
        <v>743</v>
      </c>
      <c r="B55" s="353" t="s">
        <v>737</v>
      </c>
      <c r="C55" s="707">
        <v>3.9946666666666659</v>
      </c>
      <c r="D55" s="710">
        <v>2</v>
      </c>
      <c r="E55" s="257"/>
      <c r="F55" s="350">
        <f>IF(F$17=0,0,F$17/$C$17*$D55*$C55)</f>
        <v>55.92533333333332</v>
      </c>
      <c r="G55" s="350">
        <f t="shared" ref="G55:O55" si="16">IF(G$17=0,0,G$17/$C$17*$D55*$C55)</f>
        <v>55.92533333333332</v>
      </c>
      <c r="H55" s="350">
        <f t="shared" si="16"/>
        <v>55.92533333333332</v>
      </c>
      <c r="I55" s="350">
        <f t="shared" si="16"/>
        <v>55.92533333333332</v>
      </c>
      <c r="J55" s="350">
        <f t="shared" si="16"/>
        <v>55.92533333333332</v>
      </c>
      <c r="K55" s="350">
        <f t="shared" si="16"/>
        <v>55.92533333333332</v>
      </c>
      <c r="L55" s="350">
        <f t="shared" si="16"/>
        <v>55.92533333333332</v>
      </c>
      <c r="M55" s="350">
        <f t="shared" si="16"/>
        <v>55.92533333333332</v>
      </c>
      <c r="N55" s="350">
        <f t="shared" si="16"/>
        <v>55.92533333333332</v>
      </c>
      <c r="O55" s="350">
        <f t="shared" si="16"/>
        <v>55.92533333333332</v>
      </c>
      <c r="P55" s="362"/>
    </row>
    <row r="56" spans="1:16" x14ac:dyDescent="0.25">
      <c r="A56" s="701" t="s">
        <v>705</v>
      </c>
      <c r="B56" s="702"/>
      <c r="C56" s="703"/>
      <c r="D56" s="704">
        <f>VLOOKUP($A56,$A$14:$B$21,2,FALSE)</f>
        <v>2500</v>
      </c>
      <c r="E56" s="705">
        <f>VLOOKUP($A56,$A$15:$D$21,4,FALSE)</f>
        <v>2.8</v>
      </c>
      <c r="F56" s="706"/>
      <c r="G56" s="706"/>
      <c r="H56" s="706"/>
      <c r="I56" s="706"/>
      <c r="J56" s="706"/>
      <c r="K56" s="706"/>
      <c r="L56" s="706"/>
      <c r="M56" s="706"/>
      <c r="N56" s="706"/>
      <c r="O56" s="706"/>
      <c r="P56" s="303"/>
    </row>
    <row r="57" spans="1:16" x14ac:dyDescent="0.25">
      <c r="A57" s="715" t="s">
        <v>744</v>
      </c>
      <c r="B57" s="353" t="s">
        <v>745</v>
      </c>
      <c r="C57" s="707">
        <v>31.761569411764711</v>
      </c>
      <c r="D57" s="710">
        <v>1</v>
      </c>
      <c r="E57" s="257"/>
      <c r="F57" s="350">
        <f t="shared" ref="F57:H60" si="17">IF(F$18=0,0,F$18/$C$18*$D57*$C57)</f>
        <v>88.932394352941188</v>
      </c>
      <c r="G57" s="350">
        <f t="shared" si="17"/>
        <v>88.932394352941188</v>
      </c>
      <c r="H57" s="350">
        <f>IF(H$18=0,0,H$18/$C$18*$D57*$C57)</f>
        <v>88.932394352941188</v>
      </c>
      <c r="I57" s="350">
        <f t="shared" ref="I57:O60" si="18">IF(I$18=0,0,I$18/$C$18*$D57*$C57)</f>
        <v>88.932394352941188</v>
      </c>
      <c r="J57" s="350">
        <f t="shared" si="18"/>
        <v>88.932394352941188</v>
      </c>
      <c r="K57" s="350">
        <f t="shared" si="18"/>
        <v>88.932394352941188</v>
      </c>
      <c r="L57" s="350">
        <f t="shared" si="18"/>
        <v>88.932394352941188</v>
      </c>
      <c r="M57" s="350">
        <f t="shared" si="18"/>
        <v>88.932394352941188</v>
      </c>
      <c r="N57" s="350">
        <f t="shared" si="18"/>
        <v>88.932394352941188</v>
      </c>
      <c r="O57" s="350">
        <f t="shared" si="18"/>
        <v>88.932394352941188</v>
      </c>
      <c r="P57" s="362"/>
    </row>
    <row r="58" spans="1:16" x14ac:dyDescent="0.25">
      <c r="A58" s="715" t="s">
        <v>746</v>
      </c>
      <c r="B58" s="353">
        <v>1001318212</v>
      </c>
      <c r="C58" s="707">
        <v>29.63473882352941</v>
      </c>
      <c r="D58" s="710">
        <v>1</v>
      </c>
      <c r="E58" s="257"/>
      <c r="F58" s="350">
        <f t="shared" si="17"/>
        <v>82.977268705882338</v>
      </c>
      <c r="G58" s="350">
        <f t="shared" si="17"/>
        <v>82.977268705882338</v>
      </c>
      <c r="H58" s="350">
        <f t="shared" si="17"/>
        <v>82.977268705882338</v>
      </c>
      <c r="I58" s="350">
        <f t="shared" si="18"/>
        <v>82.977268705882338</v>
      </c>
      <c r="J58" s="350">
        <f t="shared" si="18"/>
        <v>82.977268705882338</v>
      </c>
      <c r="K58" s="350">
        <f t="shared" si="18"/>
        <v>82.977268705882338</v>
      </c>
      <c r="L58" s="350">
        <f t="shared" si="18"/>
        <v>82.977268705882338</v>
      </c>
      <c r="M58" s="350">
        <f t="shared" si="18"/>
        <v>82.977268705882338</v>
      </c>
      <c r="N58" s="350">
        <f t="shared" si="18"/>
        <v>82.977268705882338</v>
      </c>
      <c r="O58" s="350">
        <f t="shared" si="18"/>
        <v>82.977268705882338</v>
      </c>
      <c r="P58" s="362"/>
    </row>
    <row r="59" spans="1:16" x14ac:dyDescent="0.25">
      <c r="A59" s="715" t="s">
        <v>747</v>
      </c>
      <c r="B59" s="353">
        <v>1004430807</v>
      </c>
      <c r="C59" s="707">
        <v>212.31555882352944</v>
      </c>
      <c r="D59" s="710">
        <v>1</v>
      </c>
      <c r="E59" s="257"/>
      <c r="F59" s="350">
        <f t="shared" si="17"/>
        <v>594.48356470588237</v>
      </c>
      <c r="G59" s="350">
        <f t="shared" si="17"/>
        <v>594.48356470588237</v>
      </c>
      <c r="H59" s="350">
        <f t="shared" si="17"/>
        <v>594.48356470588237</v>
      </c>
      <c r="I59" s="350">
        <f t="shared" si="18"/>
        <v>594.48356470588237</v>
      </c>
      <c r="J59" s="350">
        <f t="shared" si="18"/>
        <v>594.48356470588237</v>
      </c>
      <c r="K59" s="350">
        <f t="shared" si="18"/>
        <v>594.48356470588237</v>
      </c>
      <c r="L59" s="350">
        <f t="shared" si="18"/>
        <v>594.48356470588237</v>
      </c>
      <c r="M59" s="350">
        <f t="shared" si="18"/>
        <v>594.48356470588237</v>
      </c>
      <c r="N59" s="350">
        <f t="shared" si="18"/>
        <v>594.48356470588237</v>
      </c>
      <c r="O59" s="350">
        <f t="shared" si="18"/>
        <v>594.48356470588237</v>
      </c>
      <c r="P59" s="362"/>
    </row>
    <row r="60" spans="1:16" x14ac:dyDescent="0.25">
      <c r="A60" s="720" t="s">
        <v>748</v>
      </c>
      <c r="B60" s="353" t="s">
        <v>718</v>
      </c>
      <c r="C60" s="707">
        <v>15.036</v>
      </c>
      <c r="D60" s="710">
        <v>210</v>
      </c>
      <c r="E60" s="257"/>
      <c r="F60" s="350">
        <f t="shared" si="17"/>
        <v>8841.1679999999997</v>
      </c>
      <c r="G60" s="350">
        <f t="shared" si="17"/>
        <v>8841.1679999999997</v>
      </c>
      <c r="H60" s="350">
        <f t="shared" si="17"/>
        <v>8841.1679999999997</v>
      </c>
      <c r="I60" s="350">
        <f t="shared" si="18"/>
        <v>8841.1679999999997</v>
      </c>
      <c r="J60" s="350">
        <f t="shared" si="18"/>
        <v>8841.1679999999997</v>
      </c>
      <c r="K60" s="350">
        <f t="shared" si="18"/>
        <v>8841.1679999999997</v>
      </c>
      <c r="L60" s="350">
        <f t="shared" si="18"/>
        <v>8841.1679999999997</v>
      </c>
      <c r="M60" s="350">
        <f t="shared" si="18"/>
        <v>8841.1679999999997</v>
      </c>
      <c r="N60" s="350">
        <f t="shared" si="18"/>
        <v>8841.1679999999997</v>
      </c>
      <c r="O60" s="350">
        <f t="shared" si="18"/>
        <v>8841.1679999999997</v>
      </c>
      <c r="P60" s="362"/>
    </row>
    <row r="61" spans="1:16" x14ac:dyDescent="0.25">
      <c r="A61" s="701" t="s">
        <v>706</v>
      </c>
      <c r="B61" s="702"/>
      <c r="C61" s="703"/>
      <c r="D61" s="704">
        <f>VLOOKUP($A61,$A$14:$B$21,2,FALSE)</f>
        <v>4000</v>
      </c>
      <c r="E61" s="705">
        <f>VLOOKUP($A61,$A$15:$D$21,4,FALSE)</f>
        <v>1.75</v>
      </c>
      <c r="F61" s="706"/>
      <c r="G61" s="706"/>
      <c r="H61" s="706"/>
      <c r="I61" s="706"/>
      <c r="J61" s="706"/>
      <c r="K61" s="706"/>
      <c r="L61" s="706"/>
      <c r="M61" s="706"/>
      <c r="N61" s="706"/>
      <c r="O61" s="706"/>
      <c r="P61" s="303"/>
    </row>
    <row r="62" spans="1:16" x14ac:dyDescent="0.25">
      <c r="A62" s="347" t="s">
        <v>749</v>
      </c>
      <c r="B62" s="353" t="s">
        <v>750</v>
      </c>
      <c r="C62" s="707">
        <v>2.2679999999999998</v>
      </c>
      <c r="D62" s="710">
        <v>830</v>
      </c>
      <c r="E62" s="257"/>
      <c r="F62" s="350">
        <f t="shared" ref="F62:G62" si="19">IF(F$19=0,0,F$19/$C$19*$D62*$C62)</f>
        <v>3294.2700000000004</v>
      </c>
      <c r="G62" s="350">
        <f t="shared" si="19"/>
        <v>3294.2700000000004</v>
      </c>
      <c r="H62" s="350">
        <f>IF(H$19=0,0,H$19/$C$19*$D62*$C62)</f>
        <v>3294.2700000000004</v>
      </c>
      <c r="I62" s="350">
        <f t="shared" ref="I62:O62" si="20">IF(I$19=0,0,I$19/$C$19*$D62*$C62)</f>
        <v>3294.2700000000004</v>
      </c>
      <c r="J62" s="350">
        <f t="shared" si="20"/>
        <v>3294.2700000000004</v>
      </c>
      <c r="K62" s="350">
        <f t="shared" si="20"/>
        <v>3294.2700000000004</v>
      </c>
      <c r="L62" s="350">
        <f t="shared" si="20"/>
        <v>3294.2700000000004</v>
      </c>
      <c r="M62" s="350">
        <f t="shared" si="20"/>
        <v>3294.2700000000004</v>
      </c>
      <c r="N62" s="350">
        <f t="shared" si="20"/>
        <v>3294.2700000000004</v>
      </c>
      <c r="O62" s="350">
        <f t="shared" si="20"/>
        <v>3294.2700000000004</v>
      </c>
      <c r="P62" s="362"/>
    </row>
    <row r="63" spans="1:16" x14ac:dyDescent="0.25">
      <c r="A63" s="701" t="s">
        <v>707</v>
      </c>
      <c r="B63" s="702"/>
      <c r="C63" s="703"/>
      <c r="D63" s="704">
        <f>VLOOKUP($A63,$A$14:$B$21,2,FALSE)</f>
        <v>5000</v>
      </c>
      <c r="E63" s="705">
        <f>VLOOKUP($A63,$A$15:$D$21,4,FALSE)</f>
        <v>1.4</v>
      </c>
      <c r="F63" s="706"/>
      <c r="G63" s="706"/>
      <c r="H63" s="706"/>
      <c r="I63" s="706"/>
      <c r="J63" s="706"/>
      <c r="K63" s="706"/>
      <c r="L63" s="706"/>
      <c r="M63" s="706"/>
      <c r="N63" s="706"/>
      <c r="O63" s="706"/>
      <c r="P63" s="303"/>
    </row>
    <row r="64" spans="1:16" x14ac:dyDescent="0.25">
      <c r="A64" s="721"/>
      <c r="B64" s="721"/>
      <c r="C64" s="721"/>
      <c r="D64" s="721"/>
      <c r="E64" s="257"/>
      <c r="F64" s="476"/>
      <c r="G64" s="476"/>
      <c r="H64" s="476"/>
      <c r="I64" s="476"/>
      <c r="J64" s="476"/>
      <c r="K64" s="476"/>
      <c r="L64" s="476"/>
      <c r="M64" s="476"/>
      <c r="N64" s="476"/>
      <c r="O64" s="476"/>
      <c r="P64" s="303"/>
    </row>
    <row r="65" spans="1:16" ht="14.1" customHeight="1" x14ac:dyDescent="0.25">
      <c r="A65" s="701" t="s">
        <v>320</v>
      </c>
      <c r="B65" s="702"/>
      <c r="C65" s="703"/>
      <c r="D65" s="704">
        <f>VLOOKUP($A65,$A$15:$B$21,2,FALSE)</f>
        <v>3500</v>
      </c>
      <c r="E65" s="705">
        <f>VLOOKUP($A65,$A$15:$D$21,4,FALSE)</f>
        <v>2</v>
      </c>
      <c r="F65" s="706"/>
      <c r="G65" s="706"/>
      <c r="H65" s="706"/>
      <c r="I65" s="706"/>
      <c r="J65" s="706"/>
      <c r="K65" s="706"/>
      <c r="L65" s="706"/>
      <c r="M65" s="706"/>
      <c r="N65" s="706"/>
      <c r="O65" s="706"/>
      <c r="P65" s="303"/>
    </row>
    <row r="66" spans="1:16" ht="28.55" x14ac:dyDescent="0.25">
      <c r="A66" s="722" t="s">
        <v>721</v>
      </c>
      <c r="B66" s="353" t="s">
        <v>722</v>
      </c>
      <c r="C66" s="707">
        <v>3.08</v>
      </c>
      <c r="D66" s="710">
        <v>790</v>
      </c>
      <c r="E66" s="709"/>
      <c r="F66" s="350">
        <f t="shared" ref="F66:G66" si="21">IF(F$21=0,0,F$21/$C$21*$D66*$C66)</f>
        <v>4866.4000000000005</v>
      </c>
      <c r="G66" s="350">
        <f t="shared" si="21"/>
        <v>4866.4000000000005</v>
      </c>
      <c r="H66" s="350">
        <f>IF(H$21=0,0,H$21/$C$21*$D66*$C66)</f>
        <v>4866.4000000000005</v>
      </c>
      <c r="I66" s="350">
        <f t="shared" ref="I66:O66" si="22">IF(I$21=0,0,I$21/$C$21*$D66*$C66)</f>
        <v>4866.4000000000005</v>
      </c>
      <c r="J66" s="350">
        <f t="shared" si="22"/>
        <v>4866.4000000000005</v>
      </c>
      <c r="K66" s="350">
        <f t="shared" si="22"/>
        <v>4866.4000000000005</v>
      </c>
      <c r="L66" s="350">
        <f t="shared" si="22"/>
        <v>4866.4000000000005</v>
      </c>
      <c r="M66" s="350">
        <f t="shared" si="22"/>
        <v>4866.4000000000005</v>
      </c>
      <c r="N66" s="350">
        <f t="shared" si="22"/>
        <v>4866.4000000000005</v>
      </c>
      <c r="O66" s="350">
        <f t="shared" si="22"/>
        <v>4866.4000000000005</v>
      </c>
      <c r="P66" s="362"/>
    </row>
  </sheetData>
  <mergeCells count="2">
    <mergeCell ref="A11:O11"/>
    <mergeCell ref="A22:O22"/>
  </mergeCells>
  <pageMargins left="0" right="0" top="0.74803149606299213" bottom="0.74803149606299213" header="0.31496062992125984" footer="0.31496062992125984"/>
  <pageSetup paperSize="8" scale="66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AA0C-FAE5-45EF-AF41-34F3A60AEDEE}">
  <sheetPr>
    <tabColor theme="8" tint="0.79998168889431442"/>
  </sheetPr>
  <dimension ref="B3:O86"/>
  <sheetViews>
    <sheetView showGridLines="0" zoomScale="85" zoomScaleNormal="85" zoomScaleSheetLayoutView="85" workbookViewId="0">
      <pane xSplit="2" ySplit="7" topLeftCell="C8" activePane="bottomRight" state="frozen"/>
      <selection activeCell="V29" sqref="V29"/>
      <selection pane="topRight" activeCell="V29" sqref="V29"/>
      <selection pane="bottomLeft" activeCell="V29" sqref="V29"/>
      <selection pane="bottomRight" activeCell="Q46" sqref="Q46"/>
    </sheetView>
  </sheetViews>
  <sheetFormatPr defaultRowHeight="14.3" x14ac:dyDescent="0.25"/>
  <cols>
    <col min="1" max="1" width="5.375" style="275" customWidth="1"/>
    <col min="2" max="2" width="58.75" style="275" customWidth="1"/>
    <col min="3" max="3" width="15.625" style="275" customWidth="1"/>
    <col min="4" max="4" width="17.375" style="275" customWidth="1"/>
    <col min="5" max="5" width="11.375" style="275" customWidth="1"/>
    <col min="6" max="15" width="11.125" style="275" customWidth="1"/>
    <col min="16" max="16" width="6.875" style="275" customWidth="1"/>
    <col min="17" max="16384" width="9" style="275"/>
  </cols>
  <sheetData>
    <row r="3" spans="2:15" x14ac:dyDescent="0.25">
      <c r="B3" s="365" t="s">
        <v>259</v>
      </c>
      <c r="C3" s="665" t="str">
        <f>БелАЗ_Б_1!C3</f>
        <v>Марка, модель</v>
      </c>
      <c r="D3" s="666" t="str">
        <f>БелАЗ_Б_1!D3</f>
        <v>7531N</v>
      </c>
    </row>
    <row r="4" spans="2:15" ht="14.95" thickBot="1" x14ac:dyDescent="0.3">
      <c r="B4" s="275" t="s">
        <v>298</v>
      </c>
      <c r="F4" s="277">
        <f>БелАЗ_Б_1!E12</f>
        <v>0.92956036751648907</v>
      </c>
      <c r="G4" s="277">
        <f>БелАЗ_Б_1!F12</f>
        <v>0.90792065417300871</v>
      </c>
      <c r="H4" s="277">
        <f>БелАЗ_Б_1!G12</f>
        <v>0.8994118599906985</v>
      </c>
      <c r="I4" s="277">
        <f>БелАЗ_Б_1!H12</f>
        <v>0.88050753900304413</v>
      </c>
      <c r="J4" s="277">
        <f>БелАЗ_Б_1!I12</f>
        <v>0.9011506135844749</v>
      </c>
      <c r="K4" s="277">
        <f>БелАЗ_Б_1!J12</f>
        <v>0.87025999122695752</v>
      </c>
      <c r="L4" s="277">
        <f>БелАЗ_Б_1!K12</f>
        <v>0.85058935026636229</v>
      </c>
      <c r="M4" s="277">
        <f>БелАЗ_Б_1!L12</f>
        <v>0.89171695046930488</v>
      </c>
      <c r="N4" s="277">
        <f>БелАЗ_Б_1!M12</f>
        <v>0.85775576325469305</v>
      </c>
      <c r="O4" s="277">
        <f>БелАЗ_Б_1!N12</f>
        <v>0.85228053917216307</v>
      </c>
    </row>
    <row r="5" spans="2:15" s="368" customFormat="1" ht="22.95" customHeight="1" x14ac:dyDescent="0.25">
      <c r="B5" s="723" t="s">
        <v>299</v>
      </c>
      <c r="C5" s="724" t="s">
        <v>355</v>
      </c>
      <c r="D5" s="697"/>
      <c r="E5" s="697"/>
      <c r="F5" s="694" t="s">
        <v>626</v>
      </c>
      <c r="G5" s="694" t="s">
        <v>627</v>
      </c>
      <c r="H5" s="694" t="s">
        <v>628</v>
      </c>
      <c r="I5" s="694" t="s">
        <v>751</v>
      </c>
      <c r="J5" s="694" t="s">
        <v>752</v>
      </c>
      <c r="K5" s="694" t="s">
        <v>753</v>
      </c>
      <c r="L5" s="694" t="s">
        <v>754</v>
      </c>
      <c r="M5" s="694" t="s">
        <v>755</v>
      </c>
      <c r="N5" s="694" t="s">
        <v>756</v>
      </c>
      <c r="O5" s="694" t="s">
        <v>757</v>
      </c>
    </row>
    <row r="6" spans="2:15" x14ac:dyDescent="0.25">
      <c r="B6" s="369" t="s">
        <v>300</v>
      </c>
      <c r="C6" s="370" t="s">
        <v>301</v>
      </c>
      <c r="D6" s="292"/>
      <c r="E6" s="370"/>
      <c r="F6" s="476">
        <v>0</v>
      </c>
      <c r="G6" s="476">
        <f>F7+1</f>
        <v>7001</v>
      </c>
      <c r="H6" s="476">
        <f t="shared" ref="H6:O6" si="0">G7+1</f>
        <v>14001</v>
      </c>
      <c r="I6" s="476">
        <f t="shared" si="0"/>
        <v>21001</v>
      </c>
      <c r="J6" s="476">
        <f t="shared" si="0"/>
        <v>28001</v>
      </c>
      <c r="K6" s="476">
        <f t="shared" si="0"/>
        <v>35001</v>
      </c>
      <c r="L6" s="476">
        <f t="shared" si="0"/>
        <v>42001</v>
      </c>
      <c r="M6" s="476">
        <f t="shared" si="0"/>
        <v>49001</v>
      </c>
      <c r="N6" s="476">
        <f t="shared" si="0"/>
        <v>56001</v>
      </c>
      <c r="O6" s="498">
        <f t="shared" si="0"/>
        <v>63001</v>
      </c>
    </row>
    <row r="7" spans="2:15" ht="14.95" thickBot="1" x14ac:dyDescent="0.3">
      <c r="B7" s="371" t="s">
        <v>302</v>
      </c>
      <c r="C7" s="372" t="s">
        <v>301</v>
      </c>
      <c r="D7" s="373"/>
      <c r="E7" s="374"/>
      <c r="F7" s="493">
        <v>7000</v>
      </c>
      <c r="G7" s="493">
        <f>F7+F7</f>
        <v>14000</v>
      </c>
      <c r="H7" s="493">
        <f>F7+G7</f>
        <v>21000</v>
      </c>
      <c r="I7" s="493">
        <f>H7+F7</f>
        <v>28000</v>
      </c>
      <c r="J7" s="493">
        <f>I7+$F$7</f>
        <v>35000</v>
      </c>
      <c r="K7" s="493">
        <f>J7+$F$7</f>
        <v>42000</v>
      </c>
      <c r="L7" s="493">
        <f t="shared" ref="L7:O7" si="1">K7+$F$7</f>
        <v>49000</v>
      </c>
      <c r="M7" s="493">
        <f t="shared" si="1"/>
        <v>56000</v>
      </c>
      <c r="N7" s="493">
        <f t="shared" si="1"/>
        <v>63000</v>
      </c>
      <c r="O7" s="566">
        <f t="shared" si="1"/>
        <v>70000</v>
      </c>
    </row>
    <row r="8" spans="2:15" ht="14.95" thickBot="1" x14ac:dyDescent="0.3"/>
    <row r="9" spans="2:15" ht="21.75" customHeight="1" x14ac:dyDescent="0.25">
      <c r="B9" s="725" t="s">
        <v>356</v>
      </c>
      <c r="C9" s="726" t="s">
        <v>304</v>
      </c>
      <c r="D9" s="726"/>
      <c r="E9" s="726"/>
      <c r="F9" s="727">
        <f>F17</f>
        <v>135</v>
      </c>
      <c r="G9" s="727">
        <f t="shared" ref="G9:O9" si="2">G17</f>
        <v>341</v>
      </c>
      <c r="H9" s="727">
        <f t="shared" si="2"/>
        <v>417.66666666666663</v>
      </c>
      <c r="I9" s="727">
        <f t="shared" si="2"/>
        <v>588</v>
      </c>
      <c r="J9" s="727">
        <f t="shared" si="2"/>
        <v>402</v>
      </c>
      <c r="K9" s="727">
        <f t="shared" si="2"/>
        <v>680.33333333333337</v>
      </c>
      <c r="L9" s="727">
        <f t="shared" si="2"/>
        <v>549</v>
      </c>
      <c r="M9" s="727">
        <f t="shared" si="2"/>
        <v>487</v>
      </c>
      <c r="N9" s="727">
        <f t="shared" si="2"/>
        <v>793</v>
      </c>
      <c r="O9" s="727">
        <f t="shared" si="2"/>
        <v>842.33333333333337</v>
      </c>
    </row>
    <row r="10" spans="2:15" ht="21.1" customHeight="1" x14ac:dyDescent="0.25">
      <c r="B10" s="390" t="s">
        <v>357</v>
      </c>
      <c r="C10" s="380" t="s">
        <v>358</v>
      </c>
      <c r="D10" s="253"/>
      <c r="E10" s="253"/>
      <c r="F10" s="302">
        <f>SUM(F11:F13)</f>
        <v>32561.22</v>
      </c>
      <c r="G10" s="302">
        <f t="shared" ref="G10:O10" si="3">SUM(G11:G13)</f>
        <v>121394.6</v>
      </c>
      <c r="H10" s="302">
        <f t="shared" si="3"/>
        <v>527818.87118000002</v>
      </c>
      <c r="I10" s="302">
        <f t="shared" si="3"/>
        <v>823902.80929999996</v>
      </c>
      <c r="J10" s="302">
        <f t="shared" si="3"/>
        <v>277045.95970000001</v>
      </c>
      <c r="K10" s="302">
        <f t="shared" si="3"/>
        <v>549346.90237999998</v>
      </c>
      <c r="L10" s="302">
        <f t="shared" si="3"/>
        <v>235842.3988</v>
      </c>
      <c r="M10" s="302">
        <f t="shared" si="3"/>
        <v>884109.23047647055</v>
      </c>
      <c r="N10" s="302">
        <f t="shared" si="3"/>
        <v>717681.06208000006</v>
      </c>
      <c r="O10" s="302">
        <f t="shared" si="3"/>
        <v>247535.77499999999</v>
      </c>
    </row>
    <row r="11" spans="2:15" ht="18.7" customHeight="1" x14ac:dyDescent="0.25">
      <c r="B11" s="381" t="s">
        <v>283</v>
      </c>
      <c r="C11" s="260" t="s">
        <v>358</v>
      </c>
      <c r="D11" s="260"/>
      <c r="E11" s="260"/>
      <c r="F11" s="263">
        <f>F57</f>
        <v>15011.22</v>
      </c>
      <c r="G11" s="263">
        <f t="shared" ref="G11:O11" si="4">G57</f>
        <v>77064.600000000006</v>
      </c>
      <c r="H11" s="263">
        <f t="shared" si="4"/>
        <v>50720.67</v>
      </c>
      <c r="I11" s="263">
        <f t="shared" si="4"/>
        <v>89861</v>
      </c>
      <c r="J11" s="263">
        <f t="shared" si="4"/>
        <v>60140.95</v>
      </c>
      <c r="K11" s="263">
        <f t="shared" si="4"/>
        <v>102873.7</v>
      </c>
      <c r="L11" s="263">
        <f t="shared" si="4"/>
        <v>80547.399999999994</v>
      </c>
      <c r="M11" s="263">
        <f t="shared" si="4"/>
        <v>64172.23</v>
      </c>
      <c r="N11" s="263">
        <f t="shared" si="4"/>
        <v>74322.850000000006</v>
      </c>
      <c r="O11" s="263">
        <f t="shared" si="4"/>
        <v>90365.774999999994</v>
      </c>
    </row>
    <row r="12" spans="2:15" ht="18.7" customHeight="1" x14ac:dyDescent="0.25">
      <c r="B12" s="381" t="s">
        <v>284</v>
      </c>
      <c r="C12" s="260" t="s">
        <v>358</v>
      </c>
      <c r="D12" s="260"/>
      <c r="E12" s="260"/>
      <c r="F12" s="263">
        <f>F62</f>
        <v>0</v>
      </c>
      <c r="G12" s="263">
        <f t="shared" ref="G12:O12" si="5">G62</f>
        <v>0</v>
      </c>
      <c r="H12" s="263">
        <f t="shared" si="5"/>
        <v>410928.20117999997</v>
      </c>
      <c r="I12" s="263">
        <f t="shared" si="5"/>
        <v>652531.80929999996</v>
      </c>
      <c r="J12" s="263">
        <f t="shared" si="5"/>
        <v>158405.00970000002</v>
      </c>
      <c r="K12" s="263">
        <f t="shared" si="5"/>
        <v>339483.20237999997</v>
      </c>
      <c r="L12" s="263">
        <f t="shared" si="5"/>
        <v>71444.998800000001</v>
      </c>
      <c r="M12" s="263">
        <f t="shared" si="5"/>
        <v>721657.00047647057</v>
      </c>
      <c r="N12" s="263">
        <f t="shared" si="5"/>
        <v>497888.21208000003</v>
      </c>
      <c r="O12" s="263">
        <f t="shared" si="5"/>
        <v>0</v>
      </c>
    </row>
    <row r="13" spans="2:15" ht="18.7" customHeight="1" thickBot="1" x14ac:dyDescent="0.3">
      <c r="B13" s="382" t="s">
        <v>359</v>
      </c>
      <c r="C13" s="383" t="s">
        <v>358</v>
      </c>
      <c r="D13" s="383"/>
      <c r="E13" s="383"/>
      <c r="F13" s="314">
        <f t="shared" ref="F13:O13" si="6">SUMPRODUCT($E31:$E53,F$31:F$53)</f>
        <v>17550</v>
      </c>
      <c r="G13" s="314">
        <f t="shared" si="6"/>
        <v>44330</v>
      </c>
      <c r="H13" s="314">
        <f t="shared" si="6"/>
        <v>66170</v>
      </c>
      <c r="I13" s="314">
        <f t="shared" si="6"/>
        <v>81510</v>
      </c>
      <c r="J13" s="314">
        <f t="shared" si="6"/>
        <v>58500</v>
      </c>
      <c r="K13" s="314">
        <f t="shared" si="6"/>
        <v>106990</v>
      </c>
      <c r="L13" s="314">
        <f t="shared" si="6"/>
        <v>83850</v>
      </c>
      <c r="M13" s="314">
        <f t="shared" si="6"/>
        <v>98280</v>
      </c>
      <c r="N13" s="314">
        <f t="shared" si="6"/>
        <v>145470</v>
      </c>
      <c r="O13" s="314">
        <f t="shared" si="6"/>
        <v>157170</v>
      </c>
    </row>
    <row r="14" spans="2:15" ht="18" customHeight="1" x14ac:dyDescent="0.25">
      <c r="B14" s="384"/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</row>
    <row r="15" spans="2:15" ht="23.3" customHeight="1" thickBot="1" x14ac:dyDescent="0.3">
      <c r="B15" s="387" t="s">
        <v>360</v>
      </c>
      <c r="C15" s="385"/>
      <c r="D15" s="385"/>
      <c r="E15" s="385"/>
      <c r="F15" s="386"/>
      <c r="G15" s="386"/>
      <c r="H15" s="386"/>
      <c r="I15" s="386"/>
      <c r="J15" s="386"/>
      <c r="K15" s="386"/>
      <c r="L15" s="386"/>
      <c r="M15" s="386"/>
      <c r="N15" s="386"/>
      <c r="O15" s="386"/>
    </row>
    <row r="16" spans="2:15" ht="16.5" customHeight="1" x14ac:dyDescent="0.25">
      <c r="B16" s="693" t="s">
        <v>361</v>
      </c>
      <c r="C16" s="724" t="s">
        <v>355</v>
      </c>
      <c r="D16" s="728"/>
      <c r="E16" s="728"/>
      <c r="F16" s="729" t="str">
        <f>F5</f>
        <v>1 год</v>
      </c>
      <c r="G16" s="729" t="str">
        <f t="shared" ref="G16:O16" si="7">G5</f>
        <v>2 год</v>
      </c>
      <c r="H16" s="729" t="str">
        <f t="shared" si="7"/>
        <v>3 год</v>
      </c>
      <c r="I16" s="729" t="str">
        <f t="shared" si="7"/>
        <v>4 год</v>
      </c>
      <c r="J16" s="729" t="str">
        <f t="shared" si="7"/>
        <v>5 год</v>
      </c>
      <c r="K16" s="729" t="str">
        <f t="shared" si="7"/>
        <v>6 год</v>
      </c>
      <c r="L16" s="729" t="str">
        <f t="shared" si="7"/>
        <v>7 год</v>
      </c>
      <c r="M16" s="729" t="str">
        <f t="shared" si="7"/>
        <v>8 год</v>
      </c>
      <c r="N16" s="729" t="str">
        <f t="shared" si="7"/>
        <v>9 год</v>
      </c>
      <c r="O16" s="729" t="str">
        <f t="shared" si="7"/>
        <v>10 год</v>
      </c>
    </row>
    <row r="17" spans="2:15" ht="16.5" customHeight="1" x14ac:dyDescent="0.25">
      <c r="B17" s="390" t="s">
        <v>362</v>
      </c>
      <c r="C17" s="246"/>
      <c r="D17" s="260"/>
      <c r="E17" s="260"/>
      <c r="F17" s="391">
        <f t="shared" ref="F17:O17" si="8">SUM(F18:F26)</f>
        <v>135</v>
      </c>
      <c r="G17" s="391">
        <f t="shared" si="8"/>
        <v>341</v>
      </c>
      <c r="H17" s="391">
        <f t="shared" si="8"/>
        <v>417.66666666666663</v>
      </c>
      <c r="I17" s="391">
        <f t="shared" si="8"/>
        <v>588</v>
      </c>
      <c r="J17" s="391">
        <f t="shared" si="8"/>
        <v>402</v>
      </c>
      <c r="K17" s="391">
        <f t="shared" si="8"/>
        <v>680.33333333333337</v>
      </c>
      <c r="L17" s="391">
        <f t="shared" si="8"/>
        <v>549</v>
      </c>
      <c r="M17" s="391">
        <f t="shared" si="8"/>
        <v>487</v>
      </c>
      <c r="N17" s="391">
        <f t="shared" si="8"/>
        <v>793</v>
      </c>
      <c r="O17" s="391">
        <f t="shared" si="8"/>
        <v>842.33333333333337</v>
      </c>
    </row>
    <row r="18" spans="2:15" ht="16.5" customHeight="1" x14ac:dyDescent="0.25">
      <c r="B18" s="392" t="s">
        <v>363</v>
      </c>
      <c r="C18" s="257" t="s">
        <v>304</v>
      </c>
      <c r="D18" s="271"/>
      <c r="E18" s="271"/>
      <c r="F18" s="393">
        <f>F31/2</f>
        <v>45</v>
      </c>
      <c r="G18" s="393">
        <f t="shared" ref="G18:H18" si="9">G31/2</f>
        <v>72</v>
      </c>
      <c r="H18" s="393">
        <f t="shared" si="9"/>
        <v>90</v>
      </c>
      <c r="I18" s="393">
        <f t="shared" ref="I18:O18" si="10">I31/3</f>
        <v>90</v>
      </c>
      <c r="J18" s="393">
        <f t="shared" si="10"/>
        <v>120</v>
      </c>
      <c r="K18" s="393">
        <f t="shared" si="10"/>
        <v>150</v>
      </c>
      <c r="L18" s="393">
        <f t="shared" si="10"/>
        <v>216</v>
      </c>
      <c r="M18" s="393">
        <f t="shared" si="10"/>
        <v>270</v>
      </c>
      <c r="N18" s="393">
        <f t="shared" si="10"/>
        <v>300</v>
      </c>
      <c r="O18" s="393">
        <f t="shared" si="10"/>
        <v>733.33333333333337</v>
      </c>
    </row>
    <row r="19" spans="2:15" ht="16.5" customHeight="1" x14ac:dyDescent="0.25">
      <c r="B19" s="392" t="s">
        <v>758</v>
      </c>
      <c r="C19" s="257" t="s">
        <v>304</v>
      </c>
      <c r="D19" s="271"/>
      <c r="E19" s="271"/>
      <c r="F19" s="393">
        <f t="shared" ref="F19:O23" si="11">F32/2</f>
        <v>0</v>
      </c>
      <c r="G19" s="393">
        <f t="shared" si="11"/>
        <v>19</v>
      </c>
      <c r="H19" s="393">
        <f t="shared" si="11"/>
        <v>19</v>
      </c>
      <c r="I19" s="393">
        <f t="shared" si="11"/>
        <v>0</v>
      </c>
      <c r="J19" s="393">
        <f t="shared" si="11"/>
        <v>19</v>
      </c>
      <c r="K19" s="393">
        <f t="shared" si="11"/>
        <v>19</v>
      </c>
      <c r="L19" s="393">
        <f t="shared" si="11"/>
        <v>0</v>
      </c>
      <c r="M19" s="393">
        <f t="shared" si="11"/>
        <v>19</v>
      </c>
      <c r="N19" s="393">
        <f t="shared" si="11"/>
        <v>19</v>
      </c>
      <c r="O19" s="393">
        <f t="shared" si="11"/>
        <v>19</v>
      </c>
    </row>
    <row r="20" spans="2:15" ht="16.5" customHeight="1" x14ac:dyDescent="0.25">
      <c r="B20" s="396" t="s">
        <v>759</v>
      </c>
      <c r="C20" s="257" t="s">
        <v>304</v>
      </c>
      <c r="D20" s="271"/>
      <c r="E20" s="271"/>
      <c r="F20" s="393">
        <f t="shared" si="11"/>
        <v>90</v>
      </c>
      <c r="G20" s="393">
        <f t="shared" si="11"/>
        <v>90</v>
      </c>
      <c r="H20" s="393">
        <f>H33/2</f>
        <v>90</v>
      </c>
      <c r="I20" s="393">
        <f t="shared" si="11"/>
        <v>90</v>
      </c>
      <c r="J20" s="393">
        <f t="shared" si="11"/>
        <v>90</v>
      </c>
      <c r="K20" s="393">
        <f t="shared" si="11"/>
        <v>180</v>
      </c>
      <c r="L20" s="393">
        <f t="shared" si="11"/>
        <v>90</v>
      </c>
      <c r="M20" s="393">
        <f t="shared" si="11"/>
        <v>90</v>
      </c>
      <c r="N20" s="393">
        <f t="shared" si="11"/>
        <v>90</v>
      </c>
      <c r="O20" s="393">
        <f t="shared" si="11"/>
        <v>90</v>
      </c>
    </row>
    <row r="21" spans="2:15" ht="16.5" customHeight="1" x14ac:dyDescent="0.25">
      <c r="B21" s="396" t="s">
        <v>760</v>
      </c>
      <c r="C21" s="257" t="s">
        <v>304</v>
      </c>
      <c r="D21" s="271"/>
      <c r="E21" s="271"/>
      <c r="F21" s="393">
        <f t="shared" si="11"/>
        <v>0</v>
      </c>
      <c r="G21" s="393">
        <f t="shared" si="11"/>
        <v>160</v>
      </c>
      <c r="H21" s="393">
        <f>H34/2</f>
        <v>0</v>
      </c>
      <c r="I21" s="393">
        <f t="shared" si="11"/>
        <v>160</v>
      </c>
      <c r="J21" s="393">
        <f t="shared" si="11"/>
        <v>0</v>
      </c>
      <c r="K21" s="393">
        <f t="shared" si="11"/>
        <v>160</v>
      </c>
      <c r="L21" s="393">
        <f t="shared" si="11"/>
        <v>160</v>
      </c>
      <c r="M21" s="393">
        <f t="shared" si="11"/>
        <v>0</v>
      </c>
      <c r="N21" s="393">
        <f t="shared" si="11"/>
        <v>160</v>
      </c>
      <c r="O21" s="393">
        <f t="shared" si="11"/>
        <v>0</v>
      </c>
    </row>
    <row r="22" spans="2:15" ht="16.5" customHeight="1" x14ac:dyDescent="0.25">
      <c r="B22" s="396" t="s">
        <v>367</v>
      </c>
      <c r="C22" s="257" t="s">
        <v>304</v>
      </c>
      <c r="D22" s="271"/>
      <c r="E22" s="268">
        <v>1</v>
      </c>
      <c r="F22" s="393">
        <f t="shared" si="11"/>
        <v>0</v>
      </c>
      <c r="G22" s="393">
        <f t="shared" si="11"/>
        <v>0</v>
      </c>
      <c r="H22" s="393">
        <f>H35/2</f>
        <v>0</v>
      </c>
      <c r="I22" s="393">
        <f t="shared" si="11"/>
        <v>140</v>
      </c>
      <c r="J22" s="393">
        <f t="shared" si="11"/>
        <v>0</v>
      </c>
      <c r="K22" s="393">
        <f t="shared" si="11"/>
        <v>0</v>
      </c>
      <c r="L22" s="393">
        <f t="shared" si="11"/>
        <v>0</v>
      </c>
      <c r="M22" s="393">
        <f t="shared" si="11"/>
        <v>0</v>
      </c>
      <c r="N22" s="393">
        <f t="shared" si="11"/>
        <v>0</v>
      </c>
      <c r="O22" s="393">
        <f t="shared" si="11"/>
        <v>0</v>
      </c>
    </row>
    <row r="23" spans="2:15" ht="16.5" customHeight="1" x14ac:dyDescent="0.25">
      <c r="B23" s="396" t="s">
        <v>761</v>
      </c>
      <c r="C23" s="257" t="s">
        <v>304</v>
      </c>
      <c r="D23" s="271"/>
      <c r="E23" s="268">
        <v>1</v>
      </c>
      <c r="F23" s="393">
        <f t="shared" si="11"/>
        <v>0</v>
      </c>
      <c r="G23" s="393">
        <f t="shared" si="11"/>
        <v>0</v>
      </c>
      <c r="H23" s="393">
        <f>H36/2</f>
        <v>0</v>
      </c>
      <c r="I23" s="393">
        <f t="shared" ref="I23:O23" si="12">I38/2</f>
        <v>0</v>
      </c>
      <c r="J23" s="393">
        <f t="shared" si="12"/>
        <v>12</v>
      </c>
      <c r="K23" s="393">
        <f t="shared" si="12"/>
        <v>0</v>
      </c>
      <c r="L23" s="393">
        <f t="shared" si="12"/>
        <v>12</v>
      </c>
      <c r="M23" s="393">
        <f t="shared" si="12"/>
        <v>0</v>
      </c>
      <c r="N23" s="393">
        <f t="shared" si="12"/>
        <v>12</v>
      </c>
      <c r="O23" s="393">
        <f t="shared" si="12"/>
        <v>0</v>
      </c>
    </row>
    <row r="24" spans="2:15" ht="16.5" customHeight="1" x14ac:dyDescent="0.25">
      <c r="B24" s="396" t="s">
        <v>762</v>
      </c>
      <c r="C24" s="257"/>
      <c r="D24" s="271"/>
      <c r="E24" s="268">
        <v>1</v>
      </c>
      <c r="F24" s="393">
        <f>F46/2</f>
        <v>0</v>
      </c>
      <c r="G24" s="393">
        <f t="shared" ref="G24:O25" si="13">G46/2</f>
        <v>0</v>
      </c>
      <c r="H24" s="393">
        <f t="shared" si="13"/>
        <v>0</v>
      </c>
      <c r="I24" s="393">
        <f t="shared" si="13"/>
        <v>6</v>
      </c>
      <c r="J24" s="393">
        <f t="shared" si="13"/>
        <v>0</v>
      </c>
      <c r="K24" s="393">
        <f t="shared" si="13"/>
        <v>0</v>
      </c>
      <c r="L24" s="393">
        <f t="shared" si="13"/>
        <v>0</v>
      </c>
      <c r="M24" s="393">
        <f t="shared" si="13"/>
        <v>6</v>
      </c>
      <c r="N24" s="393">
        <f t="shared" si="13"/>
        <v>0</v>
      </c>
      <c r="O24" s="393">
        <f t="shared" si="13"/>
        <v>0</v>
      </c>
    </row>
    <row r="25" spans="2:15" ht="16.5" customHeight="1" x14ac:dyDescent="0.25">
      <c r="B25" s="396" t="s">
        <v>763</v>
      </c>
      <c r="C25" s="257" t="s">
        <v>304</v>
      </c>
      <c r="D25" s="271"/>
      <c r="E25" s="268">
        <v>2</v>
      </c>
      <c r="F25" s="393">
        <f>F47/2</f>
        <v>0</v>
      </c>
      <c r="G25" s="393">
        <f t="shared" si="13"/>
        <v>0</v>
      </c>
      <c r="H25" s="393">
        <f t="shared" si="13"/>
        <v>12</v>
      </c>
      <c r="I25" s="393">
        <f t="shared" si="13"/>
        <v>0</v>
      </c>
      <c r="J25" s="393">
        <f t="shared" si="13"/>
        <v>0</v>
      </c>
      <c r="K25" s="393">
        <f t="shared" si="13"/>
        <v>12</v>
      </c>
      <c r="L25" s="393">
        <f t="shared" si="13"/>
        <v>0</v>
      </c>
      <c r="M25" s="393">
        <f t="shared" si="13"/>
        <v>0</v>
      </c>
      <c r="N25" s="393">
        <f t="shared" si="13"/>
        <v>12</v>
      </c>
      <c r="O25" s="393">
        <f t="shared" si="13"/>
        <v>0</v>
      </c>
    </row>
    <row r="26" spans="2:15" ht="16.5" customHeight="1" thickBot="1" x14ac:dyDescent="0.3">
      <c r="B26" s="397" t="s">
        <v>371</v>
      </c>
      <c r="C26" s="374" t="s">
        <v>304</v>
      </c>
      <c r="D26" s="398"/>
      <c r="E26" s="332"/>
      <c r="F26" s="399">
        <f>(F41+F42+F44+F45+F48+F49+F50+F51+F52+F53+F43+F40+F39+F38+F37)/2</f>
        <v>0</v>
      </c>
      <c r="G26" s="399">
        <f t="shared" ref="G26:O26" si="14">(G41+G42+G44+G45+G46+G47+G48+G49+G50+G51+G52+G53+G43+G40+G39+G38+G37)/2</f>
        <v>0</v>
      </c>
      <c r="H26" s="399">
        <f>(H41+H42+H44+H45+H46+H47+H48+H49+H50+H51+H52+H53+H43+H40+H39+H38+H37)/3</f>
        <v>206.66666666666666</v>
      </c>
      <c r="I26" s="399">
        <f t="shared" si="14"/>
        <v>102</v>
      </c>
      <c r="J26" s="399">
        <f t="shared" si="14"/>
        <v>161</v>
      </c>
      <c r="K26" s="399">
        <f>(K41+K42+K44+K45+K46+K47+K48+K49+K50+K51+K52+K53+K43+K40+K39+K38+K37)/3</f>
        <v>159.33333333333334</v>
      </c>
      <c r="L26" s="399">
        <f t="shared" si="14"/>
        <v>71</v>
      </c>
      <c r="M26" s="399">
        <f t="shared" si="14"/>
        <v>102</v>
      </c>
      <c r="N26" s="399">
        <f>(N41+N42+N44+N45+N46+N47+N48+N49+N50+N51+N52+N53+N43+N40+N39+N38+N37)/4</f>
        <v>200</v>
      </c>
      <c r="O26" s="399">
        <f t="shared" si="14"/>
        <v>0</v>
      </c>
    </row>
    <row r="27" spans="2:15" ht="16.5" customHeight="1" x14ac:dyDescent="0.25">
      <c r="B27" s="384"/>
      <c r="C27" s="400"/>
      <c r="D27" s="385"/>
      <c r="E27" s="385"/>
      <c r="F27" s="386"/>
      <c r="G27" s="386"/>
      <c r="H27" s="386"/>
      <c r="I27" s="386"/>
      <c r="J27" s="386"/>
      <c r="K27" s="386"/>
      <c r="L27" s="386"/>
      <c r="M27" s="386"/>
      <c r="N27" s="386"/>
      <c r="O27" s="386"/>
    </row>
    <row r="28" spans="2:15" ht="16.5" customHeight="1" x14ac:dyDescent="0.25">
      <c r="B28" s="401" t="s">
        <v>372</v>
      </c>
      <c r="C28" s="400"/>
      <c r="D28" s="402"/>
      <c r="E28" s="402">
        <f>'БелАЗ_Б ТО_1'!E10</f>
        <v>65</v>
      </c>
      <c r="F28" s="386"/>
      <c r="G28" s="386"/>
      <c r="H28" s="386"/>
      <c r="I28" s="386"/>
      <c r="J28" s="386"/>
      <c r="K28" s="386"/>
      <c r="L28" s="386"/>
      <c r="M28" s="386"/>
      <c r="N28" s="386"/>
      <c r="O28" s="386"/>
    </row>
    <row r="29" spans="2:15" ht="41.95" customHeight="1" x14ac:dyDescent="0.25">
      <c r="B29" s="730" t="s">
        <v>361</v>
      </c>
      <c r="C29" s="731" t="s">
        <v>355</v>
      </c>
      <c r="D29" s="730" t="s">
        <v>392</v>
      </c>
      <c r="E29" s="732" t="s">
        <v>373</v>
      </c>
      <c r="F29" s="733" t="str">
        <f t="shared" ref="F29:O29" si="15">F16</f>
        <v>1 год</v>
      </c>
      <c r="G29" s="733" t="str">
        <f t="shared" si="15"/>
        <v>2 год</v>
      </c>
      <c r="H29" s="733" t="str">
        <f t="shared" si="15"/>
        <v>3 год</v>
      </c>
      <c r="I29" s="733" t="str">
        <f t="shared" si="15"/>
        <v>4 год</v>
      </c>
      <c r="J29" s="733" t="str">
        <f t="shared" si="15"/>
        <v>5 год</v>
      </c>
      <c r="K29" s="733" t="str">
        <f t="shared" si="15"/>
        <v>6 год</v>
      </c>
      <c r="L29" s="733" t="str">
        <f t="shared" si="15"/>
        <v>7 год</v>
      </c>
      <c r="M29" s="733" t="str">
        <f t="shared" si="15"/>
        <v>8 год</v>
      </c>
      <c r="N29" s="733" t="str">
        <f t="shared" si="15"/>
        <v>9 год</v>
      </c>
      <c r="O29" s="733" t="str">
        <f t="shared" si="15"/>
        <v>10 год</v>
      </c>
    </row>
    <row r="30" spans="2:15" ht="14.95" customHeight="1" x14ac:dyDescent="0.25">
      <c r="B30" s="246" t="s">
        <v>764</v>
      </c>
      <c r="C30" s="302" t="s">
        <v>375</v>
      </c>
      <c r="D30" s="247"/>
      <c r="E30" s="260"/>
      <c r="F30" s="391">
        <f t="shared" ref="F30:O30" si="16">SUM(F31:F53)</f>
        <v>270</v>
      </c>
      <c r="G30" s="391">
        <f t="shared" si="16"/>
        <v>682</v>
      </c>
      <c r="H30" s="391">
        <f t="shared" si="16"/>
        <v>1018</v>
      </c>
      <c r="I30" s="391">
        <f t="shared" si="16"/>
        <v>1254</v>
      </c>
      <c r="J30" s="391">
        <f t="shared" si="16"/>
        <v>900</v>
      </c>
      <c r="K30" s="391">
        <f t="shared" si="16"/>
        <v>1646</v>
      </c>
      <c r="L30" s="391">
        <f t="shared" si="16"/>
        <v>1290</v>
      </c>
      <c r="M30" s="391">
        <f t="shared" si="16"/>
        <v>1512</v>
      </c>
      <c r="N30" s="391">
        <f t="shared" si="16"/>
        <v>2238</v>
      </c>
      <c r="O30" s="391">
        <f t="shared" si="16"/>
        <v>2418</v>
      </c>
    </row>
    <row r="31" spans="2:15" ht="16.5" customHeight="1" x14ac:dyDescent="0.25">
      <c r="B31" s="734" t="s">
        <v>363</v>
      </c>
      <c r="C31" s="406"/>
      <c r="D31" s="406"/>
      <c r="E31" s="405">
        <f>$E$28</f>
        <v>65</v>
      </c>
      <c r="F31" s="406">
        <v>90</v>
      </c>
      <c r="G31" s="406">
        <v>144</v>
      </c>
      <c r="H31" s="406">
        <v>180</v>
      </c>
      <c r="I31" s="406">
        <v>270</v>
      </c>
      <c r="J31" s="406">
        <v>360</v>
      </c>
      <c r="K31" s="406">
        <v>450</v>
      </c>
      <c r="L31" s="406">
        <v>648</v>
      </c>
      <c r="M31" s="406">
        <v>810</v>
      </c>
      <c r="N31" s="406">
        <v>900</v>
      </c>
      <c r="O31" s="406">
        <v>2200</v>
      </c>
    </row>
    <row r="32" spans="2:15" ht="16.5" customHeight="1" x14ac:dyDescent="0.25">
      <c r="B32" s="734" t="s">
        <v>758</v>
      </c>
      <c r="C32" s="406">
        <v>38</v>
      </c>
      <c r="D32" s="406">
        <f t="shared" ref="D32:D52" si="17">VLOOKUP(B32,$B$58:$D$86,3,FALSE)</f>
        <v>10000</v>
      </c>
      <c r="E32" s="405">
        <f t="shared" ref="E32:E53" si="18">$E$28</f>
        <v>65</v>
      </c>
      <c r="F32" s="735">
        <v>0</v>
      </c>
      <c r="G32" s="735">
        <v>38</v>
      </c>
      <c r="H32" s="735">
        <v>38</v>
      </c>
      <c r="I32" s="735">
        <v>0</v>
      </c>
      <c r="J32" s="735">
        <v>38</v>
      </c>
      <c r="K32" s="735">
        <v>38</v>
      </c>
      <c r="L32" s="735">
        <v>0</v>
      </c>
      <c r="M32" s="735">
        <v>38</v>
      </c>
      <c r="N32" s="735">
        <v>38</v>
      </c>
      <c r="O32" s="735">
        <v>38</v>
      </c>
    </row>
    <row r="33" spans="2:15" ht="16.5" customHeight="1" x14ac:dyDescent="0.25">
      <c r="B33" s="497" t="s">
        <v>759</v>
      </c>
      <c r="C33" s="406">
        <v>180</v>
      </c>
      <c r="D33" s="406">
        <f t="shared" si="17"/>
        <v>6000</v>
      </c>
      <c r="E33" s="405">
        <f t="shared" si="18"/>
        <v>65</v>
      </c>
      <c r="F33" s="735">
        <v>180</v>
      </c>
      <c r="G33" s="735">
        <v>180</v>
      </c>
      <c r="H33" s="735">
        <v>180</v>
      </c>
      <c r="I33" s="735">
        <v>180</v>
      </c>
      <c r="J33" s="735">
        <v>180</v>
      </c>
      <c r="K33" s="735">
        <v>360</v>
      </c>
      <c r="L33" s="735">
        <v>180</v>
      </c>
      <c r="M33" s="735">
        <v>180</v>
      </c>
      <c r="N33" s="735">
        <v>180</v>
      </c>
      <c r="O33" s="735">
        <v>180</v>
      </c>
    </row>
    <row r="34" spans="2:15" ht="16.5" customHeight="1" x14ac:dyDescent="0.25">
      <c r="B34" s="497" t="s">
        <v>760</v>
      </c>
      <c r="C34" s="406">
        <v>320</v>
      </c>
      <c r="D34" s="406">
        <f t="shared" si="17"/>
        <v>12000</v>
      </c>
      <c r="E34" s="405">
        <f t="shared" si="18"/>
        <v>65</v>
      </c>
      <c r="F34" s="735">
        <v>0</v>
      </c>
      <c r="G34" s="735">
        <v>320</v>
      </c>
      <c r="H34" s="735">
        <v>0</v>
      </c>
      <c r="I34" s="735">
        <v>320</v>
      </c>
      <c r="J34" s="735">
        <v>0</v>
      </c>
      <c r="K34" s="735">
        <v>320</v>
      </c>
      <c r="L34" s="735">
        <v>320</v>
      </c>
      <c r="M34" s="735">
        <v>0</v>
      </c>
      <c r="N34" s="735">
        <v>320</v>
      </c>
      <c r="O34" s="735">
        <v>0</v>
      </c>
    </row>
    <row r="35" spans="2:15" ht="16.5" customHeight="1" x14ac:dyDescent="0.25">
      <c r="B35" s="497" t="s">
        <v>367</v>
      </c>
      <c r="C35" s="406">
        <v>280</v>
      </c>
      <c r="D35" s="406">
        <f t="shared" si="17"/>
        <v>25000</v>
      </c>
      <c r="E35" s="405">
        <f t="shared" si="18"/>
        <v>65</v>
      </c>
      <c r="F35" s="735">
        <v>0</v>
      </c>
      <c r="G35" s="735">
        <v>0</v>
      </c>
      <c r="H35" s="735">
        <v>0</v>
      </c>
      <c r="I35" s="735">
        <v>280</v>
      </c>
      <c r="J35" s="735">
        <v>0</v>
      </c>
      <c r="K35" s="735">
        <v>0</v>
      </c>
      <c r="L35" s="735">
        <v>0</v>
      </c>
      <c r="M35" s="735"/>
      <c r="N35" s="735">
        <v>0</v>
      </c>
      <c r="O35" s="735">
        <v>0</v>
      </c>
    </row>
    <row r="36" spans="2:15" ht="16.5" customHeight="1" x14ac:dyDescent="0.25">
      <c r="B36" s="497" t="s">
        <v>761</v>
      </c>
      <c r="C36" s="406">
        <v>280</v>
      </c>
      <c r="D36" s="406">
        <f t="shared" si="17"/>
        <v>50000</v>
      </c>
      <c r="E36" s="405">
        <f t="shared" si="18"/>
        <v>65</v>
      </c>
      <c r="F36" s="735">
        <v>0</v>
      </c>
      <c r="G36" s="735">
        <v>0</v>
      </c>
      <c r="H36" s="735">
        <v>0</v>
      </c>
      <c r="I36" s="735">
        <v>0</v>
      </c>
      <c r="J36" s="735">
        <v>0</v>
      </c>
      <c r="K36" s="735">
        <v>0</v>
      </c>
      <c r="L36" s="735">
        <v>0</v>
      </c>
      <c r="M36" s="735">
        <v>280</v>
      </c>
      <c r="N36" s="735">
        <v>0</v>
      </c>
      <c r="O36" s="735">
        <v>0</v>
      </c>
    </row>
    <row r="37" spans="2:15" ht="16.5" customHeight="1" x14ac:dyDescent="0.25">
      <c r="B37" s="736" t="s">
        <v>377</v>
      </c>
      <c r="C37" s="406">
        <f>96*2</f>
        <v>192</v>
      </c>
      <c r="D37" s="406">
        <f t="shared" si="17"/>
        <v>20000</v>
      </c>
      <c r="E37" s="405">
        <f t="shared" si="18"/>
        <v>65</v>
      </c>
      <c r="F37" s="735">
        <v>0</v>
      </c>
      <c r="G37" s="735">
        <v>0</v>
      </c>
      <c r="H37" s="735">
        <v>192</v>
      </c>
      <c r="I37" s="735">
        <v>0</v>
      </c>
      <c r="J37" s="735">
        <v>0</v>
      </c>
      <c r="K37" s="735">
        <v>192</v>
      </c>
      <c r="L37" s="735">
        <v>0</v>
      </c>
      <c r="M37" s="735">
        <v>0</v>
      </c>
      <c r="N37" s="735">
        <v>192</v>
      </c>
      <c r="O37" s="735">
        <v>0</v>
      </c>
    </row>
    <row r="38" spans="2:15" ht="16.5" customHeight="1" x14ac:dyDescent="0.25">
      <c r="B38" s="736" t="s">
        <v>765</v>
      </c>
      <c r="C38" s="406">
        <v>24</v>
      </c>
      <c r="D38" s="406">
        <f t="shared" si="17"/>
        <v>15000</v>
      </c>
      <c r="E38" s="405">
        <f t="shared" si="18"/>
        <v>65</v>
      </c>
      <c r="F38" s="735">
        <v>0</v>
      </c>
      <c r="G38" s="735">
        <v>0</v>
      </c>
      <c r="H38" s="735">
        <v>24</v>
      </c>
      <c r="I38" s="735">
        <v>0</v>
      </c>
      <c r="J38" s="735">
        <v>24</v>
      </c>
      <c r="K38" s="735">
        <v>0</v>
      </c>
      <c r="L38" s="735">
        <v>24</v>
      </c>
      <c r="M38" s="735">
        <v>0</v>
      </c>
      <c r="N38" s="735">
        <v>24</v>
      </c>
      <c r="O38" s="735">
        <v>0</v>
      </c>
    </row>
    <row r="39" spans="2:15" ht="16.5" customHeight="1" x14ac:dyDescent="0.25">
      <c r="B39" s="736" t="s">
        <v>766</v>
      </c>
      <c r="C39" s="406">
        <v>22</v>
      </c>
      <c r="D39" s="406">
        <f t="shared" si="17"/>
        <v>15000</v>
      </c>
      <c r="E39" s="405">
        <f t="shared" si="18"/>
        <v>65</v>
      </c>
      <c r="F39" s="735">
        <v>0</v>
      </c>
      <c r="G39" s="735">
        <v>0</v>
      </c>
      <c r="H39" s="735">
        <v>22</v>
      </c>
      <c r="I39" s="735">
        <v>0</v>
      </c>
      <c r="J39" s="735">
        <v>22</v>
      </c>
      <c r="K39" s="735">
        <v>0</v>
      </c>
      <c r="L39" s="735">
        <v>22</v>
      </c>
      <c r="M39" s="735">
        <v>0</v>
      </c>
      <c r="N39" s="735">
        <v>22</v>
      </c>
      <c r="O39" s="735">
        <v>0</v>
      </c>
    </row>
    <row r="40" spans="2:15" ht="16.5" customHeight="1" x14ac:dyDescent="0.25">
      <c r="B40" s="736" t="s">
        <v>379</v>
      </c>
      <c r="C40" s="406">
        <v>120</v>
      </c>
      <c r="D40" s="406">
        <f t="shared" si="17"/>
        <v>30000</v>
      </c>
      <c r="E40" s="405">
        <f t="shared" si="18"/>
        <v>65</v>
      </c>
      <c r="F40" s="735">
        <v>0</v>
      </c>
      <c r="G40" s="735">
        <v>0</v>
      </c>
      <c r="H40" s="735">
        <v>0</v>
      </c>
      <c r="I40" s="735">
        <v>0</v>
      </c>
      <c r="J40" s="735">
        <v>120</v>
      </c>
      <c r="K40" s="735">
        <v>0</v>
      </c>
      <c r="L40" s="735">
        <v>0</v>
      </c>
      <c r="M40" s="735">
        <v>0</v>
      </c>
      <c r="N40" s="735">
        <v>120</v>
      </c>
      <c r="O40" s="735">
        <v>0</v>
      </c>
    </row>
    <row r="41" spans="2:15" ht="16.5" customHeight="1" x14ac:dyDescent="0.25">
      <c r="B41" s="736" t="s">
        <v>380</v>
      </c>
      <c r="C41" s="406">
        <v>32</v>
      </c>
      <c r="D41" s="406">
        <f t="shared" si="17"/>
        <v>20000</v>
      </c>
      <c r="E41" s="405">
        <f t="shared" si="18"/>
        <v>65</v>
      </c>
      <c r="F41" s="735">
        <v>0</v>
      </c>
      <c r="G41" s="735">
        <v>0</v>
      </c>
      <c r="H41" s="735">
        <v>32</v>
      </c>
      <c r="I41" s="735">
        <v>0</v>
      </c>
      <c r="J41" s="735">
        <v>0</v>
      </c>
      <c r="K41" s="735">
        <v>32</v>
      </c>
      <c r="L41" s="735">
        <v>0</v>
      </c>
      <c r="M41" s="735">
        <v>0</v>
      </c>
      <c r="N41" s="735">
        <v>32</v>
      </c>
      <c r="O41" s="735">
        <v>0</v>
      </c>
    </row>
    <row r="42" spans="2:15" ht="16.5" customHeight="1" x14ac:dyDescent="0.25">
      <c r="B42" s="736" t="s">
        <v>381</v>
      </c>
      <c r="C42" s="406">
        <f>19*2</f>
        <v>38</v>
      </c>
      <c r="D42" s="406">
        <f t="shared" si="17"/>
        <v>20000</v>
      </c>
      <c r="E42" s="405">
        <f t="shared" si="18"/>
        <v>65</v>
      </c>
      <c r="F42" s="735">
        <v>0</v>
      </c>
      <c r="G42" s="735">
        <v>0</v>
      </c>
      <c r="H42" s="735">
        <v>38</v>
      </c>
      <c r="I42" s="735">
        <v>0</v>
      </c>
      <c r="J42" s="735">
        <v>0</v>
      </c>
      <c r="K42" s="735">
        <v>38</v>
      </c>
      <c r="L42" s="735">
        <v>0</v>
      </c>
      <c r="M42" s="735">
        <v>0</v>
      </c>
      <c r="N42" s="735">
        <v>38</v>
      </c>
      <c r="O42" s="735">
        <v>0</v>
      </c>
    </row>
    <row r="43" spans="2:15" ht="16.5" customHeight="1" x14ac:dyDescent="0.25">
      <c r="B43" s="736" t="s">
        <v>767</v>
      </c>
      <c r="C43" s="406">
        <f>78*2</f>
        <v>156</v>
      </c>
      <c r="D43" s="406">
        <f t="shared" si="17"/>
        <v>20000</v>
      </c>
      <c r="E43" s="405">
        <f t="shared" si="18"/>
        <v>65</v>
      </c>
      <c r="F43" s="735">
        <v>0</v>
      </c>
      <c r="G43" s="735">
        <v>0</v>
      </c>
      <c r="H43" s="735">
        <v>156</v>
      </c>
      <c r="I43" s="735">
        <v>0</v>
      </c>
      <c r="J43" s="735">
        <v>0</v>
      </c>
      <c r="K43" s="735">
        <v>156</v>
      </c>
      <c r="L43" s="735">
        <v>0</v>
      </c>
      <c r="M43" s="735">
        <v>0</v>
      </c>
      <c r="N43" s="735">
        <v>156</v>
      </c>
      <c r="O43" s="735">
        <v>0</v>
      </c>
    </row>
    <row r="44" spans="2:15" ht="16.5" customHeight="1" x14ac:dyDescent="0.25">
      <c r="B44" s="736" t="s">
        <v>383</v>
      </c>
      <c r="C44" s="406">
        <f>8*12</f>
        <v>96</v>
      </c>
      <c r="D44" s="406">
        <f t="shared" si="17"/>
        <v>15000</v>
      </c>
      <c r="E44" s="405">
        <f t="shared" si="18"/>
        <v>65</v>
      </c>
      <c r="F44" s="735">
        <v>0</v>
      </c>
      <c r="G44" s="735">
        <v>0</v>
      </c>
      <c r="H44" s="735">
        <v>96</v>
      </c>
      <c r="I44" s="735">
        <v>0</v>
      </c>
      <c r="J44" s="735">
        <v>96</v>
      </c>
      <c r="K44" s="735">
        <v>0</v>
      </c>
      <c r="L44" s="735">
        <v>96</v>
      </c>
      <c r="M44" s="735">
        <v>0</v>
      </c>
      <c r="N44" s="735">
        <v>96</v>
      </c>
      <c r="O44" s="735">
        <v>0</v>
      </c>
    </row>
    <row r="45" spans="2:15" ht="16.5" customHeight="1" x14ac:dyDescent="0.25">
      <c r="B45" s="736" t="s">
        <v>384</v>
      </c>
      <c r="C45" s="406">
        <v>18</v>
      </c>
      <c r="D45" s="406">
        <f t="shared" si="17"/>
        <v>20000</v>
      </c>
      <c r="E45" s="405">
        <f t="shared" si="18"/>
        <v>65</v>
      </c>
      <c r="F45" s="735">
        <v>0</v>
      </c>
      <c r="G45" s="735">
        <v>0</v>
      </c>
      <c r="H45" s="735">
        <v>18</v>
      </c>
      <c r="I45" s="735">
        <v>0</v>
      </c>
      <c r="J45" s="735">
        <v>0</v>
      </c>
      <c r="K45" s="735">
        <v>18</v>
      </c>
      <c r="L45" s="735">
        <v>0</v>
      </c>
      <c r="M45" s="735">
        <v>0</v>
      </c>
      <c r="N45" s="735">
        <v>18</v>
      </c>
      <c r="O45" s="735">
        <v>0</v>
      </c>
    </row>
    <row r="46" spans="2:15" ht="16.5" customHeight="1" x14ac:dyDescent="0.25">
      <c r="B46" s="497" t="s">
        <v>762</v>
      </c>
      <c r="C46" s="406">
        <v>12</v>
      </c>
      <c r="D46" s="406">
        <f t="shared" si="17"/>
        <v>25000</v>
      </c>
      <c r="E46" s="405">
        <f t="shared" si="18"/>
        <v>65</v>
      </c>
      <c r="F46" s="735">
        <v>0</v>
      </c>
      <c r="G46" s="735">
        <v>0</v>
      </c>
      <c r="H46" s="735">
        <v>0</v>
      </c>
      <c r="I46" s="735">
        <v>12</v>
      </c>
      <c r="J46" s="735">
        <v>0</v>
      </c>
      <c r="K46" s="735">
        <v>0</v>
      </c>
      <c r="L46" s="735">
        <v>0</v>
      </c>
      <c r="M46" s="735">
        <v>12</v>
      </c>
      <c r="N46" s="735">
        <v>0</v>
      </c>
      <c r="O46" s="735">
        <v>0</v>
      </c>
    </row>
    <row r="47" spans="2:15" ht="16.5" customHeight="1" x14ac:dyDescent="0.25">
      <c r="B47" s="497" t="s">
        <v>763</v>
      </c>
      <c r="C47" s="406">
        <v>24</v>
      </c>
      <c r="D47" s="406">
        <f t="shared" si="17"/>
        <v>20000</v>
      </c>
      <c r="E47" s="405">
        <f t="shared" si="18"/>
        <v>65</v>
      </c>
      <c r="F47" s="735">
        <v>0</v>
      </c>
      <c r="G47" s="735">
        <v>0</v>
      </c>
      <c r="H47" s="735">
        <v>24</v>
      </c>
      <c r="I47" s="735">
        <v>0</v>
      </c>
      <c r="J47" s="735">
        <v>0</v>
      </c>
      <c r="K47" s="735">
        <v>24</v>
      </c>
      <c r="L47" s="735">
        <v>0</v>
      </c>
      <c r="M47" s="735">
        <v>0</v>
      </c>
      <c r="N47" s="735">
        <v>24</v>
      </c>
      <c r="O47" s="735">
        <v>0</v>
      </c>
    </row>
    <row r="48" spans="2:15" ht="16.5" customHeight="1" x14ac:dyDescent="0.25">
      <c r="B48" s="734" t="s">
        <v>385</v>
      </c>
      <c r="C48" s="406">
        <v>8</v>
      </c>
      <c r="D48" s="406">
        <f t="shared" si="17"/>
        <v>30000</v>
      </c>
      <c r="E48" s="405">
        <f t="shared" si="18"/>
        <v>65</v>
      </c>
      <c r="F48" s="735">
        <v>0</v>
      </c>
      <c r="G48" s="735">
        <v>0</v>
      </c>
      <c r="H48" s="735">
        <v>0</v>
      </c>
      <c r="I48" s="735">
        <v>0</v>
      </c>
      <c r="J48" s="735">
        <v>8</v>
      </c>
      <c r="K48" s="735">
        <v>0</v>
      </c>
      <c r="L48" s="735">
        <v>0</v>
      </c>
      <c r="M48" s="735">
        <v>0</v>
      </c>
      <c r="N48" s="735">
        <v>8</v>
      </c>
      <c r="O48" s="735">
        <v>0</v>
      </c>
    </row>
    <row r="49" spans="2:15" ht="16.5" customHeight="1" x14ac:dyDescent="0.25">
      <c r="B49" s="736" t="s">
        <v>386</v>
      </c>
      <c r="C49" s="406">
        <v>4</v>
      </c>
      <c r="D49" s="406">
        <f t="shared" si="17"/>
        <v>30000</v>
      </c>
      <c r="E49" s="405">
        <f t="shared" si="18"/>
        <v>65</v>
      </c>
      <c r="F49" s="735">
        <v>0</v>
      </c>
      <c r="G49" s="735">
        <v>0</v>
      </c>
      <c r="H49" s="735">
        <v>0</v>
      </c>
      <c r="I49" s="735">
        <v>0</v>
      </c>
      <c r="J49" s="735">
        <v>4</v>
      </c>
      <c r="K49" s="735">
        <v>0</v>
      </c>
      <c r="L49" s="735">
        <v>0</v>
      </c>
      <c r="M49" s="735">
        <v>0</v>
      </c>
      <c r="N49" s="735">
        <v>4</v>
      </c>
      <c r="O49" s="735">
        <v>0</v>
      </c>
    </row>
    <row r="50" spans="2:15" ht="16.5" customHeight="1" x14ac:dyDescent="0.25">
      <c r="B50" s="734" t="s">
        <v>387</v>
      </c>
      <c r="C50" s="406">
        <v>18</v>
      </c>
      <c r="D50" s="406">
        <f t="shared" si="17"/>
        <v>20000</v>
      </c>
      <c r="E50" s="405">
        <f t="shared" si="18"/>
        <v>65</v>
      </c>
      <c r="F50" s="735">
        <v>0</v>
      </c>
      <c r="G50" s="735">
        <v>0</v>
      </c>
      <c r="H50" s="735">
        <v>18</v>
      </c>
      <c r="I50" s="735">
        <v>0</v>
      </c>
      <c r="J50" s="735">
        <v>0</v>
      </c>
      <c r="K50" s="735">
        <v>18</v>
      </c>
      <c r="L50" s="735">
        <v>0</v>
      </c>
      <c r="M50" s="735">
        <v>0</v>
      </c>
      <c r="N50" s="735">
        <v>18</v>
      </c>
      <c r="O50" s="735">
        <v>0</v>
      </c>
    </row>
    <row r="51" spans="2:15" ht="16.5" customHeight="1" x14ac:dyDescent="0.25">
      <c r="B51" s="736" t="s">
        <v>768</v>
      </c>
      <c r="C51" s="406">
        <f>24*6</f>
        <v>144</v>
      </c>
      <c r="D51" s="406">
        <f t="shared" si="17"/>
        <v>25000</v>
      </c>
      <c r="E51" s="405">
        <f t="shared" si="18"/>
        <v>65</v>
      </c>
      <c r="F51" s="735">
        <v>0</v>
      </c>
      <c r="G51" s="735">
        <v>0</v>
      </c>
      <c r="H51" s="735">
        <v>0</v>
      </c>
      <c r="I51" s="735">
        <v>144</v>
      </c>
      <c r="J51" s="735">
        <v>0</v>
      </c>
      <c r="K51" s="735">
        <v>0</v>
      </c>
      <c r="L51" s="735">
        <v>0</v>
      </c>
      <c r="M51" s="735">
        <v>144</v>
      </c>
      <c r="N51" s="735">
        <v>0</v>
      </c>
      <c r="O51" s="735">
        <v>0</v>
      </c>
    </row>
    <row r="52" spans="2:15" ht="16.5" customHeight="1" x14ac:dyDescent="0.25">
      <c r="B52" s="497" t="s">
        <v>370</v>
      </c>
      <c r="C52" s="406">
        <v>48</v>
      </c>
      <c r="D52" s="406">
        <f t="shared" si="17"/>
        <v>30000</v>
      </c>
      <c r="E52" s="405">
        <f t="shared" si="18"/>
        <v>65</v>
      </c>
      <c r="F52" s="735">
        <v>0</v>
      </c>
      <c r="G52" s="735">
        <v>0</v>
      </c>
      <c r="H52" s="735">
        <v>0</v>
      </c>
      <c r="I52" s="735">
        <v>0</v>
      </c>
      <c r="J52" s="735">
        <v>48</v>
      </c>
      <c r="K52" s="735">
        <v>0</v>
      </c>
      <c r="L52" s="735">
        <v>0</v>
      </c>
      <c r="M52" s="735">
        <v>0</v>
      </c>
      <c r="N52" s="735">
        <v>48</v>
      </c>
      <c r="O52" s="735">
        <v>0</v>
      </c>
    </row>
    <row r="53" spans="2:15" ht="16.5" customHeight="1" x14ac:dyDescent="0.25">
      <c r="B53" s="736" t="s">
        <v>388</v>
      </c>
      <c r="C53" s="406">
        <f>24*2</f>
        <v>48</v>
      </c>
      <c r="D53" s="406">
        <v>25000</v>
      </c>
      <c r="E53" s="405">
        <f t="shared" si="18"/>
        <v>65</v>
      </c>
      <c r="F53" s="735">
        <v>0</v>
      </c>
      <c r="G53" s="735">
        <v>0</v>
      </c>
      <c r="H53" s="735">
        <v>0</v>
      </c>
      <c r="I53" s="735">
        <v>48</v>
      </c>
      <c r="J53" s="735">
        <v>0</v>
      </c>
      <c r="K53" s="735">
        <v>0</v>
      </c>
      <c r="L53" s="735">
        <v>0</v>
      </c>
      <c r="M53" s="735">
        <v>48</v>
      </c>
      <c r="N53" s="735">
        <v>0</v>
      </c>
      <c r="O53" s="735">
        <v>0</v>
      </c>
    </row>
    <row r="54" spans="2:15" x14ac:dyDescent="0.25">
      <c r="B54" s="384" t="s">
        <v>769</v>
      </c>
      <c r="E54" s="412"/>
      <c r="F54" s="303"/>
      <c r="G54" s="303"/>
      <c r="H54" s="303"/>
      <c r="I54" s="303"/>
      <c r="J54" s="303"/>
      <c r="K54" s="303"/>
      <c r="L54" s="303"/>
      <c r="M54" s="303"/>
      <c r="N54" s="303"/>
      <c r="O54" s="303"/>
    </row>
    <row r="55" spans="2:15" ht="14.95" thickBot="1" x14ac:dyDescent="0.3">
      <c r="B55" s="387" t="s">
        <v>389</v>
      </c>
      <c r="F55" s="303"/>
    </row>
    <row r="56" spans="2:15" ht="43.5" customHeight="1" x14ac:dyDescent="0.25">
      <c r="B56" s="693" t="s">
        <v>390</v>
      </c>
      <c r="C56" s="694" t="s">
        <v>391</v>
      </c>
      <c r="D56" s="694" t="s">
        <v>392</v>
      </c>
      <c r="E56" s="694" t="s">
        <v>393</v>
      </c>
      <c r="F56" s="697" t="s">
        <v>292</v>
      </c>
      <c r="G56" s="697" t="s">
        <v>292</v>
      </c>
      <c r="H56" s="697" t="s">
        <v>292</v>
      </c>
      <c r="I56" s="697" t="s">
        <v>292</v>
      </c>
      <c r="J56" s="697" t="s">
        <v>292</v>
      </c>
      <c r="K56" s="697" t="s">
        <v>292</v>
      </c>
      <c r="L56" s="697" t="s">
        <v>292</v>
      </c>
      <c r="M56" s="697" t="s">
        <v>292</v>
      </c>
      <c r="N56" s="697" t="s">
        <v>292</v>
      </c>
      <c r="O56" s="697" t="s">
        <v>292</v>
      </c>
    </row>
    <row r="57" spans="2:15" ht="28.55" customHeight="1" x14ac:dyDescent="0.25">
      <c r="B57" s="379" t="s">
        <v>394</v>
      </c>
      <c r="C57" s="247"/>
      <c r="D57" s="247"/>
      <c r="E57" s="247"/>
      <c r="F57" s="346">
        <f t="shared" ref="F57:O57" si="19">SUM(F58:F61)</f>
        <v>15011.22</v>
      </c>
      <c r="G57" s="346">
        <f t="shared" si="19"/>
        <v>77064.600000000006</v>
      </c>
      <c r="H57" s="346">
        <f t="shared" si="19"/>
        <v>50720.67</v>
      </c>
      <c r="I57" s="346">
        <f t="shared" si="19"/>
        <v>89861</v>
      </c>
      <c r="J57" s="346">
        <f t="shared" si="19"/>
        <v>60140.95</v>
      </c>
      <c r="K57" s="346">
        <f t="shared" si="19"/>
        <v>102873.7</v>
      </c>
      <c r="L57" s="346">
        <f t="shared" si="19"/>
        <v>80547.399999999994</v>
      </c>
      <c r="M57" s="346">
        <f t="shared" si="19"/>
        <v>64172.23</v>
      </c>
      <c r="N57" s="346">
        <f t="shared" si="19"/>
        <v>74322.850000000006</v>
      </c>
      <c r="O57" s="346">
        <f t="shared" si="19"/>
        <v>90365.774999999994</v>
      </c>
    </row>
    <row r="58" spans="2:15" x14ac:dyDescent="0.25">
      <c r="B58" s="392" t="s">
        <v>363</v>
      </c>
      <c r="C58" s="354"/>
      <c r="D58" s="406"/>
      <c r="E58" s="258">
        <v>1</v>
      </c>
      <c r="F58" s="406">
        <v>437.21999999999997</v>
      </c>
      <c r="G58" s="406">
        <v>2244.6</v>
      </c>
      <c r="H58" s="406">
        <v>5531.67</v>
      </c>
      <c r="I58" s="406">
        <v>15041</v>
      </c>
      <c r="J58" s="406">
        <v>14951.95</v>
      </c>
      <c r="K58" s="406">
        <v>13479.7</v>
      </c>
      <c r="L58" s="406">
        <v>5727.4000000000005</v>
      </c>
      <c r="M58" s="406">
        <v>18983.230000000003</v>
      </c>
      <c r="N58" s="406">
        <v>30117.850000000002</v>
      </c>
      <c r="O58" s="406">
        <v>45176.775000000001</v>
      </c>
    </row>
    <row r="59" spans="2:15" x14ac:dyDescent="0.25">
      <c r="B59" s="392" t="s">
        <v>758</v>
      </c>
      <c r="C59" s="354">
        <v>125000</v>
      </c>
      <c r="D59" s="406">
        <v>10000</v>
      </c>
      <c r="E59" s="258">
        <v>1</v>
      </c>
      <c r="F59" s="406">
        <v>0</v>
      </c>
      <c r="G59" s="406">
        <v>30615</v>
      </c>
      <c r="H59" s="406">
        <v>30615</v>
      </c>
      <c r="I59" s="406">
        <v>30615</v>
      </c>
      <c r="J59" s="406">
        <v>30615</v>
      </c>
      <c r="K59" s="406">
        <v>30615</v>
      </c>
      <c r="L59" s="406">
        <v>30615</v>
      </c>
      <c r="M59" s="406">
        <v>30615</v>
      </c>
      <c r="N59" s="406">
        <v>0</v>
      </c>
      <c r="O59" s="406">
        <v>30615</v>
      </c>
    </row>
    <row r="60" spans="2:15" x14ac:dyDescent="0.25">
      <c r="B60" s="396" t="s">
        <v>759</v>
      </c>
      <c r="C60" s="354">
        <v>22880.399999999998</v>
      </c>
      <c r="D60" s="406">
        <v>6000</v>
      </c>
      <c r="E60" s="258">
        <v>1</v>
      </c>
      <c r="F60" s="406">
        <v>14574</v>
      </c>
      <c r="G60" s="406">
        <v>14574</v>
      </c>
      <c r="H60" s="406">
        <v>14574</v>
      </c>
      <c r="I60" s="406">
        <v>14574</v>
      </c>
      <c r="J60" s="406">
        <v>14574</v>
      </c>
      <c r="K60" s="406">
        <v>29148</v>
      </c>
      <c r="L60" s="406">
        <v>14574</v>
      </c>
      <c r="M60" s="406">
        <v>14574</v>
      </c>
      <c r="N60" s="406">
        <v>14574</v>
      </c>
      <c r="O60" s="406">
        <v>14574</v>
      </c>
    </row>
    <row r="61" spans="2:15" x14ac:dyDescent="0.25">
      <c r="B61" s="396" t="s">
        <v>760</v>
      </c>
      <c r="C61" s="354">
        <v>38996.300000000003</v>
      </c>
      <c r="D61" s="406">
        <v>12000</v>
      </c>
      <c r="E61" s="258">
        <v>1</v>
      </c>
      <c r="F61" s="406">
        <v>0</v>
      </c>
      <c r="G61" s="406">
        <v>29631</v>
      </c>
      <c r="H61" s="406">
        <v>0</v>
      </c>
      <c r="I61" s="406">
        <v>29631</v>
      </c>
      <c r="J61" s="406">
        <v>0</v>
      </c>
      <c r="K61" s="406">
        <v>29631</v>
      </c>
      <c r="L61" s="406">
        <v>29631</v>
      </c>
      <c r="M61" s="406">
        <v>0</v>
      </c>
      <c r="N61" s="406">
        <v>29631</v>
      </c>
      <c r="O61" s="406">
        <v>0</v>
      </c>
    </row>
    <row r="62" spans="2:15" ht="47.25" customHeight="1" x14ac:dyDescent="0.25">
      <c r="B62" s="379" t="s">
        <v>284</v>
      </c>
      <c r="C62" s="247" t="s">
        <v>770</v>
      </c>
      <c r="D62" s="247" t="s">
        <v>392</v>
      </c>
      <c r="E62" s="247" t="s">
        <v>393</v>
      </c>
      <c r="F62" s="346">
        <f t="shared" ref="F62:O62" si="20">SUM(F63:F86)</f>
        <v>0</v>
      </c>
      <c r="G62" s="346">
        <f t="shared" si="20"/>
        <v>0</v>
      </c>
      <c r="H62" s="346">
        <f t="shared" si="20"/>
        <v>410928.20117999997</v>
      </c>
      <c r="I62" s="346">
        <f t="shared" si="20"/>
        <v>652531.80929999996</v>
      </c>
      <c r="J62" s="346">
        <f t="shared" si="20"/>
        <v>158405.00970000002</v>
      </c>
      <c r="K62" s="346">
        <f t="shared" si="20"/>
        <v>339483.20237999997</v>
      </c>
      <c r="L62" s="346">
        <f t="shared" si="20"/>
        <v>71444.998800000001</v>
      </c>
      <c r="M62" s="346">
        <f t="shared" si="20"/>
        <v>721657.00047647057</v>
      </c>
      <c r="N62" s="346">
        <f t="shared" si="20"/>
        <v>497888.21208000003</v>
      </c>
      <c r="O62" s="346">
        <f t="shared" si="20"/>
        <v>0</v>
      </c>
    </row>
    <row r="63" spans="2:15" x14ac:dyDescent="0.25">
      <c r="B63" s="364" t="s">
        <v>395</v>
      </c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</row>
    <row r="64" spans="2:15" x14ac:dyDescent="0.25">
      <c r="B64" s="396" t="s">
        <v>367</v>
      </c>
      <c r="C64" s="354">
        <v>385875</v>
      </c>
      <c r="D64" s="269">
        <v>25000</v>
      </c>
      <c r="E64" s="482">
        <v>1</v>
      </c>
      <c r="F64" s="737">
        <v>0</v>
      </c>
      <c r="G64" s="737">
        <v>0</v>
      </c>
      <c r="H64" s="737">
        <v>0</v>
      </c>
      <c r="I64" s="737">
        <v>385875</v>
      </c>
      <c r="J64" s="737">
        <v>0</v>
      </c>
      <c r="K64" s="737">
        <v>0</v>
      </c>
      <c r="L64" s="737">
        <v>0</v>
      </c>
      <c r="M64" s="737"/>
      <c r="N64" s="737">
        <v>0</v>
      </c>
      <c r="O64" s="737">
        <v>0</v>
      </c>
    </row>
    <row r="65" spans="2:15" x14ac:dyDescent="0.25">
      <c r="B65" s="396" t="s">
        <v>761</v>
      </c>
      <c r="C65" s="354">
        <v>455000.19117647066</v>
      </c>
      <c r="D65" s="269">
        <v>50000</v>
      </c>
      <c r="E65" s="482">
        <v>1</v>
      </c>
      <c r="F65" s="737">
        <v>0</v>
      </c>
      <c r="G65" s="737">
        <v>0</v>
      </c>
      <c r="H65" s="737">
        <v>0</v>
      </c>
      <c r="I65" s="737"/>
      <c r="J65" s="737">
        <v>0</v>
      </c>
      <c r="K65" s="737">
        <v>0</v>
      </c>
      <c r="L65" s="737">
        <v>0</v>
      </c>
      <c r="M65" s="737">
        <v>455000.19117647066</v>
      </c>
      <c r="N65" s="737">
        <v>0</v>
      </c>
      <c r="O65" s="737">
        <v>0</v>
      </c>
    </row>
    <row r="66" spans="2:15" x14ac:dyDescent="0.25">
      <c r="B66" s="417" t="s">
        <v>377</v>
      </c>
      <c r="C66" s="354">
        <v>84201.342749999996</v>
      </c>
      <c r="D66" s="269">
        <v>20000</v>
      </c>
      <c r="E66" s="268">
        <v>2</v>
      </c>
      <c r="F66" s="737">
        <v>0</v>
      </c>
      <c r="G66" s="737">
        <v>0</v>
      </c>
      <c r="H66" s="737">
        <v>168402.68549999999</v>
      </c>
      <c r="I66" s="737">
        <v>0</v>
      </c>
      <c r="J66" s="737">
        <v>0</v>
      </c>
      <c r="K66" s="737">
        <v>168402.68549999999</v>
      </c>
      <c r="L66" s="737">
        <v>0</v>
      </c>
      <c r="M66" s="737">
        <v>0</v>
      </c>
      <c r="N66" s="737">
        <v>168402.68549999999</v>
      </c>
      <c r="O66" s="737">
        <v>0</v>
      </c>
    </row>
    <row r="67" spans="2:15" x14ac:dyDescent="0.25">
      <c r="B67" s="417" t="s">
        <v>765</v>
      </c>
      <c r="C67" s="354">
        <v>14344.848</v>
      </c>
      <c r="D67" s="269">
        <v>15000</v>
      </c>
      <c r="E67" s="268">
        <v>2</v>
      </c>
      <c r="F67" s="737">
        <v>0</v>
      </c>
      <c r="G67" s="737">
        <v>0</v>
      </c>
      <c r="H67" s="737">
        <v>28689.696</v>
      </c>
      <c r="I67" s="737">
        <v>0</v>
      </c>
      <c r="J67" s="737">
        <v>28689.696</v>
      </c>
      <c r="K67" s="737">
        <v>0</v>
      </c>
      <c r="L67" s="737">
        <v>28689.696</v>
      </c>
      <c r="M67" s="737">
        <v>0</v>
      </c>
      <c r="N67" s="737">
        <v>28689.696</v>
      </c>
      <c r="O67" s="737">
        <v>0</v>
      </c>
    </row>
    <row r="68" spans="2:15" x14ac:dyDescent="0.25">
      <c r="B68" s="417" t="s">
        <v>766</v>
      </c>
      <c r="C68" s="354">
        <v>14344.848</v>
      </c>
      <c r="D68" s="269">
        <v>15000</v>
      </c>
      <c r="E68" s="268">
        <v>2</v>
      </c>
      <c r="F68" s="737">
        <v>0</v>
      </c>
      <c r="G68" s="737">
        <v>0</v>
      </c>
      <c r="H68" s="737">
        <v>28689.696</v>
      </c>
      <c r="I68" s="737">
        <v>0</v>
      </c>
      <c r="J68" s="737">
        <v>28689.696</v>
      </c>
      <c r="K68" s="737">
        <v>0</v>
      </c>
      <c r="L68" s="737">
        <v>28689.696</v>
      </c>
      <c r="M68" s="737">
        <v>0</v>
      </c>
      <c r="N68" s="737">
        <v>28689.696</v>
      </c>
      <c r="O68" s="737">
        <v>0</v>
      </c>
    </row>
    <row r="69" spans="2:15" x14ac:dyDescent="0.25">
      <c r="B69" s="417" t="s">
        <v>379</v>
      </c>
      <c r="C69" s="354">
        <v>38575.372499999998</v>
      </c>
      <c r="D69" s="269">
        <v>30000</v>
      </c>
      <c r="E69" s="268">
        <v>1</v>
      </c>
      <c r="F69" s="737">
        <v>0</v>
      </c>
      <c r="G69" s="737">
        <v>0</v>
      </c>
      <c r="H69" s="737">
        <v>0</v>
      </c>
      <c r="I69" s="737">
        <v>0</v>
      </c>
      <c r="J69" s="737">
        <v>38575.372499999998</v>
      </c>
      <c r="K69" s="737">
        <v>0</v>
      </c>
      <c r="L69" s="737">
        <v>0</v>
      </c>
      <c r="M69" s="737">
        <v>0</v>
      </c>
      <c r="N69" s="737">
        <v>38575.372499999998</v>
      </c>
      <c r="O69" s="737">
        <v>0</v>
      </c>
    </row>
    <row r="70" spans="2:15" x14ac:dyDescent="0.25">
      <c r="B70" s="417" t="s">
        <v>380</v>
      </c>
      <c r="C70" s="354">
        <v>3901.1852249999997</v>
      </c>
      <c r="D70" s="269">
        <v>20000</v>
      </c>
      <c r="E70" s="268">
        <v>2</v>
      </c>
      <c r="F70" s="737">
        <v>0</v>
      </c>
      <c r="G70" s="737">
        <v>0</v>
      </c>
      <c r="H70" s="737">
        <v>7802.3704499999994</v>
      </c>
      <c r="I70" s="737">
        <v>0</v>
      </c>
      <c r="J70" s="737">
        <v>0</v>
      </c>
      <c r="K70" s="737">
        <v>7802.3704499999994</v>
      </c>
      <c r="L70" s="737">
        <v>0</v>
      </c>
      <c r="M70" s="737">
        <v>0</v>
      </c>
      <c r="N70" s="737">
        <v>7802.3704499999994</v>
      </c>
      <c r="O70" s="737">
        <v>0</v>
      </c>
    </row>
    <row r="71" spans="2:15" x14ac:dyDescent="0.25">
      <c r="B71" s="417" t="s">
        <v>381</v>
      </c>
      <c r="C71" s="354">
        <v>11351.527425</v>
      </c>
      <c r="D71" s="269">
        <v>20000</v>
      </c>
      <c r="E71" s="268">
        <v>2</v>
      </c>
      <c r="F71" s="737">
        <v>0</v>
      </c>
      <c r="G71" s="737">
        <v>0</v>
      </c>
      <c r="H71" s="737">
        <v>22703.05485</v>
      </c>
      <c r="I71" s="737">
        <v>0</v>
      </c>
      <c r="J71" s="737">
        <v>0</v>
      </c>
      <c r="K71" s="737">
        <v>22703.05485</v>
      </c>
      <c r="L71" s="737">
        <v>0</v>
      </c>
      <c r="M71" s="737">
        <v>0</v>
      </c>
      <c r="N71" s="737">
        <v>22703.05485</v>
      </c>
      <c r="O71" s="737">
        <v>0</v>
      </c>
    </row>
    <row r="72" spans="2:15" x14ac:dyDescent="0.25">
      <c r="B72" s="417" t="s">
        <v>767</v>
      </c>
      <c r="C72" s="354">
        <v>38885.32935</v>
      </c>
      <c r="D72" s="269">
        <v>20000</v>
      </c>
      <c r="E72" s="268">
        <v>2</v>
      </c>
      <c r="F72" s="737">
        <v>0</v>
      </c>
      <c r="G72" s="737">
        <v>0</v>
      </c>
      <c r="H72" s="737">
        <v>77770.6587</v>
      </c>
      <c r="I72" s="737">
        <v>0</v>
      </c>
      <c r="J72" s="737">
        <v>0</v>
      </c>
      <c r="K72" s="737">
        <v>77770.6587</v>
      </c>
      <c r="L72" s="737">
        <v>0</v>
      </c>
      <c r="M72" s="737">
        <v>0</v>
      </c>
      <c r="N72" s="737">
        <v>77770.6587</v>
      </c>
      <c r="O72" s="737">
        <v>0</v>
      </c>
    </row>
    <row r="73" spans="2:15" x14ac:dyDescent="0.25">
      <c r="B73" s="417" t="s">
        <v>383</v>
      </c>
      <c r="C73" s="354">
        <v>1172.1339000000003</v>
      </c>
      <c r="D73" s="269">
        <v>15000</v>
      </c>
      <c r="E73" s="268">
        <v>12</v>
      </c>
      <c r="F73" s="737">
        <v>0</v>
      </c>
      <c r="G73" s="737">
        <v>0</v>
      </c>
      <c r="H73" s="737">
        <v>14065.606800000003</v>
      </c>
      <c r="I73" s="737">
        <v>0</v>
      </c>
      <c r="J73" s="737">
        <v>14065.606800000003</v>
      </c>
      <c r="K73" s="737">
        <v>0</v>
      </c>
      <c r="L73" s="737">
        <v>14065.606800000003</v>
      </c>
      <c r="M73" s="737">
        <v>0</v>
      </c>
      <c r="N73" s="737">
        <v>14065.606800000003</v>
      </c>
      <c r="O73" s="737">
        <v>0</v>
      </c>
    </row>
    <row r="74" spans="2:15" x14ac:dyDescent="0.25">
      <c r="B74" s="417" t="s">
        <v>384</v>
      </c>
      <c r="C74" s="354">
        <v>2400.8745599999997</v>
      </c>
      <c r="D74" s="269">
        <v>20000</v>
      </c>
      <c r="E74" s="268">
        <v>3</v>
      </c>
      <c r="F74" s="737">
        <v>0</v>
      </c>
      <c r="G74" s="737">
        <v>0</v>
      </c>
      <c r="H74" s="737">
        <v>7202.6236799999988</v>
      </c>
      <c r="I74" s="737">
        <v>0</v>
      </c>
      <c r="J74" s="737">
        <v>0</v>
      </c>
      <c r="K74" s="737">
        <v>7202.6236799999988</v>
      </c>
      <c r="L74" s="737">
        <v>0</v>
      </c>
      <c r="M74" s="737">
        <v>0</v>
      </c>
      <c r="N74" s="737">
        <v>7202.6236799999988</v>
      </c>
      <c r="O74" s="737">
        <v>0</v>
      </c>
    </row>
    <row r="75" spans="2:15" x14ac:dyDescent="0.25">
      <c r="B75" s="364" t="s">
        <v>396</v>
      </c>
      <c r="C75" s="348"/>
      <c r="D75" s="292"/>
      <c r="E75" s="370"/>
      <c r="F75" s="738"/>
      <c r="G75" s="738"/>
      <c r="H75" s="738"/>
      <c r="I75" s="738"/>
      <c r="J75" s="738"/>
      <c r="K75" s="738"/>
      <c r="L75" s="738"/>
      <c r="M75" s="738"/>
      <c r="N75" s="738"/>
      <c r="O75" s="738"/>
    </row>
    <row r="76" spans="2:15" x14ac:dyDescent="0.25">
      <c r="B76" s="396" t="s">
        <v>762</v>
      </c>
      <c r="C76" s="354">
        <v>22050</v>
      </c>
      <c r="D76" s="269">
        <v>25000</v>
      </c>
      <c r="E76" s="268">
        <v>1</v>
      </c>
      <c r="F76" s="737">
        <v>0</v>
      </c>
      <c r="G76" s="737">
        <v>0</v>
      </c>
      <c r="H76" s="737">
        <v>0</v>
      </c>
      <c r="I76" s="737">
        <v>22050</v>
      </c>
      <c r="J76" s="737">
        <v>0</v>
      </c>
      <c r="K76" s="737">
        <v>0</v>
      </c>
      <c r="L76" s="737">
        <v>0</v>
      </c>
      <c r="M76" s="737">
        <v>22050</v>
      </c>
      <c r="N76" s="737">
        <v>0</v>
      </c>
      <c r="O76" s="737">
        <v>0</v>
      </c>
    </row>
    <row r="77" spans="2:15" x14ac:dyDescent="0.25">
      <c r="B77" s="396" t="s">
        <v>763</v>
      </c>
      <c r="C77" s="354">
        <v>24255</v>
      </c>
      <c r="D77" s="269">
        <v>20000</v>
      </c>
      <c r="E77" s="268">
        <v>2</v>
      </c>
      <c r="F77" s="737">
        <v>0</v>
      </c>
      <c r="G77" s="737">
        <v>0</v>
      </c>
      <c r="H77" s="737">
        <v>48510</v>
      </c>
      <c r="I77" s="737">
        <v>0</v>
      </c>
      <c r="J77" s="737">
        <v>0</v>
      </c>
      <c r="K77" s="737">
        <v>48510</v>
      </c>
      <c r="L77" s="737">
        <v>0</v>
      </c>
      <c r="M77" s="737">
        <v>0</v>
      </c>
      <c r="N77" s="737">
        <v>48510</v>
      </c>
      <c r="O77" s="737">
        <v>0</v>
      </c>
    </row>
    <row r="78" spans="2:15" x14ac:dyDescent="0.25">
      <c r="B78" s="364" t="s">
        <v>397</v>
      </c>
      <c r="C78" s="348"/>
      <c r="D78" s="292"/>
      <c r="E78" s="370"/>
      <c r="F78" s="738"/>
      <c r="G78" s="738"/>
      <c r="H78" s="738"/>
      <c r="I78" s="738"/>
      <c r="J78" s="738"/>
      <c r="K78" s="738"/>
      <c r="L78" s="738"/>
      <c r="M78" s="738"/>
      <c r="N78" s="738"/>
      <c r="O78" s="738"/>
    </row>
    <row r="79" spans="2:15" x14ac:dyDescent="0.25">
      <c r="B79" s="392" t="s">
        <v>385</v>
      </c>
      <c r="C79" s="354">
        <v>34320.678</v>
      </c>
      <c r="D79" s="269">
        <v>30000</v>
      </c>
      <c r="E79" s="268">
        <v>1</v>
      </c>
      <c r="F79" s="737">
        <v>0</v>
      </c>
      <c r="G79" s="737">
        <v>0</v>
      </c>
      <c r="H79" s="737">
        <v>0</v>
      </c>
      <c r="I79" s="737">
        <v>0</v>
      </c>
      <c r="J79" s="737">
        <v>34320.678</v>
      </c>
      <c r="K79" s="737">
        <v>0</v>
      </c>
      <c r="L79" s="737">
        <v>0</v>
      </c>
      <c r="M79" s="737">
        <v>0</v>
      </c>
      <c r="N79" s="737">
        <v>34320.678</v>
      </c>
      <c r="O79" s="737">
        <v>0</v>
      </c>
    </row>
    <row r="80" spans="2:15" x14ac:dyDescent="0.25">
      <c r="B80" s="417" t="s">
        <v>386</v>
      </c>
      <c r="C80" s="354">
        <v>833.96039999999994</v>
      </c>
      <c r="D80" s="269">
        <v>30000</v>
      </c>
      <c r="E80" s="268">
        <v>1</v>
      </c>
      <c r="F80" s="737">
        <v>0</v>
      </c>
      <c r="G80" s="737">
        <v>0</v>
      </c>
      <c r="H80" s="737">
        <v>0</v>
      </c>
      <c r="I80" s="737">
        <v>0</v>
      </c>
      <c r="J80" s="737">
        <v>833.96039999999994</v>
      </c>
      <c r="K80" s="737">
        <v>0</v>
      </c>
      <c r="L80" s="737">
        <v>0</v>
      </c>
      <c r="M80" s="737">
        <v>0</v>
      </c>
      <c r="N80" s="737">
        <v>833.96039999999994</v>
      </c>
      <c r="O80" s="737">
        <v>0</v>
      </c>
    </row>
    <row r="81" spans="2:15" x14ac:dyDescent="0.25">
      <c r="B81" s="392" t="s">
        <v>387</v>
      </c>
      <c r="C81" s="354">
        <v>2363.9364</v>
      </c>
      <c r="D81" s="269">
        <v>20000</v>
      </c>
      <c r="E81" s="268">
        <v>3</v>
      </c>
      <c r="F81" s="737">
        <v>0</v>
      </c>
      <c r="G81" s="737">
        <v>0</v>
      </c>
      <c r="H81" s="737">
        <v>7091.8091999999997</v>
      </c>
      <c r="I81" s="737">
        <v>0</v>
      </c>
      <c r="J81" s="737">
        <v>0</v>
      </c>
      <c r="K81" s="737">
        <v>7091.8091999999997</v>
      </c>
      <c r="L81" s="737">
        <v>0</v>
      </c>
      <c r="M81" s="737">
        <v>0</v>
      </c>
      <c r="N81" s="737">
        <v>7091.8091999999997</v>
      </c>
      <c r="O81" s="737">
        <v>0</v>
      </c>
    </row>
    <row r="82" spans="2:15" x14ac:dyDescent="0.25">
      <c r="B82" s="364" t="s">
        <v>506</v>
      </c>
      <c r="C82" s="348"/>
      <c r="D82" s="292"/>
      <c r="E82" s="370"/>
      <c r="F82" s="738"/>
      <c r="G82" s="738"/>
      <c r="H82" s="738"/>
      <c r="I82" s="738"/>
      <c r="J82" s="738"/>
      <c r="K82" s="738"/>
      <c r="L82" s="738"/>
      <c r="M82" s="738"/>
      <c r="N82" s="738"/>
      <c r="O82" s="738"/>
    </row>
    <row r="83" spans="2:15" x14ac:dyDescent="0.25">
      <c r="B83" s="417" t="s">
        <v>768</v>
      </c>
      <c r="C83" s="354">
        <v>22050</v>
      </c>
      <c r="D83" s="269">
        <v>25000</v>
      </c>
      <c r="E83" s="268">
        <v>6</v>
      </c>
      <c r="F83" s="737">
        <v>0</v>
      </c>
      <c r="G83" s="737">
        <v>0</v>
      </c>
      <c r="H83" s="737">
        <v>0</v>
      </c>
      <c r="I83" s="737">
        <v>132300</v>
      </c>
      <c r="J83" s="737">
        <v>0</v>
      </c>
      <c r="K83" s="737">
        <v>0</v>
      </c>
      <c r="L83" s="737">
        <v>0</v>
      </c>
      <c r="M83" s="737">
        <v>132300</v>
      </c>
      <c r="N83" s="737">
        <v>0</v>
      </c>
      <c r="O83" s="737">
        <v>0</v>
      </c>
    </row>
    <row r="84" spans="2:15" x14ac:dyDescent="0.25">
      <c r="B84" s="364" t="s">
        <v>398</v>
      </c>
      <c r="C84" s="348"/>
      <c r="D84" s="295"/>
      <c r="E84" s="370"/>
      <c r="F84" s="738"/>
      <c r="G84" s="738"/>
      <c r="H84" s="738"/>
      <c r="I84" s="738"/>
      <c r="J84" s="738"/>
      <c r="K84" s="738"/>
      <c r="L84" s="738"/>
      <c r="M84" s="738"/>
      <c r="N84" s="738"/>
      <c r="O84" s="738"/>
    </row>
    <row r="85" spans="2:15" x14ac:dyDescent="0.25">
      <c r="B85" s="396" t="s">
        <v>370</v>
      </c>
      <c r="C85" s="354">
        <v>13230</v>
      </c>
      <c r="D85" s="269">
        <v>30000</v>
      </c>
      <c r="E85" s="268">
        <v>1</v>
      </c>
      <c r="F85" s="737">
        <v>0</v>
      </c>
      <c r="G85" s="737">
        <v>0</v>
      </c>
      <c r="H85" s="737">
        <v>0</v>
      </c>
      <c r="I85" s="737">
        <v>0</v>
      </c>
      <c r="J85" s="737">
        <v>13230</v>
      </c>
      <c r="K85" s="737">
        <v>0</v>
      </c>
      <c r="L85" s="737">
        <v>0</v>
      </c>
      <c r="M85" s="737">
        <v>0</v>
      </c>
      <c r="N85" s="737">
        <v>13230</v>
      </c>
      <c r="O85" s="737">
        <v>0</v>
      </c>
    </row>
    <row r="86" spans="2:15" x14ac:dyDescent="0.25">
      <c r="B86" s="417" t="s">
        <v>388</v>
      </c>
      <c r="C86" s="354">
        <v>56153.404649999989</v>
      </c>
      <c r="D86" s="269">
        <v>25000</v>
      </c>
      <c r="E86" s="268">
        <v>2</v>
      </c>
      <c r="F86" s="737">
        <v>0</v>
      </c>
      <c r="G86" s="737">
        <v>0</v>
      </c>
      <c r="H86" s="737">
        <v>0</v>
      </c>
      <c r="I86" s="737">
        <v>112306.80929999998</v>
      </c>
      <c r="J86" s="737">
        <v>0</v>
      </c>
      <c r="K86" s="737">
        <v>0</v>
      </c>
      <c r="L86" s="737">
        <v>0</v>
      </c>
      <c r="M86" s="737">
        <v>112306.80929999998</v>
      </c>
      <c r="N86" s="737">
        <v>0</v>
      </c>
      <c r="O86" s="737">
        <v>0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47F8-72EB-4CF9-A6ED-A5E12157E61F}">
  <sheetPr>
    <tabColor theme="7" tint="0.39997558519241921"/>
  </sheetPr>
  <dimension ref="A2:S34"/>
  <sheetViews>
    <sheetView showGridLines="0" zoomScale="85" zoomScaleNormal="85" zoomScaleSheetLayoutView="100" workbookViewId="0">
      <selection activeCell="S18" sqref="S18"/>
    </sheetView>
  </sheetViews>
  <sheetFormatPr defaultColWidth="9.125" defaultRowHeight="12.9" x14ac:dyDescent="0.25"/>
  <cols>
    <col min="1" max="1" width="6" style="236" customWidth="1"/>
    <col min="2" max="2" width="43.5" style="274" customWidth="1"/>
    <col min="3" max="3" width="17" style="238" customWidth="1"/>
    <col min="4" max="4" width="24.125" style="238" customWidth="1"/>
    <col min="5" max="5" width="8.625" style="239" customWidth="1"/>
    <col min="6" max="14" width="8.375" style="239" customWidth="1"/>
    <col min="15" max="15" width="63.375" style="236" customWidth="1"/>
    <col min="16" max="16" width="14" style="236" bestFit="1" customWidth="1"/>
    <col min="17" max="16384" width="9.125" style="236"/>
  </cols>
  <sheetData>
    <row r="2" spans="1:16" ht="14.3" x14ac:dyDescent="0.25">
      <c r="B2" s="237" t="s">
        <v>259</v>
      </c>
    </row>
    <row r="3" spans="1:16" s="241" customFormat="1" ht="27" customHeight="1" x14ac:dyDescent="0.25">
      <c r="B3" s="242" t="s">
        <v>261</v>
      </c>
      <c r="C3" s="550" t="s">
        <v>162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263</v>
      </c>
    </row>
    <row r="4" spans="1:16" s="249" customFormat="1" ht="13.6" x14ac:dyDescent="0.25">
      <c r="A4" s="236">
        <v>1</v>
      </c>
      <c r="B4" s="246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469" t="s">
        <v>780</v>
      </c>
      <c r="P4" s="248"/>
    </row>
    <row r="5" spans="1:16" s="249" customFormat="1" ht="13.6" x14ac:dyDescent="0.25">
      <c r="A5" s="236">
        <f>A4+1</f>
        <v>2</v>
      </c>
      <c r="B5" s="246" t="s">
        <v>265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469"/>
      <c r="P5" s="248"/>
    </row>
    <row r="6" spans="1:16" s="249" customFormat="1" ht="13.6" x14ac:dyDescent="0.2">
      <c r="A6" s="236">
        <f t="shared" ref="A6:A10" si="1">A5+1</f>
        <v>3</v>
      </c>
      <c r="B6" s="250" t="s">
        <v>266</v>
      </c>
      <c r="C6" s="251" t="s">
        <v>29</v>
      </c>
      <c r="D6" s="252">
        <v>9104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469"/>
      <c r="P6" s="248"/>
    </row>
    <row r="7" spans="1:16" s="249" customFormat="1" ht="13.6" x14ac:dyDescent="0.2">
      <c r="A7" s="236">
        <f t="shared" si="1"/>
        <v>4</v>
      </c>
      <c r="B7" s="250" t="s">
        <v>267</v>
      </c>
      <c r="C7" s="251" t="s">
        <v>29</v>
      </c>
      <c r="D7" s="252">
        <v>7205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469"/>
      <c r="P7" s="248"/>
    </row>
    <row r="8" spans="1:16" s="249" customFormat="1" ht="13.6" x14ac:dyDescent="0.2">
      <c r="A8" s="236">
        <f t="shared" si="1"/>
        <v>5</v>
      </c>
      <c r="B8" s="250" t="s">
        <v>268</v>
      </c>
      <c r="C8" s="251" t="s">
        <v>29</v>
      </c>
      <c r="D8" s="252">
        <v>14595</v>
      </c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469"/>
      <c r="P8" s="248"/>
    </row>
    <row r="9" spans="1:16" s="249" customFormat="1" ht="13.6" x14ac:dyDescent="0.2">
      <c r="A9" s="236">
        <f t="shared" si="1"/>
        <v>6</v>
      </c>
      <c r="B9" s="246" t="s">
        <v>10</v>
      </c>
      <c r="C9" s="251" t="s">
        <v>269</v>
      </c>
      <c r="D9" s="252">
        <v>220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469" t="s">
        <v>421</v>
      </c>
      <c r="P9" s="248"/>
    </row>
    <row r="10" spans="1:16" ht="27.2" x14ac:dyDescent="0.25">
      <c r="A10" s="236">
        <f t="shared" si="1"/>
        <v>7</v>
      </c>
      <c r="B10" s="246" t="s">
        <v>270</v>
      </c>
      <c r="C10" s="253" t="s">
        <v>271</v>
      </c>
      <c r="D10" s="252" t="s">
        <v>781</v>
      </c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469" t="s">
        <v>422</v>
      </c>
      <c r="P10" s="254"/>
    </row>
    <row r="11" spans="1:16" ht="18.7" customHeight="1" x14ac:dyDescent="0.25">
      <c r="A11" s="236">
        <f>A10+1</f>
        <v>8</v>
      </c>
      <c r="B11" s="246" t="s">
        <v>12</v>
      </c>
      <c r="C11" s="253" t="s">
        <v>13</v>
      </c>
      <c r="D11" s="252">
        <v>1864</v>
      </c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469"/>
      <c r="P11" s="254"/>
    </row>
    <row r="12" spans="1:16" ht="19.55" customHeight="1" x14ac:dyDescent="0.25">
      <c r="A12" s="236">
        <f>A11+1</f>
        <v>9</v>
      </c>
      <c r="B12" s="246" t="s">
        <v>50</v>
      </c>
      <c r="C12" s="253"/>
      <c r="D12" s="253"/>
      <c r="E12" s="255">
        <f>(8760-E13-E14-E15)/8760</f>
        <v>0.91162480974124804</v>
      </c>
      <c r="F12" s="255">
        <f>(8760-F13-F14-F15)/8760</f>
        <v>0.89608701166920346</v>
      </c>
      <c r="G12" s="255">
        <f>(8760-G13-G14-G15)/8760</f>
        <v>0.84869672754946723</v>
      </c>
      <c r="H12" s="255">
        <f t="shared" ref="H12:N12" si="2">(8760-H13-H14-H15)/8760</f>
        <v>0.80563483003551495</v>
      </c>
      <c r="I12" s="255">
        <f t="shared" si="2"/>
        <v>0.89852866565195333</v>
      </c>
      <c r="J12" s="255">
        <f t="shared" si="2"/>
        <v>0.82206050228310501</v>
      </c>
      <c r="K12" s="255">
        <f t="shared" si="2"/>
        <v>0.88942795535261288</v>
      </c>
      <c r="L12" s="255">
        <f t="shared" si="2"/>
        <v>0.81118404363267382</v>
      </c>
      <c r="M12" s="255">
        <f t="shared" si="2"/>
        <v>0.85613267376966007</v>
      </c>
      <c r="N12" s="255">
        <f t="shared" si="2"/>
        <v>0.83393581938102479</v>
      </c>
      <c r="O12" s="469"/>
    </row>
    <row r="13" spans="1:16" ht="21.75" customHeight="1" x14ac:dyDescent="0.25">
      <c r="A13" s="236">
        <f t="shared" ref="A13:A31" si="3">A12+1</f>
        <v>10</v>
      </c>
      <c r="B13" s="256" t="s">
        <v>272</v>
      </c>
      <c r="C13" s="253" t="s">
        <v>273</v>
      </c>
      <c r="D13" s="253"/>
      <c r="E13" s="257">
        <f>'ESDE240 ТО_1'!G7</f>
        <v>230</v>
      </c>
      <c r="F13" s="257">
        <f>'ESDE240 ТО_1'!H7</f>
        <v>230</v>
      </c>
      <c r="G13" s="257">
        <f>'ESDE240 ТО_1'!I7</f>
        <v>230</v>
      </c>
      <c r="H13" s="257">
        <f>'ESDE240 ТО_1'!J7</f>
        <v>230</v>
      </c>
      <c r="I13" s="257">
        <f>'ESDE240 ТО_1'!K7</f>
        <v>230</v>
      </c>
      <c r="J13" s="257">
        <f>'ESDE240 ТО_1'!L7</f>
        <v>230</v>
      </c>
      <c r="K13" s="257">
        <f>'ESDE240 ТО_1'!M7</f>
        <v>230</v>
      </c>
      <c r="L13" s="257">
        <f>'ESDE240 ТО_1'!N7</f>
        <v>230</v>
      </c>
      <c r="M13" s="257">
        <f>'ESDE240 ТО_1'!O7</f>
        <v>230</v>
      </c>
      <c r="N13" s="257">
        <f>'ESDE240 ТО_1'!P7</f>
        <v>230</v>
      </c>
      <c r="O13" s="424"/>
    </row>
    <row r="14" spans="1:16" ht="21.75" customHeight="1" x14ac:dyDescent="0.25">
      <c r="A14" s="236">
        <f t="shared" si="3"/>
        <v>11</v>
      </c>
      <c r="B14" s="256" t="s">
        <v>274</v>
      </c>
      <c r="C14" s="253" t="s">
        <v>273</v>
      </c>
      <c r="D14" s="253"/>
      <c r="E14" s="257">
        <f>'ESDE240 Рем_1'!F8</f>
        <v>316</v>
      </c>
      <c r="F14" s="257">
        <f>'ESDE240 Рем_1'!G8</f>
        <v>456</v>
      </c>
      <c r="G14" s="257">
        <f>'ESDE240 Рем_1'!H8</f>
        <v>883</v>
      </c>
      <c r="H14" s="257">
        <f>'ESDE240 Рем_1'!I8</f>
        <v>1271</v>
      </c>
      <c r="I14" s="257">
        <f>'ESDE240 Рем_1'!J8</f>
        <v>434</v>
      </c>
      <c r="J14" s="257">
        <f>'ESDE240 Рем_1'!K8</f>
        <v>1123</v>
      </c>
      <c r="K14" s="257">
        <f>'ESDE240 Рем_1'!L8</f>
        <v>516</v>
      </c>
      <c r="L14" s="257">
        <f>'ESDE240 Рем_1'!M8</f>
        <v>1221</v>
      </c>
      <c r="M14" s="257">
        <f>'ESDE240 Рем_1'!N8</f>
        <v>816</v>
      </c>
      <c r="N14" s="257">
        <f>'ESDE240 Рем_1'!O8</f>
        <v>1016</v>
      </c>
      <c r="O14" s="424"/>
    </row>
    <row r="15" spans="1:16" ht="21.75" customHeight="1" x14ac:dyDescent="0.25">
      <c r="A15" s="236">
        <f t="shared" si="3"/>
        <v>12</v>
      </c>
      <c r="B15" s="256" t="s">
        <v>275</v>
      </c>
      <c r="C15" s="253" t="s">
        <v>273</v>
      </c>
      <c r="D15" s="253"/>
      <c r="E15" s="257">
        <f>(8760-E13-E14)/12*20/60</f>
        <v>228.16666666666666</v>
      </c>
      <c r="F15" s="257">
        <f t="shared" ref="F15:N15" si="4">(8760-F13-F14)/12*20/60</f>
        <v>224.2777777777778</v>
      </c>
      <c r="G15" s="257">
        <f t="shared" si="4"/>
        <v>212.41666666666666</v>
      </c>
      <c r="H15" s="257">
        <f t="shared" si="4"/>
        <v>201.63888888888886</v>
      </c>
      <c r="I15" s="257">
        <f t="shared" si="4"/>
        <v>224.88888888888886</v>
      </c>
      <c r="J15" s="257">
        <f t="shared" si="4"/>
        <v>205.75</v>
      </c>
      <c r="K15" s="257">
        <f t="shared" si="4"/>
        <v>222.61111111111114</v>
      </c>
      <c r="L15" s="257">
        <f t="shared" si="4"/>
        <v>203.0277777777778</v>
      </c>
      <c r="M15" s="257">
        <f t="shared" si="4"/>
        <v>214.2777777777778</v>
      </c>
      <c r="N15" s="257">
        <f t="shared" si="4"/>
        <v>208.7222222222222</v>
      </c>
      <c r="O15" s="424"/>
    </row>
    <row r="16" spans="1:16" ht="16.5" customHeight="1" x14ac:dyDescent="0.25">
      <c r="A16" s="236">
        <f t="shared" si="3"/>
        <v>13</v>
      </c>
      <c r="B16" s="246" t="s">
        <v>276</v>
      </c>
      <c r="C16" s="253" t="s">
        <v>277</v>
      </c>
      <c r="D16" s="252">
        <v>25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469"/>
    </row>
    <row r="17" spans="1:19" ht="16.5" customHeight="1" x14ac:dyDescent="0.25">
      <c r="A17" s="236">
        <f t="shared" si="3"/>
        <v>14</v>
      </c>
      <c r="B17" s="246" t="s">
        <v>278</v>
      </c>
      <c r="C17" s="253" t="s">
        <v>277</v>
      </c>
      <c r="D17" s="252">
        <v>28</v>
      </c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469"/>
      <c r="Q17" s="531" t="s">
        <v>523</v>
      </c>
      <c r="R17" s="531" t="s">
        <v>524</v>
      </c>
    </row>
    <row r="18" spans="1:19" ht="30.75" customHeight="1" x14ac:dyDescent="0.25">
      <c r="A18" s="236">
        <f t="shared" si="3"/>
        <v>15</v>
      </c>
      <c r="B18" s="246" t="s">
        <v>423</v>
      </c>
      <c r="C18" s="260" t="s">
        <v>280</v>
      </c>
      <c r="D18" s="260"/>
      <c r="E18" s="261">
        <f>SUM(E19:E23)</f>
        <v>180.53002627191864</v>
      </c>
      <c r="F18" s="261">
        <f t="shared" ref="F18:N18" si="5">SUM(F19:F23)</f>
        <v>276.72926017787324</v>
      </c>
      <c r="G18" s="261">
        <f t="shared" si="5"/>
        <v>928.14011027511879</v>
      </c>
      <c r="H18" s="261">
        <f t="shared" si="5"/>
        <v>2751.338917772202</v>
      </c>
      <c r="I18" s="261">
        <f t="shared" si="5"/>
        <v>184.23302627191865</v>
      </c>
      <c r="J18" s="261">
        <f t="shared" si="5"/>
        <v>1024.3393441810733</v>
      </c>
      <c r="K18" s="261">
        <f t="shared" si="5"/>
        <v>180.53002627191864</v>
      </c>
      <c r="L18" s="261">
        <f t="shared" si="5"/>
        <v>2751.338917772202</v>
      </c>
      <c r="M18" s="261">
        <f t="shared" si="5"/>
        <v>180.53002627191864</v>
      </c>
      <c r="N18" s="261">
        <f t="shared" si="5"/>
        <v>180.53002627191864</v>
      </c>
      <c r="O18" s="424"/>
      <c r="Q18" s="528">
        <f>SUM(E18:N18)</f>
        <v>8638.2396815380635</v>
      </c>
      <c r="R18" s="528">
        <f>Q18/$N$4</f>
        <v>863.82396815380639</v>
      </c>
      <c r="S18" s="1050">
        <f>R18*'ФОТ, МТР, макро'!$AJ$7</f>
        <v>81241.34846891326</v>
      </c>
    </row>
    <row r="19" spans="1:19" ht="19.55" customHeight="1" x14ac:dyDescent="0.25">
      <c r="A19" s="236">
        <f t="shared" si="3"/>
        <v>16</v>
      </c>
      <c r="B19" s="256" t="s">
        <v>281</v>
      </c>
      <c r="C19" s="260" t="s">
        <v>282</v>
      </c>
      <c r="D19" s="260"/>
      <c r="E19" s="263">
        <f>'ESDE240 ТО_1'!G9/1000</f>
        <v>154.71899099571866</v>
      </c>
      <c r="F19" s="263">
        <f>'ESDE240 ТО_1'!H9/1000</f>
        <v>154.71899099571866</v>
      </c>
      <c r="G19" s="263">
        <f>'ESDE240 ТО_1'!I9/1000</f>
        <v>154.71899099571866</v>
      </c>
      <c r="H19" s="263">
        <f>'ESDE240 ТО_1'!J9/1000</f>
        <v>154.71899099571866</v>
      </c>
      <c r="I19" s="263">
        <f>'ESDE240 ТО_1'!K9/1000</f>
        <v>154.71899099571866</v>
      </c>
      <c r="J19" s="263">
        <f>'ESDE240 ТО_1'!L9/1000</f>
        <v>154.71899099571866</v>
      </c>
      <c r="K19" s="263">
        <f>'ESDE240 ТО_1'!M9/1000</f>
        <v>154.71899099571866</v>
      </c>
      <c r="L19" s="263">
        <f>'ESDE240 ТО_1'!N9/1000</f>
        <v>154.71899099571866</v>
      </c>
      <c r="M19" s="263">
        <f>'ESDE240 ТО_1'!O9/1000</f>
        <v>154.71899099571866</v>
      </c>
      <c r="N19" s="263">
        <f>'ESDE240 ТО_1'!P9/1000</f>
        <v>154.71899099571866</v>
      </c>
      <c r="O19" s="424"/>
      <c r="Q19" s="529">
        <f>SUM(E19:N19)</f>
        <v>1547.1899099571867</v>
      </c>
      <c r="R19" s="529">
        <f>Q19/$N$4</f>
        <v>154.71899099571868</v>
      </c>
    </row>
    <row r="20" spans="1:19" ht="19.55" customHeight="1" x14ac:dyDescent="0.25">
      <c r="A20" s="236">
        <f t="shared" si="3"/>
        <v>17</v>
      </c>
      <c r="B20" s="256" t="s">
        <v>283</v>
      </c>
      <c r="C20" s="260" t="s">
        <v>282</v>
      </c>
      <c r="D20" s="260"/>
      <c r="E20" s="263">
        <f>'ESDE240 Рем_1'!F10/1000</f>
        <v>0</v>
      </c>
      <c r="F20" s="263">
        <f>'ESDE240 Рем_1'!G10/1000</f>
        <v>0</v>
      </c>
      <c r="G20" s="263">
        <f>'ESDE240 Рем_1'!H10/1000</f>
        <v>0</v>
      </c>
      <c r="H20" s="263">
        <f>'ESDE240 Рем_1'!I10/1000</f>
        <v>0</v>
      </c>
      <c r="I20" s="263">
        <f>'ESDE240 Рем_1'!J10/1000</f>
        <v>0</v>
      </c>
      <c r="J20" s="263">
        <f>'ESDE240 Рем_1'!K10/1000</f>
        <v>0</v>
      </c>
      <c r="K20" s="263">
        <f>'ESDE240 Рем_1'!L10/1000</f>
        <v>0</v>
      </c>
      <c r="L20" s="263">
        <f>'ESDE240 Рем_1'!M10/1000</f>
        <v>0</v>
      </c>
      <c r="M20" s="263">
        <f>'ESDE240 Рем_1'!N10/1000</f>
        <v>0</v>
      </c>
      <c r="N20" s="263">
        <f>'ESDE240 Рем_1'!O10/1000</f>
        <v>0</v>
      </c>
      <c r="O20" s="424"/>
      <c r="Q20" s="529">
        <f t="shared" ref="Q20:Q23" si="6">SUM(E20:N20)</f>
        <v>0</v>
      </c>
      <c r="R20" s="529">
        <f t="shared" ref="R20:R23" si="7">Q20/$N$4</f>
        <v>0</v>
      </c>
    </row>
    <row r="21" spans="1:19" ht="25.85" x14ac:dyDescent="0.25">
      <c r="A21" s="236">
        <f t="shared" si="3"/>
        <v>18</v>
      </c>
      <c r="B21" s="256" t="s">
        <v>284</v>
      </c>
      <c r="C21" s="260" t="s">
        <v>282</v>
      </c>
      <c r="D21" s="260"/>
      <c r="E21" s="263">
        <f>'ESDE240 Рем_1'!F11/1000</f>
        <v>4.9310352762000003</v>
      </c>
      <c r="F21" s="263">
        <f>'ESDE240 Рем_1'!G11/1000</f>
        <v>88.530269182154584</v>
      </c>
      <c r="G21" s="263">
        <f>'ESDE240 Рем_1'!H11/1000</f>
        <v>701.51111927940008</v>
      </c>
      <c r="H21" s="263">
        <f>'ESDE240 Рем_1'!I11/1000</f>
        <v>2494.2899267764833</v>
      </c>
      <c r="I21" s="263">
        <f>'ESDE240 Рем_1'!J11/1000</f>
        <v>7.0140352762000004</v>
      </c>
      <c r="J21" s="263">
        <f>'ESDE240 Рем_1'!K11/1000</f>
        <v>785.1103531853546</v>
      </c>
      <c r="K21" s="263">
        <f>'ESDE240 Рем_1'!L11/1000</f>
        <v>4.9310352762000003</v>
      </c>
      <c r="L21" s="263">
        <f>'ESDE240 Рем_1'!M11/1000</f>
        <v>2494.2899267764833</v>
      </c>
      <c r="M21" s="263">
        <f>'ESDE240 Рем_1'!N11/1000</f>
        <v>4.9310352762000003</v>
      </c>
      <c r="N21" s="263">
        <f>'ESDE240 Рем_1'!O11/1000</f>
        <v>4.9310352762000003</v>
      </c>
      <c r="O21" s="424"/>
      <c r="Q21" s="529">
        <f t="shared" si="6"/>
        <v>6590.4697715808761</v>
      </c>
      <c r="R21" s="529">
        <f t="shared" si="7"/>
        <v>659.04697715808766</v>
      </c>
    </row>
    <row r="22" spans="1:19" ht="16.5" customHeight="1" x14ac:dyDescent="0.25">
      <c r="A22" s="236">
        <f t="shared" si="3"/>
        <v>19</v>
      </c>
      <c r="B22" s="256" t="s">
        <v>285</v>
      </c>
      <c r="C22" s="260" t="s">
        <v>282</v>
      </c>
      <c r="D22" s="260"/>
      <c r="E22" s="263">
        <f>'ESDE240 ТО_1'!G10/1000</f>
        <v>19.440000000000001</v>
      </c>
      <c r="F22" s="263">
        <f>'ESDE240 ТО_1'!H10/1000</f>
        <v>19.440000000000001</v>
      </c>
      <c r="G22" s="263">
        <f>'ESDE240 ТО_1'!I10/1000</f>
        <v>19.440000000000001</v>
      </c>
      <c r="H22" s="263">
        <f>'ESDE240 ТО_1'!J10/1000</f>
        <v>19.440000000000001</v>
      </c>
      <c r="I22" s="263">
        <f>'ESDE240 ТО_1'!K10/1000</f>
        <v>19.440000000000001</v>
      </c>
      <c r="J22" s="263">
        <f>'ESDE240 ТО_1'!L10/1000</f>
        <v>19.440000000000001</v>
      </c>
      <c r="K22" s="263">
        <f>'ESDE240 ТО_1'!M10/1000</f>
        <v>19.440000000000001</v>
      </c>
      <c r="L22" s="263">
        <f>'ESDE240 ТО_1'!N10/1000</f>
        <v>19.440000000000001</v>
      </c>
      <c r="M22" s="263">
        <f>'ESDE240 ТО_1'!O10/1000</f>
        <v>19.440000000000001</v>
      </c>
      <c r="N22" s="263">
        <f>'ESDE240 ТО_1'!P10/1000</f>
        <v>19.440000000000001</v>
      </c>
      <c r="O22" s="424"/>
      <c r="Q22" s="529">
        <f t="shared" si="6"/>
        <v>194.4</v>
      </c>
      <c r="R22" s="529">
        <f t="shared" si="7"/>
        <v>19.440000000000001</v>
      </c>
    </row>
    <row r="23" spans="1:19" ht="16.5" customHeight="1" x14ac:dyDescent="0.25">
      <c r="A23" s="236">
        <f t="shared" si="3"/>
        <v>20</v>
      </c>
      <c r="B23" s="256" t="s">
        <v>286</v>
      </c>
      <c r="C23" s="260" t="s">
        <v>282</v>
      </c>
      <c r="D23" s="260"/>
      <c r="E23" s="263">
        <f>'ESDE240 Рем_1'!F12/1000</f>
        <v>1.44</v>
      </c>
      <c r="F23" s="263">
        <f>'ESDE240 Рем_1'!G12/1000</f>
        <v>14.04</v>
      </c>
      <c r="G23" s="263">
        <f>'ESDE240 Рем_1'!H12/1000</f>
        <v>52.47</v>
      </c>
      <c r="H23" s="263">
        <f>'ESDE240 Рем_1'!I12/1000</f>
        <v>82.89</v>
      </c>
      <c r="I23" s="263">
        <f>'ESDE240 Рем_1'!J12/1000</f>
        <v>3.06</v>
      </c>
      <c r="J23" s="263">
        <f>'ESDE240 Рем_1'!K12/1000</f>
        <v>65.069999999999993</v>
      </c>
      <c r="K23" s="263">
        <f>'ESDE240 Рем_1'!L12/1000</f>
        <v>1.44</v>
      </c>
      <c r="L23" s="263">
        <f>'ESDE240 Рем_1'!M12/1000</f>
        <v>82.89</v>
      </c>
      <c r="M23" s="263">
        <f>'ESDE240 Рем_1'!N12/1000</f>
        <v>1.44</v>
      </c>
      <c r="N23" s="263">
        <f>'ESDE240 Рем_1'!O12/1000</f>
        <v>1.44</v>
      </c>
      <c r="O23" s="424" t="s">
        <v>424</v>
      </c>
      <c r="Q23" s="529">
        <f t="shared" si="6"/>
        <v>306.18</v>
      </c>
      <c r="R23" s="529">
        <f t="shared" si="7"/>
        <v>30.618000000000002</v>
      </c>
    </row>
    <row r="24" spans="1:19" ht="19.55" customHeight="1" x14ac:dyDescent="0.25">
      <c r="A24" s="236">
        <f t="shared" si="3"/>
        <v>21</v>
      </c>
      <c r="B24" s="264" t="s">
        <v>39</v>
      </c>
      <c r="C24" s="260"/>
      <c r="D24" s="260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469"/>
    </row>
    <row r="25" spans="1:19" ht="14.95" customHeight="1" x14ac:dyDescent="0.25">
      <c r="A25" s="236">
        <f t="shared" si="3"/>
        <v>22</v>
      </c>
      <c r="B25" s="266" t="s">
        <v>287</v>
      </c>
      <c r="C25" s="260"/>
      <c r="D25" s="745" t="s">
        <v>782</v>
      </c>
      <c r="E25" s="267"/>
      <c r="F25" s="265"/>
      <c r="G25" s="265"/>
      <c r="H25" s="265"/>
      <c r="I25" s="265"/>
      <c r="J25" s="265"/>
      <c r="K25" s="265"/>
      <c r="L25" s="265"/>
      <c r="M25" s="265"/>
      <c r="N25" s="265"/>
      <c r="O25" s="469" t="s">
        <v>426</v>
      </c>
    </row>
    <row r="26" spans="1:19" ht="14.3" x14ac:dyDescent="0.25">
      <c r="A26" s="236">
        <f t="shared" si="3"/>
        <v>23</v>
      </c>
      <c r="B26" s="266" t="s">
        <v>290</v>
      </c>
      <c r="C26" s="260"/>
      <c r="D26" s="746" t="s">
        <v>783</v>
      </c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469" t="s">
        <v>426</v>
      </c>
    </row>
    <row r="27" spans="1:19" ht="13.6" x14ac:dyDescent="0.25">
      <c r="A27" s="236">
        <f t="shared" si="3"/>
        <v>24</v>
      </c>
      <c r="B27" s="264" t="s">
        <v>70</v>
      </c>
      <c r="C27" s="260"/>
      <c r="D27" s="26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469" t="s">
        <v>426</v>
      </c>
    </row>
    <row r="28" spans="1:19" ht="13.6" x14ac:dyDescent="0.25">
      <c r="A28" s="236">
        <f t="shared" si="3"/>
        <v>25</v>
      </c>
      <c r="B28" s="266" t="s">
        <v>293</v>
      </c>
      <c r="C28" s="260" t="s">
        <v>145</v>
      </c>
      <c r="D28" s="747">
        <v>95</v>
      </c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469"/>
    </row>
    <row r="29" spans="1:19" ht="13.6" x14ac:dyDescent="0.25">
      <c r="A29" s="236">
        <f t="shared" si="3"/>
        <v>26</v>
      </c>
      <c r="B29" s="266" t="s">
        <v>294</v>
      </c>
      <c r="C29" s="260" t="s">
        <v>145</v>
      </c>
      <c r="D29" s="747">
        <v>145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469"/>
    </row>
    <row r="30" spans="1:19" ht="13.6" x14ac:dyDescent="0.25">
      <c r="A30" s="236">
        <f t="shared" si="3"/>
        <v>27</v>
      </c>
      <c r="B30" s="266" t="s">
        <v>295</v>
      </c>
      <c r="C30" s="260" t="s">
        <v>145</v>
      </c>
      <c r="D30" s="747">
        <v>237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469"/>
    </row>
    <row r="31" spans="1:19" ht="18" customHeight="1" x14ac:dyDescent="0.25">
      <c r="A31" s="236">
        <f t="shared" si="3"/>
        <v>28</v>
      </c>
      <c r="B31" s="246" t="s">
        <v>296</v>
      </c>
      <c r="C31" s="272" t="s">
        <v>297</v>
      </c>
      <c r="D31" s="273">
        <v>7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473"/>
    </row>
    <row r="34" spans="5:15" ht="13.6" x14ac:dyDescent="0.25">
      <c r="E34" s="527">
        <f>E18/(365*24*E12)*1000</f>
        <v>22.606285247448856</v>
      </c>
      <c r="F34" s="527">
        <f t="shared" ref="F34:N34" si="8">F18/(365*24*F12)*1000</f>
        <v>35.253382520271195</v>
      </c>
      <c r="G34" s="527">
        <f t="shared" si="8"/>
        <v>124.84090481759149</v>
      </c>
      <c r="H34" s="527">
        <f t="shared" si="8"/>
        <v>389.853781669255</v>
      </c>
      <c r="I34" s="527">
        <f t="shared" si="8"/>
        <v>23.406228634207618</v>
      </c>
      <c r="J34" s="527">
        <f t="shared" si="8"/>
        <v>142.24465810533911</v>
      </c>
      <c r="K34" s="527">
        <f t="shared" si="8"/>
        <v>23.170455081425615</v>
      </c>
      <c r="L34" s="527">
        <f t="shared" si="8"/>
        <v>387.18683830033137</v>
      </c>
      <c r="M34" s="527">
        <f t="shared" si="8"/>
        <v>24.071561708911702</v>
      </c>
      <c r="N34" s="527">
        <f t="shared" si="8"/>
        <v>24.712274024826311</v>
      </c>
      <c r="O34" s="532">
        <f>SUMPRODUCT(E34:N34,E12:N12)/SUM(E12:N12)</f>
        <v>115.01976141236025</v>
      </c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E823-16D4-4F3E-B71A-43B491037B12}">
  <sheetPr>
    <tabColor theme="7" tint="0.39997558519241921"/>
  </sheetPr>
  <dimension ref="B2:R163"/>
  <sheetViews>
    <sheetView showGridLines="0" zoomScale="85" zoomScaleNormal="85" workbookViewId="0">
      <pane xSplit="5" ySplit="4" topLeftCell="F5" activePane="bottomRight" state="frozen"/>
      <selection activeCell="O38" sqref="O38"/>
      <selection pane="topRight" activeCell="O38" sqref="O38"/>
      <selection pane="bottomLeft" activeCell="O38" sqref="O38"/>
      <selection pane="bottomRight" activeCell="Y37" sqref="Y37"/>
    </sheetView>
  </sheetViews>
  <sheetFormatPr defaultRowHeight="14.3" x14ac:dyDescent="0.25"/>
  <cols>
    <col min="1" max="1" width="5.5" style="275" customWidth="1"/>
    <col min="2" max="2" width="34.625" style="275" customWidth="1"/>
    <col min="3" max="3" width="22.375" style="275" customWidth="1"/>
    <col min="4" max="4" width="14.625" style="275" customWidth="1"/>
    <col min="5" max="5" width="14" style="275" customWidth="1"/>
    <col min="6" max="6" width="9.375" style="275" bestFit="1" customWidth="1"/>
    <col min="7" max="16" width="10" style="275" customWidth="1"/>
    <col min="17" max="17" width="13.125" style="275" customWidth="1"/>
    <col min="18" max="16384" width="9" style="275"/>
  </cols>
  <sheetData>
    <row r="2" spans="2:18" x14ac:dyDescent="0.25">
      <c r="B2" s="237" t="s">
        <v>259</v>
      </c>
    </row>
    <row r="3" spans="2:18" ht="14.95" thickBot="1" x14ac:dyDescent="0.3">
      <c r="B3" s="275" t="s">
        <v>298</v>
      </c>
      <c r="G3" s="277">
        <f>ESDE240_1!E12</f>
        <v>0.91162480974124804</v>
      </c>
      <c r="H3" s="277">
        <f>ESDE240_1!F12</f>
        <v>0.89608701166920346</v>
      </c>
      <c r="I3" s="277">
        <f>ESDE240_1!G12</f>
        <v>0.84869672754946723</v>
      </c>
      <c r="J3" s="277">
        <f>ESDE240_1!H12</f>
        <v>0.80563483003551495</v>
      </c>
      <c r="K3" s="277">
        <f>ESDE240_1!I12</f>
        <v>0.89852866565195333</v>
      </c>
      <c r="L3" s="277">
        <f>ESDE240_1!J12</f>
        <v>0.82206050228310501</v>
      </c>
      <c r="M3" s="277">
        <f>ESDE240_1!K12</f>
        <v>0.88942795535261288</v>
      </c>
      <c r="N3" s="277">
        <f>ESDE240_1!L12</f>
        <v>0.81118404363267382</v>
      </c>
      <c r="O3" s="277">
        <f>ESDE240_1!M12</f>
        <v>0.85613267376966007</v>
      </c>
      <c r="P3" s="277">
        <f>ESDE240_1!N12</f>
        <v>0.83393581938102479</v>
      </c>
    </row>
    <row r="4" spans="2:18" ht="22.25" customHeight="1" thickBot="1" x14ac:dyDescent="0.3">
      <c r="B4" s="278" t="s">
        <v>299</v>
      </c>
      <c r="C4" s="279" t="s">
        <v>8</v>
      </c>
      <c r="D4" s="280"/>
      <c r="E4" s="281"/>
      <c r="F4" s="282"/>
      <c r="G4" s="283">
        <f>E4+1</f>
        <v>1</v>
      </c>
      <c r="H4" s="283">
        <f>G4+1</f>
        <v>2</v>
      </c>
      <c r="I4" s="283">
        <f t="shared" ref="I4:P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  <c r="O4" s="283">
        <f t="shared" si="0"/>
        <v>9</v>
      </c>
      <c r="P4" s="283">
        <f t="shared" si="0"/>
        <v>10</v>
      </c>
    </row>
    <row r="5" spans="2:18" x14ac:dyDescent="0.25">
      <c r="B5" s="284" t="s">
        <v>300</v>
      </c>
      <c r="C5" s="285" t="s">
        <v>301</v>
      </c>
      <c r="D5" s="286"/>
      <c r="E5" s="287"/>
      <c r="F5" s="288"/>
      <c r="G5" s="475">
        <v>0</v>
      </c>
      <c r="H5" s="475">
        <f>G6+1</f>
        <v>7001</v>
      </c>
      <c r="I5" s="475">
        <f t="shared" ref="I5:P5" si="1">H6+1</f>
        <v>14001</v>
      </c>
      <c r="J5" s="475">
        <f t="shared" si="1"/>
        <v>21001</v>
      </c>
      <c r="K5" s="475">
        <f t="shared" si="1"/>
        <v>28001</v>
      </c>
      <c r="L5" s="475">
        <f t="shared" si="1"/>
        <v>35001</v>
      </c>
      <c r="M5" s="475">
        <f t="shared" si="1"/>
        <v>42001</v>
      </c>
      <c r="N5" s="475">
        <f t="shared" si="1"/>
        <v>49001</v>
      </c>
      <c r="O5" s="475">
        <f t="shared" si="1"/>
        <v>56001</v>
      </c>
      <c r="P5" s="475">
        <f t="shared" si="1"/>
        <v>63001</v>
      </c>
    </row>
    <row r="6" spans="2:18" x14ac:dyDescent="0.25">
      <c r="B6" s="290" t="s">
        <v>302</v>
      </c>
      <c r="C6" s="291" t="s">
        <v>301</v>
      </c>
      <c r="D6" s="292"/>
      <c r="E6" s="293"/>
      <c r="F6" s="294">
        <v>7000</v>
      </c>
      <c r="G6" s="476">
        <f>F6</f>
        <v>7000</v>
      </c>
      <c r="H6" s="476">
        <f t="shared" ref="H6:P6" si="2">G6+$F6</f>
        <v>14000</v>
      </c>
      <c r="I6" s="476">
        <f t="shared" si="2"/>
        <v>21000</v>
      </c>
      <c r="J6" s="476">
        <f t="shared" si="2"/>
        <v>28000</v>
      </c>
      <c r="K6" s="476">
        <f t="shared" si="2"/>
        <v>35000</v>
      </c>
      <c r="L6" s="476">
        <f t="shared" si="2"/>
        <v>42000</v>
      </c>
      <c r="M6" s="476">
        <f t="shared" si="2"/>
        <v>49000</v>
      </c>
      <c r="N6" s="476">
        <f t="shared" si="2"/>
        <v>56000</v>
      </c>
      <c r="O6" s="476">
        <f t="shared" si="2"/>
        <v>63000</v>
      </c>
      <c r="P6" s="476">
        <f t="shared" si="2"/>
        <v>70000</v>
      </c>
    </row>
    <row r="7" spans="2:18" ht="21.75" customHeight="1" x14ac:dyDescent="0.25">
      <c r="B7" s="296" t="s">
        <v>303</v>
      </c>
      <c r="C7" s="297" t="s">
        <v>304</v>
      </c>
      <c r="D7" s="253"/>
      <c r="E7" s="298"/>
      <c r="F7" s="299"/>
      <c r="G7" s="257">
        <f>G13</f>
        <v>230</v>
      </c>
      <c r="H7" s="257">
        <f t="shared" ref="H7:P7" si="3">H13</f>
        <v>230</v>
      </c>
      <c r="I7" s="257">
        <f t="shared" si="3"/>
        <v>230</v>
      </c>
      <c r="J7" s="257">
        <f t="shared" si="3"/>
        <v>230</v>
      </c>
      <c r="K7" s="257">
        <f t="shared" si="3"/>
        <v>230</v>
      </c>
      <c r="L7" s="257">
        <f t="shared" si="3"/>
        <v>230</v>
      </c>
      <c r="M7" s="257">
        <f t="shared" si="3"/>
        <v>230</v>
      </c>
      <c r="N7" s="257">
        <f t="shared" si="3"/>
        <v>230</v>
      </c>
      <c r="O7" s="257">
        <f t="shared" si="3"/>
        <v>230</v>
      </c>
      <c r="P7" s="257">
        <f t="shared" si="3"/>
        <v>230</v>
      </c>
    </row>
    <row r="8" spans="2:18" ht="21.1" customHeight="1" x14ac:dyDescent="0.25">
      <c r="B8" s="300" t="s">
        <v>305</v>
      </c>
      <c r="C8" s="301" t="s">
        <v>306</v>
      </c>
      <c r="D8" s="260"/>
      <c r="E8" s="298"/>
      <c r="F8" s="299"/>
      <c r="G8" s="302">
        <f t="shared" ref="G8:P8" si="4">SUM(G9:G10)</f>
        <v>174158.99099571866</v>
      </c>
      <c r="H8" s="302">
        <f t="shared" si="4"/>
        <v>174158.99099571866</v>
      </c>
      <c r="I8" s="302">
        <f t="shared" si="4"/>
        <v>174158.99099571866</v>
      </c>
      <c r="J8" s="302">
        <f t="shared" si="4"/>
        <v>174158.99099571866</v>
      </c>
      <c r="K8" s="302">
        <f t="shared" si="4"/>
        <v>174158.99099571866</v>
      </c>
      <c r="L8" s="302">
        <f t="shared" si="4"/>
        <v>174158.99099571866</v>
      </c>
      <c r="M8" s="302">
        <f t="shared" si="4"/>
        <v>174158.99099571866</v>
      </c>
      <c r="N8" s="302">
        <f t="shared" si="4"/>
        <v>174158.99099571866</v>
      </c>
      <c r="O8" s="302">
        <f t="shared" si="4"/>
        <v>174158.99099571866</v>
      </c>
      <c r="P8" s="302">
        <f t="shared" si="4"/>
        <v>174158.99099571866</v>
      </c>
    </row>
    <row r="9" spans="2:18" ht="20.25" customHeight="1" x14ac:dyDescent="0.25">
      <c r="B9" s="304" t="s">
        <v>307</v>
      </c>
      <c r="C9" s="305" t="s">
        <v>306</v>
      </c>
      <c r="D9" s="306"/>
      <c r="E9" s="307"/>
      <c r="F9" s="308"/>
      <c r="G9" s="263">
        <f>G24</f>
        <v>154718.99099571866</v>
      </c>
      <c r="H9" s="263">
        <f>H24</f>
        <v>154718.99099571866</v>
      </c>
      <c r="I9" s="263">
        <f t="shared" ref="I9:P9" si="5">I24</f>
        <v>154718.99099571866</v>
      </c>
      <c r="J9" s="263">
        <f t="shared" si="5"/>
        <v>154718.99099571866</v>
      </c>
      <c r="K9" s="263">
        <f t="shared" si="5"/>
        <v>154718.99099571866</v>
      </c>
      <c r="L9" s="263">
        <f t="shared" si="5"/>
        <v>154718.99099571866</v>
      </c>
      <c r="M9" s="263">
        <f t="shared" si="5"/>
        <v>154718.99099571866</v>
      </c>
      <c r="N9" s="263">
        <f t="shared" si="5"/>
        <v>154718.99099571866</v>
      </c>
      <c r="O9" s="263">
        <f t="shared" si="5"/>
        <v>154718.99099571866</v>
      </c>
      <c r="P9" s="263">
        <f t="shared" si="5"/>
        <v>154718.99099571866</v>
      </c>
    </row>
    <row r="10" spans="2:18" ht="23.3" customHeight="1" thickBot="1" x14ac:dyDescent="0.3">
      <c r="B10" s="309" t="s">
        <v>308</v>
      </c>
      <c r="C10" s="310" t="s">
        <v>306</v>
      </c>
      <c r="D10" s="311"/>
      <c r="E10" s="312"/>
      <c r="F10" s="313">
        <v>45</v>
      </c>
      <c r="G10" s="314">
        <f>SUMPRODUCT(G14:G21,$F$14:$F$21)*$F10</f>
        <v>19440</v>
      </c>
      <c r="H10" s="314">
        <f>SUMPRODUCT(H14:H21,$F$14:$F$21)*$F10</f>
        <v>19440</v>
      </c>
      <c r="I10" s="314">
        <f t="shared" ref="I10:P10" si="6">SUMPRODUCT(I14:I21,$F$14:$F$21)*$F10</f>
        <v>19440</v>
      </c>
      <c r="J10" s="314">
        <f t="shared" si="6"/>
        <v>19440</v>
      </c>
      <c r="K10" s="314">
        <f t="shared" si="6"/>
        <v>19440</v>
      </c>
      <c r="L10" s="314">
        <f t="shared" si="6"/>
        <v>19440</v>
      </c>
      <c r="M10" s="314">
        <f t="shared" si="6"/>
        <v>19440</v>
      </c>
      <c r="N10" s="314">
        <f t="shared" si="6"/>
        <v>19440</v>
      </c>
      <c r="O10" s="314">
        <f t="shared" si="6"/>
        <v>19440</v>
      </c>
      <c r="P10" s="314">
        <f t="shared" si="6"/>
        <v>19440</v>
      </c>
    </row>
    <row r="11" spans="2:18" ht="14.95" thickBot="1" x14ac:dyDescent="0.3">
      <c r="B11" s="1069"/>
      <c r="C11" s="1070"/>
      <c r="D11" s="1070"/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</row>
    <row r="12" spans="2:18" ht="34.65" x14ac:dyDescent="0.25">
      <c r="B12" s="315" t="s">
        <v>309</v>
      </c>
      <c r="C12" s="316" t="s">
        <v>310</v>
      </c>
      <c r="D12" s="317" t="s">
        <v>311</v>
      </c>
      <c r="E12" s="318" t="s">
        <v>312</v>
      </c>
      <c r="F12" s="319" t="s">
        <v>313</v>
      </c>
      <c r="G12" s="320" t="s">
        <v>314</v>
      </c>
      <c r="H12" s="320" t="s">
        <v>314</v>
      </c>
      <c r="I12" s="320" t="s">
        <v>314</v>
      </c>
      <c r="J12" s="320" t="s">
        <v>314</v>
      </c>
      <c r="K12" s="320" t="s">
        <v>314</v>
      </c>
      <c r="L12" s="320" t="s">
        <v>314</v>
      </c>
      <c r="M12" s="320" t="s">
        <v>314</v>
      </c>
      <c r="N12" s="320" t="s">
        <v>314</v>
      </c>
      <c r="O12" s="320" t="s">
        <v>314</v>
      </c>
      <c r="P12" s="320" t="s">
        <v>314</v>
      </c>
    </row>
    <row r="13" spans="2:18" x14ac:dyDescent="0.25">
      <c r="B13" s="321" t="s">
        <v>315</v>
      </c>
      <c r="C13" s="322"/>
      <c r="D13" s="323"/>
      <c r="E13" s="324"/>
      <c r="F13" s="325"/>
      <c r="G13" s="326">
        <f>SUM(G14:G21)</f>
        <v>230</v>
      </c>
      <c r="H13" s="326">
        <f t="shared" ref="H13:P13" si="7">SUM(H14:H21)</f>
        <v>230</v>
      </c>
      <c r="I13" s="326">
        <f t="shared" si="7"/>
        <v>230</v>
      </c>
      <c r="J13" s="326">
        <f t="shared" si="7"/>
        <v>230</v>
      </c>
      <c r="K13" s="326">
        <f t="shared" si="7"/>
        <v>230</v>
      </c>
      <c r="L13" s="326">
        <f t="shared" si="7"/>
        <v>230</v>
      </c>
      <c r="M13" s="326">
        <f t="shared" si="7"/>
        <v>230</v>
      </c>
      <c r="N13" s="326">
        <f t="shared" si="7"/>
        <v>230</v>
      </c>
      <c r="O13" s="326">
        <f t="shared" si="7"/>
        <v>230</v>
      </c>
      <c r="P13" s="326">
        <f t="shared" si="7"/>
        <v>230</v>
      </c>
    </row>
    <row r="14" spans="2:18" x14ac:dyDescent="0.25">
      <c r="B14" s="327" t="s">
        <v>317</v>
      </c>
      <c r="C14" s="328">
        <v>250</v>
      </c>
      <c r="D14" s="268">
        <v>6</v>
      </c>
      <c r="E14" s="329">
        <v>14</v>
      </c>
      <c r="F14" s="330">
        <v>2</v>
      </c>
      <c r="G14" s="268">
        <f t="shared" ref="G14:P21" si="8">$E14*$D14</f>
        <v>84</v>
      </c>
      <c r="H14" s="268">
        <f t="shared" si="8"/>
        <v>84</v>
      </c>
      <c r="I14" s="268">
        <f>$E14*$D14</f>
        <v>84</v>
      </c>
      <c r="J14" s="268">
        <f t="shared" si="8"/>
        <v>84</v>
      </c>
      <c r="K14" s="268">
        <f t="shared" si="8"/>
        <v>84</v>
      </c>
      <c r="L14" s="268">
        <f t="shared" si="8"/>
        <v>84</v>
      </c>
      <c r="M14" s="268">
        <f t="shared" si="8"/>
        <v>84</v>
      </c>
      <c r="N14" s="268">
        <f t="shared" si="8"/>
        <v>84</v>
      </c>
      <c r="O14" s="268">
        <f t="shared" si="8"/>
        <v>84</v>
      </c>
      <c r="P14" s="268">
        <f t="shared" si="8"/>
        <v>84</v>
      </c>
      <c r="R14" s="275" t="s">
        <v>551</v>
      </c>
    </row>
    <row r="15" spans="2:18" x14ac:dyDescent="0.25">
      <c r="B15" s="327" t="s">
        <v>318</v>
      </c>
      <c r="C15" s="328">
        <v>500</v>
      </c>
      <c r="D15" s="268">
        <v>8</v>
      </c>
      <c r="E15" s="329">
        <v>7</v>
      </c>
      <c r="F15" s="330">
        <v>2</v>
      </c>
      <c r="G15" s="268">
        <f t="shared" si="8"/>
        <v>56</v>
      </c>
      <c r="H15" s="268">
        <f t="shared" si="8"/>
        <v>56</v>
      </c>
      <c r="I15" s="268">
        <f t="shared" si="8"/>
        <v>56</v>
      </c>
      <c r="J15" s="268">
        <f t="shared" si="8"/>
        <v>56</v>
      </c>
      <c r="K15" s="268">
        <f t="shared" si="8"/>
        <v>56</v>
      </c>
      <c r="L15" s="268">
        <f t="shared" si="8"/>
        <v>56</v>
      </c>
      <c r="M15" s="268">
        <f t="shared" si="8"/>
        <v>56</v>
      </c>
      <c r="N15" s="268">
        <f t="shared" si="8"/>
        <v>56</v>
      </c>
      <c r="O15" s="268">
        <f t="shared" si="8"/>
        <v>56</v>
      </c>
      <c r="P15" s="268">
        <f t="shared" si="8"/>
        <v>56</v>
      </c>
      <c r="R15" s="275" t="s">
        <v>551</v>
      </c>
    </row>
    <row r="16" spans="2:18" x14ac:dyDescent="0.25">
      <c r="B16" s="327" t="s">
        <v>319</v>
      </c>
      <c r="C16" s="328">
        <v>1000</v>
      </c>
      <c r="D16" s="268">
        <v>10</v>
      </c>
      <c r="E16" s="329">
        <v>1</v>
      </c>
      <c r="F16" s="330">
        <v>2</v>
      </c>
      <c r="G16" s="268">
        <f t="shared" si="8"/>
        <v>10</v>
      </c>
      <c r="H16" s="268">
        <f t="shared" si="8"/>
        <v>10</v>
      </c>
      <c r="I16" s="268">
        <f t="shared" si="8"/>
        <v>10</v>
      </c>
      <c r="J16" s="268">
        <f t="shared" si="8"/>
        <v>10</v>
      </c>
      <c r="K16" s="268">
        <f t="shared" si="8"/>
        <v>10</v>
      </c>
      <c r="L16" s="268">
        <f t="shared" si="8"/>
        <v>10</v>
      </c>
      <c r="M16" s="268">
        <f t="shared" si="8"/>
        <v>10</v>
      </c>
      <c r="N16" s="268">
        <f t="shared" si="8"/>
        <v>10</v>
      </c>
      <c r="O16" s="268">
        <f t="shared" si="8"/>
        <v>10</v>
      </c>
      <c r="P16" s="268">
        <f t="shared" si="8"/>
        <v>10</v>
      </c>
      <c r="R16" s="275" t="s">
        <v>551</v>
      </c>
    </row>
    <row r="17" spans="2:18" x14ac:dyDescent="0.25">
      <c r="B17" s="327" t="s">
        <v>552</v>
      </c>
      <c r="C17" s="328">
        <v>2000</v>
      </c>
      <c r="D17" s="268">
        <v>14</v>
      </c>
      <c r="E17" s="329">
        <v>2</v>
      </c>
      <c r="F17" s="330">
        <v>2</v>
      </c>
      <c r="G17" s="268">
        <f t="shared" si="8"/>
        <v>28</v>
      </c>
      <c r="H17" s="268">
        <f t="shared" si="8"/>
        <v>28</v>
      </c>
      <c r="I17" s="268">
        <f t="shared" si="8"/>
        <v>28</v>
      </c>
      <c r="J17" s="268">
        <f t="shared" si="8"/>
        <v>28</v>
      </c>
      <c r="K17" s="268">
        <f t="shared" si="8"/>
        <v>28</v>
      </c>
      <c r="L17" s="268">
        <f t="shared" si="8"/>
        <v>28</v>
      </c>
      <c r="M17" s="268">
        <f t="shared" si="8"/>
        <v>28</v>
      </c>
      <c r="N17" s="268">
        <f t="shared" si="8"/>
        <v>28</v>
      </c>
      <c r="O17" s="268">
        <f t="shared" si="8"/>
        <v>28</v>
      </c>
      <c r="P17" s="268">
        <f t="shared" si="8"/>
        <v>28</v>
      </c>
      <c r="R17" s="275" t="s">
        <v>551</v>
      </c>
    </row>
    <row r="18" spans="2:18" x14ac:dyDescent="0.25">
      <c r="B18" s="327" t="s">
        <v>553</v>
      </c>
      <c r="C18" s="328">
        <v>3000</v>
      </c>
      <c r="D18" s="268">
        <v>14</v>
      </c>
      <c r="E18" s="329">
        <v>1</v>
      </c>
      <c r="F18" s="330">
        <v>2</v>
      </c>
      <c r="G18" s="268">
        <f t="shared" si="8"/>
        <v>14</v>
      </c>
      <c r="H18" s="268">
        <f t="shared" si="8"/>
        <v>14</v>
      </c>
      <c r="I18" s="268">
        <f t="shared" si="8"/>
        <v>14</v>
      </c>
      <c r="J18" s="268">
        <f t="shared" si="8"/>
        <v>14</v>
      </c>
      <c r="K18" s="268">
        <f t="shared" si="8"/>
        <v>14</v>
      </c>
      <c r="L18" s="268">
        <f t="shared" si="8"/>
        <v>14</v>
      </c>
      <c r="M18" s="268">
        <f t="shared" si="8"/>
        <v>14</v>
      </c>
      <c r="N18" s="268">
        <f t="shared" si="8"/>
        <v>14</v>
      </c>
      <c r="O18" s="268">
        <f t="shared" si="8"/>
        <v>14</v>
      </c>
      <c r="P18" s="268">
        <f t="shared" si="8"/>
        <v>14</v>
      </c>
    </row>
    <row r="19" spans="2:18" ht="14.95" thickBot="1" x14ac:dyDescent="0.3">
      <c r="B19" s="551" t="s">
        <v>554</v>
      </c>
      <c r="C19" s="552">
        <v>5000</v>
      </c>
      <c r="D19" s="268">
        <v>14</v>
      </c>
      <c r="E19" s="333">
        <v>1</v>
      </c>
      <c r="F19" s="334">
        <v>2</v>
      </c>
      <c r="G19" s="268">
        <f t="shared" si="8"/>
        <v>14</v>
      </c>
      <c r="H19" s="268">
        <f t="shared" si="8"/>
        <v>14</v>
      </c>
      <c r="I19" s="268">
        <f t="shared" si="8"/>
        <v>14</v>
      </c>
      <c r="J19" s="268">
        <f t="shared" si="8"/>
        <v>14</v>
      </c>
      <c r="K19" s="268">
        <f t="shared" si="8"/>
        <v>14</v>
      </c>
      <c r="L19" s="268">
        <f t="shared" si="8"/>
        <v>14</v>
      </c>
      <c r="M19" s="268">
        <f t="shared" si="8"/>
        <v>14</v>
      </c>
      <c r="N19" s="268">
        <f t="shared" si="8"/>
        <v>14</v>
      </c>
      <c r="O19" s="268">
        <f t="shared" si="8"/>
        <v>14</v>
      </c>
      <c r="P19" s="268">
        <f t="shared" si="8"/>
        <v>14</v>
      </c>
      <c r="R19" s="275" t="s">
        <v>551</v>
      </c>
    </row>
    <row r="20" spans="2:18" ht="14.95" thickBot="1" x14ac:dyDescent="0.3">
      <c r="B20" s="551" t="s">
        <v>784</v>
      </c>
      <c r="C20" s="552">
        <v>6000</v>
      </c>
      <c r="D20" s="410">
        <v>14</v>
      </c>
      <c r="E20" s="333">
        <v>1</v>
      </c>
      <c r="F20" s="334"/>
      <c r="G20" s="410">
        <f t="shared" si="8"/>
        <v>14</v>
      </c>
      <c r="H20" s="410">
        <f t="shared" si="8"/>
        <v>14</v>
      </c>
      <c r="I20" s="410">
        <f t="shared" si="8"/>
        <v>14</v>
      </c>
      <c r="J20" s="410">
        <f t="shared" si="8"/>
        <v>14</v>
      </c>
      <c r="K20" s="410">
        <f t="shared" si="8"/>
        <v>14</v>
      </c>
      <c r="L20" s="410">
        <f t="shared" si="8"/>
        <v>14</v>
      </c>
      <c r="M20" s="410">
        <f t="shared" si="8"/>
        <v>14</v>
      </c>
      <c r="N20" s="410">
        <f t="shared" si="8"/>
        <v>14</v>
      </c>
      <c r="O20" s="410">
        <f t="shared" si="8"/>
        <v>14</v>
      </c>
      <c r="P20" s="410">
        <f t="shared" si="8"/>
        <v>14</v>
      </c>
    </row>
    <row r="21" spans="2:18" ht="14.95" thickBot="1" x14ac:dyDescent="0.3">
      <c r="B21" s="551" t="s">
        <v>785</v>
      </c>
      <c r="C21" s="552">
        <v>7000</v>
      </c>
      <c r="D21" s="332">
        <v>10</v>
      </c>
      <c r="E21" s="333">
        <v>1</v>
      </c>
      <c r="F21" s="334">
        <v>2</v>
      </c>
      <c r="G21" s="332">
        <f t="shared" si="8"/>
        <v>10</v>
      </c>
      <c r="H21" s="332">
        <f>$D21</f>
        <v>10</v>
      </c>
      <c r="I21" s="332">
        <f t="shared" si="8"/>
        <v>10</v>
      </c>
      <c r="J21" s="332">
        <f>$D21</f>
        <v>10</v>
      </c>
      <c r="K21" s="332">
        <f t="shared" si="8"/>
        <v>10</v>
      </c>
      <c r="L21" s="332">
        <f>$D21</f>
        <v>10</v>
      </c>
      <c r="M21" s="332">
        <f>$D21</f>
        <v>10</v>
      </c>
      <c r="N21" s="332">
        <f t="shared" si="8"/>
        <v>10</v>
      </c>
      <c r="O21" s="332">
        <f>$D21</f>
        <v>10</v>
      </c>
      <c r="P21" s="332">
        <f t="shared" si="8"/>
        <v>10</v>
      </c>
      <c r="R21" s="275" t="s">
        <v>551</v>
      </c>
    </row>
    <row r="22" spans="2:18" ht="14.95" thickBot="1" x14ac:dyDescent="0.3">
      <c r="B22" s="1069"/>
      <c r="C22" s="1070"/>
      <c r="D22" s="1070"/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1070"/>
    </row>
    <row r="23" spans="2:18" ht="27.2" x14ac:dyDescent="0.25">
      <c r="B23" s="335" t="s">
        <v>305</v>
      </c>
      <c r="C23" s="336" t="s">
        <v>323</v>
      </c>
      <c r="D23" s="337" t="s">
        <v>324</v>
      </c>
      <c r="E23" s="338" t="s">
        <v>325</v>
      </c>
      <c r="F23" s="339" t="s">
        <v>312</v>
      </c>
      <c r="G23" s="340" t="s">
        <v>292</v>
      </c>
      <c r="H23" s="340" t="s">
        <v>292</v>
      </c>
      <c r="I23" s="340" t="s">
        <v>292</v>
      </c>
      <c r="J23" s="340" t="s">
        <v>292</v>
      </c>
      <c r="K23" s="340" t="s">
        <v>292</v>
      </c>
      <c r="L23" s="340" t="s">
        <v>292</v>
      </c>
      <c r="M23" s="340" t="s">
        <v>292</v>
      </c>
      <c r="N23" s="340" t="s">
        <v>292</v>
      </c>
      <c r="O23" s="340" t="s">
        <v>292</v>
      </c>
      <c r="P23" s="340" t="s">
        <v>292</v>
      </c>
    </row>
    <row r="24" spans="2:18" x14ac:dyDescent="0.25">
      <c r="B24" s="341" t="s">
        <v>326</v>
      </c>
      <c r="C24" s="342"/>
      <c r="D24" s="343"/>
      <c r="E24" s="344"/>
      <c r="F24" s="345"/>
      <c r="G24" s="346">
        <f>SUM(G25:G163)</f>
        <v>154718.99099571866</v>
      </c>
      <c r="H24" s="346">
        <f t="shared" ref="H24:P24" si="9">SUM(H25:H163)</f>
        <v>154718.99099571866</v>
      </c>
      <c r="I24" s="346">
        <f t="shared" si="9"/>
        <v>154718.99099571866</v>
      </c>
      <c r="J24" s="346">
        <f t="shared" si="9"/>
        <v>154718.99099571866</v>
      </c>
      <c r="K24" s="346">
        <f t="shared" si="9"/>
        <v>154718.99099571866</v>
      </c>
      <c r="L24" s="346">
        <f t="shared" si="9"/>
        <v>154718.99099571866</v>
      </c>
      <c r="M24" s="346">
        <f t="shared" si="9"/>
        <v>154718.99099571866</v>
      </c>
      <c r="N24" s="346">
        <f t="shared" si="9"/>
        <v>154718.99099571866</v>
      </c>
      <c r="O24" s="346">
        <f t="shared" si="9"/>
        <v>154718.99099571866</v>
      </c>
      <c r="P24" s="346">
        <f t="shared" si="9"/>
        <v>154718.99099571866</v>
      </c>
    </row>
    <row r="25" spans="2:18" x14ac:dyDescent="0.25">
      <c r="B25" s="748" t="s">
        <v>317</v>
      </c>
      <c r="C25" s="364"/>
      <c r="D25" s="348"/>
      <c r="E25" s="349">
        <f>VLOOKUP($B25,$B$14:$C$21,2,FALSE)</f>
        <v>250</v>
      </c>
      <c r="F25" s="294">
        <f>VLOOKUP($B25,$B$14:$E$21,4,FALSE)</f>
        <v>14</v>
      </c>
      <c r="G25" s="476"/>
      <c r="H25" s="476"/>
      <c r="I25" s="476"/>
      <c r="J25" s="476"/>
      <c r="K25" s="476"/>
      <c r="L25" s="476"/>
      <c r="M25" s="476"/>
      <c r="N25" s="476"/>
      <c r="O25" s="476"/>
      <c r="P25" s="476"/>
    </row>
    <row r="26" spans="2:18" ht="15.65" x14ac:dyDescent="0.25">
      <c r="B26" s="749" t="s">
        <v>786</v>
      </c>
      <c r="C26" s="750" t="s">
        <v>787</v>
      </c>
      <c r="D26" s="354">
        <v>246.41286719999999</v>
      </c>
      <c r="E26" s="751">
        <v>4</v>
      </c>
      <c r="F26" s="358"/>
      <c r="G26" s="350">
        <f>IF(G$14=0,0,G$14/$D$14*$E26*$D26)</f>
        <v>13799.1205632</v>
      </c>
      <c r="H26" s="350">
        <f>IF(H$14=0,0,H$14/$D$14*$E26*$D26)</f>
        <v>13799.1205632</v>
      </c>
      <c r="I26" s="350">
        <f t="shared" ref="H26:P32" si="10">IF(I$14=0,0,I$14/$D$14*$E26*$D26)</f>
        <v>13799.1205632</v>
      </c>
      <c r="J26" s="350">
        <f t="shared" si="10"/>
        <v>13799.1205632</v>
      </c>
      <c r="K26" s="350">
        <f t="shared" si="10"/>
        <v>13799.1205632</v>
      </c>
      <c r="L26" s="350">
        <f t="shared" si="10"/>
        <v>13799.1205632</v>
      </c>
      <c r="M26" s="350">
        <f t="shared" si="10"/>
        <v>13799.1205632</v>
      </c>
      <c r="N26" s="350">
        <f t="shared" si="10"/>
        <v>13799.1205632</v>
      </c>
      <c r="O26" s="350">
        <f t="shared" si="10"/>
        <v>13799.1205632</v>
      </c>
      <c r="P26" s="350">
        <f t="shared" si="10"/>
        <v>13799.1205632</v>
      </c>
      <c r="Q26" s="752"/>
      <c r="R26" s="362"/>
    </row>
    <row r="27" spans="2:18" ht="15.65" x14ac:dyDescent="0.25">
      <c r="B27" s="749" t="s">
        <v>786</v>
      </c>
      <c r="C27" s="750" t="s">
        <v>788</v>
      </c>
      <c r="D27" s="354">
        <v>54.066047649999994</v>
      </c>
      <c r="E27" s="751">
        <v>1</v>
      </c>
      <c r="F27" s="358"/>
      <c r="G27" s="350">
        <f>IF(G$14=0,0,G$14/$D$14*$E27*$D27)</f>
        <v>756.92466709999997</v>
      </c>
      <c r="H27" s="350">
        <f t="shared" si="10"/>
        <v>756.92466709999997</v>
      </c>
      <c r="I27" s="350">
        <f t="shared" si="10"/>
        <v>756.92466709999997</v>
      </c>
      <c r="J27" s="350">
        <f t="shared" si="10"/>
        <v>756.92466709999997</v>
      </c>
      <c r="K27" s="350">
        <f t="shared" si="10"/>
        <v>756.92466709999997</v>
      </c>
      <c r="L27" s="350">
        <f t="shared" si="10"/>
        <v>756.92466709999997</v>
      </c>
      <c r="M27" s="350">
        <f t="shared" si="10"/>
        <v>756.92466709999997</v>
      </c>
      <c r="N27" s="350">
        <f t="shared" si="10"/>
        <v>756.92466709999997</v>
      </c>
      <c r="O27" s="350">
        <f t="shared" si="10"/>
        <v>756.92466709999997</v>
      </c>
      <c r="P27" s="350">
        <f t="shared" si="10"/>
        <v>756.92466709999997</v>
      </c>
      <c r="Q27" s="752"/>
      <c r="R27" s="362"/>
    </row>
    <row r="28" spans="2:18" ht="31.25" x14ac:dyDescent="0.25">
      <c r="B28" s="749" t="s">
        <v>789</v>
      </c>
      <c r="C28" s="750" t="s">
        <v>790</v>
      </c>
      <c r="D28" s="354">
        <v>112.55286289999999</v>
      </c>
      <c r="E28" s="751">
        <v>1</v>
      </c>
      <c r="F28" s="358"/>
      <c r="G28" s="350">
        <f t="shared" ref="G28:P32" si="11">IF(G$14=0,0,G$14/$D$14*$E28*$D28)</f>
        <v>1575.7400805999998</v>
      </c>
      <c r="H28" s="350">
        <f t="shared" si="11"/>
        <v>1575.7400805999998</v>
      </c>
      <c r="I28" s="350">
        <f t="shared" si="11"/>
        <v>1575.7400805999998</v>
      </c>
      <c r="J28" s="350">
        <f t="shared" si="11"/>
        <v>1575.7400805999998</v>
      </c>
      <c r="K28" s="350">
        <f t="shared" si="11"/>
        <v>1575.7400805999998</v>
      </c>
      <c r="L28" s="350">
        <f t="shared" si="11"/>
        <v>1575.7400805999998</v>
      </c>
      <c r="M28" s="350">
        <f t="shared" si="11"/>
        <v>1575.7400805999998</v>
      </c>
      <c r="N28" s="350">
        <f t="shared" si="11"/>
        <v>1575.7400805999998</v>
      </c>
      <c r="O28" s="350">
        <f t="shared" si="11"/>
        <v>1575.7400805999998</v>
      </c>
      <c r="P28" s="350">
        <f t="shared" si="11"/>
        <v>1575.7400805999998</v>
      </c>
      <c r="Q28" s="752"/>
      <c r="R28" s="362"/>
    </row>
    <row r="29" spans="2:18" ht="31.25" x14ac:dyDescent="0.25">
      <c r="B29" s="749" t="s">
        <v>791</v>
      </c>
      <c r="C29" s="750" t="s">
        <v>792</v>
      </c>
      <c r="D29" s="354">
        <v>54.066047649999994</v>
      </c>
      <c r="E29" s="751">
        <v>3</v>
      </c>
      <c r="F29" s="358"/>
      <c r="G29" s="350">
        <f t="shared" si="11"/>
        <v>2270.7740012999998</v>
      </c>
      <c r="H29" s="350">
        <f t="shared" si="10"/>
        <v>2270.7740012999998</v>
      </c>
      <c r="I29" s="350">
        <f t="shared" si="10"/>
        <v>2270.7740012999998</v>
      </c>
      <c r="J29" s="350">
        <f t="shared" si="10"/>
        <v>2270.7740012999998</v>
      </c>
      <c r="K29" s="350">
        <f t="shared" si="10"/>
        <v>2270.7740012999998</v>
      </c>
      <c r="L29" s="350">
        <f t="shared" si="10"/>
        <v>2270.7740012999998</v>
      </c>
      <c r="M29" s="350">
        <f t="shared" si="10"/>
        <v>2270.7740012999998</v>
      </c>
      <c r="N29" s="350">
        <f t="shared" si="10"/>
        <v>2270.7740012999998</v>
      </c>
      <c r="O29" s="350">
        <f t="shared" si="10"/>
        <v>2270.7740012999998</v>
      </c>
      <c r="P29" s="350">
        <f t="shared" si="10"/>
        <v>2270.7740012999998</v>
      </c>
      <c r="Q29" s="752"/>
      <c r="R29" s="362"/>
    </row>
    <row r="30" spans="2:18" ht="31.25" x14ac:dyDescent="0.25">
      <c r="B30" s="753" t="s">
        <v>793</v>
      </c>
      <c r="C30" s="754" t="s">
        <v>794</v>
      </c>
      <c r="D30" s="354">
        <v>45.474603300000005</v>
      </c>
      <c r="E30" s="751">
        <v>2</v>
      </c>
      <c r="F30" s="358"/>
      <c r="G30" s="350">
        <f t="shared" si="11"/>
        <v>1273.2888924000001</v>
      </c>
      <c r="H30" s="350">
        <f t="shared" si="10"/>
        <v>1273.2888924000001</v>
      </c>
      <c r="I30" s="350">
        <f t="shared" si="10"/>
        <v>1273.2888924000001</v>
      </c>
      <c r="J30" s="350">
        <f t="shared" si="10"/>
        <v>1273.2888924000001</v>
      </c>
      <c r="K30" s="350">
        <f t="shared" si="10"/>
        <v>1273.2888924000001</v>
      </c>
      <c r="L30" s="350">
        <f t="shared" si="10"/>
        <v>1273.2888924000001</v>
      </c>
      <c r="M30" s="350">
        <f t="shared" si="10"/>
        <v>1273.2888924000001</v>
      </c>
      <c r="N30" s="350">
        <f t="shared" si="10"/>
        <v>1273.2888924000001</v>
      </c>
      <c r="O30" s="350">
        <f t="shared" si="10"/>
        <v>1273.2888924000001</v>
      </c>
      <c r="P30" s="350">
        <f t="shared" si="10"/>
        <v>1273.2888924000001</v>
      </c>
      <c r="Q30" s="752"/>
      <c r="R30" s="362"/>
    </row>
    <row r="31" spans="2:18" ht="31.25" x14ac:dyDescent="0.25">
      <c r="B31" s="753" t="s">
        <v>795</v>
      </c>
      <c r="C31" s="755"/>
      <c r="D31" s="354">
        <v>4.420496</v>
      </c>
      <c r="E31" s="756">
        <v>280</v>
      </c>
      <c r="F31" s="358"/>
      <c r="G31" s="350">
        <f t="shared" si="11"/>
        <v>17328.34432</v>
      </c>
      <c r="H31" s="350">
        <f t="shared" si="10"/>
        <v>17328.34432</v>
      </c>
      <c r="I31" s="350">
        <f t="shared" si="10"/>
        <v>17328.34432</v>
      </c>
      <c r="J31" s="350">
        <f t="shared" si="10"/>
        <v>17328.34432</v>
      </c>
      <c r="K31" s="350">
        <f t="shared" si="10"/>
        <v>17328.34432</v>
      </c>
      <c r="L31" s="350">
        <f t="shared" si="10"/>
        <v>17328.34432</v>
      </c>
      <c r="M31" s="350">
        <f t="shared" si="10"/>
        <v>17328.34432</v>
      </c>
      <c r="N31" s="350">
        <f t="shared" si="10"/>
        <v>17328.34432</v>
      </c>
      <c r="O31" s="350">
        <f t="shared" si="10"/>
        <v>17328.34432</v>
      </c>
      <c r="P31" s="350">
        <f t="shared" si="10"/>
        <v>17328.34432</v>
      </c>
      <c r="Q31" s="752">
        <v>346</v>
      </c>
      <c r="R31" s="362">
        <f>Q31*0.012776</f>
        <v>4.420496</v>
      </c>
    </row>
    <row r="32" spans="2:18" ht="46.9" x14ac:dyDescent="0.25">
      <c r="B32" s="753" t="s">
        <v>796</v>
      </c>
      <c r="C32" s="363"/>
      <c r="D32" s="354">
        <v>12.43730824</v>
      </c>
      <c r="E32" s="756">
        <v>41</v>
      </c>
      <c r="F32" s="358"/>
      <c r="G32" s="350">
        <f t="shared" si="11"/>
        <v>7139.0149297600001</v>
      </c>
      <c r="H32" s="350">
        <f t="shared" si="10"/>
        <v>7139.0149297600001</v>
      </c>
      <c r="I32" s="350">
        <f t="shared" si="10"/>
        <v>7139.0149297600001</v>
      </c>
      <c r="J32" s="350">
        <f t="shared" si="10"/>
        <v>7139.0149297600001</v>
      </c>
      <c r="K32" s="350">
        <f t="shared" si="10"/>
        <v>7139.0149297600001</v>
      </c>
      <c r="L32" s="350">
        <f t="shared" si="10"/>
        <v>7139.0149297600001</v>
      </c>
      <c r="M32" s="350">
        <f t="shared" si="10"/>
        <v>7139.0149297600001</v>
      </c>
      <c r="N32" s="350">
        <f t="shared" si="10"/>
        <v>7139.0149297600001</v>
      </c>
      <c r="O32" s="350">
        <f t="shared" si="10"/>
        <v>7139.0149297600001</v>
      </c>
      <c r="P32" s="350">
        <f t="shared" si="10"/>
        <v>7139.0149297600001</v>
      </c>
      <c r="Q32" s="752">
        <v>973.49</v>
      </c>
      <c r="R32" s="362">
        <f>Q32*0.012776</f>
        <v>12.43730824</v>
      </c>
    </row>
    <row r="33" spans="2:18" x14ac:dyDescent="0.25">
      <c r="B33" s="748" t="s">
        <v>318</v>
      </c>
      <c r="C33" s="364"/>
      <c r="D33" s="348"/>
      <c r="E33" s="349">
        <f>VLOOKUP($B33,$B$14:$C$21,2,FALSE)</f>
        <v>500</v>
      </c>
      <c r="F33" s="294">
        <f>VLOOKUP($B33,$B$14:$E$21,4,FALSE)</f>
        <v>7</v>
      </c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752"/>
      <c r="R33" s="362"/>
    </row>
    <row r="34" spans="2:18" ht="15.65" x14ac:dyDescent="0.25">
      <c r="B34" s="753" t="s">
        <v>786</v>
      </c>
      <c r="C34" s="757" t="s">
        <v>787</v>
      </c>
      <c r="D34" s="758">
        <v>246.41286719999999</v>
      </c>
      <c r="E34" s="759">
        <v>4</v>
      </c>
      <c r="F34" s="358"/>
      <c r="G34" s="350">
        <f>IF(G$15=0,0,G$15/$D$15*$E34*$D34)</f>
        <v>6899.5602816000001</v>
      </c>
      <c r="H34" s="350">
        <f t="shared" ref="H34:P45" si="12">IF(H$15=0,0,H$15/$D$15*$E34*$D34)</f>
        <v>6899.5602816000001</v>
      </c>
      <c r="I34" s="350">
        <f t="shared" si="12"/>
        <v>6899.5602816000001</v>
      </c>
      <c r="J34" s="350">
        <f t="shared" si="12"/>
        <v>6899.5602816000001</v>
      </c>
      <c r="K34" s="350">
        <f t="shared" si="12"/>
        <v>6899.5602816000001</v>
      </c>
      <c r="L34" s="350">
        <f t="shared" si="12"/>
        <v>6899.5602816000001</v>
      </c>
      <c r="M34" s="350">
        <f t="shared" si="12"/>
        <v>6899.5602816000001</v>
      </c>
      <c r="N34" s="350">
        <f t="shared" si="12"/>
        <v>6899.5602816000001</v>
      </c>
      <c r="O34" s="350">
        <f t="shared" si="12"/>
        <v>6899.5602816000001</v>
      </c>
      <c r="P34" s="350">
        <f t="shared" si="12"/>
        <v>6899.5602816000001</v>
      </c>
      <c r="Q34" s="752"/>
      <c r="R34" s="362"/>
    </row>
    <row r="35" spans="2:18" ht="15.65" x14ac:dyDescent="0.25">
      <c r="B35" s="753" t="s">
        <v>786</v>
      </c>
      <c r="C35" s="757" t="s">
        <v>788</v>
      </c>
      <c r="D35" s="758">
        <v>54.066047649999994</v>
      </c>
      <c r="E35" s="759">
        <v>1</v>
      </c>
      <c r="F35" s="358"/>
      <c r="G35" s="350">
        <f t="shared" ref="G35:P45" si="13">IF(G$15=0,0,G$15/$D$15*$E35*$D35)</f>
        <v>378.46233354999998</v>
      </c>
      <c r="H35" s="350">
        <f t="shared" si="13"/>
        <v>378.46233354999998</v>
      </c>
      <c r="I35" s="350">
        <f t="shared" si="13"/>
        <v>378.46233354999998</v>
      </c>
      <c r="J35" s="350">
        <f t="shared" si="13"/>
        <v>378.46233354999998</v>
      </c>
      <c r="K35" s="350">
        <f t="shared" si="13"/>
        <v>378.46233354999998</v>
      </c>
      <c r="L35" s="350">
        <f t="shared" si="13"/>
        <v>378.46233354999998</v>
      </c>
      <c r="M35" s="350">
        <f t="shared" si="13"/>
        <v>378.46233354999998</v>
      </c>
      <c r="N35" s="350">
        <f t="shared" si="13"/>
        <v>378.46233354999998</v>
      </c>
      <c r="O35" s="350">
        <f t="shared" si="13"/>
        <v>378.46233354999998</v>
      </c>
      <c r="P35" s="350">
        <f t="shared" si="13"/>
        <v>378.46233354999998</v>
      </c>
      <c r="Q35" s="752"/>
      <c r="R35" s="362"/>
    </row>
    <row r="36" spans="2:18" ht="31.25" x14ac:dyDescent="0.25">
      <c r="B36" s="753" t="s">
        <v>789</v>
      </c>
      <c r="C36" s="757" t="s">
        <v>790</v>
      </c>
      <c r="D36" s="758">
        <v>112.55286289999999</v>
      </c>
      <c r="E36" s="759">
        <v>1</v>
      </c>
      <c r="F36" s="358"/>
      <c r="G36" s="350">
        <f t="shared" si="13"/>
        <v>787.87004029999991</v>
      </c>
      <c r="H36" s="350">
        <f t="shared" si="12"/>
        <v>787.87004029999991</v>
      </c>
      <c r="I36" s="350">
        <f t="shared" si="12"/>
        <v>787.87004029999991</v>
      </c>
      <c r="J36" s="350">
        <f t="shared" si="12"/>
        <v>787.87004029999991</v>
      </c>
      <c r="K36" s="350">
        <f t="shared" si="12"/>
        <v>787.87004029999991</v>
      </c>
      <c r="L36" s="350">
        <f t="shared" si="12"/>
        <v>787.87004029999991</v>
      </c>
      <c r="M36" s="350">
        <f t="shared" si="12"/>
        <v>787.87004029999991</v>
      </c>
      <c r="N36" s="350">
        <f t="shared" si="12"/>
        <v>787.87004029999991</v>
      </c>
      <c r="O36" s="350">
        <f t="shared" si="12"/>
        <v>787.87004029999991</v>
      </c>
      <c r="P36" s="350">
        <f t="shared" si="12"/>
        <v>787.87004029999991</v>
      </c>
      <c r="Q36" s="752"/>
      <c r="R36" s="362"/>
    </row>
    <row r="37" spans="2:18" ht="31.25" x14ac:dyDescent="0.25">
      <c r="B37" s="753" t="s">
        <v>791</v>
      </c>
      <c r="C37" s="757" t="s">
        <v>792</v>
      </c>
      <c r="D37" s="758">
        <v>54.066047649999994</v>
      </c>
      <c r="E37" s="759">
        <v>3</v>
      </c>
      <c r="F37" s="358"/>
      <c r="G37" s="350">
        <f t="shared" si="13"/>
        <v>1135.3870006499999</v>
      </c>
      <c r="H37" s="350">
        <f t="shared" si="12"/>
        <v>1135.3870006499999</v>
      </c>
      <c r="I37" s="350">
        <f t="shared" si="12"/>
        <v>1135.3870006499999</v>
      </c>
      <c r="J37" s="350">
        <f t="shared" si="12"/>
        <v>1135.3870006499999</v>
      </c>
      <c r="K37" s="350">
        <f t="shared" si="12"/>
        <v>1135.3870006499999</v>
      </c>
      <c r="L37" s="350">
        <f t="shared" si="12"/>
        <v>1135.3870006499999</v>
      </c>
      <c r="M37" s="350">
        <f t="shared" si="12"/>
        <v>1135.3870006499999</v>
      </c>
      <c r="N37" s="350">
        <f t="shared" si="12"/>
        <v>1135.3870006499999</v>
      </c>
      <c r="O37" s="350">
        <f t="shared" si="12"/>
        <v>1135.3870006499999</v>
      </c>
      <c r="P37" s="350">
        <f t="shared" si="12"/>
        <v>1135.3870006499999</v>
      </c>
      <c r="Q37" s="752"/>
      <c r="R37" s="362"/>
    </row>
    <row r="38" spans="2:18" ht="31.25" x14ac:dyDescent="0.25">
      <c r="B38" s="753" t="s">
        <v>793</v>
      </c>
      <c r="C38" s="757" t="s">
        <v>794</v>
      </c>
      <c r="D38" s="758">
        <v>45.474603300000005</v>
      </c>
      <c r="E38" s="759">
        <v>2</v>
      </c>
      <c r="F38" s="358"/>
      <c r="G38" s="350">
        <f t="shared" si="13"/>
        <v>636.64444620000006</v>
      </c>
      <c r="H38" s="350">
        <f t="shared" si="12"/>
        <v>636.64444620000006</v>
      </c>
      <c r="I38" s="350">
        <f t="shared" si="12"/>
        <v>636.64444620000006</v>
      </c>
      <c r="J38" s="350">
        <f t="shared" si="12"/>
        <v>636.64444620000006</v>
      </c>
      <c r="K38" s="350">
        <f t="shared" si="12"/>
        <v>636.64444620000006</v>
      </c>
      <c r="L38" s="350">
        <f t="shared" si="12"/>
        <v>636.64444620000006</v>
      </c>
      <c r="M38" s="350">
        <f t="shared" si="12"/>
        <v>636.64444620000006</v>
      </c>
      <c r="N38" s="350">
        <f t="shared" si="12"/>
        <v>636.64444620000006</v>
      </c>
      <c r="O38" s="350">
        <f t="shared" si="12"/>
        <v>636.64444620000006</v>
      </c>
      <c r="P38" s="350">
        <f t="shared" si="12"/>
        <v>636.64444620000006</v>
      </c>
      <c r="Q38" s="752"/>
      <c r="R38" s="362"/>
    </row>
    <row r="39" spans="2:18" ht="31.25" x14ac:dyDescent="0.25">
      <c r="B39" s="760" t="s">
        <v>797</v>
      </c>
      <c r="C39" s="757" t="s">
        <v>798</v>
      </c>
      <c r="D39" s="758">
        <v>299.44710289999995</v>
      </c>
      <c r="E39" s="759">
        <v>4</v>
      </c>
      <c r="F39" s="358"/>
      <c r="G39" s="350">
        <f t="shared" si="13"/>
        <v>8384.5188811999978</v>
      </c>
      <c r="H39" s="350">
        <f t="shared" si="12"/>
        <v>8384.5188811999978</v>
      </c>
      <c r="I39" s="350">
        <f t="shared" si="12"/>
        <v>8384.5188811999978</v>
      </c>
      <c r="J39" s="350">
        <f t="shared" si="12"/>
        <v>8384.5188811999978</v>
      </c>
      <c r="K39" s="350">
        <f t="shared" si="12"/>
        <v>8384.5188811999978</v>
      </c>
      <c r="L39" s="350">
        <f t="shared" si="12"/>
        <v>8384.5188811999978</v>
      </c>
      <c r="M39" s="350">
        <f t="shared" si="12"/>
        <v>8384.5188811999978</v>
      </c>
      <c r="N39" s="350">
        <f t="shared" si="12"/>
        <v>8384.5188811999978</v>
      </c>
      <c r="O39" s="350">
        <f t="shared" si="12"/>
        <v>8384.5188811999978</v>
      </c>
      <c r="P39" s="350">
        <f t="shared" si="12"/>
        <v>8384.5188811999978</v>
      </c>
      <c r="Q39" s="752"/>
      <c r="R39" s="362"/>
    </row>
    <row r="40" spans="2:18" ht="15.65" x14ac:dyDescent="0.25">
      <c r="B40" s="753" t="s">
        <v>799</v>
      </c>
      <c r="C40" s="757" t="s">
        <v>800</v>
      </c>
      <c r="D40" s="758">
        <v>1584.9065841500001</v>
      </c>
      <c r="E40" s="759">
        <v>1</v>
      </c>
      <c r="F40" s="358"/>
      <c r="G40" s="350">
        <f t="shared" si="13"/>
        <v>11094.346089050001</v>
      </c>
      <c r="H40" s="350">
        <f t="shared" si="12"/>
        <v>11094.346089050001</v>
      </c>
      <c r="I40" s="350">
        <f t="shared" si="12"/>
        <v>11094.346089050001</v>
      </c>
      <c r="J40" s="350">
        <f t="shared" si="12"/>
        <v>11094.346089050001</v>
      </c>
      <c r="K40" s="350">
        <f t="shared" si="12"/>
        <v>11094.346089050001</v>
      </c>
      <c r="L40" s="350">
        <f t="shared" si="12"/>
        <v>11094.346089050001</v>
      </c>
      <c r="M40" s="350">
        <f t="shared" si="12"/>
        <v>11094.346089050001</v>
      </c>
      <c r="N40" s="350">
        <f t="shared" si="12"/>
        <v>11094.346089050001</v>
      </c>
      <c r="O40" s="350">
        <f t="shared" si="12"/>
        <v>11094.346089050001</v>
      </c>
      <c r="P40" s="350">
        <f t="shared" si="12"/>
        <v>11094.346089050001</v>
      </c>
      <c r="Q40" s="752"/>
      <c r="R40" s="362"/>
    </row>
    <row r="41" spans="2:18" ht="15.65" x14ac:dyDescent="0.25">
      <c r="B41" s="753" t="s">
        <v>801</v>
      </c>
      <c r="C41" s="757" t="s">
        <v>802</v>
      </c>
      <c r="D41" s="758">
        <v>111.55721810513619</v>
      </c>
      <c r="E41" s="759">
        <v>2</v>
      </c>
      <c r="F41" s="358"/>
      <c r="G41" s="350">
        <f t="shared" si="13"/>
        <v>1561.8010534719067</v>
      </c>
      <c r="H41" s="350">
        <f t="shared" si="12"/>
        <v>1561.8010534719067</v>
      </c>
      <c r="I41" s="350">
        <f t="shared" si="12"/>
        <v>1561.8010534719067</v>
      </c>
      <c r="J41" s="350">
        <f t="shared" si="12"/>
        <v>1561.8010534719067</v>
      </c>
      <c r="K41" s="350">
        <f t="shared" si="12"/>
        <v>1561.8010534719067</v>
      </c>
      <c r="L41" s="350">
        <f t="shared" si="12"/>
        <v>1561.8010534719067</v>
      </c>
      <c r="M41" s="350">
        <f t="shared" si="12"/>
        <v>1561.8010534719067</v>
      </c>
      <c r="N41" s="350">
        <f t="shared" si="12"/>
        <v>1561.8010534719067</v>
      </c>
      <c r="O41" s="350">
        <f t="shared" si="12"/>
        <v>1561.8010534719067</v>
      </c>
      <c r="P41" s="350">
        <f t="shared" si="12"/>
        <v>1561.8010534719067</v>
      </c>
      <c r="Q41" s="752"/>
      <c r="R41" s="362"/>
    </row>
    <row r="42" spans="2:18" ht="31.25" x14ac:dyDescent="0.25">
      <c r="B42" s="753" t="s">
        <v>803</v>
      </c>
      <c r="C42" s="757" t="s">
        <v>804</v>
      </c>
      <c r="D42" s="758">
        <v>29.808732750000001</v>
      </c>
      <c r="E42" s="759">
        <v>2</v>
      </c>
      <c r="F42" s="358"/>
      <c r="G42" s="350">
        <f t="shared" si="13"/>
        <v>417.32225850000003</v>
      </c>
      <c r="H42" s="350">
        <f t="shared" si="12"/>
        <v>417.32225850000003</v>
      </c>
      <c r="I42" s="350">
        <f t="shared" si="12"/>
        <v>417.32225850000003</v>
      </c>
      <c r="J42" s="350">
        <f t="shared" si="12"/>
        <v>417.32225850000003</v>
      </c>
      <c r="K42" s="350">
        <f t="shared" si="12"/>
        <v>417.32225850000003</v>
      </c>
      <c r="L42" s="350">
        <f t="shared" si="12"/>
        <v>417.32225850000003</v>
      </c>
      <c r="M42" s="350">
        <f t="shared" si="12"/>
        <v>417.32225850000003</v>
      </c>
      <c r="N42" s="350">
        <f t="shared" si="12"/>
        <v>417.32225850000003</v>
      </c>
      <c r="O42" s="350">
        <f t="shared" si="12"/>
        <v>417.32225850000003</v>
      </c>
      <c r="P42" s="350">
        <f t="shared" si="12"/>
        <v>417.32225850000003</v>
      </c>
      <c r="Q42" s="752"/>
      <c r="R42" s="362"/>
    </row>
    <row r="43" spans="2:18" ht="31.25" x14ac:dyDescent="0.25">
      <c r="B43" s="761" t="s">
        <v>805</v>
      </c>
      <c r="C43" s="757" t="s">
        <v>806</v>
      </c>
      <c r="D43" s="758">
        <v>23.902395550000001</v>
      </c>
      <c r="E43" s="759">
        <v>1</v>
      </c>
      <c r="F43" s="358"/>
      <c r="G43" s="350">
        <f t="shared" si="13"/>
        <v>167.31676885000002</v>
      </c>
      <c r="H43" s="350">
        <f t="shared" si="12"/>
        <v>167.31676885000002</v>
      </c>
      <c r="I43" s="350">
        <f t="shared" si="12"/>
        <v>167.31676885000002</v>
      </c>
      <c r="J43" s="350">
        <f t="shared" si="12"/>
        <v>167.31676885000002</v>
      </c>
      <c r="K43" s="350">
        <f t="shared" si="12"/>
        <v>167.31676885000002</v>
      </c>
      <c r="L43" s="350">
        <f t="shared" si="12"/>
        <v>167.31676885000002</v>
      </c>
      <c r="M43" s="350">
        <f t="shared" si="12"/>
        <v>167.31676885000002</v>
      </c>
      <c r="N43" s="350">
        <f t="shared" si="12"/>
        <v>167.31676885000002</v>
      </c>
      <c r="O43" s="350">
        <f t="shared" si="12"/>
        <v>167.31676885000002</v>
      </c>
      <c r="P43" s="350">
        <f t="shared" si="12"/>
        <v>167.31676885000002</v>
      </c>
      <c r="Q43" s="752"/>
      <c r="R43" s="362"/>
    </row>
    <row r="44" spans="2:18" ht="31.25" x14ac:dyDescent="0.25">
      <c r="B44" s="753" t="s">
        <v>795</v>
      </c>
      <c r="C44" s="762"/>
      <c r="D44" s="758">
        <v>4.420496</v>
      </c>
      <c r="E44" s="763">
        <v>280</v>
      </c>
      <c r="F44" s="358"/>
      <c r="G44" s="350">
        <f t="shared" si="13"/>
        <v>8664.1721600000001</v>
      </c>
      <c r="H44" s="350">
        <f t="shared" si="12"/>
        <v>8664.1721600000001</v>
      </c>
      <c r="I44" s="350">
        <f t="shared" si="12"/>
        <v>8664.1721600000001</v>
      </c>
      <c r="J44" s="350">
        <f t="shared" si="12"/>
        <v>8664.1721600000001</v>
      </c>
      <c r="K44" s="350">
        <f t="shared" si="12"/>
        <v>8664.1721600000001</v>
      </c>
      <c r="L44" s="350">
        <f t="shared" si="12"/>
        <v>8664.1721600000001</v>
      </c>
      <c r="M44" s="350">
        <f t="shared" si="12"/>
        <v>8664.1721600000001</v>
      </c>
      <c r="N44" s="350">
        <f t="shared" si="12"/>
        <v>8664.1721600000001</v>
      </c>
      <c r="O44" s="350">
        <f t="shared" si="12"/>
        <v>8664.1721600000001</v>
      </c>
      <c r="P44" s="350">
        <f t="shared" si="12"/>
        <v>8664.1721600000001</v>
      </c>
      <c r="Q44" s="752">
        <v>346</v>
      </c>
      <c r="R44" s="362">
        <f>Q44*0.012776</f>
        <v>4.420496</v>
      </c>
    </row>
    <row r="45" spans="2:18" ht="46.9" x14ac:dyDescent="0.25">
      <c r="B45" s="753" t="s">
        <v>796</v>
      </c>
      <c r="C45" s="764"/>
      <c r="D45" s="758">
        <v>12.43730824</v>
      </c>
      <c r="E45" s="763">
        <v>41</v>
      </c>
      <c r="F45" s="358"/>
      <c r="G45" s="350">
        <f t="shared" si="13"/>
        <v>3569.50746488</v>
      </c>
      <c r="H45" s="350">
        <f t="shared" si="12"/>
        <v>3569.50746488</v>
      </c>
      <c r="I45" s="350">
        <f t="shared" si="12"/>
        <v>3569.50746488</v>
      </c>
      <c r="J45" s="350">
        <f t="shared" si="12"/>
        <v>3569.50746488</v>
      </c>
      <c r="K45" s="350">
        <f t="shared" si="12"/>
        <v>3569.50746488</v>
      </c>
      <c r="L45" s="350">
        <f t="shared" si="12"/>
        <v>3569.50746488</v>
      </c>
      <c r="M45" s="350">
        <f t="shared" si="12"/>
        <v>3569.50746488</v>
      </c>
      <c r="N45" s="350">
        <f t="shared" si="12"/>
        <v>3569.50746488</v>
      </c>
      <c r="O45" s="350">
        <f t="shared" si="12"/>
        <v>3569.50746488</v>
      </c>
      <c r="P45" s="350">
        <f t="shared" si="12"/>
        <v>3569.50746488</v>
      </c>
      <c r="Q45" s="752">
        <v>973.49</v>
      </c>
      <c r="R45" s="362">
        <f>Q45*0.012776</f>
        <v>12.43730824</v>
      </c>
    </row>
    <row r="46" spans="2:18" x14ac:dyDescent="0.25">
      <c r="B46" s="748" t="s">
        <v>319</v>
      </c>
      <c r="C46" s="765"/>
      <c r="D46" s="766"/>
      <c r="E46" s="767">
        <f>VLOOKUP($B46,$B$14:$C$21,2,FALSE)</f>
        <v>1000</v>
      </c>
      <c r="F46" s="294">
        <f>VLOOKUP($B46,$B$14:$E$21,4,FALSE)</f>
        <v>1</v>
      </c>
      <c r="G46" s="476"/>
      <c r="H46" s="476"/>
      <c r="I46" s="476"/>
      <c r="J46" s="476"/>
      <c r="K46" s="476"/>
      <c r="L46" s="476"/>
      <c r="M46" s="476"/>
      <c r="N46" s="476"/>
      <c r="O46" s="476"/>
      <c r="P46" s="476"/>
      <c r="Q46" s="752"/>
      <c r="R46" s="362"/>
    </row>
    <row r="47" spans="2:18" ht="15.65" x14ac:dyDescent="0.25">
      <c r="B47" s="753" t="s">
        <v>786</v>
      </c>
      <c r="C47" s="757" t="s">
        <v>787</v>
      </c>
      <c r="D47" s="354">
        <v>246.41286719999999</v>
      </c>
      <c r="E47" s="490">
        <v>4</v>
      </c>
      <c r="F47" s="294"/>
      <c r="G47" s="350">
        <f t="shared" ref="G47:P62" si="14">IF(G$16=0,0,G$16/$D$16*$E47*$D47)</f>
        <v>985.65146879999998</v>
      </c>
      <c r="H47" s="350">
        <f t="shared" si="14"/>
        <v>985.65146879999998</v>
      </c>
      <c r="I47" s="350">
        <f t="shared" si="14"/>
        <v>985.65146879999998</v>
      </c>
      <c r="J47" s="350">
        <f t="shared" si="14"/>
        <v>985.65146879999998</v>
      </c>
      <c r="K47" s="350">
        <f t="shared" si="14"/>
        <v>985.65146879999998</v>
      </c>
      <c r="L47" s="350">
        <f t="shared" si="14"/>
        <v>985.65146879999998</v>
      </c>
      <c r="M47" s="350">
        <f t="shared" si="14"/>
        <v>985.65146879999998</v>
      </c>
      <c r="N47" s="350">
        <f t="shared" si="14"/>
        <v>985.65146879999998</v>
      </c>
      <c r="O47" s="350">
        <f t="shared" si="14"/>
        <v>985.65146879999998</v>
      </c>
      <c r="P47" s="350">
        <f t="shared" si="14"/>
        <v>985.65146879999998</v>
      </c>
      <c r="Q47" s="752"/>
      <c r="R47" s="362"/>
    </row>
    <row r="48" spans="2:18" ht="15.65" x14ac:dyDescent="0.25">
      <c r="B48" s="753" t="s">
        <v>786</v>
      </c>
      <c r="C48" s="757" t="s">
        <v>788</v>
      </c>
      <c r="D48" s="354">
        <v>54.066047649999994</v>
      </c>
      <c r="E48" s="490">
        <v>1</v>
      </c>
      <c r="F48" s="294"/>
      <c r="G48" s="350">
        <f t="shared" si="14"/>
        <v>54.066047649999994</v>
      </c>
      <c r="H48" s="350">
        <f t="shared" si="14"/>
        <v>54.066047649999994</v>
      </c>
      <c r="I48" s="350">
        <f t="shared" si="14"/>
        <v>54.066047649999994</v>
      </c>
      <c r="J48" s="350">
        <f t="shared" si="14"/>
        <v>54.066047649999994</v>
      </c>
      <c r="K48" s="350">
        <f t="shared" si="14"/>
        <v>54.066047649999994</v>
      </c>
      <c r="L48" s="350">
        <f t="shared" si="14"/>
        <v>54.066047649999994</v>
      </c>
      <c r="M48" s="350">
        <f t="shared" si="14"/>
        <v>54.066047649999994</v>
      </c>
      <c r="N48" s="350">
        <f t="shared" si="14"/>
        <v>54.066047649999994</v>
      </c>
      <c r="O48" s="350">
        <f t="shared" si="14"/>
        <v>54.066047649999994</v>
      </c>
      <c r="P48" s="350">
        <f t="shared" si="14"/>
        <v>54.066047649999994</v>
      </c>
      <c r="Q48" s="752"/>
      <c r="R48" s="362"/>
    </row>
    <row r="49" spans="2:18" ht="31.25" x14ac:dyDescent="0.25">
      <c r="B49" s="753" t="s">
        <v>789</v>
      </c>
      <c r="C49" s="757" t="s">
        <v>790</v>
      </c>
      <c r="D49" s="354">
        <v>112.55286289999999</v>
      </c>
      <c r="E49" s="490">
        <v>1</v>
      </c>
      <c r="F49" s="294"/>
      <c r="G49" s="350">
        <f t="shared" si="14"/>
        <v>112.55286289999999</v>
      </c>
      <c r="H49" s="350">
        <f t="shared" si="14"/>
        <v>112.55286289999999</v>
      </c>
      <c r="I49" s="350">
        <f t="shared" si="14"/>
        <v>112.55286289999999</v>
      </c>
      <c r="J49" s="350">
        <f t="shared" si="14"/>
        <v>112.55286289999999</v>
      </c>
      <c r="K49" s="350">
        <f t="shared" si="14"/>
        <v>112.55286289999999</v>
      </c>
      <c r="L49" s="350">
        <f t="shared" si="14"/>
        <v>112.55286289999999</v>
      </c>
      <c r="M49" s="350">
        <f t="shared" si="14"/>
        <v>112.55286289999999</v>
      </c>
      <c r="N49" s="350">
        <f t="shared" si="14"/>
        <v>112.55286289999999</v>
      </c>
      <c r="O49" s="350">
        <f t="shared" si="14"/>
        <v>112.55286289999999</v>
      </c>
      <c r="P49" s="350">
        <f t="shared" si="14"/>
        <v>112.55286289999999</v>
      </c>
      <c r="Q49" s="752"/>
      <c r="R49" s="362"/>
    </row>
    <row r="50" spans="2:18" ht="31.25" x14ac:dyDescent="0.25">
      <c r="B50" s="753" t="s">
        <v>791</v>
      </c>
      <c r="C50" s="757" t="s">
        <v>792</v>
      </c>
      <c r="D50" s="354">
        <v>54.066047649999994</v>
      </c>
      <c r="E50" s="490">
        <v>3</v>
      </c>
      <c r="F50" s="294"/>
      <c r="G50" s="350">
        <f t="shared" si="14"/>
        <v>162.19814294999998</v>
      </c>
      <c r="H50" s="350">
        <f t="shared" si="14"/>
        <v>162.19814294999998</v>
      </c>
      <c r="I50" s="350">
        <f t="shared" si="14"/>
        <v>162.19814294999998</v>
      </c>
      <c r="J50" s="350">
        <f t="shared" si="14"/>
        <v>162.19814294999998</v>
      </c>
      <c r="K50" s="350">
        <f t="shared" si="14"/>
        <v>162.19814294999998</v>
      </c>
      <c r="L50" s="350">
        <f t="shared" si="14"/>
        <v>162.19814294999998</v>
      </c>
      <c r="M50" s="350">
        <f t="shared" si="14"/>
        <v>162.19814294999998</v>
      </c>
      <c r="N50" s="350">
        <f t="shared" si="14"/>
        <v>162.19814294999998</v>
      </c>
      <c r="O50" s="350">
        <f t="shared" si="14"/>
        <v>162.19814294999998</v>
      </c>
      <c r="P50" s="350">
        <f t="shared" si="14"/>
        <v>162.19814294999998</v>
      </c>
      <c r="Q50" s="752"/>
      <c r="R50" s="362"/>
    </row>
    <row r="51" spans="2:18" ht="31.25" x14ac:dyDescent="0.25">
      <c r="B51" s="753" t="s">
        <v>793</v>
      </c>
      <c r="C51" s="757" t="s">
        <v>794</v>
      </c>
      <c r="D51" s="354">
        <v>45.474603300000005</v>
      </c>
      <c r="E51" s="490">
        <v>2</v>
      </c>
      <c r="F51" s="294"/>
      <c r="G51" s="350">
        <f t="shared" si="14"/>
        <v>90.949206600000011</v>
      </c>
      <c r="H51" s="350">
        <f t="shared" si="14"/>
        <v>90.949206600000011</v>
      </c>
      <c r="I51" s="350">
        <f t="shared" si="14"/>
        <v>90.949206600000011</v>
      </c>
      <c r="J51" s="350">
        <f t="shared" si="14"/>
        <v>90.949206600000011</v>
      </c>
      <c r="K51" s="350">
        <f t="shared" si="14"/>
        <v>90.949206600000011</v>
      </c>
      <c r="L51" s="350">
        <f t="shared" si="14"/>
        <v>90.949206600000011</v>
      </c>
      <c r="M51" s="350">
        <f t="shared" si="14"/>
        <v>90.949206600000011</v>
      </c>
      <c r="N51" s="350">
        <f t="shared" si="14"/>
        <v>90.949206600000011</v>
      </c>
      <c r="O51" s="350">
        <f t="shared" si="14"/>
        <v>90.949206600000011</v>
      </c>
      <c r="P51" s="350">
        <f t="shared" si="14"/>
        <v>90.949206600000011</v>
      </c>
      <c r="Q51" s="752"/>
      <c r="R51" s="362"/>
    </row>
    <row r="52" spans="2:18" ht="31.25" x14ac:dyDescent="0.25">
      <c r="B52" s="760" t="s">
        <v>797</v>
      </c>
      <c r="C52" s="757" t="s">
        <v>798</v>
      </c>
      <c r="D52" s="354">
        <v>299.44710289999995</v>
      </c>
      <c r="E52" s="490">
        <v>4</v>
      </c>
      <c r="F52" s="294"/>
      <c r="G52" s="350">
        <f t="shared" si="14"/>
        <v>1197.7884115999998</v>
      </c>
      <c r="H52" s="350">
        <f t="shared" si="14"/>
        <v>1197.7884115999998</v>
      </c>
      <c r="I52" s="350">
        <f t="shared" si="14"/>
        <v>1197.7884115999998</v>
      </c>
      <c r="J52" s="350">
        <f t="shared" si="14"/>
        <v>1197.7884115999998</v>
      </c>
      <c r="K52" s="350">
        <f t="shared" si="14"/>
        <v>1197.7884115999998</v>
      </c>
      <c r="L52" s="350">
        <f t="shared" si="14"/>
        <v>1197.7884115999998</v>
      </c>
      <c r="M52" s="350">
        <f t="shared" si="14"/>
        <v>1197.7884115999998</v>
      </c>
      <c r="N52" s="350">
        <f t="shared" si="14"/>
        <v>1197.7884115999998</v>
      </c>
      <c r="O52" s="350">
        <f t="shared" si="14"/>
        <v>1197.7884115999998</v>
      </c>
      <c r="P52" s="350">
        <f t="shared" si="14"/>
        <v>1197.7884115999998</v>
      </c>
      <c r="Q52" s="752"/>
      <c r="R52" s="362"/>
    </row>
    <row r="53" spans="2:18" ht="15.65" x14ac:dyDescent="0.25">
      <c r="B53" s="753" t="s">
        <v>799</v>
      </c>
      <c r="C53" s="757" t="s">
        <v>800</v>
      </c>
      <c r="D53" s="354">
        <v>1584.9065841500001</v>
      </c>
      <c r="E53" s="490">
        <v>1</v>
      </c>
      <c r="F53" s="294"/>
      <c r="G53" s="350">
        <f t="shared" si="14"/>
        <v>1584.9065841500001</v>
      </c>
      <c r="H53" s="350">
        <f t="shared" si="14"/>
        <v>1584.9065841500001</v>
      </c>
      <c r="I53" s="350">
        <f t="shared" si="14"/>
        <v>1584.9065841500001</v>
      </c>
      <c r="J53" s="350">
        <f t="shared" si="14"/>
        <v>1584.9065841500001</v>
      </c>
      <c r="K53" s="350">
        <f t="shared" si="14"/>
        <v>1584.9065841500001</v>
      </c>
      <c r="L53" s="350">
        <f t="shared" si="14"/>
        <v>1584.9065841500001</v>
      </c>
      <c r="M53" s="350">
        <f t="shared" si="14"/>
        <v>1584.9065841500001</v>
      </c>
      <c r="N53" s="350">
        <f t="shared" si="14"/>
        <v>1584.9065841500001</v>
      </c>
      <c r="O53" s="350">
        <f t="shared" si="14"/>
        <v>1584.9065841500001</v>
      </c>
      <c r="P53" s="350">
        <f t="shared" si="14"/>
        <v>1584.9065841500001</v>
      </c>
      <c r="Q53" s="752"/>
      <c r="R53" s="362"/>
    </row>
    <row r="54" spans="2:18" ht="15.65" x14ac:dyDescent="0.25">
      <c r="B54" s="753" t="s">
        <v>801</v>
      </c>
      <c r="C54" s="757" t="s">
        <v>802</v>
      </c>
      <c r="D54" s="354">
        <v>111.55721810513619</v>
      </c>
      <c r="E54" s="490">
        <v>2</v>
      </c>
      <c r="F54" s="294"/>
      <c r="G54" s="350">
        <f t="shared" si="14"/>
        <v>223.11443621027237</v>
      </c>
      <c r="H54" s="350">
        <f t="shared" si="14"/>
        <v>223.11443621027237</v>
      </c>
      <c r="I54" s="350">
        <f t="shared" si="14"/>
        <v>223.11443621027237</v>
      </c>
      <c r="J54" s="350">
        <f t="shared" si="14"/>
        <v>223.11443621027237</v>
      </c>
      <c r="K54" s="350">
        <f t="shared" si="14"/>
        <v>223.11443621027237</v>
      </c>
      <c r="L54" s="350">
        <f t="shared" si="14"/>
        <v>223.11443621027237</v>
      </c>
      <c r="M54" s="350">
        <f t="shared" si="14"/>
        <v>223.11443621027237</v>
      </c>
      <c r="N54" s="350">
        <f t="shared" si="14"/>
        <v>223.11443621027237</v>
      </c>
      <c r="O54" s="350">
        <f t="shared" si="14"/>
        <v>223.11443621027237</v>
      </c>
      <c r="P54" s="350">
        <f t="shared" si="14"/>
        <v>223.11443621027237</v>
      </c>
      <c r="Q54" s="752"/>
      <c r="R54" s="362"/>
    </row>
    <row r="55" spans="2:18" ht="31.25" x14ac:dyDescent="0.25">
      <c r="B55" s="753" t="s">
        <v>803</v>
      </c>
      <c r="C55" s="757" t="s">
        <v>804</v>
      </c>
      <c r="D55" s="354">
        <v>29.808732750000001</v>
      </c>
      <c r="E55" s="490">
        <v>2</v>
      </c>
      <c r="F55" s="294"/>
      <c r="G55" s="350">
        <f t="shared" si="14"/>
        <v>59.617465500000002</v>
      </c>
      <c r="H55" s="350">
        <f t="shared" si="14"/>
        <v>59.617465500000002</v>
      </c>
      <c r="I55" s="350">
        <f t="shared" si="14"/>
        <v>59.617465500000002</v>
      </c>
      <c r="J55" s="350">
        <f t="shared" si="14"/>
        <v>59.617465500000002</v>
      </c>
      <c r="K55" s="350">
        <f t="shared" si="14"/>
        <v>59.617465500000002</v>
      </c>
      <c r="L55" s="350">
        <f t="shared" si="14"/>
        <v>59.617465500000002</v>
      </c>
      <c r="M55" s="350">
        <f t="shared" si="14"/>
        <v>59.617465500000002</v>
      </c>
      <c r="N55" s="350">
        <f t="shared" si="14"/>
        <v>59.617465500000002</v>
      </c>
      <c r="O55" s="350">
        <f t="shared" si="14"/>
        <v>59.617465500000002</v>
      </c>
      <c r="P55" s="350">
        <f t="shared" si="14"/>
        <v>59.617465500000002</v>
      </c>
      <c r="Q55" s="752"/>
      <c r="R55" s="362"/>
    </row>
    <row r="56" spans="2:18" ht="31.25" x14ac:dyDescent="0.25">
      <c r="B56" s="761" t="s">
        <v>805</v>
      </c>
      <c r="C56" s="757" t="s">
        <v>806</v>
      </c>
      <c r="D56" s="354">
        <v>23.902395550000001</v>
      </c>
      <c r="E56" s="490">
        <v>1</v>
      </c>
      <c r="F56" s="358"/>
      <c r="G56" s="350">
        <f>IF(G$16=0,0,G$16/$D$16*$E56*$D56)</f>
        <v>23.902395550000001</v>
      </c>
      <c r="H56" s="350">
        <f t="shared" si="14"/>
        <v>23.902395550000001</v>
      </c>
      <c r="I56" s="350">
        <f t="shared" si="14"/>
        <v>23.902395550000001</v>
      </c>
      <c r="J56" s="350">
        <f t="shared" si="14"/>
        <v>23.902395550000001</v>
      </c>
      <c r="K56" s="350">
        <f t="shared" si="14"/>
        <v>23.902395550000001</v>
      </c>
      <c r="L56" s="350">
        <f t="shared" si="14"/>
        <v>23.902395550000001</v>
      </c>
      <c r="M56" s="350">
        <f t="shared" si="14"/>
        <v>23.902395550000001</v>
      </c>
      <c r="N56" s="350">
        <f t="shared" si="14"/>
        <v>23.902395550000001</v>
      </c>
      <c r="O56" s="350">
        <f t="shared" si="14"/>
        <v>23.902395550000001</v>
      </c>
      <c r="P56" s="350">
        <f t="shared" si="14"/>
        <v>23.902395550000001</v>
      </c>
      <c r="Q56" s="752"/>
      <c r="R56" s="362"/>
    </row>
    <row r="57" spans="2:18" ht="31.25" x14ac:dyDescent="0.25">
      <c r="B57" s="761" t="s">
        <v>807</v>
      </c>
      <c r="C57" s="757" t="s">
        <v>808</v>
      </c>
      <c r="D57" s="354">
        <v>76.430459349999992</v>
      </c>
      <c r="E57" s="490">
        <v>2</v>
      </c>
      <c r="F57" s="358"/>
      <c r="G57" s="350">
        <f t="shared" ref="G57:P63" si="15">IF(G$16=0,0,G$16/$D$16*$E57*$D57)</f>
        <v>152.86091869999998</v>
      </c>
      <c r="H57" s="350">
        <f t="shared" si="15"/>
        <v>152.86091869999998</v>
      </c>
      <c r="I57" s="350">
        <f t="shared" si="15"/>
        <v>152.86091869999998</v>
      </c>
      <c r="J57" s="350">
        <f t="shared" si="15"/>
        <v>152.86091869999998</v>
      </c>
      <c r="K57" s="350">
        <f t="shared" si="15"/>
        <v>152.86091869999998</v>
      </c>
      <c r="L57" s="350">
        <f t="shared" si="15"/>
        <v>152.86091869999998</v>
      </c>
      <c r="M57" s="350">
        <f t="shared" si="15"/>
        <v>152.86091869999998</v>
      </c>
      <c r="N57" s="350">
        <f t="shared" si="15"/>
        <v>152.86091869999998</v>
      </c>
      <c r="O57" s="350">
        <f t="shared" si="15"/>
        <v>152.86091869999998</v>
      </c>
      <c r="P57" s="350">
        <f t="shared" si="15"/>
        <v>152.86091869999998</v>
      </c>
      <c r="Q57" s="752"/>
      <c r="R57" s="362"/>
    </row>
    <row r="58" spans="2:18" ht="31.25" x14ac:dyDescent="0.25">
      <c r="B58" s="753" t="s">
        <v>809</v>
      </c>
      <c r="C58" s="768" t="s">
        <v>810</v>
      </c>
      <c r="D58" s="354">
        <v>12.034311799999998</v>
      </c>
      <c r="E58" s="490">
        <v>2</v>
      </c>
      <c r="F58" s="358"/>
      <c r="G58" s="350">
        <f t="shared" si="15"/>
        <v>24.068623599999995</v>
      </c>
      <c r="H58" s="350">
        <f t="shared" si="14"/>
        <v>24.068623599999995</v>
      </c>
      <c r="I58" s="350">
        <f t="shared" si="14"/>
        <v>24.068623599999995</v>
      </c>
      <c r="J58" s="350">
        <f t="shared" si="14"/>
        <v>24.068623599999995</v>
      </c>
      <c r="K58" s="350">
        <f t="shared" si="14"/>
        <v>24.068623599999995</v>
      </c>
      <c r="L58" s="350">
        <f t="shared" si="14"/>
        <v>24.068623599999995</v>
      </c>
      <c r="M58" s="350">
        <f t="shared" si="14"/>
        <v>24.068623599999995</v>
      </c>
      <c r="N58" s="350">
        <f t="shared" si="14"/>
        <v>24.068623599999995</v>
      </c>
      <c r="O58" s="350">
        <f t="shared" si="14"/>
        <v>24.068623599999995</v>
      </c>
      <c r="P58" s="350">
        <f t="shared" si="14"/>
        <v>24.068623599999995</v>
      </c>
      <c r="Q58" s="752"/>
      <c r="R58" s="362"/>
    </row>
    <row r="59" spans="2:18" ht="31.25" x14ac:dyDescent="0.25">
      <c r="B59" s="753" t="s">
        <v>811</v>
      </c>
      <c r="C59" s="768" t="s">
        <v>812</v>
      </c>
      <c r="D59" s="354">
        <v>153.66178770926592</v>
      </c>
      <c r="E59" s="490">
        <v>1</v>
      </c>
      <c r="F59" s="358"/>
      <c r="G59" s="350">
        <f t="shared" si="15"/>
        <v>153.66178770926592</v>
      </c>
      <c r="H59" s="350">
        <f t="shared" si="14"/>
        <v>153.66178770926592</v>
      </c>
      <c r="I59" s="350">
        <f t="shared" si="14"/>
        <v>153.66178770926592</v>
      </c>
      <c r="J59" s="350">
        <f t="shared" si="14"/>
        <v>153.66178770926592</v>
      </c>
      <c r="K59" s="350">
        <f t="shared" si="14"/>
        <v>153.66178770926592</v>
      </c>
      <c r="L59" s="350">
        <f t="shared" si="14"/>
        <v>153.66178770926592</v>
      </c>
      <c r="M59" s="350">
        <f t="shared" si="14"/>
        <v>153.66178770926592</v>
      </c>
      <c r="N59" s="350">
        <f t="shared" si="14"/>
        <v>153.66178770926592</v>
      </c>
      <c r="O59" s="350">
        <f t="shared" si="14"/>
        <v>153.66178770926592</v>
      </c>
      <c r="P59" s="350">
        <f t="shared" si="14"/>
        <v>153.66178770926592</v>
      </c>
      <c r="Q59" s="752"/>
      <c r="R59" s="362"/>
    </row>
    <row r="60" spans="2:18" ht="31.25" x14ac:dyDescent="0.25">
      <c r="B60" s="753" t="s">
        <v>813</v>
      </c>
      <c r="C60" s="768" t="s">
        <v>814</v>
      </c>
      <c r="D60" s="354">
        <v>9.1485329499999999</v>
      </c>
      <c r="E60" s="490">
        <v>1</v>
      </c>
      <c r="F60" s="358"/>
      <c r="G60" s="350">
        <f t="shared" si="15"/>
        <v>9.1485329499999999</v>
      </c>
      <c r="H60" s="350">
        <f t="shared" si="14"/>
        <v>9.1485329499999999</v>
      </c>
      <c r="I60" s="350">
        <f t="shared" si="14"/>
        <v>9.1485329499999999</v>
      </c>
      <c r="J60" s="350">
        <f t="shared" si="14"/>
        <v>9.1485329499999999</v>
      </c>
      <c r="K60" s="350">
        <f t="shared" si="14"/>
        <v>9.1485329499999999</v>
      </c>
      <c r="L60" s="350">
        <f t="shared" si="14"/>
        <v>9.1485329499999999</v>
      </c>
      <c r="M60" s="350">
        <f t="shared" si="14"/>
        <v>9.1485329499999999</v>
      </c>
      <c r="N60" s="350">
        <f t="shared" si="14"/>
        <v>9.1485329499999999</v>
      </c>
      <c r="O60" s="350">
        <f t="shared" si="14"/>
        <v>9.1485329499999999</v>
      </c>
      <c r="P60" s="350">
        <f t="shared" si="14"/>
        <v>9.1485329499999999</v>
      </c>
      <c r="Q60" s="752"/>
      <c r="R60" s="362"/>
    </row>
    <row r="61" spans="2:18" ht="31.25" x14ac:dyDescent="0.25">
      <c r="B61" s="760" t="s">
        <v>815</v>
      </c>
      <c r="C61" s="768" t="s">
        <v>816</v>
      </c>
      <c r="D61" s="354">
        <v>62.38493789999999</v>
      </c>
      <c r="E61" s="490">
        <v>1</v>
      </c>
      <c r="F61" s="358"/>
      <c r="G61" s="350">
        <f t="shared" si="15"/>
        <v>62.38493789999999</v>
      </c>
      <c r="H61" s="350">
        <f t="shared" si="14"/>
        <v>62.38493789999999</v>
      </c>
      <c r="I61" s="350">
        <f t="shared" si="14"/>
        <v>62.38493789999999</v>
      </c>
      <c r="J61" s="350">
        <f t="shared" si="14"/>
        <v>62.38493789999999</v>
      </c>
      <c r="K61" s="350">
        <f t="shared" si="14"/>
        <v>62.38493789999999</v>
      </c>
      <c r="L61" s="350">
        <f t="shared" si="14"/>
        <v>62.38493789999999</v>
      </c>
      <c r="M61" s="350">
        <f t="shared" si="14"/>
        <v>62.38493789999999</v>
      </c>
      <c r="N61" s="350">
        <f t="shared" si="14"/>
        <v>62.38493789999999</v>
      </c>
      <c r="O61" s="350">
        <f t="shared" si="14"/>
        <v>62.38493789999999</v>
      </c>
      <c r="P61" s="350">
        <f t="shared" si="14"/>
        <v>62.38493789999999</v>
      </c>
      <c r="Q61" s="752"/>
      <c r="R61" s="362"/>
    </row>
    <row r="62" spans="2:18" ht="31.25" x14ac:dyDescent="0.25">
      <c r="B62" s="753" t="s">
        <v>795</v>
      </c>
      <c r="C62" s="762"/>
      <c r="D62" s="758">
        <v>4.420496</v>
      </c>
      <c r="E62" s="763">
        <v>280</v>
      </c>
      <c r="F62" s="358"/>
      <c r="G62" s="350">
        <f t="shared" si="15"/>
        <v>1237.7388799999999</v>
      </c>
      <c r="H62" s="350">
        <f t="shared" si="14"/>
        <v>1237.7388799999999</v>
      </c>
      <c r="I62" s="350">
        <f t="shared" si="14"/>
        <v>1237.7388799999999</v>
      </c>
      <c r="J62" s="350">
        <f t="shared" si="14"/>
        <v>1237.7388799999999</v>
      </c>
      <c r="K62" s="350">
        <f t="shared" si="14"/>
        <v>1237.7388799999999</v>
      </c>
      <c r="L62" s="350">
        <f t="shared" si="14"/>
        <v>1237.7388799999999</v>
      </c>
      <c r="M62" s="350">
        <f t="shared" si="14"/>
        <v>1237.7388799999999</v>
      </c>
      <c r="N62" s="350">
        <f t="shared" si="14"/>
        <v>1237.7388799999999</v>
      </c>
      <c r="O62" s="350">
        <f t="shared" si="14"/>
        <v>1237.7388799999999</v>
      </c>
      <c r="P62" s="350">
        <f t="shared" si="14"/>
        <v>1237.7388799999999</v>
      </c>
      <c r="Q62" s="752">
        <v>346</v>
      </c>
      <c r="R62" s="362">
        <f>Q62*0.012776</f>
        <v>4.420496</v>
      </c>
    </row>
    <row r="63" spans="2:18" ht="46.9" x14ac:dyDescent="0.25">
      <c r="B63" s="753" t="s">
        <v>796</v>
      </c>
      <c r="C63" s="764"/>
      <c r="D63" s="758">
        <v>12.43730824</v>
      </c>
      <c r="E63" s="763">
        <v>41</v>
      </c>
      <c r="F63" s="358"/>
      <c r="G63" s="350">
        <f t="shared" si="15"/>
        <v>509.92963784</v>
      </c>
      <c r="H63" s="350">
        <f t="shared" si="15"/>
        <v>509.92963784</v>
      </c>
      <c r="I63" s="350">
        <f t="shared" si="15"/>
        <v>509.92963784</v>
      </c>
      <c r="J63" s="350">
        <f t="shared" si="15"/>
        <v>509.92963784</v>
      </c>
      <c r="K63" s="350">
        <f t="shared" si="15"/>
        <v>509.92963784</v>
      </c>
      <c r="L63" s="350">
        <f t="shared" si="15"/>
        <v>509.92963784</v>
      </c>
      <c r="M63" s="350">
        <f t="shared" si="15"/>
        <v>509.92963784</v>
      </c>
      <c r="N63" s="350">
        <f t="shared" si="15"/>
        <v>509.92963784</v>
      </c>
      <c r="O63" s="350">
        <f t="shared" si="15"/>
        <v>509.92963784</v>
      </c>
      <c r="P63" s="350">
        <f t="shared" si="15"/>
        <v>509.92963784</v>
      </c>
      <c r="Q63" s="752">
        <v>973.49</v>
      </c>
      <c r="R63" s="362">
        <f>Q63*0.012776</f>
        <v>12.43730824</v>
      </c>
    </row>
    <row r="64" spans="2:18" x14ac:dyDescent="0.25">
      <c r="B64" s="748" t="s">
        <v>552</v>
      </c>
      <c r="C64" s="364"/>
      <c r="D64" s="348"/>
      <c r="E64" s="568">
        <f>VLOOKUP($B64,$B$14:$C$21,2,FALSE)</f>
        <v>2000</v>
      </c>
      <c r="F64" s="294">
        <f>VLOOKUP($B64,$B$14:$E$21,4,FALSE)</f>
        <v>2</v>
      </c>
      <c r="G64" s="476"/>
      <c r="H64" s="476"/>
      <c r="I64" s="476"/>
      <c r="J64" s="476"/>
      <c r="K64" s="476"/>
      <c r="L64" s="476"/>
      <c r="M64" s="476"/>
      <c r="N64" s="476"/>
      <c r="O64" s="476"/>
      <c r="P64" s="476"/>
      <c r="Q64" s="752"/>
      <c r="R64" s="362"/>
    </row>
    <row r="65" spans="2:18" ht="15.65" x14ac:dyDescent="0.25">
      <c r="B65" s="753" t="s">
        <v>786</v>
      </c>
      <c r="C65" s="757" t="s">
        <v>787</v>
      </c>
      <c r="D65" s="758">
        <v>246.41286719999999</v>
      </c>
      <c r="E65" s="769">
        <v>4</v>
      </c>
      <c r="F65" s="294"/>
      <c r="G65" s="350">
        <f t="shared" ref="G65:P80" si="16">IF(G$17=0,0,G$17/$D$17*$E65*$D65)</f>
        <v>1971.3029376</v>
      </c>
      <c r="H65" s="350">
        <f t="shared" si="16"/>
        <v>1971.3029376</v>
      </c>
      <c r="I65" s="350">
        <f t="shared" si="16"/>
        <v>1971.3029376</v>
      </c>
      <c r="J65" s="350">
        <f t="shared" si="16"/>
        <v>1971.3029376</v>
      </c>
      <c r="K65" s="350">
        <f t="shared" si="16"/>
        <v>1971.3029376</v>
      </c>
      <c r="L65" s="350">
        <f t="shared" si="16"/>
        <v>1971.3029376</v>
      </c>
      <c r="M65" s="350">
        <f t="shared" si="16"/>
        <v>1971.3029376</v>
      </c>
      <c r="N65" s="350">
        <f t="shared" si="16"/>
        <v>1971.3029376</v>
      </c>
      <c r="O65" s="350">
        <f t="shared" si="16"/>
        <v>1971.3029376</v>
      </c>
      <c r="P65" s="350">
        <f t="shared" si="16"/>
        <v>1971.3029376</v>
      </c>
      <c r="Q65" s="752"/>
      <c r="R65" s="362"/>
    </row>
    <row r="66" spans="2:18" ht="15.65" x14ac:dyDescent="0.25">
      <c r="B66" s="753" t="s">
        <v>786</v>
      </c>
      <c r="C66" s="757" t="s">
        <v>788</v>
      </c>
      <c r="D66" s="758">
        <v>54.066047649999994</v>
      </c>
      <c r="E66" s="769">
        <v>1</v>
      </c>
      <c r="F66" s="294"/>
      <c r="G66" s="350">
        <f t="shared" si="16"/>
        <v>108.13209529999999</v>
      </c>
      <c r="H66" s="350">
        <f t="shared" si="16"/>
        <v>108.13209529999999</v>
      </c>
      <c r="I66" s="350">
        <f t="shared" si="16"/>
        <v>108.13209529999999</v>
      </c>
      <c r="J66" s="350">
        <f t="shared" si="16"/>
        <v>108.13209529999999</v>
      </c>
      <c r="K66" s="350">
        <f t="shared" si="16"/>
        <v>108.13209529999999</v>
      </c>
      <c r="L66" s="350">
        <f t="shared" si="16"/>
        <v>108.13209529999999</v>
      </c>
      <c r="M66" s="350">
        <f t="shared" si="16"/>
        <v>108.13209529999999</v>
      </c>
      <c r="N66" s="350">
        <f t="shared" si="16"/>
        <v>108.13209529999999</v>
      </c>
      <c r="O66" s="350">
        <f t="shared" si="16"/>
        <v>108.13209529999999</v>
      </c>
      <c r="P66" s="350">
        <f t="shared" si="16"/>
        <v>108.13209529999999</v>
      </c>
      <c r="Q66" s="752"/>
      <c r="R66" s="362"/>
    </row>
    <row r="67" spans="2:18" ht="31.25" x14ac:dyDescent="0.25">
      <c r="B67" s="753" t="s">
        <v>789</v>
      </c>
      <c r="C67" s="757" t="s">
        <v>790</v>
      </c>
      <c r="D67" s="758">
        <v>112.55286289999999</v>
      </c>
      <c r="E67" s="769">
        <v>1</v>
      </c>
      <c r="F67" s="294"/>
      <c r="G67" s="350">
        <f t="shared" si="16"/>
        <v>225.10572579999999</v>
      </c>
      <c r="H67" s="350">
        <f t="shared" si="16"/>
        <v>225.10572579999999</v>
      </c>
      <c r="I67" s="350">
        <f t="shared" si="16"/>
        <v>225.10572579999999</v>
      </c>
      <c r="J67" s="350">
        <f t="shared" si="16"/>
        <v>225.10572579999999</v>
      </c>
      <c r="K67" s="350">
        <f t="shared" si="16"/>
        <v>225.10572579999999</v>
      </c>
      <c r="L67" s="350">
        <f t="shared" si="16"/>
        <v>225.10572579999999</v>
      </c>
      <c r="M67" s="350">
        <f t="shared" si="16"/>
        <v>225.10572579999999</v>
      </c>
      <c r="N67" s="350">
        <f t="shared" si="16"/>
        <v>225.10572579999999</v>
      </c>
      <c r="O67" s="350">
        <f t="shared" si="16"/>
        <v>225.10572579999999</v>
      </c>
      <c r="P67" s="350">
        <f t="shared" si="16"/>
        <v>225.10572579999999</v>
      </c>
      <c r="Q67" s="752"/>
      <c r="R67" s="362"/>
    </row>
    <row r="68" spans="2:18" ht="31.25" x14ac:dyDescent="0.25">
      <c r="B68" s="753" t="s">
        <v>791</v>
      </c>
      <c r="C68" s="757" t="s">
        <v>792</v>
      </c>
      <c r="D68" s="758">
        <v>54.066047649999994</v>
      </c>
      <c r="E68" s="769">
        <v>3</v>
      </c>
      <c r="F68" s="294"/>
      <c r="G68" s="350">
        <f t="shared" si="16"/>
        <v>324.39628589999995</v>
      </c>
      <c r="H68" s="350">
        <f t="shared" si="16"/>
        <v>324.39628589999995</v>
      </c>
      <c r="I68" s="350">
        <f t="shared" si="16"/>
        <v>324.39628589999995</v>
      </c>
      <c r="J68" s="350">
        <f t="shared" si="16"/>
        <v>324.39628589999995</v>
      </c>
      <c r="K68" s="350">
        <f t="shared" si="16"/>
        <v>324.39628589999995</v>
      </c>
      <c r="L68" s="350">
        <f t="shared" si="16"/>
        <v>324.39628589999995</v>
      </c>
      <c r="M68" s="350">
        <f t="shared" si="16"/>
        <v>324.39628589999995</v>
      </c>
      <c r="N68" s="350">
        <f t="shared" si="16"/>
        <v>324.39628589999995</v>
      </c>
      <c r="O68" s="350">
        <f t="shared" si="16"/>
        <v>324.39628589999995</v>
      </c>
      <c r="P68" s="350">
        <f t="shared" si="16"/>
        <v>324.39628589999995</v>
      </c>
      <c r="Q68" s="752"/>
      <c r="R68" s="362"/>
    </row>
    <row r="69" spans="2:18" ht="31.25" x14ac:dyDescent="0.25">
      <c r="B69" s="753" t="s">
        <v>793</v>
      </c>
      <c r="C69" s="757" t="s">
        <v>794</v>
      </c>
      <c r="D69" s="758">
        <v>45.474603300000005</v>
      </c>
      <c r="E69" s="769">
        <v>2</v>
      </c>
      <c r="F69" s="294"/>
      <c r="G69" s="350">
        <f t="shared" si="16"/>
        <v>181.89841320000002</v>
      </c>
      <c r="H69" s="350">
        <f t="shared" si="16"/>
        <v>181.89841320000002</v>
      </c>
      <c r="I69" s="350">
        <f t="shared" si="16"/>
        <v>181.89841320000002</v>
      </c>
      <c r="J69" s="350">
        <f t="shared" si="16"/>
        <v>181.89841320000002</v>
      </c>
      <c r="K69" s="350">
        <f t="shared" si="16"/>
        <v>181.89841320000002</v>
      </c>
      <c r="L69" s="350">
        <f t="shared" si="16"/>
        <v>181.89841320000002</v>
      </c>
      <c r="M69" s="350">
        <f t="shared" si="16"/>
        <v>181.89841320000002</v>
      </c>
      <c r="N69" s="350">
        <f t="shared" si="16"/>
        <v>181.89841320000002</v>
      </c>
      <c r="O69" s="350">
        <f t="shared" si="16"/>
        <v>181.89841320000002</v>
      </c>
      <c r="P69" s="350">
        <f t="shared" si="16"/>
        <v>181.89841320000002</v>
      </c>
      <c r="Q69" s="752"/>
      <c r="R69" s="362"/>
    </row>
    <row r="70" spans="2:18" ht="31.25" x14ac:dyDescent="0.25">
      <c r="B70" s="760" t="s">
        <v>797</v>
      </c>
      <c r="C70" s="757" t="s">
        <v>798</v>
      </c>
      <c r="D70" s="758">
        <v>299.44710289999995</v>
      </c>
      <c r="E70" s="769">
        <v>4</v>
      </c>
      <c r="F70" s="294"/>
      <c r="G70" s="350">
        <f t="shared" si="16"/>
        <v>2395.5768231999996</v>
      </c>
      <c r="H70" s="350">
        <f t="shared" si="16"/>
        <v>2395.5768231999996</v>
      </c>
      <c r="I70" s="350">
        <f t="shared" si="16"/>
        <v>2395.5768231999996</v>
      </c>
      <c r="J70" s="350">
        <f t="shared" si="16"/>
        <v>2395.5768231999996</v>
      </c>
      <c r="K70" s="350">
        <f t="shared" si="16"/>
        <v>2395.5768231999996</v>
      </c>
      <c r="L70" s="350">
        <f t="shared" si="16"/>
        <v>2395.5768231999996</v>
      </c>
      <c r="M70" s="350">
        <f t="shared" si="16"/>
        <v>2395.5768231999996</v>
      </c>
      <c r="N70" s="350">
        <f t="shared" si="16"/>
        <v>2395.5768231999996</v>
      </c>
      <c r="O70" s="350">
        <f t="shared" si="16"/>
        <v>2395.5768231999996</v>
      </c>
      <c r="P70" s="350">
        <f t="shared" si="16"/>
        <v>2395.5768231999996</v>
      </c>
      <c r="Q70" s="752"/>
      <c r="R70" s="362"/>
    </row>
    <row r="71" spans="2:18" ht="15.65" x14ac:dyDescent="0.25">
      <c r="B71" s="753" t="s">
        <v>799</v>
      </c>
      <c r="C71" s="757" t="s">
        <v>800</v>
      </c>
      <c r="D71" s="758">
        <v>1584.9065841500001</v>
      </c>
      <c r="E71" s="769">
        <v>1</v>
      </c>
      <c r="F71" s="294"/>
      <c r="G71" s="350">
        <f t="shared" si="16"/>
        <v>3169.8131683000001</v>
      </c>
      <c r="H71" s="350">
        <f t="shared" si="16"/>
        <v>3169.8131683000001</v>
      </c>
      <c r="I71" s="350">
        <f t="shared" si="16"/>
        <v>3169.8131683000001</v>
      </c>
      <c r="J71" s="350">
        <f t="shared" si="16"/>
        <v>3169.8131683000001</v>
      </c>
      <c r="K71" s="350">
        <f t="shared" si="16"/>
        <v>3169.8131683000001</v>
      </c>
      <c r="L71" s="350">
        <f t="shared" si="16"/>
        <v>3169.8131683000001</v>
      </c>
      <c r="M71" s="350">
        <f t="shared" si="16"/>
        <v>3169.8131683000001</v>
      </c>
      <c r="N71" s="350">
        <f t="shared" si="16"/>
        <v>3169.8131683000001</v>
      </c>
      <c r="O71" s="350">
        <f t="shared" si="16"/>
        <v>3169.8131683000001</v>
      </c>
      <c r="P71" s="350">
        <f t="shared" si="16"/>
        <v>3169.8131683000001</v>
      </c>
      <c r="Q71" s="752"/>
      <c r="R71" s="362"/>
    </row>
    <row r="72" spans="2:18" ht="15.65" x14ac:dyDescent="0.25">
      <c r="B72" s="753" t="s">
        <v>801</v>
      </c>
      <c r="C72" s="757" t="s">
        <v>802</v>
      </c>
      <c r="D72" s="758">
        <v>111.55721810513619</v>
      </c>
      <c r="E72" s="769">
        <v>2</v>
      </c>
      <c r="F72" s="294"/>
      <c r="G72" s="350">
        <f t="shared" si="16"/>
        <v>446.22887242054475</v>
      </c>
      <c r="H72" s="350">
        <f t="shared" si="16"/>
        <v>446.22887242054475</v>
      </c>
      <c r="I72" s="350">
        <f t="shared" si="16"/>
        <v>446.22887242054475</v>
      </c>
      <c r="J72" s="350">
        <f t="shared" si="16"/>
        <v>446.22887242054475</v>
      </c>
      <c r="K72" s="350">
        <f t="shared" si="16"/>
        <v>446.22887242054475</v>
      </c>
      <c r="L72" s="350">
        <f t="shared" si="16"/>
        <v>446.22887242054475</v>
      </c>
      <c r="M72" s="350">
        <f t="shared" si="16"/>
        <v>446.22887242054475</v>
      </c>
      <c r="N72" s="350">
        <f t="shared" si="16"/>
        <v>446.22887242054475</v>
      </c>
      <c r="O72" s="350">
        <f t="shared" si="16"/>
        <v>446.22887242054475</v>
      </c>
      <c r="P72" s="350">
        <f t="shared" si="16"/>
        <v>446.22887242054475</v>
      </c>
      <c r="Q72" s="752"/>
      <c r="R72" s="362"/>
    </row>
    <row r="73" spans="2:18" ht="31.25" x14ac:dyDescent="0.25">
      <c r="B73" s="753" t="s">
        <v>803</v>
      </c>
      <c r="C73" s="757" t="s">
        <v>804</v>
      </c>
      <c r="D73" s="758">
        <v>29.808732750000001</v>
      </c>
      <c r="E73" s="769">
        <v>2</v>
      </c>
      <c r="F73" s="294"/>
      <c r="G73" s="350">
        <f t="shared" si="16"/>
        <v>119.234931</v>
      </c>
      <c r="H73" s="350">
        <f t="shared" si="16"/>
        <v>119.234931</v>
      </c>
      <c r="I73" s="350">
        <f t="shared" si="16"/>
        <v>119.234931</v>
      </c>
      <c r="J73" s="350">
        <f t="shared" si="16"/>
        <v>119.234931</v>
      </c>
      <c r="K73" s="350">
        <f t="shared" si="16"/>
        <v>119.234931</v>
      </c>
      <c r="L73" s="350">
        <f t="shared" si="16"/>
        <v>119.234931</v>
      </c>
      <c r="M73" s="350">
        <f t="shared" si="16"/>
        <v>119.234931</v>
      </c>
      <c r="N73" s="350">
        <f t="shared" si="16"/>
        <v>119.234931</v>
      </c>
      <c r="O73" s="350">
        <f t="shared" si="16"/>
        <v>119.234931</v>
      </c>
      <c r="P73" s="350">
        <f t="shared" si="16"/>
        <v>119.234931</v>
      </c>
      <c r="Q73" s="752"/>
      <c r="R73" s="362"/>
    </row>
    <row r="74" spans="2:18" ht="31.25" x14ac:dyDescent="0.25">
      <c r="B74" s="761" t="s">
        <v>805</v>
      </c>
      <c r="C74" s="757" t="s">
        <v>806</v>
      </c>
      <c r="D74" s="758">
        <v>23.902395550000001</v>
      </c>
      <c r="E74" s="769">
        <v>1</v>
      </c>
      <c r="F74" s="294"/>
      <c r="G74" s="350">
        <f t="shared" si="16"/>
        <v>47.804791100000003</v>
      </c>
      <c r="H74" s="350">
        <f t="shared" si="16"/>
        <v>47.804791100000003</v>
      </c>
      <c r="I74" s="350">
        <f t="shared" si="16"/>
        <v>47.804791100000003</v>
      </c>
      <c r="J74" s="350">
        <f t="shared" si="16"/>
        <v>47.804791100000003</v>
      </c>
      <c r="K74" s="350">
        <f t="shared" si="16"/>
        <v>47.804791100000003</v>
      </c>
      <c r="L74" s="350">
        <f t="shared" si="16"/>
        <v>47.804791100000003</v>
      </c>
      <c r="M74" s="350">
        <f t="shared" si="16"/>
        <v>47.804791100000003</v>
      </c>
      <c r="N74" s="350">
        <f t="shared" si="16"/>
        <v>47.804791100000003</v>
      </c>
      <c r="O74" s="350">
        <f t="shared" si="16"/>
        <v>47.804791100000003</v>
      </c>
      <c r="P74" s="350">
        <f t="shared" si="16"/>
        <v>47.804791100000003</v>
      </c>
      <c r="Q74" s="752"/>
      <c r="R74" s="362"/>
    </row>
    <row r="75" spans="2:18" ht="31.25" x14ac:dyDescent="0.25">
      <c r="B75" s="761" t="s">
        <v>807</v>
      </c>
      <c r="C75" s="757" t="s">
        <v>808</v>
      </c>
      <c r="D75" s="758">
        <v>76.430459349999992</v>
      </c>
      <c r="E75" s="769">
        <v>2</v>
      </c>
      <c r="F75" s="294"/>
      <c r="G75" s="350">
        <f t="shared" si="16"/>
        <v>305.72183739999997</v>
      </c>
      <c r="H75" s="350">
        <f t="shared" si="16"/>
        <v>305.72183739999997</v>
      </c>
      <c r="I75" s="350">
        <f t="shared" si="16"/>
        <v>305.72183739999997</v>
      </c>
      <c r="J75" s="350">
        <f t="shared" si="16"/>
        <v>305.72183739999997</v>
      </c>
      <c r="K75" s="350">
        <f t="shared" si="16"/>
        <v>305.72183739999997</v>
      </c>
      <c r="L75" s="350">
        <f t="shared" si="16"/>
        <v>305.72183739999997</v>
      </c>
      <c r="M75" s="350">
        <f t="shared" si="16"/>
        <v>305.72183739999997</v>
      </c>
      <c r="N75" s="350">
        <f t="shared" si="16"/>
        <v>305.72183739999997</v>
      </c>
      <c r="O75" s="350">
        <f t="shared" si="16"/>
        <v>305.72183739999997</v>
      </c>
      <c r="P75" s="350">
        <f t="shared" si="16"/>
        <v>305.72183739999997</v>
      </c>
      <c r="Q75" s="752"/>
      <c r="R75" s="362"/>
    </row>
    <row r="76" spans="2:18" ht="31.25" x14ac:dyDescent="0.25">
      <c r="B76" s="753" t="s">
        <v>809</v>
      </c>
      <c r="C76" s="768" t="s">
        <v>810</v>
      </c>
      <c r="D76" s="758">
        <v>12.034311799999998</v>
      </c>
      <c r="E76" s="769">
        <v>2</v>
      </c>
      <c r="F76" s="294"/>
      <c r="G76" s="350">
        <f t="shared" si="16"/>
        <v>48.13724719999999</v>
      </c>
      <c r="H76" s="350">
        <f t="shared" si="16"/>
        <v>48.13724719999999</v>
      </c>
      <c r="I76" s="350">
        <f t="shared" si="16"/>
        <v>48.13724719999999</v>
      </c>
      <c r="J76" s="350">
        <f t="shared" si="16"/>
        <v>48.13724719999999</v>
      </c>
      <c r="K76" s="350">
        <f t="shared" si="16"/>
        <v>48.13724719999999</v>
      </c>
      <c r="L76" s="350">
        <f t="shared" si="16"/>
        <v>48.13724719999999</v>
      </c>
      <c r="M76" s="350">
        <f t="shared" si="16"/>
        <v>48.13724719999999</v>
      </c>
      <c r="N76" s="350">
        <f t="shared" si="16"/>
        <v>48.13724719999999</v>
      </c>
      <c r="O76" s="350">
        <f t="shared" si="16"/>
        <v>48.13724719999999</v>
      </c>
      <c r="P76" s="350">
        <f t="shared" si="16"/>
        <v>48.13724719999999</v>
      </c>
      <c r="Q76" s="752"/>
      <c r="R76" s="362"/>
    </row>
    <row r="77" spans="2:18" ht="31.25" x14ac:dyDescent="0.25">
      <c r="B77" s="753" t="s">
        <v>811</v>
      </c>
      <c r="C77" s="768" t="s">
        <v>812</v>
      </c>
      <c r="D77" s="758">
        <v>153.66178770926592</v>
      </c>
      <c r="E77" s="769">
        <v>1</v>
      </c>
      <c r="F77" s="294"/>
      <c r="G77" s="350">
        <f t="shared" si="16"/>
        <v>307.32357541853185</v>
      </c>
      <c r="H77" s="350">
        <f t="shared" si="16"/>
        <v>307.32357541853185</v>
      </c>
      <c r="I77" s="350">
        <f t="shared" si="16"/>
        <v>307.32357541853185</v>
      </c>
      <c r="J77" s="350">
        <f t="shared" si="16"/>
        <v>307.32357541853185</v>
      </c>
      <c r="K77" s="350">
        <f t="shared" si="16"/>
        <v>307.32357541853185</v>
      </c>
      <c r="L77" s="350">
        <f t="shared" si="16"/>
        <v>307.32357541853185</v>
      </c>
      <c r="M77" s="350">
        <f t="shared" si="16"/>
        <v>307.32357541853185</v>
      </c>
      <c r="N77" s="350">
        <f t="shared" si="16"/>
        <v>307.32357541853185</v>
      </c>
      <c r="O77" s="350">
        <f t="shared" si="16"/>
        <v>307.32357541853185</v>
      </c>
      <c r="P77" s="350">
        <f t="shared" si="16"/>
        <v>307.32357541853185</v>
      </c>
      <c r="Q77" s="752"/>
      <c r="R77" s="362"/>
    </row>
    <row r="78" spans="2:18" ht="31.25" x14ac:dyDescent="0.25">
      <c r="B78" s="753" t="s">
        <v>813</v>
      </c>
      <c r="C78" s="768" t="s">
        <v>814</v>
      </c>
      <c r="D78" s="758">
        <v>9.1485329499999999</v>
      </c>
      <c r="E78" s="769">
        <v>1</v>
      </c>
      <c r="F78" s="294"/>
      <c r="G78" s="350">
        <f t="shared" si="16"/>
        <v>18.2970659</v>
      </c>
      <c r="H78" s="350">
        <f t="shared" si="16"/>
        <v>18.2970659</v>
      </c>
      <c r="I78" s="350">
        <f t="shared" si="16"/>
        <v>18.2970659</v>
      </c>
      <c r="J78" s="350">
        <f t="shared" si="16"/>
        <v>18.2970659</v>
      </c>
      <c r="K78" s="350">
        <f t="shared" si="16"/>
        <v>18.2970659</v>
      </c>
      <c r="L78" s="350">
        <f t="shared" si="16"/>
        <v>18.2970659</v>
      </c>
      <c r="M78" s="350">
        <f t="shared" si="16"/>
        <v>18.2970659</v>
      </c>
      <c r="N78" s="350">
        <f t="shared" si="16"/>
        <v>18.2970659</v>
      </c>
      <c r="O78" s="350">
        <f t="shared" si="16"/>
        <v>18.2970659</v>
      </c>
      <c r="P78" s="350">
        <f t="shared" si="16"/>
        <v>18.2970659</v>
      </c>
      <c r="Q78" s="752"/>
      <c r="R78" s="362"/>
    </row>
    <row r="79" spans="2:18" ht="31.25" x14ac:dyDescent="0.25">
      <c r="B79" s="760" t="s">
        <v>815</v>
      </c>
      <c r="C79" s="768" t="s">
        <v>816</v>
      </c>
      <c r="D79" s="758">
        <v>62.38493789999999</v>
      </c>
      <c r="E79" s="769">
        <v>1</v>
      </c>
      <c r="F79" s="294"/>
      <c r="G79" s="350">
        <f t="shared" si="16"/>
        <v>124.76987579999998</v>
      </c>
      <c r="H79" s="350">
        <f t="shared" si="16"/>
        <v>124.76987579999998</v>
      </c>
      <c r="I79" s="350">
        <f t="shared" si="16"/>
        <v>124.76987579999998</v>
      </c>
      <c r="J79" s="350">
        <f t="shared" si="16"/>
        <v>124.76987579999998</v>
      </c>
      <c r="K79" s="350">
        <f t="shared" si="16"/>
        <v>124.76987579999998</v>
      </c>
      <c r="L79" s="350">
        <f t="shared" si="16"/>
        <v>124.76987579999998</v>
      </c>
      <c r="M79" s="350">
        <f t="shared" si="16"/>
        <v>124.76987579999998</v>
      </c>
      <c r="N79" s="350">
        <f t="shared" si="16"/>
        <v>124.76987579999998</v>
      </c>
      <c r="O79" s="350">
        <f t="shared" si="16"/>
        <v>124.76987579999998</v>
      </c>
      <c r="P79" s="350">
        <f t="shared" si="16"/>
        <v>124.76987579999998</v>
      </c>
      <c r="Q79" s="752"/>
      <c r="R79" s="362"/>
    </row>
    <row r="80" spans="2:18" ht="31.25" x14ac:dyDescent="0.25">
      <c r="B80" s="760" t="s">
        <v>817</v>
      </c>
      <c r="C80" s="768" t="s">
        <v>818</v>
      </c>
      <c r="D80" s="758">
        <v>108.13359285</v>
      </c>
      <c r="E80" s="769">
        <v>4</v>
      </c>
      <c r="F80" s="294"/>
      <c r="G80" s="350">
        <f t="shared" si="16"/>
        <v>865.0687428</v>
      </c>
      <c r="H80" s="350">
        <f t="shared" si="16"/>
        <v>865.0687428</v>
      </c>
      <c r="I80" s="350">
        <f t="shared" si="16"/>
        <v>865.0687428</v>
      </c>
      <c r="J80" s="350">
        <f t="shared" si="16"/>
        <v>865.0687428</v>
      </c>
      <c r="K80" s="350">
        <f t="shared" si="16"/>
        <v>865.0687428</v>
      </c>
      <c r="L80" s="350">
        <f t="shared" si="16"/>
        <v>865.0687428</v>
      </c>
      <c r="M80" s="350">
        <f t="shared" si="16"/>
        <v>865.0687428</v>
      </c>
      <c r="N80" s="350">
        <f t="shared" si="16"/>
        <v>865.0687428</v>
      </c>
      <c r="O80" s="350">
        <f t="shared" si="16"/>
        <v>865.0687428</v>
      </c>
      <c r="P80" s="350">
        <f t="shared" si="16"/>
        <v>865.0687428</v>
      </c>
      <c r="Q80" s="752"/>
      <c r="R80" s="362"/>
    </row>
    <row r="81" spans="2:18" ht="31.25" x14ac:dyDescent="0.25">
      <c r="B81" s="753" t="s">
        <v>819</v>
      </c>
      <c r="C81" s="768" t="s">
        <v>820</v>
      </c>
      <c r="D81" s="758">
        <v>197.55080580000001</v>
      </c>
      <c r="E81" s="769">
        <v>3</v>
      </c>
      <c r="F81" s="358"/>
      <c r="G81" s="350">
        <f>IF(G$17=0,0,G$17/$D$17*$E81*$D81)</f>
        <v>1185.3048348</v>
      </c>
      <c r="H81" s="350">
        <f t="shared" ref="H81:P85" si="17">IF(H$17=0,0,H$17/$D$17*$E81*$D81)</f>
        <v>1185.3048348</v>
      </c>
      <c r="I81" s="350">
        <f t="shared" si="17"/>
        <v>1185.3048348</v>
      </c>
      <c r="J81" s="350">
        <f t="shared" si="17"/>
        <v>1185.3048348</v>
      </c>
      <c r="K81" s="350">
        <f t="shared" si="17"/>
        <v>1185.3048348</v>
      </c>
      <c r="L81" s="350">
        <f t="shared" si="17"/>
        <v>1185.3048348</v>
      </c>
      <c r="M81" s="350">
        <f t="shared" si="17"/>
        <v>1185.3048348</v>
      </c>
      <c r="N81" s="350">
        <f t="shared" si="17"/>
        <v>1185.3048348</v>
      </c>
      <c r="O81" s="350">
        <f t="shared" si="17"/>
        <v>1185.3048348</v>
      </c>
      <c r="P81" s="350">
        <f t="shared" si="17"/>
        <v>1185.3048348</v>
      </c>
      <c r="Q81" s="752"/>
      <c r="R81" s="362"/>
    </row>
    <row r="82" spans="2:18" ht="46.9" x14ac:dyDescent="0.25">
      <c r="B82" s="753" t="s">
        <v>821</v>
      </c>
      <c r="C82" s="768" t="s">
        <v>822</v>
      </c>
      <c r="D82" s="758">
        <v>25.434389199999995</v>
      </c>
      <c r="E82" s="769">
        <v>1</v>
      </c>
      <c r="F82" s="358"/>
      <c r="G82" s="350">
        <f>IF(G$17=0,0,G$17/$D$17*$E82*$D82)</f>
        <v>50.868778399999989</v>
      </c>
      <c r="H82" s="350">
        <f t="shared" si="17"/>
        <v>50.868778399999989</v>
      </c>
      <c r="I82" s="350">
        <f t="shared" si="17"/>
        <v>50.868778399999989</v>
      </c>
      <c r="J82" s="350">
        <f t="shared" si="17"/>
        <v>50.868778399999989</v>
      </c>
      <c r="K82" s="350">
        <f t="shared" si="17"/>
        <v>50.868778399999989</v>
      </c>
      <c r="L82" s="350">
        <f t="shared" si="17"/>
        <v>50.868778399999989</v>
      </c>
      <c r="M82" s="350">
        <f t="shared" si="17"/>
        <v>50.868778399999989</v>
      </c>
      <c r="N82" s="350">
        <f t="shared" si="17"/>
        <v>50.868778399999989</v>
      </c>
      <c r="O82" s="350">
        <f t="shared" si="17"/>
        <v>50.868778399999989</v>
      </c>
      <c r="P82" s="350">
        <f t="shared" si="17"/>
        <v>50.868778399999989</v>
      </c>
      <c r="Q82" s="752"/>
      <c r="R82" s="362"/>
    </row>
    <row r="83" spans="2:18" ht="31.25" x14ac:dyDescent="0.25">
      <c r="B83" s="753" t="s">
        <v>795</v>
      </c>
      <c r="C83" s="762"/>
      <c r="D83" s="758">
        <v>4.420496</v>
      </c>
      <c r="E83" s="763">
        <v>280</v>
      </c>
      <c r="F83" s="358"/>
      <c r="G83" s="350">
        <f>IF(G$17=0,0,G$17/$D$17*$E83*$D83)</f>
        <v>2475.4777599999998</v>
      </c>
      <c r="H83" s="350">
        <f t="shared" si="17"/>
        <v>2475.4777599999998</v>
      </c>
      <c r="I83" s="350">
        <f t="shared" si="17"/>
        <v>2475.4777599999998</v>
      </c>
      <c r="J83" s="350">
        <f t="shared" si="17"/>
        <v>2475.4777599999998</v>
      </c>
      <c r="K83" s="350">
        <f t="shared" si="17"/>
        <v>2475.4777599999998</v>
      </c>
      <c r="L83" s="350">
        <f t="shared" si="17"/>
        <v>2475.4777599999998</v>
      </c>
      <c r="M83" s="350">
        <f t="shared" si="17"/>
        <v>2475.4777599999998</v>
      </c>
      <c r="N83" s="350">
        <f t="shared" si="17"/>
        <v>2475.4777599999998</v>
      </c>
      <c r="O83" s="350">
        <f t="shared" si="17"/>
        <v>2475.4777599999998</v>
      </c>
      <c r="P83" s="350">
        <f t="shared" si="17"/>
        <v>2475.4777599999998</v>
      </c>
      <c r="Q83" s="752">
        <v>346</v>
      </c>
      <c r="R83" s="362">
        <f>Q83*0.012776</f>
        <v>4.420496</v>
      </c>
    </row>
    <row r="84" spans="2:18" ht="31.25" x14ac:dyDescent="0.25">
      <c r="B84" s="753" t="s">
        <v>823</v>
      </c>
      <c r="C84" s="764"/>
      <c r="D84" s="758">
        <v>4.3544440799999995</v>
      </c>
      <c r="E84" s="759">
        <v>900</v>
      </c>
      <c r="F84" s="358"/>
      <c r="G84" s="350">
        <f>IF(G$17=0,0,G$17/$D$17*$E84*$D84)</f>
        <v>7837.9993439999989</v>
      </c>
      <c r="H84" s="350">
        <f t="shared" si="17"/>
        <v>7837.9993439999989</v>
      </c>
      <c r="I84" s="350">
        <f t="shared" si="17"/>
        <v>7837.9993439999989</v>
      </c>
      <c r="J84" s="350">
        <f t="shared" si="17"/>
        <v>7837.9993439999989</v>
      </c>
      <c r="K84" s="350">
        <f t="shared" si="17"/>
        <v>7837.9993439999989</v>
      </c>
      <c r="L84" s="350">
        <f t="shared" si="17"/>
        <v>7837.9993439999989</v>
      </c>
      <c r="M84" s="350">
        <f t="shared" si="17"/>
        <v>7837.9993439999989</v>
      </c>
      <c r="N84" s="350">
        <f t="shared" si="17"/>
        <v>7837.9993439999989</v>
      </c>
      <c r="O84" s="350">
        <f t="shared" si="17"/>
        <v>7837.9993439999989</v>
      </c>
      <c r="P84" s="350">
        <f t="shared" si="17"/>
        <v>7837.9993439999989</v>
      </c>
      <c r="Q84" s="752">
        <v>340.83</v>
      </c>
      <c r="R84" s="362">
        <f t="shared" ref="R84:R85" si="18">Q84*0.012776</f>
        <v>4.3544440799999995</v>
      </c>
    </row>
    <row r="85" spans="2:18" ht="46.9" x14ac:dyDescent="0.25">
      <c r="B85" s="753" t="s">
        <v>796</v>
      </c>
      <c r="C85" s="764"/>
      <c r="D85" s="758">
        <v>12.43730824</v>
      </c>
      <c r="E85" s="759">
        <v>41</v>
      </c>
      <c r="F85" s="358"/>
      <c r="G85" s="350">
        <f>IF(G$17=0,0,G$17/$D$17*$E85*$D85)</f>
        <v>1019.85927568</v>
      </c>
      <c r="H85" s="350">
        <f t="shared" si="17"/>
        <v>1019.85927568</v>
      </c>
      <c r="I85" s="350">
        <f t="shared" si="17"/>
        <v>1019.85927568</v>
      </c>
      <c r="J85" s="350">
        <f t="shared" si="17"/>
        <v>1019.85927568</v>
      </c>
      <c r="K85" s="350">
        <f t="shared" si="17"/>
        <v>1019.85927568</v>
      </c>
      <c r="L85" s="350">
        <f t="shared" si="17"/>
        <v>1019.85927568</v>
      </c>
      <c r="M85" s="350">
        <f t="shared" si="17"/>
        <v>1019.85927568</v>
      </c>
      <c r="N85" s="350">
        <f t="shared" si="17"/>
        <v>1019.85927568</v>
      </c>
      <c r="O85" s="350">
        <f t="shared" si="17"/>
        <v>1019.85927568</v>
      </c>
      <c r="P85" s="350">
        <f t="shared" si="17"/>
        <v>1019.85927568</v>
      </c>
      <c r="Q85" s="752">
        <v>973.49</v>
      </c>
      <c r="R85" s="362">
        <f t="shared" si="18"/>
        <v>12.43730824</v>
      </c>
    </row>
    <row r="86" spans="2:18" x14ac:dyDescent="0.25">
      <c r="B86" s="352"/>
      <c r="C86" s="364"/>
      <c r="D86" s="348"/>
      <c r="E86" s="770"/>
      <c r="F86" s="358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752"/>
      <c r="R86" s="362"/>
    </row>
    <row r="87" spans="2:18" x14ac:dyDescent="0.25">
      <c r="B87" s="748" t="s">
        <v>553</v>
      </c>
      <c r="C87" s="364"/>
      <c r="D87" s="348"/>
      <c r="E87" s="568">
        <f>VLOOKUP($B87,$B$14:$C$21,2,FALSE)</f>
        <v>3000</v>
      </c>
      <c r="F87" s="294">
        <f>VLOOKUP($B87,$B$14:$E$21,4,FALSE)</f>
        <v>1</v>
      </c>
      <c r="G87" s="476"/>
      <c r="H87" s="476"/>
      <c r="I87" s="476"/>
      <c r="J87" s="476"/>
      <c r="K87" s="476"/>
      <c r="L87" s="476"/>
      <c r="M87" s="476"/>
      <c r="N87" s="476"/>
      <c r="O87" s="476"/>
      <c r="P87" s="476"/>
      <c r="Q87" s="752"/>
      <c r="R87" s="362"/>
    </row>
    <row r="88" spans="2:18" ht="15.65" x14ac:dyDescent="0.25">
      <c r="B88" s="753" t="s">
        <v>786</v>
      </c>
      <c r="C88" s="757" t="s">
        <v>787</v>
      </c>
      <c r="D88" s="354">
        <v>246.41286719999999</v>
      </c>
      <c r="E88" s="771">
        <v>4</v>
      </c>
      <c r="F88" s="294"/>
      <c r="G88" s="350">
        <f t="shared" ref="G88:P103" si="19">IF(G$19=0,0,G$19/$D$19*$E88*$D88)</f>
        <v>985.65146879999998</v>
      </c>
      <c r="H88" s="350">
        <f t="shared" si="19"/>
        <v>985.65146879999998</v>
      </c>
      <c r="I88" s="350">
        <f t="shared" si="19"/>
        <v>985.65146879999998</v>
      </c>
      <c r="J88" s="350">
        <f t="shared" si="19"/>
        <v>985.65146879999998</v>
      </c>
      <c r="K88" s="350">
        <f t="shared" si="19"/>
        <v>985.65146879999998</v>
      </c>
      <c r="L88" s="350">
        <f t="shared" si="19"/>
        <v>985.65146879999998</v>
      </c>
      <c r="M88" s="350">
        <f t="shared" si="19"/>
        <v>985.65146879999998</v>
      </c>
      <c r="N88" s="350">
        <f t="shared" si="19"/>
        <v>985.65146879999998</v>
      </c>
      <c r="O88" s="350">
        <f t="shared" si="19"/>
        <v>985.65146879999998</v>
      </c>
      <c r="P88" s="350">
        <f t="shared" si="19"/>
        <v>985.65146879999998</v>
      </c>
      <c r="Q88" s="752"/>
      <c r="R88" s="362"/>
    </row>
    <row r="89" spans="2:18" ht="15.65" x14ac:dyDescent="0.25">
      <c r="B89" s="753" t="s">
        <v>786</v>
      </c>
      <c r="C89" s="757" t="s">
        <v>788</v>
      </c>
      <c r="D89" s="354">
        <v>54.066047649999994</v>
      </c>
      <c r="E89" s="771">
        <v>1</v>
      </c>
      <c r="F89" s="294"/>
      <c r="G89" s="350">
        <f t="shared" si="19"/>
        <v>54.066047649999994</v>
      </c>
      <c r="H89" s="350">
        <f t="shared" si="19"/>
        <v>54.066047649999994</v>
      </c>
      <c r="I89" s="350">
        <f t="shared" si="19"/>
        <v>54.066047649999994</v>
      </c>
      <c r="J89" s="350">
        <f t="shared" si="19"/>
        <v>54.066047649999994</v>
      </c>
      <c r="K89" s="350">
        <f t="shared" si="19"/>
        <v>54.066047649999994</v>
      </c>
      <c r="L89" s="350">
        <f t="shared" si="19"/>
        <v>54.066047649999994</v>
      </c>
      <c r="M89" s="350">
        <f t="shared" si="19"/>
        <v>54.066047649999994</v>
      </c>
      <c r="N89" s="350">
        <f t="shared" si="19"/>
        <v>54.066047649999994</v>
      </c>
      <c r="O89" s="350">
        <f t="shared" si="19"/>
        <v>54.066047649999994</v>
      </c>
      <c r="P89" s="350">
        <f t="shared" si="19"/>
        <v>54.066047649999994</v>
      </c>
      <c r="Q89" s="752"/>
      <c r="R89" s="362"/>
    </row>
    <row r="90" spans="2:18" ht="31.25" x14ac:dyDescent="0.25">
      <c r="B90" s="753" t="s">
        <v>789</v>
      </c>
      <c r="C90" s="757" t="s">
        <v>790</v>
      </c>
      <c r="D90" s="354">
        <v>112.55286289999999</v>
      </c>
      <c r="E90" s="771">
        <v>1</v>
      </c>
      <c r="F90" s="294"/>
      <c r="G90" s="350">
        <f t="shared" si="19"/>
        <v>112.55286289999999</v>
      </c>
      <c r="H90" s="350">
        <f t="shared" si="19"/>
        <v>112.55286289999999</v>
      </c>
      <c r="I90" s="350">
        <f t="shared" si="19"/>
        <v>112.55286289999999</v>
      </c>
      <c r="J90" s="350">
        <f t="shared" si="19"/>
        <v>112.55286289999999</v>
      </c>
      <c r="K90" s="350">
        <f t="shared" si="19"/>
        <v>112.55286289999999</v>
      </c>
      <c r="L90" s="350">
        <f t="shared" si="19"/>
        <v>112.55286289999999</v>
      </c>
      <c r="M90" s="350">
        <f t="shared" si="19"/>
        <v>112.55286289999999</v>
      </c>
      <c r="N90" s="350">
        <f t="shared" si="19"/>
        <v>112.55286289999999</v>
      </c>
      <c r="O90" s="350">
        <f t="shared" si="19"/>
        <v>112.55286289999999</v>
      </c>
      <c r="P90" s="350">
        <f t="shared" si="19"/>
        <v>112.55286289999999</v>
      </c>
      <c r="Q90" s="752"/>
      <c r="R90" s="362"/>
    </row>
    <row r="91" spans="2:18" ht="31.25" x14ac:dyDescent="0.25">
      <c r="B91" s="753" t="s">
        <v>791</v>
      </c>
      <c r="C91" s="757" t="s">
        <v>792</v>
      </c>
      <c r="D91" s="354">
        <v>54.066047649999994</v>
      </c>
      <c r="E91" s="771">
        <v>3</v>
      </c>
      <c r="F91" s="294"/>
      <c r="G91" s="350">
        <f t="shared" si="19"/>
        <v>162.19814294999998</v>
      </c>
      <c r="H91" s="350">
        <f t="shared" si="19"/>
        <v>162.19814294999998</v>
      </c>
      <c r="I91" s="350">
        <f t="shared" si="19"/>
        <v>162.19814294999998</v>
      </c>
      <c r="J91" s="350">
        <f t="shared" si="19"/>
        <v>162.19814294999998</v>
      </c>
      <c r="K91" s="350">
        <f t="shared" si="19"/>
        <v>162.19814294999998</v>
      </c>
      <c r="L91" s="350">
        <f t="shared" si="19"/>
        <v>162.19814294999998</v>
      </c>
      <c r="M91" s="350">
        <f t="shared" si="19"/>
        <v>162.19814294999998</v>
      </c>
      <c r="N91" s="350">
        <f t="shared" si="19"/>
        <v>162.19814294999998</v>
      </c>
      <c r="O91" s="350">
        <f t="shared" si="19"/>
        <v>162.19814294999998</v>
      </c>
      <c r="P91" s="350">
        <f t="shared" si="19"/>
        <v>162.19814294999998</v>
      </c>
      <c r="Q91" s="752"/>
      <c r="R91" s="362"/>
    </row>
    <row r="92" spans="2:18" ht="31.25" x14ac:dyDescent="0.25">
      <c r="B92" s="753" t="s">
        <v>793</v>
      </c>
      <c r="C92" s="757" t="s">
        <v>794</v>
      </c>
      <c r="D92" s="354">
        <v>45.474603300000005</v>
      </c>
      <c r="E92" s="771">
        <v>2</v>
      </c>
      <c r="F92" s="294"/>
      <c r="G92" s="350">
        <f t="shared" si="19"/>
        <v>90.949206600000011</v>
      </c>
      <c r="H92" s="350">
        <f t="shared" si="19"/>
        <v>90.949206600000011</v>
      </c>
      <c r="I92" s="350">
        <f t="shared" si="19"/>
        <v>90.949206600000011</v>
      </c>
      <c r="J92" s="350">
        <f t="shared" si="19"/>
        <v>90.949206600000011</v>
      </c>
      <c r="K92" s="350">
        <f t="shared" si="19"/>
        <v>90.949206600000011</v>
      </c>
      <c r="L92" s="350">
        <f t="shared" si="19"/>
        <v>90.949206600000011</v>
      </c>
      <c r="M92" s="350">
        <f t="shared" si="19"/>
        <v>90.949206600000011</v>
      </c>
      <c r="N92" s="350">
        <f t="shared" si="19"/>
        <v>90.949206600000011</v>
      </c>
      <c r="O92" s="350">
        <f t="shared" si="19"/>
        <v>90.949206600000011</v>
      </c>
      <c r="P92" s="350">
        <f t="shared" si="19"/>
        <v>90.949206600000011</v>
      </c>
      <c r="Q92" s="752"/>
      <c r="R92" s="362"/>
    </row>
    <row r="93" spans="2:18" ht="31.25" x14ac:dyDescent="0.25">
      <c r="B93" s="760" t="s">
        <v>797</v>
      </c>
      <c r="C93" s="757" t="s">
        <v>798</v>
      </c>
      <c r="D93" s="354">
        <v>299.44710289999995</v>
      </c>
      <c r="E93" s="771">
        <v>4</v>
      </c>
      <c r="F93" s="294"/>
      <c r="G93" s="350">
        <f t="shared" si="19"/>
        <v>1197.7884115999998</v>
      </c>
      <c r="H93" s="350">
        <f t="shared" si="19"/>
        <v>1197.7884115999998</v>
      </c>
      <c r="I93" s="350">
        <f t="shared" si="19"/>
        <v>1197.7884115999998</v>
      </c>
      <c r="J93" s="350">
        <f t="shared" si="19"/>
        <v>1197.7884115999998</v>
      </c>
      <c r="K93" s="350">
        <f t="shared" si="19"/>
        <v>1197.7884115999998</v>
      </c>
      <c r="L93" s="350">
        <f t="shared" si="19"/>
        <v>1197.7884115999998</v>
      </c>
      <c r="M93" s="350">
        <f t="shared" si="19"/>
        <v>1197.7884115999998</v>
      </c>
      <c r="N93" s="350">
        <f t="shared" si="19"/>
        <v>1197.7884115999998</v>
      </c>
      <c r="O93" s="350">
        <f t="shared" si="19"/>
        <v>1197.7884115999998</v>
      </c>
      <c r="P93" s="350">
        <f t="shared" si="19"/>
        <v>1197.7884115999998</v>
      </c>
      <c r="Q93" s="752"/>
      <c r="R93" s="362"/>
    </row>
    <row r="94" spans="2:18" ht="15.65" x14ac:dyDescent="0.25">
      <c r="B94" s="753" t="s">
        <v>799</v>
      </c>
      <c r="C94" s="757" t="s">
        <v>800</v>
      </c>
      <c r="D94" s="354">
        <v>1584.9065841500001</v>
      </c>
      <c r="E94" s="771">
        <v>1</v>
      </c>
      <c r="F94" s="294"/>
      <c r="G94" s="350">
        <f t="shared" si="19"/>
        <v>1584.9065841500001</v>
      </c>
      <c r="H94" s="350">
        <f t="shared" si="19"/>
        <v>1584.9065841500001</v>
      </c>
      <c r="I94" s="350">
        <f t="shared" si="19"/>
        <v>1584.9065841500001</v>
      </c>
      <c r="J94" s="350">
        <f t="shared" si="19"/>
        <v>1584.9065841500001</v>
      </c>
      <c r="K94" s="350">
        <f t="shared" si="19"/>
        <v>1584.9065841500001</v>
      </c>
      <c r="L94" s="350">
        <f t="shared" si="19"/>
        <v>1584.9065841500001</v>
      </c>
      <c r="M94" s="350">
        <f t="shared" si="19"/>
        <v>1584.9065841500001</v>
      </c>
      <c r="N94" s="350">
        <f t="shared" si="19"/>
        <v>1584.9065841500001</v>
      </c>
      <c r="O94" s="350">
        <f t="shared" si="19"/>
        <v>1584.9065841500001</v>
      </c>
      <c r="P94" s="350">
        <f t="shared" si="19"/>
        <v>1584.9065841500001</v>
      </c>
      <c r="Q94" s="752"/>
      <c r="R94" s="362"/>
    </row>
    <row r="95" spans="2:18" ht="15.65" x14ac:dyDescent="0.25">
      <c r="B95" s="753" t="s">
        <v>801</v>
      </c>
      <c r="C95" s="757" t="s">
        <v>802</v>
      </c>
      <c r="D95" s="354">
        <v>111.55721810513619</v>
      </c>
      <c r="E95" s="771">
        <v>2</v>
      </c>
      <c r="F95" s="294"/>
      <c r="G95" s="350">
        <f t="shared" si="19"/>
        <v>223.11443621027237</v>
      </c>
      <c r="H95" s="350">
        <f t="shared" si="19"/>
        <v>223.11443621027237</v>
      </c>
      <c r="I95" s="350">
        <f t="shared" si="19"/>
        <v>223.11443621027237</v>
      </c>
      <c r="J95" s="350">
        <f t="shared" si="19"/>
        <v>223.11443621027237</v>
      </c>
      <c r="K95" s="350">
        <f t="shared" si="19"/>
        <v>223.11443621027237</v>
      </c>
      <c r="L95" s="350">
        <f t="shared" si="19"/>
        <v>223.11443621027237</v>
      </c>
      <c r="M95" s="350">
        <f t="shared" si="19"/>
        <v>223.11443621027237</v>
      </c>
      <c r="N95" s="350">
        <f t="shared" si="19"/>
        <v>223.11443621027237</v>
      </c>
      <c r="O95" s="350">
        <f t="shared" si="19"/>
        <v>223.11443621027237</v>
      </c>
      <c r="P95" s="350">
        <f t="shared" si="19"/>
        <v>223.11443621027237</v>
      </c>
      <c r="Q95" s="752"/>
      <c r="R95" s="362"/>
    </row>
    <row r="96" spans="2:18" ht="31.25" x14ac:dyDescent="0.25">
      <c r="B96" s="753" t="s">
        <v>803</v>
      </c>
      <c r="C96" s="757" t="s">
        <v>804</v>
      </c>
      <c r="D96" s="354">
        <v>29.808732750000001</v>
      </c>
      <c r="E96" s="771">
        <v>2</v>
      </c>
      <c r="F96" s="294"/>
      <c r="G96" s="350">
        <f t="shared" si="19"/>
        <v>59.617465500000002</v>
      </c>
      <c r="H96" s="350">
        <f t="shared" si="19"/>
        <v>59.617465500000002</v>
      </c>
      <c r="I96" s="350">
        <f t="shared" si="19"/>
        <v>59.617465500000002</v>
      </c>
      <c r="J96" s="350">
        <f t="shared" si="19"/>
        <v>59.617465500000002</v>
      </c>
      <c r="K96" s="350">
        <f t="shared" si="19"/>
        <v>59.617465500000002</v>
      </c>
      <c r="L96" s="350">
        <f t="shared" si="19"/>
        <v>59.617465500000002</v>
      </c>
      <c r="M96" s="350">
        <f t="shared" si="19"/>
        <v>59.617465500000002</v>
      </c>
      <c r="N96" s="350">
        <f t="shared" si="19"/>
        <v>59.617465500000002</v>
      </c>
      <c r="O96" s="350">
        <f t="shared" si="19"/>
        <v>59.617465500000002</v>
      </c>
      <c r="P96" s="350">
        <f t="shared" si="19"/>
        <v>59.617465500000002</v>
      </c>
      <c r="Q96" s="752"/>
      <c r="R96" s="362"/>
    </row>
    <row r="97" spans="2:18" ht="31.25" x14ac:dyDescent="0.25">
      <c r="B97" s="761" t="s">
        <v>805</v>
      </c>
      <c r="C97" s="757" t="s">
        <v>806</v>
      </c>
      <c r="D97" s="354">
        <v>23.902395550000001</v>
      </c>
      <c r="E97" s="771">
        <v>1</v>
      </c>
      <c r="F97" s="294"/>
      <c r="G97" s="350">
        <f t="shared" si="19"/>
        <v>23.902395550000001</v>
      </c>
      <c r="H97" s="350">
        <f t="shared" si="19"/>
        <v>23.902395550000001</v>
      </c>
      <c r="I97" s="350">
        <f t="shared" si="19"/>
        <v>23.902395550000001</v>
      </c>
      <c r="J97" s="350">
        <f t="shared" si="19"/>
        <v>23.902395550000001</v>
      </c>
      <c r="K97" s="350">
        <f t="shared" si="19"/>
        <v>23.902395550000001</v>
      </c>
      <c r="L97" s="350">
        <f t="shared" si="19"/>
        <v>23.902395550000001</v>
      </c>
      <c r="M97" s="350">
        <f t="shared" si="19"/>
        <v>23.902395550000001</v>
      </c>
      <c r="N97" s="350">
        <f t="shared" si="19"/>
        <v>23.902395550000001</v>
      </c>
      <c r="O97" s="350">
        <f t="shared" si="19"/>
        <v>23.902395550000001</v>
      </c>
      <c r="P97" s="350">
        <f t="shared" si="19"/>
        <v>23.902395550000001</v>
      </c>
      <c r="Q97" s="752"/>
      <c r="R97" s="362"/>
    </row>
    <row r="98" spans="2:18" ht="31.25" x14ac:dyDescent="0.25">
      <c r="B98" s="761" t="s">
        <v>807</v>
      </c>
      <c r="C98" s="757" t="s">
        <v>808</v>
      </c>
      <c r="D98" s="354">
        <v>76.430459349999992</v>
      </c>
      <c r="E98" s="771">
        <v>2</v>
      </c>
      <c r="F98" s="294"/>
      <c r="G98" s="350">
        <f t="shared" si="19"/>
        <v>152.86091869999998</v>
      </c>
      <c r="H98" s="350">
        <f t="shared" si="19"/>
        <v>152.86091869999998</v>
      </c>
      <c r="I98" s="350">
        <f t="shared" si="19"/>
        <v>152.86091869999998</v>
      </c>
      <c r="J98" s="350">
        <f t="shared" si="19"/>
        <v>152.86091869999998</v>
      </c>
      <c r="K98" s="350">
        <f t="shared" si="19"/>
        <v>152.86091869999998</v>
      </c>
      <c r="L98" s="350">
        <f t="shared" si="19"/>
        <v>152.86091869999998</v>
      </c>
      <c r="M98" s="350">
        <f t="shared" si="19"/>
        <v>152.86091869999998</v>
      </c>
      <c r="N98" s="350">
        <f t="shared" si="19"/>
        <v>152.86091869999998</v>
      </c>
      <c r="O98" s="350">
        <f t="shared" si="19"/>
        <v>152.86091869999998</v>
      </c>
      <c r="P98" s="350">
        <f t="shared" si="19"/>
        <v>152.86091869999998</v>
      </c>
      <c r="Q98" s="752"/>
      <c r="R98" s="362"/>
    </row>
    <row r="99" spans="2:18" ht="31.25" x14ac:dyDescent="0.25">
      <c r="B99" s="753" t="s">
        <v>809</v>
      </c>
      <c r="C99" s="768" t="s">
        <v>810</v>
      </c>
      <c r="D99" s="354">
        <v>12.034311799999998</v>
      </c>
      <c r="E99" s="771">
        <v>2</v>
      </c>
      <c r="F99" s="294"/>
      <c r="G99" s="350">
        <f t="shared" si="19"/>
        <v>24.068623599999995</v>
      </c>
      <c r="H99" s="350">
        <f t="shared" si="19"/>
        <v>24.068623599999995</v>
      </c>
      <c r="I99" s="350">
        <f t="shared" si="19"/>
        <v>24.068623599999995</v>
      </c>
      <c r="J99" s="350">
        <f t="shared" si="19"/>
        <v>24.068623599999995</v>
      </c>
      <c r="K99" s="350">
        <f t="shared" si="19"/>
        <v>24.068623599999995</v>
      </c>
      <c r="L99" s="350">
        <f t="shared" si="19"/>
        <v>24.068623599999995</v>
      </c>
      <c r="M99" s="350">
        <f t="shared" si="19"/>
        <v>24.068623599999995</v>
      </c>
      <c r="N99" s="350">
        <f t="shared" si="19"/>
        <v>24.068623599999995</v>
      </c>
      <c r="O99" s="350">
        <f t="shared" si="19"/>
        <v>24.068623599999995</v>
      </c>
      <c r="P99" s="350">
        <f t="shared" si="19"/>
        <v>24.068623599999995</v>
      </c>
      <c r="Q99" s="752"/>
      <c r="R99" s="362"/>
    </row>
    <row r="100" spans="2:18" ht="31.25" x14ac:dyDescent="0.25">
      <c r="B100" s="753" t="s">
        <v>811</v>
      </c>
      <c r="C100" s="768" t="s">
        <v>812</v>
      </c>
      <c r="D100" s="354">
        <v>153.66178770926592</v>
      </c>
      <c r="E100" s="771">
        <v>1</v>
      </c>
      <c r="F100" s="294"/>
      <c r="G100" s="350">
        <f t="shared" si="19"/>
        <v>153.66178770926592</v>
      </c>
      <c r="H100" s="350">
        <f t="shared" si="19"/>
        <v>153.66178770926592</v>
      </c>
      <c r="I100" s="350">
        <f t="shared" si="19"/>
        <v>153.66178770926592</v>
      </c>
      <c r="J100" s="350">
        <f t="shared" si="19"/>
        <v>153.66178770926592</v>
      </c>
      <c r="K100" s="350">
        <f t="shared" si="19"/>
        <v>153.66178770926592</v>
      </c>
      <c r="L100" s="350">
        <f t="shared" si="19"/>
        <v>153.66178770926592</v>
      </c>
      <c r="M100" s="350">
        <f t="shared" si="19"/>
        <v>153.66178770926592</v>
      </c>
      <c r="N100" s="350">
        <f t="shared" si="19"/>
        <v>153.66178770926592</v>
      </c>
      <c r="O100" s="350">
        <f t="shared" si="19"/>
        <v>153.66178770926592</v>
      </c>
      <c r="P100" s="350">
        <f t="shared" si="19"/>
        <v>153.66178770926592</v>
      </c>
      <c r="Q100" s="752"/>
      <c r="R100" s="362"/>
    </row>
    <row r="101" spans="2:18" ht="31.25" x14ac:dyDescent="0.25">
      <c r="B101" s="753" t="s">
        <v>813</v>
      </c>
      <c r="C101" s="768" t="s">
        <v>814</v>
      </c>
      <c r="D101" s="354">
        <v>9.1485329499999999</v>
      </c>
      <c r="E101" s="771">
        <v>1</v>
      </c>
      <c r="F101" s="294"/>
      <c r="G101" s="350">
        <f t="shared" si="19"/>
        <v>9.1485329499999999</v>
      </c>
      <c r="H101" s="350">
        <f t="shared" si="19"/>
        <v>9.1485329499999999</v>
      </c>
      <c r="I101" s="350">
        <f t="shared" si="19"/>
        <v>9.1485329499999999</v>
      </c>
      <c r="J101" s="350">
        <f t="shared" si="19"/>
        <v>9.1485329499999999</v>
      </c>
      <c r="K101" s="350">
        <f t="shared" si="19"/>
        <v>9.1485329499999999</v>
      </c>
      <c r="L101" s="350">
        <f t="shared" si="19"/>
        <v>9.1485329499999999</v>
      </c>
      <c r="M101" s="350">
        <f t="shared" si="19"/>
        <v>9.1485329499999999</v>
      </c>
      <c r="N101" s="350">
        <f t="shared" si="19"/>
        <v>9.1485329499999999</v>
      </c>
      <c r="O101" s="350">
        <f t="shared" si="19"/>
        <v>9.1485329499999999</v>
      </c>
      <c r="P101" s="350">
        <f t="shared" si="19"/>
        <v>9.1485329499999999</v>
      </c>
      <c r="Q101" s="752"/>
      <c r="R101" s="362"/>
    </row>
    <row r="102" spans="2:18" ht="31.25" x14ac:dyDescent="0.25">
      <c r="B102" s="760" t="s">
        <v>815</v>
      </c>
      <c r="C102" s="768" t="s">
        <v>816</v>
      </c>
      <c r="D102" s="354">
        <v>62.38493789999999</v>
      </c>
      <c r="E102" s="771">
        <v>1</v>
      </c>
      <c r="F102" s="294"/>
      <c r="G102" s="350">
        <f t="shared" si="19"/>
        <v>62.38493789999999</v>
      </c>
      <c r="H102" s="350">
        <f t="shared" si="19"/>
        <v>62.38493789999999</v>
      </c>
      <c r="I102" s="350">
        <f t="shared" si="19"/>
        <v>62.38493789999999</v>
      </c>
      <c r="J102" s="350">
        <f t="shared" si="19"/>
        <v>62.38493789999999</v>
      </c>
      <c r="K102" s="350">
        <f t="shared" si="19"/>
        <v>62.38493789999999</v>
      </c>
      <c r="L102" s="350">
        <f t="shared" si="19"/>
        <v>62.38493789999999</v>
      </c>
      <c r="M102" s="350">
        <f t="shared" si="19"/>
        <v>62.38493789999999</v>
      </c>
      <c r="N102" s="350">
        <f t="shared" si="19"/>
        <v>62.38493789999999</v>
      </c>
      <c r="O102" s="350">
        <f t="shared" si="19"/>
        <v>62.38493789999999</v>
      </c>
      <c r="P102" s="350">
        <f t="shared" si="19"/>
        <v>62.38493789999999</v>
      </c>
      <c r="Q102" s="752"/>
      <c r="R102" s="362"/>
    </row>
    <row r="103" spans="2:18" ht="31.25" x14ac:dyDescent="0.25">
      <c r="B103" s="753" t="s">
        <v>795</v>
      </c>
      <c r="C103" s="762"/>
      <c r="D103" s="758">
        <v>4.420496</v>
      </c>
      <c r="E103" s="763">
        <v>280</v>
      </c>
      <c r="F103" s="294"/>
      <c r="G103" s="350">
        <f t="shared" si="19"/>
        <v>1237.7388799999999</v>
      </c>
      <c r="H103" s="350">
        <f t="shared" si="19"/>
        <v>1237.7388799999999</v>
      </c>
      <c r="I103" s="350">
        <f t="shared" si="19"/>
        <v>1237.7388799999999</v>
      </c>
      <c r="J103" s="350">
        <f t="shared" si="19"/>
        <v>1237.7388799999999</v>
      </c>
      <c r="K103" s="350">
        <f t="shared" si="19"/>
        <v>1237.7388799999999</v>
      </c>
      <c r="L103" s="350">
        <f t="shared" si="19"/>
        <v>1237.7388799999999</v>
      </c>
      <c r="M103" s="350">
        <f t="shared" si="19"/>
        <v>1237.7388799999999</v>
      </c>
      <c r="N103" s="350">
        <f t="shared" si="19"/>
        <v>1237.7388799999999</v>
      </c>
      <c r="O103" s="350">
        <f t="shared" si="19"/>
        <v>1237.7388799999999</v>
      </c>
      <c r="P103" s="350">
        <f t="shared" si="19"/>
        <v>1237.7388799999999</v>
      </c>
      <c r="Q103" s="752">
        <v>346</v>
      </c>
      <c r="R103" s="362">
        <f>Q103*0.012776</f>
        <v>4.420496</v>
      </c>
    </row>
    <row r="104" spans="2:18" ht="31.25" x14ac:dyDescent="0.25">
      <c r="B104" s="753" t="s">
        <v>824</v>
      </c>
      <c r="C104" s="764"/>
      <c r="D104" s="758">
        <v>19.117878640000001</v>
      </c>
      <c r="E104" s="759">
        <v>208</v>
      </c>
      <c r="F104" s="358"/>
      <c r="G104" s="350">
        <f>IF(G$19=0,0,G$19/$D$19*$E104*$D104)</f>
        <v>3976.5187571200004</v>
      </c>
      <c r="H104" s="350">
        <f t="shared" ref="H104:P104" si="20">IF(H$19=0,0,H$19/$D$19*$E104*$D104)</f>
        <v>3976.5187571200004</v>
      </c>
      <c r="I104" s="350">
        <f t="shared" si="20"/>
        <v>3976.5187571200004</v>
      </c>
      <c r="J104" s="350">
        <f t="shared" si="20"/>
        <v>3976.5187571200004</v>
      </c>
      <c r="K104" s="350">
        <f t="shared" si="20"/>
        <v>3976.5187571200004</v>
      </c>
      <c r="L104" s="350">
        <f t="shared" si="20"/>
        <v>3976.5187571200004</v>
      </c>
      <c r="M104" s="350">
        <f t="shared" si="20"/>
        <v>3976.5187571200004</v>
      </c>
      <c r="N104" s="350">
        <f t="shared" si="20"/>
        <v>3976.5187571200004</v>
      </c>
      <c r="O104" s="350">
        <f t="shared" si="20"/>
        <v>3976.5187571200004</v>
      </c>
      <c r="P104" s="350">
        <f t="shared" si="20"/>
        <v>3976.5187571200004</v>
      </c>
      <c r="Q104" s="752">
        <v>1496.39</v>
      </c>
      <c r="R104" s="362">
        <f t="shared" ref="R104:R105" si="21">Q104*0.012776</f>
        <v>19.117878640000001</v>
      </c>
    </row>
    <row r="105" spans="2:18" ht="46.9" x14ac:dyDescent="0.25">
      <c r="B105" s="753" t="s">
        <v>796</v>
      </c>
      <c r="C105" s="764"/>
      <c r="D105" s="758">
        <v>12.43730824</v>
      </c>
      <c r="E105" s="759">
        <v>41</v>
      </c>
      <c r="F105" s="358"/>
      <c r="G105" s="350">
        <f t="shared" ref="G105:P105" si="22">IF(G$19=0,0,G$19/$D$19*$E105*$D105)</f>
        <v>509.92963784</v>
      </c>
      <c r="H105" s="350">
        <f t="shared" si="22"/>
        <v>509.92963784</v>
      </c>
      <c r="I105" s="350">
        <f t="shared" si="22"/>
        <v>509.92963784</v>
      </c>
      <c r="J105" s="350">
        <f t="shared" si="22"/>
        <v>509.92963784</v>
      </c>
      <c r="K105" s="350">
        <f t="shared" si="22"/>
        <v>509.92963784</v>
      </c>
      <c r="L105" s="350">
        <f t="shared" si="22"/>
        <v>509.92963784</v>
      </c>
      <c r="M105" s="350">
        <f t="shared" si="22"/>
        <v>509.92963784</v>
      </c>
      <c r="N105" s="350">
        <f t="shared" si="22"/>
        <v>509.92963784</v>
      </c>
      <c r="O105" s="350">
        <f t="shared" si="22"/>
        <v>509.92963784</v>
      </c>
      <c r="P105" s="350">
        <f t="shared" si="22"/>
        <v>509.92963784</v>
      </c>
      <c r="Q105" s="752">
        <v>973.49</v>
      </c>
      <c r="R105" s="362">
        <f t="shared" si="21"/>
        <v>12.43730824</v>
      </c>
    </row>
    <row r="106" spans="2:18" x14ac:dyDescent="0.25">
      <c r="B106" s="748" t="s">
        <v>554</v>
      </c>
      <c r="C106" s="364"/>
      <c r="D106" s="348"/>
      <c r="E106" s="568">
        <f>VLOOKUP($B106,$B$14:$C$21,2,FALSE)</f>
        <v>5000</v>
      </c>
      <c r="F106" s="358"/>
      <c r="G106" s="476"/>
      <c r="H106" s="476"/>
      <c r="I106" s="292"/>
      <c r="J106" s="476"/>
      <c r="K106" s="292"/>
      <c r="L106" s="476"/>
      <c r="M106" s="292"/>
      <c r="N106" s="476"/>
      <c r="O106" s="292"/>
      <c r="P106" s="476"/>
      <c r="Q106" s="752"/>
      <c r="R106" s="362"/>
    </row>
    <row r="107" spans="2:18" ht="15.65" x14ac:dyDescent="0.25">
      <c r="B107" s="753" t="s">
        <v>786</v>
      </c>
      <c r="C107" s="757" t="s">
        <v>787</v>
      </c>
      <c r="D107" s="354">
        <v>246.41286719999999</v>
      </c>
      <c r="E107" s="771">
        <v>4</v>
      </c>
      <c r="F107" s="358"/>
      <c r="G107" s="350">
        <f t="shared" ref="G107:P122" si="23">IF(G$21=0,0,G$21/$D$21*$E107*$D107)</f>
        <v>985.65146879999998</v>
      </c>
      <c r="H107" s="350">
        <f t="shared" si="23"/>
        <v>985.65146879999998</v>
      </c>
      <c r="I107" s="350">
        <f t="shared" si="23"/>
        <v>985.65146879999998</v>
      </c>
      <c r="J107" s="350">
        <f t="shared" si="23"/>
        <v>985.65146879999998</v>
      </c>
      <c r="K107" s="350">
        <f t="shared" si="23"/>
        <v>985.65146879999998</v>
      </c>
      <c r="L107" s="350">
        <f t="shared" si="23"/>
        <v>985.65146879999998</v>
      </c>
      <c r="M107" s="350">
        <f t="shared" si="23"/>
        <v>985.65146879999998</v>
      </c>
      <c r="N107" s="350">
        <f t="shared" si="23"/>
        <v>985.65146879999998</v>
      </c>
      <c r="O107" s="350">
        <f t="shared" si="23"/>
        <v>985.65146879999998</v>
      </c>
      <c r="P107" s="350">
        <f t="shared" si="23"/>
        <v>985.65146879999998</v>
      </c>
      <c r="Q107" s="752"/>
      <c r="R107" s="362"/>
    </row>
    <row r="108" spans="2:18" ht="15.65" x14ac:dyDescent="0.25">
      <c r="B108" s="753" t="s">
        <v>786</v>
      </c>
      <c r="C108" s="757" t="s">
        <v>788</v>
      </c>
      <c r="D108" s="354">
        <v>54.066047649999994</v>
      </c>
      <c r="E108" s="771">
        <v>1</v>
      </c>
      <c r="F108" s="358"/>
      <c r="G108" s="350">
        <f t="shared" si="23"/>
        <v>54.066047649999994</v>
      </c>
      <c r="H108" s="350">
        <f t="shared" si="23"/>
        <v>54.066047649999994</v>
      </c>
      <c r="I108" s="350">
        <f t="shared" si="23"/>
        <v>54.066047649999994</v>
      </c>
      <c r="J108" s="350">
        <f t="shared" si="23"/>
        <v>54.066047649999994</v>
      </c>
      <c r="K108" s="350">
        <f t="shared" si="23"/>
        <v>54.066047649999994</v>
      </c>
      <c r="L108" s="350">
        <f t="shared" si="23"/>
        <v>54.066047649999994</v>
      </c>
      <c r="M108" s="350">
        <f t="shared" si="23"/>
        <v>54.066047649999994</v>
      </c>
      <c r="N108" s="350">
        <f t="shared" si="23"/>
        <v>54.066047649999994</v>
      </c>
      <c r="O108" s="350">
        <f t="shared" si="23"/>
        <v>54.066047649999994</v>
      </c>
      <c r="P108" s="350">
        <f t="shared" si="23"/>
        <v>54.066047649999994</v>
      </c>
      <c r="Q108" s="752"/>
      <c r="R108" s="362"/>
    </row>
    <row r="109" spans="2:18" ht="31.25" x14ac:dyDescent="0.25">
      <c r="B109" s="753" t="s">
        <v>789</v>
      </c>
      <c r="C109" s="757" t="s">
        <v>790</v>
      </c>
      <c r="D109" s="354">
        <v>112.55286289999999</v>
      </c>
      <c r="E109" s="771">
        <v>1</v>
      </c>
      <c r="F109" s="358"/>
      <c r="G109" s="350">
        <f t="shared" si="23"/>
        <v>112.55286289999999</v>
      </c>
      <c r="H109" s="350">
        <f t="shared" si="23"/>
        <v>112.55286289999999</v>
      </c>
      <c r="I109" s="350">
        <f t="shared" si="23"/>
        <v>112.55286289999999</v>
      </c>
      <c r="J109" s="350">
        <f t="shared" si="23"/>
        <v>112.55286289999999</v>
      </c>
      <c r="K109" s="350">
        <f t="shared" si="23"/>
        <v>112.55286289999999</v>
      </c>
      <c r="L109" s="350">
        <f t="shared" si="23"/>
        <v>112.55286289999999</v>
      </c>
      <c r="M109" s="350">
        <f t="shared" si="23"/>
        <v>112.55286289999999</v>
      </c>
      <c r="N109" s="350">
        <f t="shared" si="23"/>
        <v>112.55286289999999</v>
      </c>
      <c r="O109" s="350">
        <f t="shared" si="23"/>
        <v>112.55286289999999</v>
      </c>
      <c r="P109" s="350">
        <f t="shared" si="23"/>
        <v>112.55286289999999</v>
      </c>
      <c r="Q109" s="752"/>
      <c r="R109" s="362"/>
    </row>
    <row r="110" spans="2:18" ht="31.25" x14ac:dyDescent="0.25">
      <c r="B110" s="753" t="s">
        <v>791</v>
      </c>
      <c r="C110" s="757" t="s">
        <v>792</v>
      </c>
      <c r="D110" s="354">
        <v>54.066047649999994</v>
      </c>
      <c r="E110" s="771">
        <v>3</v>
      </c>
      <c r="F110" s="358"/>
      <c r="G110" s="350">
        <f t="shared" si="23"/>
        <v>162.19814294999998</v>
      </c>
      <c r="H110" s="350">
        <f t="shared" si="23"/>
        <v>162.19814294999998</v>
      </c>
      <c r="I110" s="350">
        <f t="shared" si="23"/>
        <v>162.19814294999998</v>
      </c>
      <c r="J110" s="350">
        <f t="shared" si="23"/>
        <v>162.19814294999998</v>
      </c>
      <c r="K110" s="350">
        <f t="shared" si="23"/>
        <v>162.19814294999998</v>
      </c>
      <c r="L110" s="350">
        <f t="shared" si="23"/>
        <v>162.19814294999998</v>
      </c>
      <c r="M110" s="350">
        <f t="shared" si="23"/>
        <v>162.19814294999998</v>
      </c>
      <c r="N110" s="350">
        <f t="shared" si="23"/>
        <v>162.19814294999998</v>
      </c>
      <c r="O110" s="350">
        <f t="shared" si="23"/>
        <v>162.19814294999998</v>
      </c>
      <c r="P110" s="350">
        <f t="shared" si="23"/>
        <v>162.19814294999998</v>
      </c>
      <c r="Q110" s="752"/>
      <c r="R110" s="362"/>
    </row>
    <row r="111" spans="2:18" ht="31.25" x14ac:dyDescent="0.25">
      <c r="B111" s="753" t="s">
        <v>793</v>
      </c>
      <c r="C111" s="757" t="s">
        <v>794</v>
      </c>
      <c r="D111" s="354">
        <v>45.474603300000005</v>
      </c>
      <c r="E111" s="771">
        <v>2</v>
      </c>
      <c r="F111" s="358"/>
      <c r="G111" s="350">
        <f t="shared" si="23"/>
        <v>90.949206600000011</v>
      </c>
      <c r="H111" s="350">
        <f t="shared" si="23"/>
        <v>90.949206600000011</v>
      </c>
      <c r="I111" s="350">
        <f t="shared" si="23"/>
        <v>90.949206600000011</v>
      </c>
      <c r="J111" s="350">
        <f t="shared" si="23"/>
        <v>90.949206600000011</v>
      </c>
      <c r="K111" s="350">
        <f t="shared" si="23"/>
        <v>90.949206600000011</v>
      </c>
      <c r="L111" s="350">
        <f t="shared" si="23"/>
        <v>90.949206600000011</v>
      </c>
      <c r="M111" s="350">
        <f t="shared" si="23"/>
        <v>90.949206600000011</v>
      </c>
      <c r="N111" s="350">
        <f t="shared" si="23"/>
        <v>90.949206600000011</v>
      </c>
      <c r="O111" s="350">
        <f t="shared" si="23"/>
        <v>90.949206600000011</v>
      </c>
      <c r="P111" s="350">
        <f t="shared" si="23"/>
        <v>90.949206600000011</v>
      </c>
      <c r="Q111" s="752"/>
      <c r="R111" s="362"/>
    </row>
    <row r="112" spans="2:18" ht="31.25" x14ac:dyDescent="0.25">
      <c r="B112" s="760" t="s">
        <v>797</v>
      </c>
      <c r="C112" s="757" t="s">
        <v>798</v>
      </c>
      <c r="D112" s="354">
        <v>299.44710289999995</v>
      </c>
      <c r="E112" s="771">
        <v>4</v>
      </c>
      <c r="F112" s="358"/>
      <c r="G112" s="350">
        <f t="shared" si="23"/>
        <v>1197.7884115999998</v>
      </c>
      <c r="H112" s="350">
        <f t="shared" si="23"/>
        <v>1197.7884115999998</v>
      </c>
      <c r="I112" s="350">
        <f t="shared" si="23"/>
        <v>1197.7884115999998</v>
      </c>
      <c r="J112" s="350">
        <f t="shared" si="23"/>
        <v>1197.7884115999998</v>
      </c>
      <c r="K112" s="350">
        <f t="shared" si="23"/>
        <v>1197.7884115999998</v>
      </c>
      <c r="L112" s="350">
        <f t="shared" si="23"/>
        <v>1197.7884115999998</v>
      </c>
      <c r="M112" s="350">
        <f t="shared" si="23"/>
        <v>1197.7884115999998</v>
      </c>
      <c r="N112" s="350">
        <f t="shared" si="23"/>
        <v>1197.7884115999998</v>
      </c>
      <c r="O112" s="350">
        <f t="shared" si="23"/>
        <v>1197.7884115999998</v>
      </c>
      <c r="P112" s="350">
        <f t="shared" si="23"/>
        <v>1197.7884115999998</v>
      </c>
      <c r="Q112" s="752"/>
      <c r="R112" s="362"/>
    </row>
    <row r="113" spans="2:18" ht="15.65" x14ac:dyDescent="0.25">
      <c r="B113" s="753" t="s">
        <v>799</v>
      </c>
      <c r="C113" s="757" t="s">
        <v>800</v>
      </c>
      <c r="D113" s="354">
        <v>1584.9065841500001</v>
      </c>
      <c r="E113" s="771">
        <v>1</v>
      </c>
      <c r="F113" s="358"/>
      <c r="G113" s="350">
        <f t="shared" si="23"/>
        <v>1584.9065841500001</v>
      </c>
      <c r="H113" s="350">
        <f t="shared" si="23"/>
        <v>1584.9065841500001</v>
      </c>
      <c r="I113" s="350">
        <f t="shared" si="23"/>
        <v>1584.9065841500001</v>
      </c>
      <c r="J113" s="350">
        <f t="shared" si="23"/>
        <v>1584.9065841500001</v>
      </c>
      <c r="K113" s="350">
        <f t="shared" si="23"/>
        <v>1584.9065841500001</v>
      </c>
      <c r="L113" s="350">
        <f t="shared" si="23"/>
        <v>1584.9065841500001</v>
      </c>
      <c r="M113" s="350">
        <f t="shared" si="23"/>
        <v>1584.9065841500001</v>
      </c>
      <c r="N113" s="350">
        <f t="shared" si="23"/>
        <v>1584.9065841500001</v>
      </c>
      <c r="O113" s="350">
        <f t="shared" si="23"/>
        <v>1584.9065841500001</v>
      </c>
      <c r="P113" s="350">
        <f t="shared" si="23"/>
        <v>1584.9065841500001</v>
      </c>
      <c r="Q113" s="752"/>
      <c r="R113" s="362"/>
    </row>
    <row r="114" spans="2:18" ht="15.65" x14ac:dyDescent="0.25">
      <c r="B114" s="753" t="s">
        <v>801</v>
      </c>
      <c r="C114" s="757" t="s">
        <v>802</v>
      </c>
      <c r="D114" s="354">
        <v>111.55721810513619</v>
      </c>
      <c r="E114" s="771">
        <v>2</v>
      </c>
      <c r="F114" s="358"/>
      <c r="G114" s="350">
        <f t="shared" si="23"/>
        <v>223.11443621027237</v>
      </c>
      <c r="H114" s="350">
        <f t="shared" si="23"/>
        <v>223.11443621027237</v>
      </c>
      <c r="I114" s="350">
        <f t="shared" si="23"/>
        <v>223.11443621027237</v>
      </c>
      <c r="J114" s="350">
        <f t="shared" si="23"/>
        <v>223.11443621027237</v>
      </c>
      <c r="K114" s="350">
        <f t="shared" si="23"/>
        <v>223.11443621027237</v>
      </c>
      <c r="L114" s="350">
        <f t="shared" si="23"/>
        <v>223.11443621027237</v>
      </c>
      <c r="M114" s="350">
        <f t="shared" si="23"/>
        <v>223.11443621027237</v>
      </c>
      <c r="N114" s="350">
        <f t="shared" si="23"/>
        <v>223.11443621027237</v>
      </c>
      <c r="O114" s="350">
        <f t="shared" si="23"/>
        <v>223.11443621027237</v>
      </c>
      <c r="P114" s="350">
        <f t="shared" si="23"/>
        <v>223.11443621027237</v>
      </c>
      <c r="Q114" s="752"/>
      <c r="R114" s="362"/>
    </row>
    <row r="115" spans="2:18" ht="31.25" x14ac:dyDescent="0.25">
      <c r="B115" s="753" t="s">
        <v>803</v>
      </c>
      <c r="C115" s="757" t="s">
        <v>804</v>
      </c>
      <c r="D115" s="354">
        <v>29.808732750000001</v>
      </c>
      <c r="E115" s="771">
        <v>2</v>
      </c>
      <c r="F115" s="358"/>
      <c r="G115" s="350">
        <f t="shared" si="23"/>
        <v>59.617465500000002</v>
      </c>
      <c r="H115" s="350">
        <f t="shared" si="23"/>
        <v>59.617465500000002</v>
      </c>
      <c r="I115" s="350">
        <f t="shared" si="23"/>
        <v>59.617465500000002</v>
      </c>
      <c r="J115" s="350">
        <f t="shared" si="23"/>
        <v>59.617465500000002</v>
      </c>
      <c r="K115" s="350">
        <f t="shared" si="23"/>
        <v>59.617465500000002</v>
      </c>
      <c r="L115" s="350">
        <f t="shared" si="23"/>
        <v>59.617465500000002</v>
      </c>
      <c r="M115" s="350">
        <f t="shared" si="23"/>
        <v>59.617465500000002</v>
      </c>
      <c r="N115" s="350">
        <f t="shared" si="23"/>
        <v>59.617465500000002</v>
      </c>
      <c r="O115" s="350">
        <f t="shared" si="23"/>
        <v>59.617465500000002</v>
      </c>
      <c r="P115" s="350">
        <f t="shared" si="23"/>
        <v>59.617465500000002</v>
      </c>
      <c r="Q115" s="752"/>
      <c r="R115" s="362"/>
    </row>
    <row r="116" spans="2:18" ht="31.25" x14ac:dyDescent="0.25">
      <c r="B116" s="761" t="s">
        <v>805</v>
      </c>
      <c r="C116" s="757" t="s">
        <v>806</v>
      </c>
      <c r="D116" s="354">
        <v>23.902395550000001</v>
      </c>
      <c r="E116" s="771">
        <v>1</v>
      </c>
      <c r="F116" s="358"/>
      <c r="G116" s="350">
        <f t="shared" si="23"/>
        <v>23.902395550000001</v>
      </c>
      <c r="H116" s="350">
        <f t="shared" si="23"/>
        <v>23.902395550000001</v>
      </c>
      <c r="I116" s="350">
        <f t="shared" si="23"/>
        <v>23.902395550000001</v>
      </c>
      <c r="J116" s="350">
        <f t="shared" si="23"/>
        <v>23.902395550000001</v>
      </c>
      <c r="K116" s="350">
        <f t="shared" si="23"/>
        <v>23.902395550000001</v>
      </c>
      <c r="L116" s="350">
        <f t="shared" si="23"/>
        <v>23.902395550000001</v>
      </c>
      <c r="M116" s="350">
        <f t="shared" si="23"/>
        <v>23.902395550000001</v>
      </c>
      <c r="N116" s="350">
        <f t="shared" si="23"/>
        <v>23.902395550000001</v>
      </c>
      <c r="O116" s="350">
        <f t="shared" si="23"/>
        <v>23.902395550000001</v>
      </c>
      <c r="P116" s="350">
        <f t="shared" si="23"/>
        <v>23.902395550000001</v>
      </c>
      <c r="Q116" s="752"/>
      <c r="R116" s="362"/>
    </row>
    <row r="117" spans="2:18" ht="31.25" x14ac:dyDescent="0.25">
      <c r="B117" s="761" t="s">
        <v>807</v>
      </c>
      <c r="C117" s="757" t="s">
        <v>808</v>
      </c>
      <c r="D117" s="354">
        <v>76.430459349999992</v>
      </c>
      <c r="E117" s="771">
        <v>2</v>
      </c>
      <c r="F117" s="358"/>
      <c r="G117" s="350">
        <f t="shared" si="23"/>
        <v>152.86091869999998</v>
      </c>
      <c r="H117" s="350">
        <f t="shared" si="23"/>
        <v>152.86091869999998</v>
      </c>
      <c r="I117" s="350">
        <f t="shared" si="23"/>
        <v>152.86091869999998</v>
      </c>
      <c r="J117" s="350">
        <f t="shared" si="23"/>
        <v>152.86091869999998</v>
      </c>
      <c r="K117" s="350">
        <f t="shared" si="23"/>
        <v>152.86091869999998</v>
      </c>
      <c r="L117" s="350">
        <f t="shared" si="23"/>
        <v>152.86091869999998</v>
      </c>
      <c r="M117" s="350">
        <f t="shared" si="23"/>
        <v>152.86091869999998</v>
      </c>
      <c r="N117" s="350">
        <f t="shared" si="23"/>
        <v>152.86091869999998</v>
      </c>
      <c r="O117" s="350">
        <f t="shared" si="23"/>
        <v>152.86091869999998</v>
      </c>
      <c r="P117" s="350">
        <f t="shared" si="23"/>
        <v>152.86091869999998</v>
      </c>
      <c r="Q117" s="752"/>
      <c r="R117" s="362"/>
    </row>
    <row r="118" spans="2:18" ht="31.25" x14ac:dyDescent="0.25">
      <c r="B118" s="753" t="s">
        <v>809</v>
      </c>
      <c r="C118" s="768" t="s">
        <v>810</v>
      </c>
      <c r="D118" s="354">
        <v>12.034311799999998</v>
      </c>
      <c r="E118" s="771">
        <v>2</v>
      </c>
      <c r="F118" s="358"/>
      <c r="G118" s="350">
        <f t="shared" si="23"/>
        <v>24.068623599999995</v>
      </c>
      <c r="H118" s="350">
        <f t="shared" si="23"/>
        <v>24.068623599999995</v>
      </c>
      <c r="I118" s="350">
        <f t="shared" si="23"/>
        <v>24.068623599999995</v>
      </c>
      <c r="J118" s="350">
        <f t="shared" si="23"/>
        <v>24.068623599999995</v>
      </c>
      <c r="K118" s="350">
        <f t="shared" si="23"/>
        <v>24.068623599999995</v>
      </c>
      <c r="L118" s="350">
        <f t="shared" si="23"/>
        <v>24.068623599999995</v>
      </c>
      <c r="M118" s="350">
        <f t="shared" si="23"/>
        <v>24.068623599999995</v>
      </c>
      <c r="N118" s="350">
        <f t="shared" si="23"/>
        <v>24.068623599999995</v>
      </c>
      <c r="O118" s="350">
        <f t="shared" si="23"/>
        <v>24.068623599999995</v>
      </c>
      <c r="P118" s="350">
        <f t="shared" si="23"/>
        <v>24.068623599999995</v>
      </c>
      <c r="Q118" s="752"/>
      <c r="R118" s="362"/>
    </row>
    <row r="119" spans="2:18" ht="31.25" x14ac:dyDescent="0.25">
      <c r="B119" s="753" t="s">
        <v>811</v>
      </c>
      <c r="C119" s="768" t="s">
        <v>812</v>
      </c>
      <c r="D119" s="354">
        <v>153.66178770926592</v>
      </c>
      <c r="E119" s="771">
        <v>1</v>
      </c>
      <c r="F119" s="358"/>
      <c r="G119" s="350">
        <f t="shared" si="23"/>
        <v>153.66178770926592</v>
      </c>
      <c r="H119" s="350">
        <f t="shared" si="23"/>
        <v>153.66178770926592</v>
      </c>
      <c r="I119" s="350">
        <f t="shared" si="23"/>
        <v>153.66178770926592</v>
      </c>
      <c r="J119" s="350">
        <f t="shared" si="23"/>
        <v>153.66178770926592</v>
      </c>
      <c r="K119" s="350">
        <f t="shared" si="23"/>
        <v>153.66178770926592</v>
      </c>
      <c r="L119" s="350">
        <f t="shared" si="23"/>
        <v>153.66178770926592</v>
      </c>
      <c r="M119" s="350">
        <f t="shared" si="23"/>
        <v>153.66178770926592</v>
      </c>
      <c r="N119" s="350">
        <f t="shared" si="23"/>
        <v>153.66178770926592</v>
      </c>
      <c r="O119" s="350">
        <f t="shared" si="23"/>
        <v>153.66178770926592</v>
      </c>
      <c r="P119" s="350">
        <f t="shared" si="23"/>
        <v>153.66178770926592</v>
      </c>
      <c r="Q119" s="752"/>
      <c r="R119" s="362"/>
    </row>
    <row r="120" spans="2:18" ht="31.25" x14ac:dyDescent="0.25">
      <c r="B120" s="753" t="s">
        <v>813</v>
      </c>
      <c r="C120" s="768" t="s">
        <v>814</v>
      </c>
      <c r="D120" s="354">
        <v>9.1485329499999999</v>
      </c>
      <c r="E120" s="771">
        <v>1</v>
      </c>
      <c r="F120" s="358"/>
      <c r="G120" s="350">
        <f t="shared" si="23"/>
        <v>9.1485329499999999</v>
      </c>
      <c r="H120" s="350">
        <f t="shared" si="23"/>
        <v>9.1485329499999999</v>
      </c>
      <c r="I120" s="350">
        <f t="shared" si="23"/>
        <v>9.1485329499999999</v>
      </c>
      <c r="J120" s="350">
        <f t="shared" si="23"/>
        <v>9.1485329499999999</v>
      </c>
      <c r="K120" s="350">
        <f t="shared" si="23"/>
        <v>9.1485329499999999</v>
      </c>
      <c r="L120" s="350">
        <f t="shared" si="23"/>
        <v>9.1485329499999999</v>
      </c>
      <c r="M120" s="350">
        <f t="shared" si="23"/>
        <v>9.1485329499999999</v>
      </c>
      <c r="N120" s="350">
        <f t="shared" si="23"/>
        <v>9.1485329499999999</v>
      </c>
      <c r="O120" s="350">
        <f t="shared" si="23"/>
        <v>9.1485329499999999</v>
      </c>
      <c r="P120" s="350">
        <f t="shared" si="23"/>
        <v>9.1485329499999999</v>
      </c>
      <c r="Q120" s="752"/>
      <c r="R120" s="362"/>
    </row>
    <row r="121" spans="2:18" ht="31.25" x14ac:dyDescent="0.25">
      <c r="B121" s="760" t="s">
        <v>815</v>
      </c>
      <c r="C121" s="768" t="s">
        <v>816</v>
      </c>
      <c r="D121" s="354">
        <v>62.38493789999999</v>
      </c>
      <c r="E121" s="771">
        <v>1</v>
      </c>
      <c r="F121" s="358"/>
      <c r="G121" s="350">
        <f t="shared" si="23"/>
        <v>62.38493789999999</v>
      </c>
      <c r="H121" s="350">
        <f t="shared" si="23"/>
        <v>62.38493789999999</v>
      </c>
      <c r="I121" s="350">
        <f t="shared" si="23"/>
        <v>62.38493789999999</v>
      </c>
      <c r="J121" s="350">
        <f t="shared" si="23"/>
        <v>62.38493789999999</v>
      </c>
      <c r="K121" s="350">
        <f t="shared" si="23"/>
        <v>62.38493789999999</v>
      </c>
      <c r="L121" s="350">
        <f t="shared" si="23"/>
        <v>62.38493789999999</v>
      </c>
      <c r="M121" s="350">
        <f t="shared" si="23"/>
        <v>62.38493789999999</v>
      </c>
      <c r="N121" s="350">
        <f t="shared" si="23"/>
        <v>62.38493789999999</v>
      </c>
      <c r="O121" s="350">
        <f t="shared" si="23"/>
        <v>62.38493789999999</v>
      </c>
      <c r="P121" s="350">
        <f t="shared" si="23"/>
        <v>62.38493789999999</v>
      </c>
      <c r="Q121" s="752"/>
      <c r="R121" s="362"/>
    </row>
    <row r="122" spans="2:18" ht="15.65" x14ac:dyDescent="0.25">
      <c r="B122" s="753" t="s">
        <v>825</v>
      </c>
      <c r="C122" s="768" t="s">
        <v>826</v>
      </c>
      <c r="D122" s="354">
        <v>27.033772599999999</v>
      </c>
      <c r="E122" s="771">
        <v>1</v>
      </c>
      <c r="F122" s="358"/>
      <c r="G122" s="350">
        <f t="shared" si="23"/>
        <v>27.033772599999999</v>
      </c>
      <c r="H122" s="350">
        <f t="shared" si="23"/>
        <v>27.033772599999999</v>
      </c>
      <c r="I122" s="350">
        <f t="shared" si="23"/>
        <v>27.033772599999999</v>
      </c>
      <c r="J122" s="350">
        <f t="shared" si="23"/>
        <v>27.033772599999999</v>
      </c>
      <c r="K122" s="350">
        <f t="shared" si="23"/>
        <v>27.033772599999999</v>
      </c>
      <c r="L122" s="350">
        <f t="shared" si="23"/>
        <v>27.033772599999999</v>
      </c>
      <c r="M122" s="350">
        <f t="shared" si="23"/>
        <v>27.033772599999999</v>
      </c>
      <c r="N122" s="350">
        <f t="shared" si="23"/>
        <v>27.033772599999999</v>
      </c>
      <c r="O122" s="350">
        <f t="shared" si="23"/>
        <v>27.033772599999999</v>
      </c>
      <c r="P122" s="350">
        <f t="shared" si="23"/>
        <v>27.033772599999999</v>
      </c>
      <c r="Q122" s="752"/>
      <c r="R122" s="362"/>
    </row>
    <row r="123" spans="2:18" ht="31.25" x14ac:dyDescent="0.25">
      <c r="B123" s="753" t="s">
        <v>795</v>
      </c>
      <c r="C123" s="762"/>
      <c r="D123" s="758">
        <v>4.420496</v>
      </c>
      <c r="E123" s="763">
        <v>280</v>
      </c>
      <c r="F123" s="358"/>
      <c r="G123" s="350">
        <f t="shared" ref="G123:P141" si="24">IF(G$21=0,0,G$21/$D$21*$E123*$D123)</f>
        <v>1237.7388799999999</v>
      </c>
      <c r="H123" s="350">
        <f t="shared" si="24"/>
        <v>1237.7388799999999</v>
      </c>
      <c r="I123" s="350">
        <f t="shared" si="24"/>
        <v>1237.7388799999999</v>
      </c>
      <c r="J123" s="350">
        <f t="shared" si="24"/>
        <v>1237.7388799999999</v>
      </c>
      <c r="K123" s="350">
        <f t="shared" si="24"/>
        <v>1237.7388799999999</v>
      </c>
      <c r="L123" s="350">
        <f t="shared" si="24"/>
        <v>1237.7388799999999</v>
      </c>
      <c r="M123" s="350">
        <f t="shared" si="24"/>
        <v>1237.7388799999999</v>
      </c>
      <c r="N123" s="350">
        <f t="shared" si="24"/>
        <v>1237.7388799999999</v>
      </c>
      <c r="O123" s="350">
        <f t="shared" si="24"/>
        <v>1237.7388799999999</v>
      </c>
      <c r="P123" s="350">
        <f t="shared" si="24"/>
        <v>1237.7388799999999</v>
      </c>
      <c r="Q123" s="752">
        <v>346</v>
      </c>
      <c r="R123" s="362">
        <f>Q123*0.012776</f>
        <v>4.420496</v>
      </c>
    </row>
    <row r="124" spans="2:18" ht="46.9" x14ac:dyDescent="0.25">
      <c r="B124" s="753" t="s">
        <v>796</v>
      </c>
      <c r="C124" s="764"/>
      <c r="D124" s="758">
        <v>12.43730824</v>
      </c>
      <c r="E124" s="763">
        <v>41</v>
      </c>
      <c r="F124" s="358"/>
      <c r="G124" s="350">
        <f t="shared" si="24"/>
        <v>509.92963784</v>
      </c>
      <c r="H124" s="350">
        <f t="shared" si="24"/>
        <v>509.92963784</v>
      </c>
      <c r="I124" s="350">
        <f t="shared" si="24"/>
        <v>509.92963784</v>
      </c>
      <c r="J124" s="350">
        <f t="shared" si="24"/>
        <v>509.92963784</v>
      </c>
      <c r="K124" s="350">
        <f t="shared" si="24"/>
        <v>509.92963784</v>
      </c>
      <c r="L124" s="350">
        <f t="shared" si="24"/>
        <v>509.92963784</v>
      </c>
      <c r="M124" s="350">
        <f t="shared" si="24"/>
        <v>509.92963784</v>
      </c>
      <c r="N124" s="350">
        <f t="shared" si="24"/>
        <v>509.92963784</v>
      </c>
      <c r="O124" s="350">
        <f t="shared" si="24"/>
        <v>509.92963784</v>
      </c>
      <c r="P124" s="350">
        <f t="shared" si="24"/>
        <v>509.92963784</v>
      </c>
      <c r="Q124" s="752">
        <v>973.49</v>
      </c>
      <c r="R124" s="362">
        <f t="shared" ref="R124:R125" si="25">Q124*0.012776</f>
        <v>12.43730824</v>
      </c>
    </row>
    <row r="125" spans="2:18" ht="31.25" x14ac:dyDescent="0.25">
      <c r="B125" s="753" t="s">
        <v>827</v>
      </c>
      <c r="C125" s="764"/>
      <c r="D125" s="758">
        <v>3.05972424</v>
      </c>
      <c r="E125" s="772">
        <v>800</v>
      </c>
      <c r="F125" s="358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752">
        <v>239.49</v>
      </c>
      <c r="R125" s="362">
        <f t="shared" si="25"/>
        <v>3.05972424</v>
      </c>
    </row>
    <row r="126" spans="2:18" x14ac:dyDescent="0.25">
      <c r="B126" s="748" t="s">
        <v>784</v>
      </c>
      <c r="C126" s="364"/>
      <c r="D126" s="348"/>
      <c r="E126" s="568">
        <f>VLOOKUP($B126,$B$14:$C$21,2,FALSE)</f>
        <v>6000</v>
      </c>
      <c r="F126" s="562"/>
      <c r="G126" s="350">
        <f>IF(G$21=0,0,G$21/$D$21*$E126*$D126)</f>
        <v>0</v>
      </c>
      <c r="H126" s="350"/>
      <c r="I126" s="350"/>
      <c r="J126" s="350"/>
      <c r="K126" s="350"/>
      <c r="L126" s="350"/>
      <c r="M126" s="350"/>
      <c r="N126" s="350"/>
      <c r="O126" s="350"/>
      <c r="P126" s="350"/>
      <c r="Q126" s="752"/>
      <c r="R126" s="362"/>
    </row>
    <row r="127" spans="2:18" ht="15.65" x14ac:dyDescent="0.25">
      <c r="B127" s="753" t="s">
        <v>786</v>
      </c>
      <c r="C127" s="757" t="s">
        <v>787</v>
      </c>
      <c r="D127" s="354">
        <v>246.41286719999999</v>
      </c>
      <c r="E127" s="771">
        <v>4</v>
      </c>
      <c r="F127" s="562"/>
      <c r="G127" s="350">
        <f t="shared" ref="G127:P142" si="26">IF(G$21=0,0,G$21/$D$21*$E127*$D127)</f>
        <v>985.65146879999998</v>
      </c>
      <c r="H127" s="350">
        <f t="shared" si="24"/>
        <v>985.65146879999998</v>
      </c>
      <c r="I127" s="350">
        <f t="shared" si="24"/>
        <v>985.65146879999998</v>
      </c>
      <c r="J127" s="350">
        <f t="shared" si="24"/>
        <v>985.65146879999998</v>
      </c>
      <c r="K127" s="350">
        <f t="shared" si="24"/>
        <v>985.65146879999998</v>
      </c>
      <c r="L127" s="350">
        <f t="shared" si="24"/>
        <v>985.65146879999998</v>
      </c>
      <c r="M127" s="350">
        <f t="shared" si="24"/>
        <v>985.65146879999998</v>
      </c>
      <c r="N127" s="350">
        <f t="shared" si="24"/>
        <v>985.65146879999998</v>
      </c>
      <c r="O127" s="350">
        <f t="shared" si="24"/>
        <v>985.65146879999998</v>
      </c>
      <c r="P127" s="350">
        <f t="shared" si="24"/>
        <v>985.65146879999998</v>
      </c>
      <c r="Q127" s="752"/>
      <c r="R127" s="362"/>
    </row>
    <row r="128" spans="2:18" ht="15.65" x14ac:dyDescent="0.25">
      <c r="B128" s="753" t="s">
        <v>786</v>
      </c>
      <c r="C128" s="757" t="s">
        <v>788</v>
      </c>
      <c r="D128" s="354">
        <v>54.066047649999994</v>
      </c>
      <c r="E128" s="771">
        <v>1</v>
      </c>
      <c r="F128" s="562"/>
      <c r="G128" s="350">
        <f t="shared" si="26"/>
        <v>54.066047649999994</v>
      </c>
      <c r="H128" s="350">
        <f t="shared" si="24"/>
        <v>54.066047649999994</v>
      </c>
      <c r="I128" s="350">
        <f t="shared" si="24"/>
        <v>54.066047649999994</v>
      </c>
      <c r="J128" s="350">
        <f t="shared" si="24"/>
        <v>54.066047649999994</v>
      </c>
      <c r="K128" s="350">
        <f t="shared" si="24"/>
        <v>54.066047649999994</v>
      </c>
      <c r="L128" s="350">
        <f t="shared" si="24"/>
        <v>54.066047649999994</v>
      </c>
      <c r="M128" s="350">
        <f t="shared" si="24"/>
        <v>54.066047649999994</v>
      </c>
      <c r="N128" s="350">
        <f t="shared" si="24"/>
        <v>54.066047649999994</v>
      </c>
      <c r="O128" s="350">
        <f t="shared" si="24"/>
        <v>54.066047649999994</v>
      </c>
      <c r="P128" s="350">
        <f t="shared" si="24"/>
        <v>54.066047649999994</v>
      </c>
      <c r="Q128" s="752"/>
      <c r="R128" s="362"/>
    </row>
    <row r="129" spans="2:18" ht="31.25" x14ac:dyDescent="0.25">
      <c r="B129" s="753" t="s">
        <v>789</v>
      </c>
      <c r="C129" s="757" t="s">
        <v>790</v>
      </c>
      <c r="D129" s="354">
        <v>112.55286289999999</v>
      </c>
      <c r="E129" s="771">
        <v>1</v>
      </c>
      <c r="F129" s="562"/>
      <c r="G129" s="350">
        <f t="shared" si="26"/>
        <v>112.55286289999999</v>
      </c>
      <c r="H129" s="350">
        <f t="shared" si="24"/>
        <v>112.55286289999999</v>
      </c>
      <c r="I129" s="350">
        <f t="shared" si="24"/>
        <v>112.55286289999999</v>
      </c>
      <c r="J129" s="350">
        <f t="shared" si="24"/>
        <v>112.55286289999999</v>
      </c>
      <c r="K129" s="350">
        <f t="shared" si="24"/>
        <v>112.55286289999999</v>
      </c>
      <c r="L129" s="350">
        <f t="shared" si="24"/>
        <v>112.55286289999999</v>
      </c>
      <c r="M129" s="350">
        <f t="shared" si="24"/>
        <v>112.55286289999999</v>
      </c>
      <c r="N129" s="350">
        <f t="shared" si="24"/>
        <v>112.55286289999999</v>
      </c>
      <c r="O129" s="350">
        <f t="shared" si="24"/>
        <v>112.55286289999999</v>
      </c>
      <c r="P129" s="350">
        <f t="shared" si="24"/>
        <v>112.55286289999999</v>
      </c>
      <c r="Q129" s="752"/>
      <c r="R129" s="362"/>
    </row>
    <row r="130" spans="2:18" ht="31.25" x14ac:dyDescent="0.25">
      <c r="B130" s="753" t="s">
        <v>791</v>
      </c>
      <c r="C130" s="757" t="s">
        <v>792</v>
      </c>
      <c r="D130" s="354">
        <v>54.066047649999994</v>
      </c>
      <c r="E130" s="771">
        <v>3</v>
      </c>
      <c r="F130" s="562"/>
      <c r="G130" s="350">
        <f t="shared" si="26"/>
        <v>162.19814294999998</v>
      </c>
      <c r="H130" s="350">
        <f t="shared" si="24"/>
        <v>162.19814294999998</v>
      </c>
      <c r="I130" s="350">
        <f t="shared" si="24"/>
        <v>162.19814294999998</v>
      </c>
      <c r="J130" s="350">
        <f t="shared" si="24"/>
        <v>162.19814294999998</v>
      </c>
      <c r="K130" s="350">
        <f t="shared" si="24"/>
        <v>162.19814294999998</v>
      </c>
      <c r="L130" s="350">
        <f t="shared" si="24"/>
        <v>162.19814294999998</v>
      </c>
      <c r="M130" s="350">
        <f t="shared" si="24"/>
        <v>162.19814294999998</v>
      </c>
      <c r="N130" s="350">
        <f t="shared" si="24"/>
        <v>162.19814294999998</v>
      </c>
      <c r="O130" s="350">
        <f t="shared" si="24"/>
        <v>162.19814294999998</v>
      </c>
      <c r="P130" s="350">
        <f t="shared" si="24"/>
        <v>162.19814294999998</v>
      </c>
      <c r="Q130" s="752"/>
      <c r="R130" s="362"/>
    </row>
    <row r="131" spans="2:18" ht="31.25" x14ac:dyDescent="0.25">
      <c r="B131" s="753" t="s">
        <v>793</v>
      </c>
      <c r="C131" s="757" t="s">
        <v>794</v>
      </c>
      <c r="D131" s="354">
        <v>45.474603300000005</v>
      </c>
      <c r="E131" s="771">
        <v>2</v>
      </c>
      <c r="F131" s="562"/>
      <c r="G131" s="350">
        <f t="shared" si="26"/>
        <v>90.949206600000011</v>
      </c>
      <c r="H131" s="350">
        <f t="shared" si="24"/>
        <v>90.949206600000011</v>
      </c>
      <c r="I131" s="350">
        <f t="shared" si="24"/>
        <v>90.949206600000011</v>
      </c>
      <c r="J131" s="350">
        <f t="shared" si="24"/>
        <v>90.949206600000011</v>
      </c>
      <c r="K131" s="350">
        <f t="shared" si="24"/>
        <v>90.949206600000011</v>
      </c>
      <c r="L131" s="350">
        <f t="shared" si="24"/>
        <v>90.949206600000011</v>
      </c>
      <c r="M131" s="350">
        <f t="shared" si="24"/>
        <v>90.949206600000011</v>
      </c>
      <c r="N131" s="350">
        <f t="shared" si="24"/>
        <v>90.949206600000011</v>
      </c>
      <c r="O131" s="350">
        <f t="shared" si="24"/>
        <v>90.949206600000011</v>
      </c>
      <c r="P131" s="350">
        <f t="shared" si="24"/>
        <v>90.949206600000011</v>
      </c>
      <c r="Q131" s="752"/>
      <c r="R131" s="362"/>
    </row>
    <row r="132" spans="2:18" ht="31.25" x14ac:dyDescent="0.25">
      <c r="B132" s="760" t="s">
        <v>797</v>
      </c>
      <c r="C132" s="757" t="s">
        <v>798</v>
      </c>
      <c r="D132" s="354">
        <v>299.44710289999995</v>
      </c>
      <c r="E132" s="771">
        <v>4</v>
      </c>
      <c r="F132" s="562"/>
      <c r="G132" s="350">
        <f t="shared" si="26"/>
        <v>1197.7884115999998</v>
      </c>
      <c r="H132" s="350">
        <f t="shared" si="24"/>
        <v>1197.7884115999998</v>
      </c>
      <c r="I132" s="350">
        <f t="shared" si="24"/>
        <v>1197.7884115999998</v>
      </c>
      <c r="J132" s="350">
        <f t="shared" si="24"/>
        <v>1197.7884115999998</v>
      </c>
      <c r="K132" s="350">
        <f t="shared" si="24"/>
        <v>1197.7884115999998</v>
      </c>
      <c r="L132" s="350">
        <f t="shared" si="24"/>
        <v>1197.7884115999998</v>
      </c>
      <c r="M132" s="350">
        <f t="shared" si="24"/>
        <v>1197.7884115999998</v>
      </c>
      <c r="N132" s="350">
        <f t="shared" si="24"/>
        <v>1197.7884115999998</v>
      </c>
      <c r="O132" s="350">
        <f t="shared" si="24"/>
        <v>1197.7884115999998</v>
      </c>
      <c r="P132" s="350">
        <f t="shared" si="24"/>
        <v>1197.7884115999998</v>
      </c>
      <c r="Q132" s="752"/>
      <c r="R132" s="362"/>
    </row>
    <row r="133" spans="2:18" ht="15.65" x14ac:dyDescent="0.25">
      <c r="B133" s="753" t="s">
        <v>799</v>
      </c>
      <c r="C133" s="757" t="s">
        <v>800</v>
      </c>
      <c r="D133" s="354">
        <v>1584.9065841500001</v>
      </c>
      <c r="E133" s="771">
        <v>1</v>
      </c>
      <c r="F133" s="562"/>
      <c r="G133" s="350">
        <f t="shared" si="26"/>
        <v>1584.9065841500001</v>
      </c>
      <c r="H133" s="350">
        <f t="shared" si="24"/>
        <v>1584.9065841500001</v>
      </c>
      <c r="I133" s="350">
        <f t="shared" si="24"/>
        <v>1584.9065841500001</v>
      </c>
      <c r="J133" s="350">
        <f t="shared" si="24"/>
        <v>1584.9065841500001</v>
      </c>
      <c r="K133" s="350">
        <f t="shared" si="24"/>
        <v>1584.9065841500001</v>
      </c>
      <c r="L133" s="350">
        <f t="shared" si="24"/>
        <v>1584.9065841500001</v>
      </c>
      <c r="M133" s="350">
        <f t="shared" si="24"/>
        <v>1584.9065841500001</v>
      </c>
      <c r="N133" s="350">
        <f t="shared" si="24"/>
        <v>1584.9065841500001</v>
      </c>
      <c r="O133" s="350">
        <f t="shared" si="24"/>
        <v>1584.9065841500001</v>
      </c>
      <c r="P133" s="350">
        <f t="shared" si="24"/>
        <v>1584.9065841500001</v>
      </c>
      <c r="Q133" s="752"/>
      <c r="R133" s="362"/>
    </row>
    <row r="134" spans="2:18" ht="15.65" x14ac:dyDescent="0.25">
      <c r="B134" s="753" t="s">
        <v>801</v>
      </c>
      <c r="C134" s="757" t="s">
        <v>802</v>
      </c>
      <c r="D134" s="354">
        <v>111.55721810513619</v>
      </c>
      <c r="E134" s="771">
        <v>2</v>
      </c>
      <c r="F134" s="562"/>
      <c r="G134" s="350">
        <f t="shared" si="26"/>
        <v>223.11443621027237</v>
      </c>
      <c r="H134" s="350">
        <f t="shared" si="24"/>
        <v>223.11443621027237</v>
      </c>
      <c r="I134" s="350">
        <f t="shared" si="24"/>
        <v>223.11443621027237</v>
      </c>
      <c r="J134" s="350">
        <f t="shared" si="24"/>
        <v>223.11443621027237</v>
      </c>
      <c r="K134" s="350">
        <f t="shared" si="24"/>
        <v>223.11443621027237</v>
      </c>
      <c r="L134" s="350">
        <f t="shared" si="24"/>
        <v>223.11443621027237</v>
      </c>
      <c r="M134" s="350">
        <f t="shared" si="24"/>
        <v>223.11443621027237</v>
      </c>
      <c r="N134" s="350">
        <f t="shared" si="24"/>
        <v>223.11443621027237</v>
      </c>
      <c r="O134" s="350">
        <f t="shared" si="24"/>
        <v>223.11443621027237</v>
      </c>
      <c r="P134" s="350">
        <f t="shared" si="24"/>
        <v>223.11443621027237</v>
      </c>
      <c r="Q134" s="752"/>
      <c r="R134" s="362"/>
    </row>
    <row r="135" spans="2:18" ht="31.25" x14ac:dyDescent="0.25">
      <c r="B135" s="753" t="s">
        <v>803</v>
      </c>
      <c r="C135" s="757" t="s">
        <v>804</v>
      </c>
      <c r="D135" s="354">
        <v>29.808732750000001</v>
      </c>
      <c r="E135" s="771">
        <v>2</v>
      </c>
      <c r="F135" s="562"/>
      <c r="G135" s="350">
        <f t="shared" si="26"/>
        <v>59.617465500000002</v>
      </c>
      <c r="H135" s="350">
        <f t="shared" si="24"/>
        <v>59.617465500000002</v>
      </c>
      <c r="I135" s="350">
        <f t="shared" si="24"/>
        <v>59.617465500000002</v>
      </c>
      <c r="J135" s="350">
        <f t="shared" si="24"/>
        <v>59.617465500000002</v>
      </c>
      <c r="K135" s="350">
        <f t="shared" si="24"/>
        <v>59.617465500000002</v>
      </c>
      <c r="L135" s="350">
        <f t="shared" si="24"/>
        <v>59.617465500000002</v>
      </c>
      <c r="M135" s="350">
        <f t="shared" si="24"/>
        <v>59.617465500000002</v>
      </c>
      <c r="N135" s="350">
        <f t="shared" si="24"/>
        <v>59.617465500000002</v>
      </c>
      <c r="O135" s="350">
        <f t="shared" si="24"/>
        <v>59.617465500000002</v>
      </c>
      <c r="P135" s="350">
        <f t="shared" si="24"/>
        <v>59.617465500000002</v>
      </c>
      <c r="Q135" s="752"/>
      <c r="R135" s="362"/>
    </row>
    <row r="136" spans="2:18" ht="31.25" x14ac:dyDescent="0.25">
      <c r="B136" s="761" t="s">
        <v>805</v>
      </c>
      <c r="C136" s="757" t="s">
        <v>806</v>
      </c>
      <c r="D136" s="354">
        <v>23.902395550000001</v>
      </c>
      <c r="E136" s="771">
        <v>1</v>
      </c>
      <c r="F136" s="562"/>
      <c r="G136" s="350">
        <f t="shared" si="26"/>
        <v>23.902395550000001</v>
      </c>
      <c r="H136" s="350">
        <f t="shared" si="24"/>
        <v>23.902395550000001</v>
      </c>
      <c r="I136" s="350">
        <f t="shared" si="24"/>
        <v>23.902395550000001</v>
      </c>
      <c r="J136" s="350">
        <f t="shared" si="24"/>
        <v>23.902395550000001</v>
      </c>
      <c r="K136" s="350">
        <f t="shared" si="24"/>
        <v>23.902395550000001</v>
      </c>
      <c r="L136" s="350">
        <f t="shared" si="24"/>
        <v>23.902395550000001</v>
      </c>
      <c r="M136" s="350">
        <f t="shared" si="24"/>
        <v>23.902395550000001</v>
      </c>
      <c r="N136" s="350">
        <f t="shared" si="24"/>
        <v>23.902395550000001</v>
      </c>
      <c r="O136" s="350">
        <f t="shared" si="24"/>
        <v>23.902395550000001</v>
      </c>
      <c r="P136" s="350">
        <f t="shared" si="24"/>
        <v>23.902395550000001</v>
      </c>
      <c r="Q136" s="752"/>
      <c r="R136" s="362"/>
    </row>
    <row r="137" spans="2:18" ht="31.25" x14ac:dyDescent="0.25">
      <c r="B137" s="761" t="s">
        <v>807</v>
      </c>
      <c r="C137" s="757" t="s">
        <v>808</v>
      </c>
      <c r="D137" s="354">
        <v>76.430459349999992</v>
      </c>
      <c r="E137" s="771">
        <v>2</v>
      </c>
      <c r="F137" s="562"/>
      <c r="G137" s="350">
        <f t="shared" si="26"/>
        <v>152.86091869999998</v>
      </c>
      <c r="H137" s="350">
        <f t="shared" si="24"/>
        <v>152.86091869999998</v>
      </c>
      <c r="I137" s="350">
        <f t="shared" si="24"/>
        <v>152.86091869999998</v>
      </c>
      <c r="J137" s="350">
        <f t="shared" si="24"/>
        <v>152.86091869999998</v>
      </c>
      <c r="K137" s="350">
        <f t="shared" si="24"/>
        <v>152.86091869999998</v>
      </c>
      <c r="L137" s="350">
        <f t="shared" si="24"/>
        <v>152.86091869999998</v>
      </c>
      <c r="M137" s="350">
        <f t="shared" si="24"/>
        <v>152.86091869999998</v>
      </c>
      <c r="N137" s="350">
        <f t="shared" si="24"/>
        <v>152.86091869999998</v>
      </c>
      <c r="O137" s="350">
        <f t="shared" si="24"/>
        <v>152.86091869999998</v>
      </c>
      <c r="P137" s="350">
        <f t="shared" si="24"/>
        <v>152.86091869999998</v>
      </c>
      <c r="Q137" s="752"/>
      <c r="R137" s="362"/>
    </row>
    <row r="138" spans="2:18" ht="31.25" x14ac:dyDescent="0.25">
      <c r="B138" s="753" t="s">
        <v>809</v>
      </c>
      <c r="C138" s="768" t="s">
        <v>810</v>
      </c>
      <c r="D138" s="354">
        <v>12.034311799999998</v>
      </c>
      <c r="E138" s="771">
        <v>2</v>
      </c>
      <c r="F138" s="562"/>
      <c r="G138" s="350">
        <f t="shared" si="26"/>
        <v>24.068623599999995</v>
      </c>
      <c r="H138" s="350">
        <f t="shared" si="24"/>
        <v>24.068623599999995</v>
      </c>
      <c r="I138" s="350">
        <f t="shared" si="24"/>
        <v>24.068623599999995</v>
      </c>
      <c r="J138" s="350">
        <f t="shared" si="24"/>
        <v>24.068623599999995</v>
      </c>
      <c r="K138" s="350">
        <f t="shared" si="24"/>
        <v>24.068623599999995</v>
      </c>
      <c r="L138" s="350">
        <f t="shared" si="24"/>
        <v>24.068623599999995</v>
      </c>
      <c r="M138" s="350">
        <f t="shared" si="24"/>
        <v>24.068623599999995</v>
      </c>
      <c r="N138" s="350">
        <f t="shared" si="24"/>
        <v>24.068623599999995</v>
      </c>
      <c r="O138" s="350">
        <f t="shared" si="24"/>
        <v>24.068623599999995</v>
      </c>
      <c r="P138" s="350">
        <f t="shared" si="24"/>
        <v>24.068623599999995</v>
      </c>
      <c r="Q138" s="752"/>
      <c r="R138" s="362"/>
    </row>
    <row r="139" spans="2:18" ht="31.25" x14ac:dyDescent="0.25">
      <c r="B139" s="753" t="s">
        <v>811</v>
      </c>
      <c r="C139" s="768" t="s">
        <v>812</v>
      </c>
      <c r="D139" s="354">
        <v>153.66178770926592</v>
      </c>
      <c r="E139" s="771">
        <v>1</v>
      </c>
      <c r="F139" s="562"/>
      <c r="G139" s="350">
        <f t="shared" si="26"/>
        <v>153.66178770926592</v>
      </c>
      <c r="H139" s="350">
        <f t="shared" si="24"/>
        <v>153.66178770926592</v>
      </c>
      <c r="I139" s="350">
        <f t="shared" si="24"/>
        <v>153.66178770926592</v>
      </c>
      <c r="J139" s="350">
        <f t="shared" si="24"/>
        <v>153.66178770926592</v>
      </c>
      <c r="K139" s="350">
        <f t="shared" si="24"/>
        <v>153.66178770926592</v>
      </c>
      <c r="L139" s="350">
        <f t="shared" si="24"/>
        <v>153.66178770926592</v>
      </c>
      <c r="M139" s="350">
        <f t="shared" si="24"/>
        <v>153.66178770926592</v>
      </c>
      <c r="N139" s="350">
        <f t="shared" si="24"/>
        <v>153.66178770926592</v>
      </c>
      <c r="O139" s="350">
        <f t="shared" si="24"/>
        <v>153.66178770926592</v>
      </c>
      <c r="P139" s="350">
        <f t="shared" si="24"/>
        <v>153.66178770926592</v>
      </c>
      <c r="Q139" s="752"/>
      <c r="R139" s="362"/>
    </row>
    <row r="140" spans="2:18" ht="31.25" x14ac:dyDescent="0.25">
      <c r="B140" s="753" t="s">
        <v>813</v>
      </c>
      <c r="C140" s="768" t="s">
        <v>814</v>
      </c>
      <c r="D140" s="354">
        <v>9.1485329499999999</v>
      </c>
      <c r="E140" s="771">
        <v>1</v>
      </c>
      <c r="F140" s="562"/>
      <c r="G140" s="350">
        <f t="shared" si="26"/>
        <v>9.1485329499999999</v>
      </c>
      <c r="H140" s="350">
        <f t="shared" si="24"/>
        <v>9.1485329499999999</v>
      </c>
      <c r="I140" s="350">
        <f t="shared" si="24"/>
        <v>9.1485329499999999</v>
      </c>
      <c r="J140" s="350">
        <f t="shared" si="24"/>
        <v>9.1485329499999999</v>
      </c>
      <c r="K140" s="350">
        <f t="shared" si="24"/>
        <v>9.1485329499999999</v>
      </c>
      <c r="L140" s="350">
        <f t="shared" si="24"/>
        <v>9.1485329499999999</v>
      </c>
      <c r="M140" s="350">
        <f t="shared" si="24"/>
        <v>9.1485329499999999</v>
      </c>
      <c r="N140" s="350">
        <f t="shared" si="24"/>
        <v>9.1485329499999999</v>
      </c>
      <c r="O140" s="350">
        <f t="shared" si="24"/>
        <v>9.1485329499999999</v>
      </c>
      <c r="P140" s="350">
        <f t="shared" si="24"/>
        <v>9.1485329499999999</v>
      </c>
      <c r="Q140" s="752"/>
      <c r="R140" s="362"/>
    </row>
    <row r="141" spans="2:18" ht="31.25" x14ac:dyDescent="0.25">
      <c r="B141" s="760" t="s">
        <v>815</v>
      </c>
      <c r="C141" s="768" t="s">
        <v>816</v>
      </c>
      <c r="D141" s="354">
        <v>62.38493789999999</v>
      </c>
      <c r="E141" s="771">
        <v>1</v>
      </c>
      <c r="F141" s="562"/>
      <c r="G141" s="350">
        <f t="shared" si="26"/>
        <v>62.38493789999999</v>
      </c>
      <c r="H141" s="350">
        <f t="shared" si="24"/>
        <v>62.38493789999999</v>
      </c>
      <c r="I141" s="350">
        <f t="shared" si="24"/>
        <v>62.38493789999999</v>
      </c>
      <c r="J141" s="350">
        <f t="shared" si="24"/>
        <v>62.38493789999999</v>
      </c>
      <c r="K141" s="350">
        <f t="shared" si="24"/>
        <v>62.38493789999999</v>
      </c>
      <c r="L141" s="350">
        <f t="shared" si="24"/>
        <v>62.38493789999999</v>
      </c>
      <c r="M141" s="350">
        <f t="shared" si="24"/>
        <v>62.38493789999999</v>
      </c>
      <c r="N141" s="350">
        <f t="shared" si="24"/>
        <v>62.38493789999999</v>
      </c>
      <c r="O141" s="350">
        <f t="shared" si="24"/>
        <v>62.38493789999999</v>
      </c>
      <c r="P141" s="350">
        <f t="shared" si="24"/>
        <v>62.38493789999999</v>
      </c>
      <c r="Q141" s="752"/>
      <c r="R141" s="362"/>
    </row>
    <row r="142" spans="2:18" ht="31.25" x14ac:dyDescent="0.25">
      <c r="B142" s="753" t="s">
        <v>795</v>
      </c>
      <c r="C142" s="762"/>
      <c r="D142" s="758">
        <v>4.420496</v>
      </c>
      <c r="E142" s="763">
        <v>280</v>
      </c>
      <c r="F142" s="562"/>
      <c r="G142" s="350">
        <f t="shared" si="26"/>
        <v>1237.7388799999999</v>
      </c>
      <c r="H142" s="350">
        <f t="shared" si="26"/>
        <v>1237.7388799999999</v>
      </c>
      <c r="I142" s="350">
        <f t="shared" si="26"/>
        <v>1237.7388799999999</v>
      </c>
      <c r="J142" s="350">
        <f t="shared" si="26"/>
        <v>1237.7388799999999</v>
      </c>
      <c r="K142" s="350">
        <f t="shared" si="26"/>
        <v>1237.7388799999999</v>
      </c>
      <c r="L142" s="350">
        <f t="shared" si="26"/>
        <v>1237.7388799999999</v>
      </c>
      <c r="M142" s="350">
        <f t="shared" si="26"/>
        <v>1237.7388799999999</v>
      </c>
      <c r="N142" s="350">
        <f t="shared" si="26"/>
        <v>1237.7388799999999</v>
      </c>
      <c r="O142" s="350">
        <f t="shared" si="26"/>
        <v>1237.7388799999999</v>
      </c>
      <c r="P142" s="350">
        <f t="shared" si="26"/>
        <v>1237.7388799999999</v>
      </c>
      <c r="Q142" s="752">
        <v>346</v>
      </c>
      <c r="R142" s="362">
        <f>Q142*0.012776</f>
        <v>4.420496</v>
      </c>
    </row>
    <row r="143" spans="2:18" ht="46.9" x14ac:dyDescent="0.25">
      <c r="B143" s="753" t="s">
        <v>796</v>
      </c>
      <c r="C143" s="764"/>
      <c r="D143" s="758">
        <v>12.43730824</v>
      </c>
      <c r="E143" s="763">
        <v>41</v>
      </c>
      <c r="F143" s="562"/>
      <c r="G143" s="350">
        <f t="shared" ref="G143:P158" si="27">IF(G$21=0,0,G$21/$D$21*$E143*$D143)</f>
        <v>509.92963784</v>
      </c>
      <c r="H143" s="350">
        <f t="shared" si="27"/>
        <v>509.92963784</v>
      </c>
      <c r="I143" s="350">
        <f t="shared" si="27"/>
        <v>509.92963784</v>
      </c>
      <c r="J143" s="350">
        <f t="shared" si="27"/>
        <v>509.92963784</v>
      </c>
      <c r="K143" s="350">
        <f t="shared" si="27"/>
        <v>509.92963784</v>
      </c>
      <c r="L143" s="350">
        <f t="shared" si="27"/>
        <v>509.92963784</v>
      </c>
      <c r="M143" s="350">
        <f t="shared" si="27"/>
        <v>509.92963784</v>
      </c>
      <c r="N143" s="350">
        <f t="shared" si="27"/>
        <v>509.92963784</v>
      </c>
      <c r="O143" s="350">
        <f t="shared" si="27"/>
        <v>509.92963784</v>
      </c>
      <c r="P143" s="350">
        <f t="shared" si="27"/>
        <v>509.92963784</v>
      </c>
      <c r="Q143" s="752">
        <v>973.49</v>
      </c>
      <c r="R143" s="362">
        <f t="shared" ref="R143:R145" si="28">Q143*0.012776</f>
        <v>12.43730824</v>
      </c>
    </row>
    <row r="144" spans="2:18" ht="31.25" x14ac:dyDescent="0.25">
      <c r="B144" s="753" t="s">
        <v>827</v>
      </c>
      <c r="C144" s="764"/>
      <c r="D144" s="758">
        <v>3.05972424</v>
      </c>
      <c r="E144" s="772">
        <v>800</v>
      </c>
      <c r="F144" s="562"/>
      <c r="G144" s="350">
        <f t="shared" si="27"/>
        <v>2447.7793919999999</v>
      </c>
      <c r="H144" s="350">
        <f t="shared" si="27"/>
        <v>2447.7793919999999</v>
      </c>
      <c r="I144" s="350">
        <f t="shared" si="27"/>
        <v>2447.7793919999999</v>
      </c>
      <c r="J144" s="350">
        <f t="shared" si="27"/>
        <v>2447.7793919999999</v>
      </c>
      <c r="K144" s="350">
        <f t="shared" si="27"/>
        <v>2447.7793919999999</v>
      </c>
      <c r="L144" s="350">
        <f t="shared" si="27"/>
        <v>2447.7793919999999</v>
      </c>
      <c r="M144" s="350">
        <f t="shared" si="27"/>
        <v>2447.7793919999999</v>
      </c>
      <c r="N144" s="350">
        <f t="shared" si="27"/>
        <v>2447.7793919999999</v>
      </c>
      <c r="O144" s="350">
        <f t="shared" si="27"/>
        <v>2447.7793919999999</v>
      </c>
      <c r="P144" s="350">
        <f t="shared" si="27"/>
        <v>2447.7793919999999</v>
      </c>
      <c r="Q144" s="752">
        <v>239.49</v>
      </c>
      <c r="R144" s="362">
        <f t="shared" si="28"/>
        <v>3.05972424</v>
      </c>
    </row>
    <row r="145" spans="2:18" ht="31.25" x14ac:dyDescent="0.25">
      <c r="B145" s="753" t="s">
        <v>824</v>
      </c>
      <c r="C145" s="764"/>
      <c r="D145" s="758">
        <v>19.117878640000001</v>
      </c>
      <c r="E145" s="759">
        <v>208</v>
      </c>
      <c r="F145" s="562"/>
      <c r="G145" s="350">
        <f t="shared" si="27"/>
        <v>3976.5187571200004</v>
      </c>
      <c r="H145" s="350">
        <f t="shared" si="27"/>
        <v>3976.5187571200004</v>
      </c>
      <c r="I145" s="350">
        <f t="shared" si="27"/>
        <v>3976.5187571200004</v>
      </c>
      <c r="J145" s="350">
        <f t="shared" si="27"/>
        <v>3976.5187571200004</v>
      </c>
      <c r="K145" s="350">
        <f t="shared" si="27"/>
        <v>3976.5187571200004</v>
      </c>
      <c r="L145" s="350">
        <f t="shared" si="27"/>
        <v>3976.5187571200004</v>
      </c>
      <c r="M145" s="350">
        <f t="shared" si="27"/>
        <v>3976.5187571200004</v>
      </c>
      <c r="N145" s="350">
        <f t="shared" si="27"/>
        <v>3976.5187571200004</v>
      </c>
      <c r="O145" s="350">
        <f t="shared" si="27"/>
        <v>3976.5187571200004</v>
      </c>
      <c r="P145" s="350">
        <f t="shared" si="27"/>
        <v>3976.5187571200004</v>
      </c>
      <c r="Q145" s="752">
        <v>1496.39</v>
      </c>
      <c r="R145" s="362">
        <f t="shared" si="28"/>
        <v>19.117878640000001</v>
      </c>
    </row>
    <row r="146" spans="2:18" x14ac:dyDescent="0.25">
      <c r="B146" s="748" t="s">
        <v>785</v>
      </c>
      <c r="C146" s="364"/>
      <c r="D146" s="348"/>
      <c r="E146" s="568">
        <f>VLOOKUP($B146,$B$14:$C$21,2,FALSE)</f>
        <v>7000</v>
      </c>
      <c r="F146" s="325"/>
      <c r="G146" s="773"/>
      <c r="H146" s="773"/>
      <c r="I146" s="773"/>
      <c r="J146" s="773"/>
      <c r="K146" s="773"/>
      <c r="L146" s="773"/>
      <c r="M146" s="773"/>
      <c r="N146" s="773"/>
      <c r="O146" s="773"/>
      <c r="P146" s="773"/>
      <c r="Q146" s="752"/>
      <c r="R146" s="362"/>
    </row>
    <row r="147" spans="2:18" ht="15.65" x14ac:dyDescent="0.25">
      <c r="B147" s="753" t="s">
        <v>786</v>
      </c>
      <c r="C147" s="757" t="s">
        <v>787</v>
      </c>
      <c r="D147" s="354">
        <v>246.41286719999999</v>
      </c>
      <c r="E147" s="490">
        <v>4</v>
      </c>
      <c r="F147" s="325"/>
      <c r="G147" s="350">
        <f t="shared" si="27"/>
        <v>985.65146879999998</v>
      </c>
      <c r="H147" s="350">
        <f t="shared" si="27"/>
        <v>985.65146879999998</v>
      </c>
      <c r="I147" s="350">
        <f t="shared" si="27"/>
        <v>985.65146879999998</v>
      </c>
      <c r="J147" s="350">
        <f t="shared" si="27"/>
        <v>985.65146879999998</v>
      </c>
      <c r="K147" s="350">
        <f t="shared" si="27"/>
        <v>985.65146879999998</v>
      </c>
      <c r="L147" s="350">
        <f t="shared" si="27"/>
        <v>985.65146879999998</v>
      </c>
      <c r="M147" s="350">
        <f t="shared" si="27"/>
        <v>985.65146879999998</v>
      </c>
      <c r="N147" s="350">
        <f t="shared" si="27"/>
        <v>985.65146879999998</v>
      </c>
      <c r="O147" s="350">
        <f t="shared" si="27"/>
        <v>985.65146879999998</v>
      </c>
      <c r="P147" s="350">
        <f t="shared" si="27"/>
        <v>985.65146879999998</v>
      </c>
      <c r="Q147" s="752"/>
      <c r="R147" s="362"/>
    </row>
    <row r="148" spans="2:18" ht="15.65" x14ac:dyDescent="0.25">
      <c r="B148" s="753" t="s">
        <v>786</v>
      </c>
      <c r="C148" s="757" t="s">
        <v>788</v>
      </c>
      <c r="D148" s="354">
        <v>54.066047649999994</v>
      </c>
      <c r="E148" s="490">
        <v>1</v>
      </c>
      <c r="F148" s="325"/>
      <c r="G148" s="350">
        <f t="shared" si="27"/>
        <v>54.066047649999994</v>
      </c>
      <c r="H148" s="350">
        <f t="shared" si="27"/>
        <v>54.066047649999994</v>
      </c>
      <c r="I148" s="350">
        <f t="shared" si="27"/>
        <v>54.066047649999994</v>
      </c>
      <c r="J148" s="350">
        <f t="shared" si="27"/>
        <v>54.066047649999994</v>
      </c>
      <c r="K148" s="350">
        <f t="shared" si="27"/>
        <v>54.066047649999994</v>
      </c>
      <c r="L148" s="350">
        <f t="shared" si="27"/>
        <v>54.066047649999994</v>
      </c>
      <c r="M148" s="350">
        <f t="shared" si="27"/>
        <v>54.066047649999994</v>
      </c>
      <c r="N148" s="350">
        <f t="shared" si="27"/>
        <v>54.066047649999994</v>
      </c>
      <c r="O148" s="350">
        <f t="shared" si="27"/>
        <v>54.066047649999994</v>
      </c>
      <c r="P148" s="350">
        <f t="shared" si="27"/>
        <v>54.066047649999994</v>
      </c>
      <c r="Q148" s="752"/>
      <c r="R148" s="362"/>
    </row>
    <row r="149" spans="2:18" ht="31.25" x14ac:dyDescent="0.25">
      <c r="B149" s="753" t="s">
        <v>789</v>
      </c>
      <c r="C149" s="757" t="s">
        <v>790</v>
      </c>
      <c r="D149" s="354">
        <v>112.55286289999999</v>
      </c>
      <c r="E149" s="490">
        <v>1</v>
      </c>
      <c r="F149" s="325"/>
      <c r="G149" s="350">
        <f t="shared" si="27"/>
        <v>112.55286289999999</v>
      </c>
      <c r="H149" s="350">
        <f t="shared" si="27"/>
        <v>112.55286289999999</v>
      </c>
      <c r="I149" s="350">
        <f t="shared" si="27"/>
        <v>112.55286289999999</v>
      </c>
      <c r="J149" s="350">
        <f t="shared" si="27"/>
        <v>112.55286289999999</v>
      </c>
      <c r="K149" s="350">
        <f t="shared" si="27"/>
        <v>112.55286289999999</v>
      </c>
      <c r="L149" s="350">
        <f t="shared" si="27"/>
        <v>112.55286289999999</v>
      </c>
      <c r="M149" s="350">
        <f t="shared" si="27"/>
        <v>112.55286289999999</v>
      </c>
      <c r="N149" s="350">
        <f t="shared" si="27"/>
        <v>112.55286289999999</v>
      </c>
      <c r="O149" s="350">
        <f t="shared" si="27"/>
        <v>112.55286289999999</v>
      </c>
      <c r="P149" s="350">
        <f t="shared" si="27"/>
        <v>112.55286289999999</v>
      </c>
      <c r="Q149" s="752"/>
      <c r="R149" s="362"/>
    </row>
    <row r="150" spans="2:18" ht="31.25" x14ac:dyDescent="0.25">
      <c r="B150" s="753" t="s">
        <v>791</v>
      </c>
      <c r="C150" s="757" t="s">
        <v>792</v>
      </c>
      <c r="D150" s="354">
        <v>54.066047649999994</v>
      </c>
      <c r="E150" s="490">
        <v>3</v>
      </c>
      <c r="F150" s="325"/>
      <c r="G150" s="350">
        <f t="shared" si="27"/>
        <v>162.19814294999998</v>
      </c>
      <c r="H150" s="350">
        <f t="shared" si="27"/>
        <v>162.19814294999998</v>
      </c>
      <c r="I150" s="350">
        <f t="shared" si="27"/>
        <v>162.19814294999998</v>
      </c>
      <c r="J150" s="350">
        <f t="shared" si="27"/>
        <v>162.19814294999998</v>
      </c>
      <c r="K150" s="350">
        <f t="shared" si="27"/>
        <v>162.19814294999998</v>
      </c>
      <c r="L150" s="350">
        <f t="shared" si="27"/>
        <v>162.19814294999998</v>
      </c>
      <c r="M150" s="350">
        <f t="shared" si="27"/>
        <v>162.19814294999998</v>
      </c>
      <c r="N150" s="350">
        <f t="shared" si="27"/>
        <v>162.19814294999998</v>
      </c>
      <c r="O150" s="350">
        <f t="shared" si="27"/>
        <v>162.19814294999998</v>
      </c>
      <c r="P150" s="350">
        <f t="shared" si="27"/>
        <v>162.19814294999998</v>
      </c>
      <c r="Q150" s="752"/>
      <c r="R150" s="362"/>
    </row>
    <row r="151" spans="2:18" ht="31.25" x14ac:dyDescent="0.25">
      <c r="B151" s="753" t="s">
        <v>793</v>
      </c>
      <c r="C151" s="757" t="s">
        <v>794</v>
      </c>
      <c r="D151" s="354">
        <v>45.474603300000005</v>
      </c>
      <c r="E151" s="490">
        <v>2</v>
      </c>
      <c r="F151" s="325"/>
      <c r="G151" s="350">
        <f t="shared" si="27"/>
        <v>90.949206600000011</v>
      </c>
      <c r="H151" s="350">
        <f t="shared" si="27"/>
        <v>90.949206600000011</v>
      </c>
      <c r="I151" s="350">
        <f t="shared" si="27"/>
        <v>90.949206600000011</v>
      </c>
      <c r="J151" s="350">
        <f t="shared" si="27"/>
        <v>90.949206600000011</v>
      </c>
      <c r="K151" s="350">
        <f t="shared" si="27"/>
        <v>90.949206600000011</v>
      </c>
      <c r="L151" s="350">
        <f t="shared" si="27"/>
        <v>90.949206600000011</v>
      </c>
      <c r="M151" s="350">
        <f t="shared" si="27"/>
        <v>90.949206600000011</v>
      </c>
      <c r="N151" s="350">
        <f t="shared" si="27"/>
        <v>90.949206600000011</v>
      </c>
      <c r="O151" s="350">
        <f t="shared" si="27"/>
        <v>90.949206600000011</v>
      </c>
      <c r="P151" s="350">
        <f t="shared" si="27"/>
        <v>90.949206600000011</v>
      </c>
      <c r="Q151" s="752"/>
      <c r="R151" s="362"/>
    </row>
    <row r="152" spans="2:18" ht="31.25" x14ac:dyDescent="0.25">
      <c r="B152" s="760" t="s">
        <v>797</v>
      </c>
      <c r="C152" s="757" t="s">
        <v>798</v>
      </c>
      <c r="D152" s="354">
        <v>299.44710289999995</v>
      </c>
      <c r="E152" s="490">
        <v>4</v>
      </c>
      <c r="F152" s="325"/>
      <c r="G152" s="350">
        <f t="shared" si="27"/>
        <v>1197.7884115999998</v>
      </c>
      <c r="H152" s="350">
        <f t="shared" si="27"/>
        <v>1197.7884115999998</v>
      </c>
      <c r="I152" s="350">
        <f t="shared" si="27"/>
        <v>1197.7884115999998</v>
      </c>
      <c r="J152" s="350">
        <f t="shared" si="27"/>
        <v>1197.7884115999998</v>
      </c>
      <c r="K152" s="350">
        <f t="shared" si="27"/>
        <v>1197.7884115999998</v>
      </c>
      <c r="L152" s="350">
        <f t="shared" si="27"/>
        <v>1197.7884115999998</v>
      </c>
      <c r="M152" s="350">
        <f t="shared" si="27"/>
        <v>1197.7884115999998</v>
      </c>
      <c r="N152" s="350">
        <f t="shared" si="27"/>
        <v>1197.7884115999998</v>
      </c>
      <c r="O152" s="350">
        <f t="shared" si="27"/>
        <v>1197.7884115999998</v>
      </c>
      <c r="P152" s="350">
        <f t="shared" si="27"/>
        <v>1197.7884115999998</v>
      </c>
      <c r="Q152" s="752"/>
      <c r="R152" s="362"/>
    </row>
    <row r="153" spans="2:18" ht="15.65" x14ac:dyDescent="0.25">
      <c r="B153" s="753" t="s">
        <v>799</v>
      </c>
      <c r="C153" s="757" t="s">
        <v>800</v>
      </c>
      <c r="D153" s="354">
        <v>1584.9065841500001</v>
      </c>
      <c r="E153" s="490">
        <v>1</v>
      </c>
      <c r="F153" s="325"/>
      <c r="G153" s="350">
        <f t="shared" si="27"/>
        <v>1584.9065841500001</v>
      </c>
      <c r="H153" s="350">
        <f t="shared" si="27"/>
        <v>1584.9065841500001</v>
      </c>
      <c r="I153" s="350">
        <f t="shared" si="27"/>
        <v>1584.9065841500001</v>
      </c>
      <c r="J153" s="350">
        <f t="shared" si="27"/>
        <v>1584.9065841500001</v>
      </c>
      <c r="K153" s="350">
        <f t="shared" si="27"/>
        <v>1584.9065841500001</v>
      </c>
      <c r="L153" s="350">
        <f t="shared" si="27"/>
        <v>1584.9065841500001</v>
      </c>
      <c r="M153" s="350">
        <f t="shared" si="27"/>
        <v>1584.9065841500001</v>
      </c>
      <c r="N153" s="350">
        <f t="shared" si="27"/>
        <v>1584.9065841500001</v>
      </c>
      <c r="O153" s="350">
        <f t="shared" si="27"/>
        <v>1584.9065841500001</v>
      </c>
      <c r="P153" s="350">
        <f t="shared" si="27"/>
        <v>1584.9065841500001</v>
      </c>
      <c r="Q153" s="752"/>
      <c r="R153" s="362"/>
    </row>
    <row r="154" spans="2:18" ht="15.65" x14ac:dyDescent="0.25">
      <c r="B154" s="753" t="s">
        <v>801</v>
      </c>
      <c r="C154" s="757" t="s">
        <v>802</v>
      </c>
      <c r="D154" s="354">
        <v>111.55721810513619</v>
      </c>
      <c r="E154" s="490">
        <v>2</v>
      </c>
      <c r="F154" s="325"/>
      <c r="G154" s="350">
        <f t="shared" si="27"/>
        <v>223.11443621027237</v>
      </c>
      <c r="H154" s="350">
        <f t="shared" si="27"/>
        <v>223.11443621027237</v>
      </c>
      <c r="I154" s="350">
        <f t="shared" si="27"/>
        <v>223.11443621027237</v>
      </c>
      <c r="J154" s="350">
        <f t="shared" si="27"/>
        <v>223.11443621027237</v>
      </c>
      <c r="K154" s="350">
        <f t="shared" si="27"/>
        <v>223.11443621027237</v>
      </c>
      <c r="L154" s="350">
        <f t="shared" si="27"/>
        <v>223.11443621027237</v>
      </c>
      <c r="M154" s="350">
        <f t="shared" si="27"/>
        <v>223.11443621027237</v>
      </c>
      <c r="N154" s="350">
        <f t="shared" si="27"/>
        <v>223.11443621027237</v>
      </c>
      <c r="O154" s="350">
        <f t="shared" si="27"/>
        <v>223.11443621027237</v>
      </c>
      <c r="P154" s="350">
        <f t="shared" si="27"/>
        <v>223.11443621027237</v>
      </c>
      <c r="Q154" s="752"/>
      <c r="R154" s="362"/>
    </row>
    <row r="155" spans="2:18" ht="31.25" x14ac:dyDescent="0.25">
      <c r="B155" s="753" t="s">
        <v>803</v>
      </c>
      <c r="C155" s="757" t="s">
        <v>804</v>
      </c>
      <c r="D155" s="354">
        <v>29.808732750000001</v>
      </c>
      <c r="E155" s="490">
        <v>2</v>
      </c>
      <c r="F155" s="325"/>
      <c r="G155" s="350">
        <f t="shared" si="27"/>
        <v>59.617465500000002</v>
      </c>
      <c r="H155" s="350">
        <f t="shared" si="27"/>
        <v>59.617465500000002</v>
      </c>
      <c r="I155" s="350">
        <f t="shared" si="27"/>
        <v>59.617465500000002</v>
      </c>
      <c r="J155" s="350">
        <f t="shared" si="27"/>
        <v>59.617465500000002</v>
      </c>
      <c r="K155" s="350">
        <f t="shared" si="27"/>
        <v>59.617465500000002</v>
      </c>
      <c r="L155" s="350">
        <f t="shared" si="27"/>
        <v>59.617465500000002</v>
      </c>
      <c r="M155" s="350">
        <f t="shared" si="27"/>
        <v>59.617465500000002</v>
      </c>
      <c r="N155" s="350">
        <f t="shared" si="27"/>
        <v>59.617465500000002</v>
      </c>
      <c r="O155" s="350">
        <f t="shared" si="27"/>
        <v>59.617465500000002</v>
      </c>
      <c r="P155" s="350">
        <f t="shared" si="27"/>
        <v>59.617465500000002</v>
      </c>
      <c r="Q155" s="752"/>
      <c r="R155" s="362"/>
    </row>
    <row r="156" spans="2:18" ht="31.25" x14ac:dyDescent="0.25">
      <c r="B156" s="761" t="s">
        <v>805</v>
      </c>
      <c r="C156" s="757" t="s">
        <v>806</v>
      </c>
      <c r="D156" s="354">
        <v>23.902395550000001</v>
      </c>
      <c r="E156" s="490">
        <v>1</v>
      </c>
      <c r="F156" s="325"/>
      <c r="G156" s="350">
        <f t="shared" si="27"/>
        <v>23.902395550000001</v>
      </c>
      <c r="H156" s="350">
        <f t="shared" si="27"/>
        <v>23.902395550000001</v>
      </c>
      <c r="I156" s="350">
        <f t="shared" si="27"/>
        <v>23.902395550000001</v>
      </c>
      <c r="J156" s="350">
        <f t="shared" si="27"/>
        <v>23.902395550000001</v>
      </c>
      <c r="K156" s="350">
        <f t="shared" si="27"/>
        <v>23.902395550000001</v>
      </c>
      <c r="L156" s="350">
        <f t="shared" si="27"/>
        <v>23.902395550000001</v>
      </c>
      <c r="M156" s="350">
        <f t="shared" si="27"/>
        <v>23.902395550000001</v>
      </c>
      <c r="N156" s="350">
        <f t="shared" si="27"/>
        <v>23.902395550000001</v>
      </c>
      <c r="O156" s="350">
        <f t="shared" si="27"/>
        <v>23.902395550000001</v>
      </c>
      <c r="P156" s="350">
        <f t="shared" si="27"/>
        <v>23.902395550000001</v>
      </c>
      <c r="Q156" s="752"/>
      <c r="R156" s="362"/>
    </row>
    <row r="157" spans="2:18" ht="31.25" x14ac:dyDescent="0.25">
      <c r="B157" s="761" t="s">
        <v>807</v>
      </c>
      <c r="C157" s="757" t="s">
        <v>808</v>
      </c>
      <c r="D157" s="354">
        <v>76.430459349999992</v>
      </c>
      <c r="E157" s="490">
        <v>2</v>
      </c>
      <c r="F157" s="325"/>
      <c r="G157" s="350">
        <f t="shared" si="27"/>
        <v>152.86091869999998</v>
      </c>
      <c r="H157" s="350">
        <f t="shared" si="27"/>
        <v>152.86091869999998</v>
      </c>
      <c r="I157" s="350">
        <f t="shared" si="27"/>
        <v>152.86091869999998</v>
      </c>
      <c r="J157" s="350">
        <f t="shared" si="27"/>
        <v>152.86091869999998</v>
      </c>
      <c r="K157" s="350">
        <f t="shared" si="27"/>
        <v>152.86091869999998</v>
      </c>
      <c r="L157" s="350">
        <f t="shared" si="27"/>
        <v>152.86091869999998</v>
      </c>
      <c r="M157" s="350">
        <f t="shared" si="27"/>
        <v>152.86091869999998</v>
      </c>
      <c r="N157" s="350">
        <f t="shared" si="27"/>
        <v>152.86091869999998</v>
      </c>
      <c r="O157" s="350">
        <f t="shared" si="27"/>
        <v>152.86091869999998</v>
      </c>
      <c r="P157" s="350">
        <f t="shared" si="27"/>
        <v>152.86091869999998</v>
      </c>
      <c r="Q157" s="752"/>
      <c r="R157" s="362"/>
    </row>
    <row r="158" spans="2:18" ht="31.25" x14ac:dyDescent="0.25">
      <c r="B158" s="753" t="s">
        <v>809</v>
      </c>
      <c r="C158" s="768" t="s">
        <v>810</v>
      </c>
      <c r="D158" s="354">
        <v>12.034311799999998</v>
      </c>
      <c r="E158" s="490">
        <v>2</v>
      </c>
      <c r="F158" s="325"/>
      <c r="G158" s="350">
        <f t="shared" si="27"/>
        <v>24.068623599999995</v>
      </c>
      <c r="H158" s="350">
        <f t="shared" si="27"/>
        <v>24.068623599999995</v>
      </c>
      <c r="I158" s="350">
        <f t="shared" si="27"/>
        <v>24.068623599999995</v>
      </c>
      <c r="J158" s="350">
        <f t="shared" si="27"/>
        <v>24.068623599999995</v>
      </c>
      <c r="K158" s="350">
        <f t="shared" si="27"/>
        <v>24.068623599999995</v>
      </c>
      <c r="L158" s="350">
        <f t="shared" si="27"/>
        <v>24.068623599999995</v>
      </c>
      <c r="M158" s="350">
        <f t="shared" si="27"/>
        <v>24.068623599999995</v>
      </c>
      <c r="N158" s="350">
        <f t="shared" si="27"/>
        <v>24.068623599999995</v>
      </c>
      <c r="O158" s="350">
        <f t="shared" si="27"/>
        <v>24.068623599999995</v>
      </c>
      <c r="P158" s="350">
        <f t="shared" si="27"/>
        <v>24.068623599999995</v>
      </c>
      <c r="Q158" s="752"/>
      <c r="R158" s="362"/>
    </row>
    <row r="159" spans="2:18" ht="31.25" x14ac:dyDescent="0.25">
      <c r="B159" s="753" t="s">
        <v>811</v>
      </c>
      <c r="C159" s="768" t="s">
        <v>812</v>
      </c>
      <c r="D159" s="354">
        <v>153.66178770926592</v>
      </c>
      <c r="E159" s="490">
        <v>1</v>
      </c>
      <c r="F159" s="325"/>
      <c r="G159" s="350">
        <f t="shared" ref="G159:P163" si="29">IF(G$21=0,0,G$21/$D$21*$E159*$D159)</f>
        <v>153.66178770926592</v>
      </c>
      <c r="H159" s="350">
        <f t="shared" si="29"/>
        <v>153.66178770926592</v>
      </c>
      <c r="I159" s="350">
        <f t="shared" si="29"/>
        <v>153.66178770926592</v>
      </c>
      <c r="J159" s="350">
        <f t="shared" si="29"/>
        <v>153.66178770926592</v>
      </c>
      <c r="K159" s="350">
        <f t="shared" si="29"/>
        <v>153.66178770926592</v>
      </c>
      <c r="L159" s="350">
        <f t="shared" si="29"/>
        <v>153.66178770926592</v>
      </c>
      <c r="M159" s="350">
        <f t="shared" si="29"/>
        <v>153.66178770926592</v>
      </c>
      <c r="N159" s="350">
        <f t="shared" si="29"/>
        <v>153.66178770926592</v>
      </c>
      <c r="O159" s="350">
        <f t="shared" si="29"/>
        <v>153.66178770926592</v>
      </c>
      <c r="P159" s="350">
        <f t="shared" si="29"/>
        <v>153.66178770926592</v>
      </c>
      <c r="Q159" s="752"/>
      <c r="R159" s="362"/>
    </row>
    <row r="160" spans="2:18" ht="31.25" x14ac:dyDescent="0.25">
      <c r="B160" s="753" t="s">
        <v>813</v>
      </c>
      <c r="C160" s="768" t="s">
        <v>814</v>
      </c>
      <c r="D160" s="354">
        <v>9.1485329499999999</v>
      </c>
      <c r="E160" s="490">
        <v>1</v>
      </c>
      <c r="F160" s="325"/>
      <c r="G160" s="350">
        <f t="shared" si="29"/>
        <v>9.1485329499999999</v>
      </c>
      <c r="H160" s="350">
        <f t="shared" si="29"/>
        <v>9.1485329499999999</v>
      </c>
      <c r="I160" s="350">
        <f t="shared" si="29"/>
        <v>9.1485329499999999</v>
      </c>
      <c r="J160" s="350">
        <f t="shared" si="29"/>
        <v>9.1485329499999999</v>
      </c>
      <c r="K160" s="350">
        <f t="shared" si="29"/>
        <v>9.1485329499999999</v>
      </c>
      <c r="L160" s="350">
        <f t="shared" si="29"/>
        <v>9.1485329499999999</v>
      </c>
      <c r="M160" s="350">
        <f t="shared" si="29"/>
        <v>9.1485329499999999</v>
      </c>
      <c r="N160" s="350">
        <f t="shared" si="29"/>
        <v>9.1485329499999999</v>
      </c>
      <c r="O160" s="350">
        <f t="shared" si="29"/>
        <v>9.1485329499999999</v>
      </c>
      <c r="P160" s="350">
        <f t="shared" si="29"/>
        <v>9.1485329499999999</v>
      </c>
      <c r="Q160" s="752"/>
      <c r="R160" s="362"/>
    </row>
    <row r="161" spans="2:18" ht="31.25" x14ac:dyDescent="0.25">
      <c r="B161" s="760" t="s">
        <v>815</v>
      </c>
      <c r="C161" s="768" t="s">
        <v>816</v>
      </c>
      <c r="D161" s="354">
        <v>62.38493789999999</v>
      </c>
      <c r="E161" s="490">
        <v>1</v>
      </c>
      <c r="F161" s="325"/>
      <c r="G161" s="350">
        <f t="shared" si="29"/>
        <v>62.38493789999999</v>
      </c>
      <c r="H161" s="350">
        <f t="shared" si="29"/>
        <v>62.38493789999999</v>
      </c>
      <c r="I161" s="350">
        <f t="shared" si="29"/>
        <v>62.38493789999999</v>
      </c>
      <c r="J161" s="350">
        <f t="shared" si="29"/>
        <v>62.38493789999999</v>
      </c>
      <c r="K161" s="350">
        <f t="shared" si="29"/>
        <v>62.38493789999999</v>
      </c>
      <c r="L161" s="350">
        <f t="shared" si="29"/>
        <v>62.38493789999999</v>
      </c>
      <c r="M161" s="350">
        <f t="shared" si="29"/>
        <v>62.38493789999999</v>
      </c>
      <c r="N161" s="350">
        <f t="shared" si="29"/>
        <v>62.38493789999999</v>
      </c>
      <c r="O161" s="350">
        <f t="shared" si="29"/>
        <v>62.38493789999999</v>
      </c>
      <c r="P161" s="350">
        <f t="shared" si="29"/>
        <v>62.38493789999999</v>
      </c>
      <c r="Q161" s="752"/>
      <c r="R161" s="362"/>
    </row>
    <row r="162" spans="2:18" ht="31.25" x14ac:dyDescent="0.25">
      <c r="B162" s="753" t="s">
        <v>795</v>
      </c>
      <c r="C162" s="762"/>
      <c r="D162" s="758">
        <v>4.420496</v>
      </c>
      <c r="E162" s="763">
        <v>280</v>
      </c>
      <c r="F162" s="325"/>
      <c r="G162" s="350">
        <f t="shared" si="29"/>
        <v>1237.7388799999999</v>
      </c>
      <c r="H162" s="350">
        <f t="shared" si="29"/>
        <v>1237.7388799999999</v>
      </c>
      <c r="I162" s="350">
        <f t="shared" si="29"/>
        <v>1237.7388799999999</v>
      </c>
      <c r="J162" s="350">
        <f t="shared" si="29"/>
        <v>1237.7388799999999</v>
      </c>
      <c r="K162" s="350">
        <f t="shared" si="29"/>
        <v>1237.7388799999999</v>
      </c>
      <c r="L162" s="350">
        <f t="shared" si="29"/>
        <v>1237.7388799999999</v>
      </c>
      <c r="M162" s="350">
        <f t="shared" si="29"/>
        <v>1237.7388799999999</v>
      </c>
      <c r="N162" s="350">
        <f t="shared" si="29"/>
        <v>1237.7388799999999</v>
      </c>
      <c r="O162" s="350">
        <f t="shared" si="29"/>
        <v>1237.7388799999999</v>
      </c>
      <c r="P162" s="350">
        <f t="shared" si="29"/>
        <v>1237.7388799999999</v>
      </c>
      <c r="Q162" s="275">
        <v>346</v>
      </c>
      <c r="R162" s="362">
        <f>Q162*0.012776</f>
        <v>4.420496</v>
      </c>
    </row>
    <row r="163" spans="2:18" ht="46.9" x14ac:dyDescent="0.25">
      <c r="B163" s="753" t="s">
        <v>796</v>
      </c>
      <c r="C163" s="764"/>
      <c r="D163" s="758">
        <v>12.43730824</v>
      </c>
      <c r="E163" s="763">
        <v>41</v>
      </c>
      <c r="F163" s="325"/>
      <c r="G163" s="350">
        <f t="shared" si="29"/>
        <v>509.92963784</v>
      </c>
      <c r="H163" s="350">
        <f t="shared" si="29"/>
        <v>509.92963784</v>
      </c>
      <c r="I163" s="350">
        <f t="shared" si="29"/>
        <v>509.92963784</v>
      </c>
      <c r="J163" s="350">
        <f t="shared" si="29"/>
        <v>509.92963784</v>
      </c>
      <c r="K163" s="350">
        <f t="shared" si="29"/>
        <v>509.92963784</v>
      </c>
      <c r="L163" s="350">
        <f t="shared" si="29"/>
        <v>509.92963784</v>
      </c>
      <c r="M163" s="350">
        <f t="shared" si="29"/>
        <v>509.92963784</v>
      </c>
      <c r="N163" s="350">
        <f t="shared" si="29"/>
        <v>509.92963784</v>
      </c>
      <c r="O163" s="350">
        <f t="shared" si="29"/>
        <v>509.92963784</v>
      </c>
      <c r="P163" s="350">
        <f t="shared" si="29"/>
        <v>509.92963784</v>
      </c>
      <c r="Q163" s="275">
        <v>973.49</v>
      </c>
      <c r="R163" s="362">
        <f>Q163*0.012776</f>
        <v>12.43730824</v>
      </c>
    </row>
  </sheetData>
  <mergeCells count="2">
    <mergeCell ref="B11:P11"/>
    <mergeCell ref="B22:P22"/>
  </mergeCells>
  <conditionalFormatting sqref="C30:C31">
    <cfRule type="cellIs" dxfId="32" priority="31" operator="equal">
      <formula>"Заполнить"</formula>
    </cfRule>
  </conditionalFormatting>
  <conditionalFormatting sqref="B26:C29">
    <cfRule type="cellIs" dxfId="31" priority="33" operator="equal">
      <formula>"Заполнить"</formula>
    </cfRule>
  </conditionalFormatting>
  <conditionalFormatting sqref="B31:B32">
    <cfRule type="cellIs" dxfId="30" priority="30" operator="equal">
      <formula>"Заполнить"</formula>
    </cfRule>
  </conditionalFormatting>
  <conditionalFormatting sqref="B30">
    <cfRule type="cellIs" dxfId="29" priority="32" operator="equal">
      <formula>"Заполнить"</formula>
    </cfRule>
  </conditionalFormatting>
  <conditionalFormatting sqref="B44:B45">
    <cfRule type="cellIs" dxfId="28" priority="27" operator="equal">
      <formula>"Заполнить"</formula>
    </cfRule>
  </conditionalFormatting>
  <conditionalFormatting sqref="B34:C43">
    <cfRule type="cellIs" dxfId="27" priority="29" operator="equal">
      <formula>"Заполнить"</formula>
    </cfRule>
  </conditionalFormatting>
  <conditionalFormatting sqref="C44">
    <cfRule type="cellIs" dxfId="26" priority="28" operator="equal">
      <formula>"Заполнить"</formula>
    </cfRule>
  </conditionalFormatting>
  <conditionalFormatting sqref="B47:C61">
    <cfRule type="cellIs" dxfId="25" priority="26" operator="equal">
      <formula>"Заполнить"</formula>
    </cfRule>
  </conditionalFormatting>
  <conditionalFormatting sqref="B62:B63">
    <cfRule type="cellIs" dxfId="24" priority="24" operator="equal">
      <formula>"Заполнить"</formula>
    </cfRule>
  </conditionalFormatting>
  <conditionalFormatting sqref="C62">
    <cfRule type="cellIs" dxfId="23" priority="25" operator="equal">
      <formula>"Заполнить"</formula>
    </cfRule>
  </conditionalFormatting>
  <conditionalFormatting sqref="B65:C82">
    <cfRule type="cellIs" dxfId="22" priority="23" operator="equal">
      <formula>"Заполнить"</formula>
    </cfRule>
  </conditionalFormatting>
  <conditionalFormatting sqref="B85">
    <cfRule type="cellIs" dxfId="21" priority="19" operator="equal">
      <formula>"Заполнить"</formula>
    </cfRule>
  </conditionalFormatting>
  <conditionalFormatting sqref="B83">
    <cfRule type="cellIs" dxfId="20" priority="21" operator="equal">
      <formula>"Заполнить"</formula>
    </cfRule>
  </conditionalFormatting>
  <conditionalFormatting sqref="C83">
    <cfRule type="cellIs" dxfId="19" priority="22" operator="equal">
      <formula>"Заполнить"</formula>
    </cfRule>
  </conditionalFormatting>
  <conditionalFormatting sqref="B84">
    <cfRule type="cellIs" dxfId="18" priority="20" operator="equal">
      <formula>"Заполнить"</formula>
    </cfRule>
  </conditionalFormatting>
  <conditionalFormatting sqref="B88:C102">
    <cfRule type="cellIs" dxfId="17" priority="18" operator="equal">
      <formula>"Заполнить"</formula>
    </cfRule>
  </conditionalFormatting>
  <conditionalFormatting sqref="B105">
    <cfRule type="cellIs" dxfId="16" priority="15" operator="equal">
      <formula>"Заполнить"</formula>
    </cfRule>
  </conditionalFormatting>
  <conditionalFormatting sqref="B103">
    <cfRule type="cellIs" dxfId="15" priority="16" operator="equal">
      <formula>"Заполнить"</formula>
    </cfRule>
  </conditionalFormatting>
  <conditionalFormatting sqref="C103">
    <cfRule type="cellIs" dxfId="14" priority="17" operator="equal">
      <formula>"Заполнить"</formula>
    </cfRule>
  </conditionalFormatting>
  <conditionalFormatting sqref="B104">
    <cfRule type="cellIs" dxfId="13" priority="14" operator="equal">
      <formula>"Заполнить"</formula>
    </cfRule>
  </conditionalFormatting>
  <conditionalFormatting sqref="B107:C121">
    <cfRule type="cellIs" dxfId="12" priority="13" operator="equal">
      <formula>"Заполнить"</formula>
    </cfRule>
  </conditionalFormatting>
  <conditionalFormatting sqref="B122:C122">
    <cfRule type="cellIs" dxfId="11" priority="12" operator="equal">
      <formula>"Заполнить"</formula>
    </cfRule>
  </conditionalFormatting>
  <conditionalFormatting sqref="B123:B124">
    <cfRule type="cellIs" dxfId="10" priority="10" operator="equal">
      <formula>"Заполнить"</formula>
    </cfRule>
  </conditionalFormatting>
  <conditionalFormatting sqref="C123">
    <cfRule type="cellIs" dxfId="9" priority="11" operator="equal">
      <formula>"Заполнить"</formula>
    </cfRule>
  </conditionalFormatting>
  <conditionalFormatting sqref="B127:C141">
    <cfRule type="cellIs" dxfId="8" priority="9" operator="equal">
      <formula>"Заполнить"</formula>
    </cfRule>
  </conditionalFormatting>
  <conditionalFormatting sqref="B125">
    <cfRule type="cellIs" dxfId="7" priority="8" operator="equal">
      <formula>"Заполнить"</formula>
    </cfRule>
  </conditionalFormatting>
  <conditionalFormatting sqref="B142:B143">
    <cfRule type="cellIs" dxfId="6" priority="6" operator="equal">
      <formula>"Заполнить"</formula>
    </cfRule>
  </conditionalFormatting>
  <conditionalFormatting sqref="C142">
    <cfRule type="cellIs" dxfId="5" priority="7" operator="equal">
      <formula>"Заполнить"</formula>
    </cfRule>
  </conditionalFormatting>
  <conditionalFormatting sqref="B144">
    <cfRule type="cellIs" dxfId="4" priority="5" operator="equal">
      <formula>"Заполнить"</formula>
    </cfRule>
  </conditionalFormatting>
  <conditionalFormatting sqref="B145">
    <cfRule type="cellIs" dxfId="3" priority="4" operator="equal">
      <formula>"Заполнить"</formula>
    </cfRule>
  </conditionalFormatting>
  <conditionalFormatting sqref="B147:C161">
    <cfRule type="cellIs" dxfId="2" priority="3" operator="equal">
      <formula>"Заполнить"</formula>
    </cfRule>
  </conditionalFormatting>
  <conditionalFormatting sqref="B162:B163">
    <cfRule type="cellIs" dxfId="1" priority="1" operator="equal">
      <formula>"Заполнить"</formula>
    </cfRule>
  </conditionalFormatting>
  <conditionalFormatting sqref="C162">
    <cfRule type="cellIs" dxfId="0" priority="2" operator="equal">
      <formula>"Заполнить"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3D40-87E1-46E8-A5B6-E23266F9A225}">
  <sheetPr>
    <tabColor theme="7" tint="0.39997558519241921"/>
  </sheetPr>
  <dimension ref="B2:P222"/>
  <sheetViews>
    <sheetView showGridLines="0" zoomScale="85" zoomScaleNormal="85" zoomScaleSheetLayoutView="85" workbookViewId="0">
      <pane xSplit="2" ySplit="6" topLeftCell="C7" activePane="bottomRight" state="frozen"/>
      <selection activeCell="O38" sqref="O38"/>
      <selection pane="topRight" activeCell="O38" sqref="O38"/>
      <selection pane="bottomLeft" activeCell="O38" sqref="O38"/>
      <selection pane="bottomRight" activeCell="U43" sqref="U43"/>
    </sheetView>
  </sheetViews>
  <sheetFormatPr defaultRowHeight="14.3" x14ac:dyDescent="0.25"/>
  <cols>
    <col min="1" max="1" width="5.5" style="275" customWidth="1"/>
    <col min="2" max="2" width="58.625" style="275" customWidth="1"/>
    <col min="3" max="3" width="14.375" style="275" customWidth="1"/>
    <col min="4" max="4" width="17.5" style="275" customWidth="1"/>
    <col min="5" max="5" width="11.5" style="275" customWidth="1"/>
    <col min="6" max="10" width="11.125" style="275" customWidth="1"/>
    <col min="11" max="11" width="14.125" style="275" customWidth="1"/>
    <col min="12" max="15" width="11.125" style="275" customWidth="1"/>
    <col min="16" max="16" width="19.5" style="275" customWidth="1"/>
    <col min="17" max="18" width="9" style="275"/>
    <col min="19" max="19" width="11.875" style="275" customWidth="1"/>
    <col min="20" max="16384" width="9" style="275"/>
  </cols>
  <sheetData>
    <row r="2" spans="2:15" x14ac:dyDescent="0.25">
      <c r="B2" s="365" t="s">
        <v>259</v>
      </c>
    </row>
    <row r="3" spans="2:15" ht="14.95" thickBot="1" x14ac:dyDescent="0.3">
      <c r="B3" s="275" t="s">
        <v>298</v>
      </c>
      <c r="F3" s="277">
        <f>ESDE240_1!E12</f>
        <v>0.91162480974124804</v>
      </c>
      <c r="G3" s="277">
        <f>ESDE240_1!F12</f>
        <v>0.89608701166920346</v>
      </c>
      <c r="H3" s="277">
        <f>ESDE240_1!G12</f>
        <v>0.84869672754946723</v>
      </c>
      <c r="I3" s="277">
        <f>ESDE240_1!H12</f>
        <v>0.80563483003551495</v>
      </c>
      <c r="J3" s="277">
        <f>ESDE240_1!I12</f>
        <v>0.89852866565195333</v>
      </c>
      <c r="K3" s="277">
        <f>ESDE240_1!J12</f>
        <v>0.82206050228310501</v>
      </c>
      <c r="L3" s="277">
        <f>ESDE240_1!K12</f>
        <v>0.88942795535261288</v>
      </c>
      <c r="M3" s="277">
        <f>ESDE240_1!L12</f>
        <v>0.81118404363267382</v>
      </c>
      <c r="N3" s="277">
        <f>ESDE240_1!M12</f>
        <v>0.85613267376966007</v>
      </c>
      <c r="O3" s="277">
        <f>ESDE240_1!N12</f>
        <v>0.83393581938102479</v>
      </c>
    </row>
    <row r="4" spans="2:15" s="368" customFormat="1" ht="22.95" customHeight="1" x14ac:dyDescent="0.25">
      <c r="B4" s="366" t="s">
        <v>299</v>
      </c>
      <c r="C4" s="367" t="s">
        <v>355</v>
      </c>
      <c r="D4" s="340"/>
      <c r="E4" s="340"/>
      <c r="F4" s="337">
        <v>1</v>
      </c>
      <c r="G4" s="337">
        <f>F4+1</f>
        <v>2</v>
      </c>
      <c r="H4" s="337">
        <f t="shared" ref="H4:O4" si="0">G4+1</f>
        <v>3</v>
      </c>
      <c r="I4" s="337">
        <f t="shared" si="0"/>
        <v>4</v>
      </c>
      <c r="J4" s="337">
        <f t="shared" si="0"/>
        <v>5</v>
      </c>
      <c r="K4" s="337">
        <f t="shared" si="0"/>
        <v>6</v>
      </c>
      <c r="L4" s="337">
        <f t="shared" si="0"/>
        <v>7</v>
      </c>
      <c r="M4" s="337">
        <f t="shared" si="0"/>
        <v>8</v>
      </c>
      <c r="N4" s="337">
        <f t="shared" si="0"/>
        <v>9</v>
      </c>
      <c r="O4" s="337">
        <f t="shared" si="0"/>
        <v>10</v>
      </c>
    </row>
    <row r="5" spans="2:15" x14ac:dyDescent="0.25">
      <c r="B5" s="369" t="s">
        <v>300</v>
      </c>
      <c r="C5" s="370" t="s">
        <v>301</v>
      </c>
      <c r="D5" s="292"/>
      <c r="E5" s="370"/>
      <c r="F5" s="476">
        <v>0</v>
      </c>
      <c r="G5" s="476">
        <f>F6+1</f>
        <v>7001</v>
      </c>
      <c r="H5" s="476">
        <f t="shared" ref="H5:O5" si="1">G6+1</f>
        <v>14001</v>
      </c>
      <c r="I5" s="476">
        <f t="shared" si="1"/>
        <v>21001</v>
      </c>
      <c r="J5" s="476">
        <f t="shared" si="1"/>
        <v>28001</v>
      </c>
      <c r="K5" s="476">
        <f t="shared" si="1"/>
        <v>35001</v>
      </c>
      <c r="L5" s="476">
        <f t="shared" si="1"/>
        <v>42001</v>
      </c>
      <c r="M5" s="476">
        <f t="shared" si="1"/>
        <v>49001</v>
      </c>
      <c r="N5" s="476">
        <f t="shared" si="1"/>
        <v>56001</v>
      </c>
      <c r="O5" s="476">
        <f t="shared" si="1"/>
        <v>63001</v>
      </c>
    </row>
    <row r="6" spans="2:15" ht="14.95" thickBot="1" x14ac:dyDescent="0.3">
      <c r="B6" s="371" t="s">
        <v>302</v>
      </c>
      <c r="C6" s="372" t="s">
        <v>301</v>
      </c>
      <c r="D6" s="373"/>
      <c r="E6" s="374">
        <f>'ESDE240 ТО_1'!F6</f>
        <v>7000</v>
      </c>
      <c r="F6" s="493">
        <f>E6</f>
        <v>7000</v>
      </c>
      <c r="G6" s="493">
        <f t="shared" ref="G6:O6" si="2">F6+$E6</f>
        <v>14000</v>
      </c>
      <c r="H6" s="493">
        <f t="shared" si="2"/>
        <v>21000</v>
      </c>
      <c r="I6" s="493">
        <f t="shared" si="2"/>
        <v>28000</v>
      </c>
      <c r="J6" s="493">
        <f t="shared" si="2"/>
        <v>35000</v>
      </c>
      <c r="K6" s="493">
        <f t="shared" si="2"/>
        <v>42000</v>
      </c>
      <c r="L6" s="493">
        <f t="shared" si="2"/>
        <v>49000</v>
      </c>
      <c r="M6" s="493">
        <f t="shared" si="2"/>
        <v>56000</v>
      </c>
      <c r="N6" s="493">
        <f t="shared" si="2"/>
        <v>63000</v>
      </c>
      <c r="O6" s="493">
        <f t="shared" si="2"/>
        <v>70000</v>
      </c>
    </row>
    <row r="7" spans="2:15" ht="14.95" thickBot="1" x14ac:dyDescent="0.3"/>
    <row r="8" spans="2:15" ht="21.75" customHeight="1" x14ac:dyDescent="0.25">
      <c r="B8" s="376" t="s">
        <v>356</v>
      </c>
      <c r="C8" s="377" t="s">
        <v>304</v>
      </c>
      <c r="D8" s="377"/>
      <c r="E8" s="377"/>
      <c r="F8" s="378">
        <f>F16</f>
        <v>316</v>
      </c>
      <c r="G8" s="378">
        <f t="shared" ref="G8:O8" si="3">G16</f>
        <v>456</v>
      </c>
      <c r="H8" s="378">
        <f t="shared" si="3"/>
        <v>883</v>
      </c>
      <c r="I8" s="378">
        <f t="shared" si="3"/>
        <v>1271</v>
      </c>
      <c r="J8" s="378">
        <f t="shared" si="3"/>
        <v>434</v>
      </c>
      <c r="K8" s="378">
        <f t="shared" si="3"/>
        <v>1123</v>
      </c>
      <c r="L8" s="378">
        <f t="shared" si="3"/>
        <v>516</v>
      </c>
      <c r="M8" s="378">
        <f t="shared" si="3"/>
        <v>1221</v>
      </c>
      <c r="N8" s="378">
        <f t="shared" si="3"/>
        <v>816</v>
      </c>
      <c r="O8" s="378">
        <f t="shared" si="3"/>
        <v>1016</v>
      </c>
    </row>
    <row r="9" spans="2:15" ht="21.1" customHeight="1" x14ac:dyDescent="0.25">
      <c r="B9" s="390" t="s">
        <v>357</v>
      </c>
      <c r="C9" s="380" t="s">
        <v>358</v>
      </c>
      <c r="D9" s="253"/>
      <c r="E9" s="253"/>
      <c r="F9" s="302">
        <f>SUM(F10:F12)</f>
        <v>6371.0352762000002</v>
      </c>
      <c r="G9" s="302">
        <f t="shared" ref="G9:O9" si="4">SUM(G10:G12)</f>
        <v>102570.26918215459</v>
      </c>
      <c r="H9" s="302">
        <f t="shared" si="4"/>
        <v>753981.1192794001</v>
      </c>
      <c r="I9" s="302">
        <f t="shared" si="4"/>
        <v>2577179.9267764832</v>
      </c>
      <c r="J9" s="302">
        <f t="shared" si="4"/>
        <v>10074.0352762</v>
      </c>
      <c r="K9" s="302">
        <f t="shared" si="4"/>
        <v>850180.35318535462</v>
      </c>
      <c r="L9" s="302">
        <f t="shared" si="4"/>
        <v>6371.0352762000002</v>
      </c>
      <c r="M9" s="302">
        <f t="shared" si="4"/>
        <v>2577179.9267764832</v>
      </c>
      <c r="N9" s="302">
        <f t="shared" si="4"/>
        <v>6371.0352762000002</v>
      </c>
      <c r="O9" s="302">
        <f t="shared" si="4"/>
        <v>6371.0352762000002</v>
      </c>
    </row>
    <row r="10" spans="2:15" ht="18.7" customHeight="1" x14ac:dyDescent="0.25">
      <c r="B10" s="381" t="s">
        <v>283</v>
      </c>
      <c r="C10" s="260" t="s">
        <v>358</v>
      </c>
      <c r="D10" s="260"/>
      <c r="E10" s="260"/>
      <c r="F10" s="263">
        <f t="shared" ref="F10:O10" si="5">F152</f>
        <v>0</v>
      </c>
      <c r="G10" s="263">
        <f t="shared" si="5"/>
        <v>0</v>
      </c>
      <c r="H10" s="263">
        <f t="shared" si="5"/>
        <v>0</v>
      </c>
      <c r="I10" s="263">
        <f t="shared" si="5"/>
        <v>0</v>
      </c>
      <c r="J10" s="263">
        <f t="shared" si="5"/>
        <v>0</v>
      </c>
      <c r="K10" s="263">
        <f t="shared" si="5"/>
        <v>0</v>
      </c>
      <c r="L10" s="263">
        <f t="shared" si="5"/>
        <v>0</v>
      </c>
      <c r="M10" s="263">
        <f t="shared" si="5"/>
        <v>0</v>
      </c>
      <c r="N10" s="263">
        <f t="shared" si="5"/>
        <v>0</v>
      </c>
      <c r="O10" s="263">
        <f t="shared" si="5"/>
        <v>0</v>
      </c>
    </row>
    <row r="11" spans="2:15" ht="18.7" customHeight="1" x14ac:dyDescent="0.25">
      <c r="B11" s="381" t="s">
        <v>284</v>
      </c>
      <c r="C11" s="260" t="s">
        <v>358</v>
      </c>
      <c r="D11" s="260"/>
      <c r="E11" s="260"/>
      <c r="F11" s="263">
        <f t="shared" ref="F11:O11" si="6">F158</f>
        <v>4931.0352762000002</v>
      </c>
      <c r="G11" s="263">
        <f t="shared" si="6"/>
        <v>88530.269182154589</v>
      </c>
      <c r="H11" s="263">
        <f t="shared" si="6"/>
        <v>701511.1192794001</v>
      </c>
      <c r="I11" s="263">
        <f t="shared" si="6"/>
        <v>2494289.9267764832</v>
      </c>
      <c r="J11" s="263">
        <f t="shared" si="6"/>
        <v>7014.0352762000002</v>
      </c>
      <c r="K11" s="263">
        <f t="shared" si="6"/>
        <v>785110.35318535462</v>
      </c>
      <c r="L11" s="263">
        <f t="shared" si="6"/>
        <v>4931.0352762000002</v>
      </c>
      <c r="M11" s="263">
        <f t="shared" si="6"/>
        <v>2494289.9267764832</v>
      </c>
      <c r="N11" s="263">
        <f t="shared" si="6"/>
        <v>4931.0352762000002</v>
      </c>
      <c r="O11" s="263">
        <f t="shared" si="6"/>
        <v>4931.0352762000002</v>
      </c>
    </row>
    <row r="12" spans="2:15" ht="18.7" customHeight="1" thickBot="1" x14ac:dyDescent="0.3">
      <c r="B12" s="382" t="s">
        <v>359</v>
      </c>
      <c r="C12" s="383" t="s">
        <v>358</v>
      </c>
      <c r="D12" s="383"/>
      <c r="E12" s="383"/>
      <c r="F12" s="314">
        <f>F82</f>
        <v>1440</v>
      </c>
      <c r="G12" s="314">
        <f t="shared" ref="G12:O12" si="7">G82</f>
        <v>14040</v>
      </c>
      <c r="H12" s="314">
        <f t="shared" si="7"/>
        <v>52470</v>
      </c>
      <c r="I12" s="314">
        <f t="shared" si="7"/>
        <v>82890</v>
      </c>
      <c r="J12" s="314">
        <f t="shared" si="7"/>
        <v>3060</v>
      </c>
      <c r="K12" s="314">
        <f t="shared" si="7"/>
        <v>65070</v>
      </c>
      <c r="L12" s="314">
        <f t="shared" si="7"/>
        <v>1440</v>
      </c>
      <c r="M12" s="314">
        <f t="shared" si="7"/>
        <v>82890</v>
      </c>
      <c r="N12" s="314">
        <f t="shared" si="7"/>
        <v>1440</v>
      </c>
      <c r="O12" s="314">
        <f t="shared" si="7"/>
        <v>1440</v>
      </c>
    </row>
    <row r="13" spans="2:15" ht="18" customHeight="1" x14ac:dyDescent="0.25">
      <c r="B13" s="384"/>
      <c r="C13" s="385"/>
      <c r="D13" s="385"/>
      <c r="E13" s="385"/>
      <c r="F13" s="386"/>
      <c r="G13" s="386"/>
      <c r="H13" s="386"/>
      <c r="I13" s="386"/>
      <c r="J13" s="386"/>
      <c r="K13" s="386"/>
      <c r="L13" s="386"/>
      <c r="M13" s="386"/>
      <c r="N13" s="386"/>
      <c r="O13" s="386"/>
    </row>
    <row r="14" spans="2:15" ht="23.3" customHeight="1" thickBot="1" x14ac:dyDescent="0.3">
      <c r="B14" s="387" t="s">
        <v>360</v>
      </c>
      <c r="C14" s="385"/>
      <c r="D14" s="385"/>
      <c r="E14" s="385"/>
      <c r="F14" s="386"/>
      <c r="G14" s="386"/>
      <c r="H14" s="386"/>
      <c r="I14" s="386"/>
      <c r="J14" s="386"/>
      <c r="K14" s="386"/>
      <c r="L14" s="386"/>
      <c r="M14" s="386"/>
      <c r="N14" s="386"/>
      <c r="O14" s="386"/>
    </row>
    <row r="15" spans="2:15" ht="16.5" customHeight="1" x14ac:dyDescent="0.25">
      <c r="B15" s="336" t="s">
        <v>361</v>
      </c>
      <c r="C15" s="367" t="s">
        <v>355</v>
      </c>
      <c r="D15" s="388"/>
      <c r="E15" s="388"/>
      <c r="F15" s="389">
        <f>F4</f>
        <v>1</v>
      </c>
      <c r="G15" s="389">
        <f t="shared" ref="G15:O15" si="8">G4</f>
        <v>2</v>
      </c>
      <c r="H15" s="389">
        <f t="shared" si="8"/>
        <v>3</v>
      </c>
      <c r="I15" s="389">
        <f t="shared" si="8"/>
        <v>4</v>
      </c>
      <c r="J15" s="389">
        <f t="shared" si="8"/>
        <v>5</v>
      </c>
      <c r="K15" s="389">
        <f t="shared" si="8"/>
        <v>6</v>
      </c>
      <c r="L15" s="389">
        <f t="shared" si="8"/>
        <v>7</v>
      </c>
      <c r="M15" s="389">
        <f t="shared" si="8"/>
        <v>8</v>
      </c>
      <c r="N15" s="389">
        <f t="shared" si="8"/>
        <v>9</v>
      </c>
      <c r="O15" s="389">
        <f t="shared" si="8"/>
        <v>10</v>
      </c>
    </row>
    <row r="16" spans="2:15" ht="16.5" customHeight="1" x14ac:dyDescent="0.25">
      <c r="B16" s="390" t="s">
        <v>362</v>
      </c>
      <c r="C16" s="246"/>
      <c r="D16" s="260"/>
      <c r="E16" s="260"/>
      <c r="F16" s="391">
        <f>SUM(F17:F78)</f>
        <v>316</v>
      </c>
      <c r="G16" s="391">
        <f t="shared" ref="G16:O16" si="9">SUM(G17:G78)</f>
        <v>456</v>
      </c>
      <c r="H16" s="391">
        <f t="shared" si="9"/>
        <v>883</v>
      </c>
      <c r="I16" s="391">
        <f t="shared" si="9"/>
        <v>1271</v>
      </c>
      <c r="J16" s="391">
        <f t="shared" si="9"/>
        <v>434</v>
      </c>
      <c r="K16" s="391">
        <f t="shared" si="9"/>
        <v>1123</v>
      </c>
      <c r="L16" s="391">
        <f t="shared" si="9"/>
        <v>516</v>
      </c>
      <c r="M16" s="391">
        <f t="shared" si="9"/>
        <v>1221</v>
      </c>
      <c r="N16" s="391">
        <f t="shared" si="9"/>
        <v>816</v>
      </c>
      <c r="O16" s="391">
        <f t="shared" si="9"/>
        <v>1016</v>
      </c>
    </row>
    <row r="17" spans="2:15" ht="16.5" customHeight="1" x14ac:dyDescent="0.25">
      <c r="B17" s="774" t="s">
        <v>828</v>
      </c>
      <c r="C17" s="246"/>
      <c r="D17" s="260">
        <f>E83/2</f>
        <v>543</v>
      </c>
      <c r="E17" s="260"/>
      <c r="F17" s="501"/>
      <c r="G17" s="501"/>
      <c r="H17" s="501">
        <f>$D17</f>
        <v>543</v>
      </c>
      <c r="I17" s="501"/>
      <c r="J17" s="501"/>
      <c r="K17" s="501">
        <f>$D17</f>
        <v>543</v>
      </c>
      <c r="L17" s="501"/>
      <c r="M17" s="501"/>
      <c r="N17" s="501"/>
      <c r="O17" s="501"/>
    </row>
    <row r="18" spans="2:15" ht="16.5" customHeight="1" x14ac:dyDescent="0.25">
      <c r="B18" s="775" t="s">
        <v>829</v>
      </c>
      <c r="C18" s="257" t="s">
        <v>304</v>
      </c>
      <c r="D18" s="260">
        <f t="shared" ref="D18:D77" si="10">E84/2</f>
        <v>24</v>
      </c>
      <c r="E18" s="260"/>
      <c r="F18" s="501"/>
      <c r="G18" s="501"/>
      <c r="H18" s="501">
        <f>$D18</f>
        <v>24</v>
      </c>
      <c r="I18" s="501"/>
      <c r="J18" s="501"/>
      <c r="K18" s="501">
        <f>$D18</f>
        <v>24</v>
      </c>
      <c r="L18" s="501"/>
      <c r="M18" s="501"/>
      <c r="N18" s="501"/>
      <c r="O18" s="501"/>
    </row>
    <row r="19" spans="2:15" ht="16.5" customHeight="1" x14ac:dyDescent="0.25">
      <c r="B19" s="775" t="s">
        <v>830</v>
      </c>
      <c r="C19" s="257" t="s">
        <v>304</v>
      </c>
      <c r="D19" s="260">
        <f t="shared" si="10"/>
        <v>3</v>
      </c>
      <c r="E19" s="260"/>
      <c r="F19" s="501"/>
      <c r="G19" s="501">
        <f>$D19</f>
        <v>3</v>
      </c>
      <c r="H19" s="501"/>
      <c r="I19" s="501">
        <f>$D19</f>
        <v>3</v>
      </c>
      <c r="J19" s="501"/>
      <c r="K19" s="501">
        <f>$D19</f>
        <v>3</v>
      </c>
      <c r="L19" s="501"/>
      <c r="M19" s="501">
        <f>$D19</f>
        <v>3</v>
      </c>
      <c r="N19" s="501"/>
      <c r="O19" s="501"/>
    </row>
    <row r="20" spans="2:15" ht="16.5" customHeight="1" x14ac:dyDescent="0.25">
      <c r="B20" s="775" t="s">
        <v>831</v>
      </c>
      <c r="C20" s="257" t="s">
        <v>304</v>
      </c>
      <c r="D20" s="260">
        <f t="shared" si="10"/>
        <v>4</v>
      </c>
      <c r="E20" s="260"/>
      <c r="F20" s="501"/>
      <c r="G20" s="501">
        <f>$D20</f>
        <v>4</v>
      </c>
      <c r="H20" s="501"/>
      <c r="I20" s="501">
        <f>$D20</f>
        <v>4</v>
      </c>
      <c r="J20" s="501"/>
      <c r="K20" s="501">
        <f>$D20</f>
        <v>4</v>
      </c>
      <c r="L20" s="501"/>
      <c r="M20" s="501">
        <f>$D20</f>
        <v>4</v>
      </c>
      <c r="N20" s="501"/>
      <c r="O20" s="501"/>
    </row>
    <row r="21" spans="2:15" ht="16.5" customHeight="1" x14ac:dyDescent="0.25">
      <c r="B21" s="776" t="s">
        <v>396</v>
      </c>
      <c r="C21" s="257"/>
      <c r="D21" s="260"/>
      <c r="E21" s="260"/>
      <c r="F21" s="501"/>
      <c r="G21" s="501"/>
      <c r="H21" s="501"/>
      <c r="I21" s="501"/>
      <c r="J21" s="501"/>
      <c r="K21" s="501"/>
      <c r="L21" s="501"/>
      <c r="M21" s="501"/>
      <c r="N21" s="501"/>
      <c r="O21" s="501"/>
    </row>
    <row r="22" spans="2:15" ht="16.5" customHeight="1" thickBot="1" x14ac:dyDescent="0.3">
      <c r="B22" s="777" t="s">
        <v>832</v>
      </c>
      <c r="C22" s="374" t="s">
        <v>304</v>
      </c>
      <c r="D22" s="260">
        <f t="shared" si="10"/>
        <v>220</v>
      </c>
      <c r="E22" s="260"/>
      <c r="F22" s="501"/>
      <c r="G22" s="501"/>
      <c r="H22" s="501"/>
      <c r="I22" s="501">
        <f>$D22</f>
        <v>220</v>
      </c>
      <c r="J22" s="501"/>
      <c r="K22" s="501"/>
      <c r="L22" s="501"/>
      <c r="M22" s="501">
        <f>$D22</f>
        <v>220</v>
      </c>
      <c r="N22" s="501"/>
      <c r="O22" s="501"/>
    </row>
    <row r="23" spans="2:15" ht="16.5" customHeight="1" thickBot="1" x14ac:dyDescent="0.3">
      <c r="B23" s="777" t="s">
        <v>833</v>
      </c>
      <c r="C23" s="374" t="s">
        <v>304</v>
      </c>
      <c r="D23" s="260">
        <f t="shared" si="10"/>
        <v>80</v>
      </c>
      <c r="E23" s="260"/>
      <c r="F23" s="501"/>
      <c r="G23" s="501"/>
      <c r="H23" s="501"/>
      <c r="I23" s="501">
        <f>$D23</f>
        <v>80</v>
      </c>
      <c r="J23" s="501"/>
      <c r="K23" s="501"/>
      <c r="L23" s="501"/>
      <c r="M23" s="501">
        <f>$D23</f>
        <v>80</v>
      </c>
      <c r="N23" s="501"/>
      <c r="O23" s="501"/>
    </row>
    <row r="24" spans="2:15" ht="16.5" customHeight="1" thickBot="1" x14ac:dyDescent="0.3">
      <c r="B24" s="778" t="s">
        <v>834</v>
      </c>
      <c r="C24" s="374" t="s">
        <v>304</v>
      </c>
      <c r="D24" s="260">
        <f t="shared" si="10"/>
        <v>40</v>
      </c>
      <c r="E24" s="260"/>
      <c r="F24" s="501"/>
      <c r="G24" s="501"/>
      <c r="H24" s="501"/>
      <c r="I24" s="501">
        <f>$D24</f>
        <v>40</v>
      </c>
      <c r="J24" s="501"/>
      <c r="K24" s="501"/>
      <c r="L24" s="501"/>
      <c r="M24" s="501">
        <f>$D24</f>
        <v>40</v>
      </c>
      <c r="N24" s="501"/>
      <c r="O24" s="501"/>
    </row>
    <row r="25" spans="2:15" ht="16.5" customHeight="1" thickBot="1" x14ac:dyDescent="0.3">
      <c r="B25" s="776" t="s">
        <v>835</v>
      </c>
      <c r="C25" s="374"/>
      <c r="D25" s="260"/>
      <c r="E25" s="260"/>
      <c r="F25" s="501"/>
      <c r="G25" s="501"/>
      <c r="H25" s="501"/>
      <c r="I25" s="501"/>
      <c r="J25" s="501"/>
      <c r="K25" s="501"/>
      <c r="L25" s="501"/>
      <c r="M25" s="501"/>
      <c r="N25" s="501"/>
      <c r="O25" s="501"/>
    </row>
    <row r="26" spans="2:15" ht="16.5" customHeight="1" thickBot="1" x14ac:dyDescent="0.3">
      <c r="B26" s="779" t="s">
        <v>836</v>
      </c>
      <c r="C26" s="374" t="s">
        <v>304</v>
      </c>
      <c r="D26" s="260">
        <f t="shared" si="10"/>
        <v>25</v>
      </c>
      <c r="E26" s="260"/>
      <c r="F26" s="501"/>
      <c r="G26" s="501">
        <f>$D26</f>
        <v>25</v>
      </c>
      <c r="H26" s="501"/>
      <c r="I26" s="501">
        <f>$D26</f>
        <v>25</v>
      </c>
      <c r="J26" s="501"/>
      <c r="K26" s="501">
        <f>$D26</f>
        <v>25</v>
      </c>
      <c r="L26" s="501"/>
      <c r="M26" s="501">
        <f>$D26</f>
        <v>25</v>
      </c>
      <c r="N26" s="501"/>
      <c r="O26" s="501"/>
    </row>
    <row r="27" spans="2:15" ht="16.5" customHeight="1" thickBot="1" x14ac:dyDescent="0.3">
      <c r="B27" s="779" t="s">
        <v>837</v>
      </c>
      <c r="C27" s="374" t="s">
        <v>304</v>
      </c>
      <c r="D27" s="260">
        <f t="shared" si="10"/>
        <v>24</v>
      </c>
      <c r="E27" s="260"/>
      <c r="F27" s="501"/>
      <c r="G27" s="501">
        <f>$D27</f>
        <v>24</v>
      </c>
      <c r="H27" s="501"/>
      <c r="I27" s="501">
        <f t="shared" ref="I27:I51" si="11">$D27</f>
        <v>24</v>
      </c>
      <c r="J27" s="501"/>
      <c r="K27" s="501">
        <f>$D27</f>
        <v>24</v>
      </c>
      <c r="L27" s="501"/>
      <c r="M27" s="501">
        <f t="shared" ref="M27:M51" si="12">$D27</f>
        <v>24</v>
      </c>
      <c r="N27" s="501"/>
      <c r="O27" s="501"/>
    </row>
    <row r="28" spans="2:15" ht="16.5" customHeight="1" thickBot="1" x14ac:dyDescent="0.3">
      <c r="B28" s="780" t="s">
        <v>838</v>
      </c>
      <c r="C28" s="374" t="s">
        <v>304</v>
      </c>
      <c r="D28" s="260">
        <f t="shared" si="10"/>
        <v>10</v>
      </c>
      <c r="E28" s="260"/>
      <c r="F28" s="501"/>
      <c r="G28" s="501"/>
      <c r="H28" s="501"/>
      <c r="I28" s="501">
        <f t="shared" si="11"/>
        <v>10</v>
      </c>
      <c r="J28" s="501"/>
      <c r="K28" s="501"/>
      <c r="L28" s="501"/>
      <c r="M28" s="501">
        <f t="shared" si="12"/>
        <v>10</v>
      </c>
      <c r="N28" s="501"/>
      <c r="O28" s="501"/>
    </row>
    <row r="29" spans="2:15" ht="16.5" customHeight="1" thickBot="1" x14ac:dyDescent="0.3">
      <c r="B29" s="780" t="s">
        <v>839</v>
      </c>
      <c r="C29" s="374" t="s">
        <v>304</v>
      </c>
      <c r="D29" s="260">
        <f t="shared" si="10"/>
        <v>2</v>
      </c>
      <c r="E29" s="260"/>
      <c r="F29" s="501"/>
      <c r="G29" s="501"/>
      <c r="H29" s="501"/>
      <c r="I29" s="501">
        <f t="shared" si="11"/>
        <v>2</v>
      </c>
      <c r="J29" s="501"/>
      <c r="K29" s="501"/>
      <c r="L29" s="501"/>
      <c r="M29" s="501">
        <f t="shared" si="12"/>
        <v>2</v>
      </c>
      <c r="N29" s="501"/>
      <c r="O29" s="501"/>
    </row>
    <row r="30" spans="2:15" ht="16.5" customHeight="1" thickBot="1" x14ac:dyDescent="0.3">
      <c r="B30" s="780" t="s">
        <v>840</v>
      </c>
      <c r="C30" s="374" t="s">
        <v>304</v>
      </c>
      <c r="D30" s="260">
        <f t="shared" si="10"/>
        <v>3</v>
      </c>
      <c r="E30" s="260"/>
      <c r="F30" s="501"/>
      <c r="G30" s="501"/>
      <c r="H30" s="501"/>
      <c r="I30" s="501">
        <f t="shared" si="11"/>
        <v>3</v>
      </c>
      <c r="J30" s="501"/>
      <c r="K30" s="501"/>
      <c r="L30" s="501"/>
      <c r="M30" s="501">
        <f t="shared" si="12"/>
        <v>3</v>
      </c>
      <c r="N30" s="501"/>
      <c r="O30" s="501"/>
    </row>
    <row r="31" spans="2:15" ht="16.5" customHeight="1" thickBot="1" x14ac:dyDescent="0.3">
      <c r="B31" s="780" t="s">
        <v>841</v>
      </c>
      <c r="C31" s="374" t="s">
        <v>304</v>
      </c>
      <c r="D31" s="260">
        <f t="shared" si="10"/>
        <v>2</v>
      </c>
      <c r="E31" s="260"/>
      <c r="F31" s="501"/>
      <c r="G31" s="501"/>
      <c r="H31" s="501"/>
      <c r="I31" s="501">
        <f t="shared" si="11"/>
        <v>2</v>
      </c>
      <c r="J31" s="501"/>
      <c r="K31" s="501"/>
      <c r="L31" s="501"/>
      <c r="M31" s="501">
        <f t="shared" si="12"/>
        <v>2</v>
      </c>
      <c r="N31" s="501"/>
      <c r="O31" s="501"/>
    </row>
    <row r="32" spans="2:15" ht="16.5" customHeight="1" thickBot="1" x14ac:dyDescent="0.3">
      <c r="B32" s="780" t="s">
        <v>842</v>
      </c>
      <c r="C32" s="374" t="s">
        <v>304</v>
      </c>
      <c r="D32" s="260">
        <f t="shared" si="10"/>
        <v>2</v>
      </c>
      <c r="E32" s="260"/>
      <c r="F32" s="501"/>
      <c r="G32" s="501"/>
      <c r="H32" s="501"/>
      <c r="I32" s="501">
        <f t="shared" si="11"/>
        <v>2</v>
      </c>
      <c r="J32" s="501"/>
      <c r="K32" s="501"/>
      <c r="L32" s="501"/>
      <c r="M32" s="501">
        <f t="shared" si="12"/>
        <v>2</v>
      </c>
      <c r="N32" s="501"/>
      <c r="O32" s="501"/>
    </row>
    <row r="33" spans="2:15" ht="16.5" customHeight="1" thickBot="1" x14ac:dyDescent="0.3">
      <c r="B33" s="780" t="s">
        <v>843</v>
      </c>
      <c r="C33" s="374" t="s">
        <v>304</v>
      </c>
      <c r="D33" s="260">
        <f t="shared" si="10"/>
        <v>2</v>
      </c>
      <c r="E33" s="260"/>
      <c r="F33" s="501"/>
      <c r="G33" s="501"/>
      <c r="H33" s="501"/>
      <c r="I33" s="501">
        <f t="shared" si="11"/>
        <v>2</v>
      </c>
      <c r="J33" s="501"/>
      <c r="K33" s="501"/>
      <c r="L33" s="501"/>
      <c r="M33" s="501">
        <f t="shared" si="12"/>
        <v>2</v>
      </c>
      <c r="N33" s="501"/>
      <c r="O33" s="501"/>
    </row>
    <row r="34" spans="2:15" ht="16.5" customHeight="1" thickBot="1" x14ac:dyDescent="0.3">
      <c r="B34" s="780" t="s">
        <v>844</v>
      </c>
      <c r="C34" s="374" t="s">
        <v>304</v>
      </c>
      <c r="D34" s="260">
        <f t="shared" si="10"/>
        <v>2</v>
      </c>
      <c r="E34" s="260"/>
      <c r="F34" s="418"/>
      <c r="G34" s="418"/>
      <c r="H34" s="501"/>
      <c r="I34" s="501">
        <f t="shared" si="11"/>
        <v>2</v>
      </c>
      <c r="J34" s="418"/>
      <c r="K34" s="501"/>
      <c r="L34" s="418"/>
      <c r="M34" s="418">
        <f t="shared" si="12"/>
        <v>2</v>
      </c>
      <c r="N34" s="418"/>
      <c r="O34" s="418"/>
    </row>
    <row r="35" spans="2:15" ht="16.5" customHeight="1" thickBot="1" x14ac:dyDescent="0.3">
      <c r="B35" s="780" t="s">
        <v>845</v>
      </c>
      <c r="C35" s="374" t="s">
        <v>304</v>
      </c>
      <c r="D35" s="260">
        <f t="shared" si="10"/>
        <v>3</v>
      </c>
      <c r="E35" s="260"/>
      <c r="F35" s="501"/>
      <c r="G35" s="501"/>
      <c r="H35" s="501"/>
      <c r="I35" s="501">
        <f t="shared" si="11"/>
        <v>3</v>
      </c>
      <c r="J35" s="501"/>
      <c r="K35" s="501"/>
      <c r="L35" s="501"/>
      <c r="M35" s="501">
        <f t="shared" si="12"/>
        <v>3</v>
      </c>
      <c r="N35" s="501"/>
      <c r="O35" s="501"/>
    </row>
    <row r="36" spans="2:15" ht="16.5" customHeight="1" thickBot="1" x14ac:dyDescent="0.3">
      <c r="B36" s="780" t="s">
        <v>846</v>
      </c>
      <c r="C36" s="374" t="s">
        <v>304</v>
      </c>
      <c r="D36" s="260">
        <f t="shared" si="10"/>
        <v>4</v>
      </c>
      <c r="E36" s="260"/>
      <c r="F36" s="501"/>
      <c r="G36" s="501">
        <f>$D36</f>
        <v>4</v>
      </c>
      <c r="H36" s="501"/>
      <c r="I36" s="501">
        <f t="shared" si="11"/>
        <v>4</v>
      </c>
      <c r="J36" s="501"/>
      <c r="K36" s="501">
        <f>$D36</f>
        <v>4</v>
      </c>
      <c r="L36" s="501"/>
      <c r="M36" s="501">
        <f t="shared" si="12"/>
        <v>4</v>
      </c>
      <c r="N36" s="501"/>
      <c r="O36" s="501"/>
    </row>
    <row r="37" spans="2:15" ht="16.5" customHeight="1" thickBot="1" x14ac:dyDescent="0.3">
      <c r="B37" s="780" t="s">
        <v>847</v>
      </c>
      <c r="C37" s="374" t="s">
        <v>304</v>
      </c>
      <c r="D37" s="260">
        <f t="shared" si="10"/>
        <v>4</v>
      </c>
      <c r="E37" s="260"/>
      <c r="F37" s="501"/>
      <c r="G37" s="501"/>
      <c r="H37" s="501"/>
      <c r="I37" s="501">
        <f t="shared" si="11"/>
        <v>4</v>
      </c>
      <c r="J37" s="501"/>
      <c r="K37" s="501"/>
      <c r="L37" s="501"/>
      <c r="M37" s="501">
        <f t="shared" si="12"/>
        <v>4</v>
      </c>
      <c r="N37" s="501"/>
      <c r="O37" s="501"/>
    </row>
    <row r="38" spans="2:15" ht="16.5" customHeight="1" thickBot="1" x14ac:dyDescent="0.3">
      <c r="B38" s="780" t="s">
        <v>848</v>
      </c>
      <c r="C38" s="374" t="s">
        <v>304</v>
      </c>
      <c r="D38" s="260">
        <f t="shared" si="10"/>
        <v>4</v>
      </c>
      <c r="E38" s="260"/>
      <c r="F38" s="501"/>
      <c r="G38" s="501"/>
      <c r="H38" s="501"/>
      <c r="I38" s="501">
        <f t="shared" si="11"/>
        <v>4</v>
      </c>
      <c r="J38" s="501"/>
      <c r="K38" s="501"/>
      <c r="L38" s="501"/>
      <c r="M38" s="501">
        <f t="shared" si="12"/>
        <v>4</v>
      </c>
      <c r="N38" s="501"/>
      <c r="O38" s="501"/>
    </row>
    <row r="39" spans="2:15" ht="16.5" customHeight="1" thickBot="1" x14ac:dyDescent="0.3">
      <c r="B39" s="780" t="s">
        <v>849</v>
      </c>
      <c r="C39" s="374" t="s">
        <v>304</v>
      </c>
      <c r="D39" s="260">
        <f t="shared" si="10"/>
        <v>3</v>
      </c>
      <c r="E39" s="260"/>
      <c r="F39" s="501"/>
      <c r="G39" s="501"/>
      <c r="H39" s="501"/>
      <c r="I39" s="501">
        <f t="shared" si="11"/>
        <v>3</v>
      </c>
      <c r="J39" s="501"/>
      <c r="K39" s="501"/>
      <c r="L39" s="501"/>
      <c r="M39" s="501">
        <f t="shared" si="12"/>
        <v>3</v>
      </c>
      <c r="N39" s="501"/>
      <c r="O39" s="501"/>
    </row>
    <row r="40" spans="2:15" ht="16.5" customHeight="1" thickBot="1" x14ac:dyDescent="0.3">
      <c r="B40" s="780" t="s">
        <v>850</v>
      </c>
      <c r="C40" s="374" t="s">
        <v>304</v>
      </c>
      <c r="D40" s="260">
        <f t="shared" si="10"/>
        <v>2</v>
      </c>
      <c r="E40" s="260"/>
      <c r="F40" s="501"/>
      <c r="G40" s="501"/>
      <c r="H40" s="501"/>
      <c r="I40" s="501">
        <f t="shared" si="11"/>
        <v>2</v>
      </c>
      <c r="J40" s="501"/>
      <c r="K40" s="501"/>
      <c r="L40" s="501"/>
      <c r="M40" s="501">
        <f t="shared" si="12"/>
        <v>2</v>
      </c>
      <c r="N40" s="501"/>
      <c r="O40" s="501"/>
    </row>
    <row r="41" spans="2:15" ht="16.5" customHeight="1" thickBot="1" x14ac:dyDescent="0.3">
      <c r="B41" s="780" t="s">
        <v>851</v>
      </c>
      <c r="C41" s="374" t="s">
        <v>304</v>
      </c>
      <c r="D41" s="260">
        <f t="shared" si="10"/>
        <v>2</v>
      </c>
      <c r="E41" s="260"/>
      <c r="F41" s="501"/>
      <c r="G41" s="501"/>
      <c r="H41" s="501"/>
      <c r="I41" s="501">
        <f t="shared" si="11"/>
        <v>2</v>
      </c>
      <c r="J41" s="501"/>
      <c r="K41" s="501"/>
      <c r="L41" s="501"/>
      <c r="M41" s="501">
        <f t="shared" si="12"/>
        <v>2</v>
      </c>
      <c r="N41" s="501"/>
      <c r="O41" s="501"/>
    </row>
    <row r="42" spans="2:15" ht="16.5" customHeight="1" thickBot="1" x14ac:dyDescent="0.3">
      <c r="B42" s="780" t="s">
        <v>852</v>
      </c>
      <c r="C42" s="374" t="s">
        <v>304</v>
      </c>
      <c r="D42" s="260">
        <f t="shared" si="10"/>
        <v>3</v>
      </c>
      <c r="E42" s="260"/>
      <c r="F42" s="501"/>
      <c r="G42" s="501"/>
      <c r="H42" s="501"/>
      <c r="I42" s="501">
        <f t="shared" si="11"/>
        <v>3</v>
      </c>
      <c r="J42" s="501"/>
      <c r="K42" s="501"/>
      <c r="L42" s="501"/>
      <c r="M42" s="501">
        <f t="shared" si="12"/>
        <v>3</v>
      </c>
      <c r="N42" s="501"/>
      <c r="O42" s="501"/>
    </row>
    <row r="43" spans="2:15" ht="16.5" customHeight="1" thickBot="1" x14ac:dyDescent="0.3">
      <c r="B43" s="780" t="s">
        <v>853</v>
      </c>
      <c r="C43" s="374" t="s">
        <v>304</v>
      </c>
      <c r="D43" s="260">
        <f t="shared" si="10"/>
        <v>8</v>
      </c>
      <c r="E43" s="260"/>
      <c r="F43" s="501"/>
      <c r="G43" s="501"/>
      <c r="H43" s="501"/>
      <c r="I43" s="501">
        <f t="shared" si="11"/>
        <v>8</v>
      </c>
      <c r="J43" s="501"/>
      <c r="K43" s="501"/>
      <c r="L43" s="501"/>
      <c r="M43" s="501">
        <f t="shared" si="12"/>
        <v>8</v>
      </c>
      <c r="N43" s="501"/>
      <c r="O43" s="501"/>
    </row>
    <row r="44" spans="2:15" ht="16.5" customHeight="1" thickBot="1" x14ac:dyDescent="0.3">
      <c r="B44" s="780" t="s">
        <v>854</v>
      </c>
      <c r="C44" s="374" t="s">
        <v>304</v>
      </c>
      <c r="D44" s="260">
        <f t="shared" si="10"/>
        <v>3</v>
      </c>
      <c r="E44" s="260"/>
      <c r="F44" s="501"/>
      <c r="G44" s="501"/>
      <c r="H44" s="501"/>
      <c r="I44" s="501">
        <f t="shared" si="11"/>
        <v>3</v>
      </c>
      <c r="J44" s="501"/>
      <c r="K44" s="501"/>
      <c r="L44" s="501"/>
      <c r="M44" s="501">
        <f t="shared" si="12"/>
        <v>3</v>
      </c>
      <c r="N44" s="501"/>
      <c r="O44" s="501"/>
    </row>
    <row r="45" spans="2:15" ht="16.5" customHeight="1" thickBot="1" x14ac:dyDescent="0.3">
      <c r="B45" s="780" t="s">
        <v>855</v>
      </c>
      <c r="C45" s="374" t="s">
        <v>304</v>
      </c>
      <c r="D45" s="260">
        <f t="shared" si="10"/>
        <v>2</v>
      </c>
      <c r="E45" s="260"/>
      <c r="F45" s="501"/>
      <c r="G45" s="501"/>
      <c r="H45" s="501"/>
      <c r="I45" s="501">
        <f t="shared" si="11"/>
        <v>2</v>
      </c>
      <c r="J45" s="501"/>
      <c r="K45" s="501"/>
      <c r="L45" s="501"/>
      <c r="M45" s="501">
        <f t="shared" si="12"/>
        <v>2</v>
      </c>
      <c r="N45" s="501"/>
      <c r="O45" s="501"/>
    </row>
    <row r="46" spans="2:15" ht="16.5" customHeight="1" thickBot="1" x14ac:dyDescent="0.3">
      <c r="B46" s="780" t="s">
        <v>856</v>
      </c>
      <c r="C46" s="374" t="s">
        <v>304</v>
      </c>
      <c r="D46" s="260">
        <f t="shared" si="10"/>
        <v>49</v>
      </c>
      <c r="E46" s="260"/>
      <c r="F46" s="501"/>
      <c r="G46" s="501"/>
      <c r="H46" s="501"/>
      <c r="I46" s="501">
        <f t="shared" si="11"/>
        <v>49</v>
      </c>
      <c r="J46" s="501"/>
      <c r="K46" s="501"/>
      <c r="L46" s="501"/>
      <c r="M46" s="501">
        <f t="shared" si="12"/>
        <v>49</v>
      </c>
      <c r="N46" s="501"/>
      <c r="O46" s="501"/>
    </row>
    <row r="47" spans="2:15" ht="16.5" customHeight="1" thickBot="1" x14ac:dyDescent="0.3">
      <c r="B47" s="780" t="s">
        <v>857</v>
      </c>
      <c r="C47" s="374" t="s">
        <v>304</v>
      </c>
      <c r="D47" s="260">
        <f t="shared" si="10"/>
        <v>70</v>
      </c>
      <c r="E47" s="260"/>
      <c r="F47" s="501"/>
      <c r="G47" s="501"/>
      <c r="H47" s="501"/>
      <c r="I47" s="501">
        <f t="shared" si="11"/>
        <v>70</v>
      </c>
      <c r="J47" s="501"/>
      <c r="K47" s="501"/>
      <c r="L47" s="501"/>
      <c r="M47" s="501">
        <f t="shared" si="12"/>
        <v>70</v>
      </c>
      <c r="N47" s="501"/>
      <c r="O47" s="501"/>
    </row>
    <row r="48" spans="2:15" ht="16.5" customHeight="1" thickBot="1" x14ac:dyDescent="0.3">
      <c r="B48" s="780" t="s">
        <v>858</v>
      </c>
      <c r="C48" s="374" t="s">
        <v>304</v>
      </c>
      <c r="D48" s="260">
        <f t="shared" si="10"/>
        <v>20</v>
      </c>
      <c r="E48" s="260"/>
      <c r="F48" s="501"/>
      <c r="G48" s="501"/>
      <c r="H48" s="501"/>
      <c r="I48" s="501">
        <f t="shared" si="11"/>
        <v>20</v>
      </c>
      <c r="J48" s="501"/>
      <c r="K48" s="501"/>
      <c r="L48" s="501"/>
      <c r="M48" s="501">
        <f t="shared" si="12"/>
        <v>20</v>
      </c>
      <c r="N48" s="501"/>
      <c r="O48" s="501"/>
    </row>
    <row r="49" spans="2:15" ht="16.5" customHeight="1" thickBot="1" x14ac:dyDescent="0.3">
      <c r="B49" s="780" t="s">
        <v>859</v>
      </c>
      <c r="C49" s="374" t="s">
        <v>304</v>
      </c>
      <c r="D49" s="260">
        <f t="shared" si="10"/>
        <v>40</v>
      </c>
      <c r="E49" s="260"/>
      <c r="F49" s="501"/>
      <c r="G49" s="501"/>
      <c r="H49" s="501"/>
      <c r="I49" s="501">
        <f t="shared" si="11"/>
        <v>40</v>
      </c>
      <c r="J49" s="501"/>
      <c r="K49" s="501"/>
      <c r="L49" s="501"/>
      <c r="M49" s="501">
        <f t="shared" si="12"/>
        <v>40</v>
      </c>
      <c r="N49" s="501"/>
      <c r="O49" s="501"/>
    </row>
    <row r="50" spans="2:15" ht="16.5" customHeight="1" thickBot="1" x14ac:dyDescent="0.3">
      <c r="B50" s="780" t="s">
        <v>860</v>
      </c>
      <c r="C50" s="374" t="s">
        <v>304</v>
      </c>
      <c r="D50" s="260">
        <f t="shared" si="10"/>
        <v>5</v>
      </c>
      <c r="E50" s="260"/>
      <c r="F50" s="501"/>
      <c r="G50" s="501"/>
      <c r="H50" s="501"/>
      <c r="I50" s="501">
        <f t="shared" si="11"/>
        <v>5</v>
      </c>
      <c r="J50" s="501"/>
      <c r="K50" s="501"/>
      <c r="L50" s="501"/>
      <c r="M50" s="501">
        <f t="shared" si="12"/>
        <v>5</v>
      </c>
      <c r="N50" s="501"/>
      <c r="O50" s="501"/>
    </row>
    <row r="51" spans="2:15" ht="16.5" customHeight="1" thickBot="1" x14ac:dyDescent="0.3">
      <c r="B51" s="780" t="s">
        <v>845</v>
      </c>
      <c r="C51" s="374" t="s">
        <v>304</v>
      </c>
      <c r="D51" s="260">
        <f t="shared" si="10"/>
        <v>2</v>
      </c>
      <c r="E51" s="260"/>
      <c r="F51" s="501"/>
      <c r="G51" s="501"/>
      <c r="H51" s="501"/>
      <c r="I51" s="501">
        <f t="shared" si="11"/>
        <v>2</v>
      </c>
      <c r="J51" s="501"/>
      <c r="K51" s="501"/>
      <c r="L51" s="501"/>
      <c r="M51" s="501">
        <f t="shared" si="12"/>
        <v>2</v>
      </c>
      <c r="N51" s="501"/>
      <c r="O51" s="501"/>
    </row>
    <row r="52" spans="2:15" ht="16.5" customHeight="1" thickBot="1" x14ac:dyDescent="0.3">
      <c r="B52" s="781" t="s">
        <v>861</v>
      </c>
      <c r="C52" s="374"/>
      <c r="D52" s="260"/>
      <c r="E52" s="260"/>
      <c r="F52" s="501"/>
      <c r="G52" s="501"/>
      <c r="H52" s="501"/>
      <c r="I52" s="501"/>
      <c r="J52" s="501"/>
      <c r="K52" s="501"/>
      <c r="L52" s="501"/>
      <c r="M52" s="501"/>
      <c r="N52" s="501"/>
      <c r="O52" s="501"/>
    </row>
    <row r="53" spans="2:15" ht="16.5" customHeight="1" thickBot="1" x14ac:dyDescent="0.3">
      <c r="B53" s="779" t="s">
        <v>862</v>
      </c>
      <c r="C53" s="374" t="s">
        <v>304</v>
      </c>
      <c r="D53" s="260">
        <f t="shared" si="10"/>
        <v>4</v>
      </c>
      <c r="E53" s="260"/>
      <c r="F53" s="501">
        <f>$D53</f>
        <v>4</v>
      </c>
      <c r="G53" s="501">
        <f t="shared" ref="G53:O53" si="13">$D53</f>
        <v>4</v>
      </c>
      <c r="H53" s="501">
        <f t="shared" si="13"/>
        <v>4</v>
      </c>
      <c r="I53" s="501">
        <f t="shared" si="13"/>
        <v>4</v>
      </c>
      <c r="J53" s="501">
        <f t="shared" si="13"/>
        <v>4</v>
      </c>
      <c r="K53" s="501">
        <f t="shared" si="13"/>
        <v>4</v>
      </c>
      <c r="L53" s="501">
        <f t="shared" si="13"/>
        <v>4</v>
      </c>
      <c r="M53" s="501">
        <f t="shared" si="13"/>
        <v>4</v>
      </c>
      <c r="N53" s="501">
        <f t="shared" si="13"/>
        <v>4</v>
      </c>
      <c r="O53" s="501">
        <f t="shared" si="13"/>
        <v>4</v>
      </c>
    </row>
    <row r="54" spans="2:15" ht="16.5" customHeight="1" thickBot="1" x14ac:dyDescent="0.3">
      <c r="B54" s="779" t="s">
        <v>863</v>
      </c>
      <c r="C54" s="374" t="s">
        <v>304</v>
      </c>
      <c r="D54" s="260">
        <f t="shared" si="10"/>
        <v>8</v>
      </c>
      <c r="E54" s="260"/>
      <c r="F54" s="501">
        <f t="shared" ref="F54:O69" si="14">$D54</f>
        <v>8</v>
      </c>
      <c r="G54" s="501">
        <f t="shared" si="14"/>
        <v>8</v>
      </c>
      <c r="H54" s="501">
        <f t="shared" si="14"/>
        <v>8</v>
      </c>
      <c r="I54" s="501">
        <f t="shared" si="14"/>
        <v>8</v>
      </c>
      <c r="J54" s="501">
        <f t="shared" si="14"/>
        <v>8</v>
      </c>
      <c r="K54" s="501">
        <f t="shared" si="14"/>
        <v>8</v>
      </c>
      <c r="L54" s="501">
        <f t="shared" si="14"/>
        <v>8</v>
      </c>
      <c r="M54" s="501">
        <f t="shared" si="14"/>
        <v>8</v>
      </c>
      <c r="N54" s="501">
        <f t="shared" si="14"/>
        <v>8</v>
      </c>
      <c r="O54" s="501">
        <f t="shared" si="14"/>
        <v>8</v>
      </c>
    </row>
    <row r="55" spans="2:15" ht="16.5" customHeight="1" thickBot="1" x14ac:dyDescent="0.3">
      <c r="B55" s="779" t="s">
        <v>864</v>
      </c>
      <c r="C55" s="374" t="s">
        <v>304</v>
      </c>
      <c r="D55" s="260">
        <f t="shared" si="10"/>
        <v>4</v>
      </c>
      <c r="E55" s="260"/>
      <c r="F55" s="501">
        <f t="shared" si="14"/>
        <v>4</v>
      </c>
      <c r="G55" s="501">
        <f t="shared" si="14"/>
        <v>4</v>
      </c>
      <c r="H55" s="501">
        <f t="shared" si="14"/>
        <v>4</v>
      </c>
      <c r="I55" s="501">
        <f t="shared" si="14"/>
        <v>4</v>
      </c>
      <c r="J55" s="501">
        <f t="shared" si="14"/>
        <v>4</v>
      </c>
      <c r="K55" s="501">
        <f t="shared" si="14"/>
        <v>4</v>
      </c>
      <c r="L55" s="501">
        <f t="shared" si="14"/>
        <v>4</v>
      </c>
      <c r="M55" s="501">
        <f t="shared" si="14"/>
        <v>4</v>
      </c>
      <c r="N55" s="501">
        <f t="shared" si="14"/>
        <v>4</v>
      </c>
      <c r="O55" s="501">
        <f t="shared" si="14"/>
        <v>4</v>
      </c>
    </row>
    <row r="56" spans="2:15" ht="16.5" customHeight="1" thickBot="1" x14ac:dyDescent="0.3">
      <c r="B56" s="780" t="s">
        <v>865</v>
      </c>
      <c r="C56" s="374" t="s">
        <v>304</v>
      </c>
      <c r="D56" s="260">
        <f t="shared" si="10"/>
        <v>10</v>
      </c>
      <c r="E56" s="260"/>
      <c r="F56" s="501"/>
      <c r="G56" s="501">
        <f t="shared" si="14"/>
        <v>10</v>
      </c>
      <c r="H56" s="501"/>
      <c r="I56" s="501">
        <f t="shared" si="14"/>
        <v>10</v>
      </c>
      <c r="J56" s="501"/>
      <c r="K56" s="501">
        <f t="shared" si="14"/>
        <v>10</v>
      </c>
      <c r="L56" s="501"/>
      <c r="M56" s="501">
        <f t="shared" si="14"/>
        <v>10</v>
      </c>
      <c r="N56" s="501"/>
      <c r="O56" s="501"/>
    </row>
    <row r="57" spans="2:15" ht="16.5" customHeight="1" thickBot="1" x14ac:dyDescent="0.3">
      <c r="B57" s="780" t="s">
        <v>866</v>
      </c>
      <c r="C57" s="374" t="s">
        <v>304</v>
      </c>
      <c r="D57" s="260">
        <f t="shared" si="10"/>
        <v>20</v>
      </c>
      <c r="E57" s="260"/>
      <c r="F57" s="501"/>
      <c r="G57" s="501">
        <f t="shared" si="14"/>
        <v>20</v>
      </c>
      <c r="H57" s="501"/>
      <c r="I57" s="501">
        <f t="shared" si="14"/>
        <v>20</v>
      </c>
      <c r="J57" s="501"/>
      <c r="K57" s="501">
        <f t="shared" si="14"/>
        <v>20</v>
      </c>
      <c r="L57" s="501"/>
      <c r="M57" s="501">
        <f t="shared" si="14"/>
        <v>20</v>
      </c>
      <c r="N57" s="501"/>
      <c r="O57" s="501"/>
    </row>
    <row r="58" spans="2:15" ht="16.5" customHeight="1" thickBot="1" x14ac:dyDescent="0.3">
      <c r="B58" s="780" t="s">
        <v>867</v>
      </c>
      <c r="C58" s="374" t="s">
        <v>304</v>
      </c>
      <c r="D58" s="260">
        <f t="shared" si="10"/>
        <v>10</v>
      </c>
      <c r="E58" s="260"/>
      <c r="F58" s="501"/>
      <c r="G58" s="501">
        <f t="shared" si="14"/>
        <v>10</v>
      </c>
      <c r="H58" s="501"/>
      <c r="I58" s="501">
        <f t="shared" si="14"/>
        <v>10</v>
      </c>
      <c r="J58" s="501"/>
      <c r="K58" s="501">
        <f t="shared" si="14"/>
        <v>10</v>
      </c>
      <c r="L58" s="501"/>
      <c r="M58" s="501">
        <f t="shared" si="14"/>
        <v>10</v>
      </c>
      <c r="N58" s="501"/>
      <c r="O58" s="501"/>
    </row>
    <row r="59" spans="2:15" ht="16.5" customHeight="1" thickBot="1" x14ac:dyDescent="0.3">
      <c r="B59" s="780" t="s">
        <v>868</v>
      </c>
      <c r="C59" s="374" t="s">
        <v>304</v>
      </c>
      <c r="D59" s="260">
        <f t="shared" si="10"/>
        <v>40</v>
      </c>
      <c r="E59" s="260"/>
      <c r="F59" s="501"/>
      <c r="G59" s="501">
        <f t="shared" si="14"/>
        <v>40</v>
      </c>
      <c r="H59" s="501"/>
      <c r="I59" s="501">
        <f t="shared" si="14"/>
        <v>40</v>
      </c>
      <c r="J59" s="501"/>
      <c r="K59" s="501">
        <f t="shared" si="14"/>
        <v>40</v>
      </c>
      <c r="L59" s="501"/>
      <c r="M59" s="501">
        <f t="shared" si="14"/>
        <v>40</v>
      </c>
      <c r="N59" s="501"/>
      <c r="O59" s="501"/>
    </row>
    <row r="60" spans="2:15" ht="16.5" customHeight="1" thickBot="1" x14ac:dyDescent="0.3">
      <c r="B60" s="779" t="s">
        <v>869</v>
      </c>
      <c r="C60" s="374" t="s">
        <v>304</v>
      </c>
      <c r="D60" s="260">
        <f t="shared" si="10"/>
        <v>10</v>
      </c>
      <c r="E60" s="260"/>
      <c r="F60" s="501"/>
      <c r="G60" s="501"/>
      <c r="H60" s="501"/>
      <c r="I60" s="501">
        <f t="shared" si="14"/>
        <v>10</v>
      </c>
      <c r="J60" s="501"/>
      <c r="K60" s="501"/>
      <c r="L60" s="501"/>
      <c r="M60" s="501">
        <f t="shared" si="14"/>
        <v>10</v>
      </c>
      <c r="N60" s="501"/>
      <c r="O60" s="501"/>
    </row>
    <row r="61" spans="2:15" ht="16.5" customHeight="1" thickBot="1" x14ac:dyDescent="0.3">
      <c r="B61" s="779" t="s">
        <v>870</v>
      </c>
      <c r="C61" s="374" t="s">
        <v>304</v>
      </c>
      <c r="D61" s="260">
        <f t="shared" si="10"/>
        <v>40</v>
      </c>
      <c r="E61" s="260"/>
      <c r="F61" s="501"/>
      <c r="G61" s="501"/>
      <c r="H61" s="501"/>
      <c r="I61" s="501">
        <f t="shared" si="14"/>
        <v>40</v>
      </c>
      <c r="J61" s="501"/>
      <c r="K61" s="501"/>
      <c r="L61" s="501"/>
      <c r="M61" s="501">
        <f t="shared" si="14"/>
        <v>40</v>
      </c>
      <c r="N61" s="501"/>
      <c r="O61" s="501"/>
    </row>
    <row r="62" spans="2:15" ht="16.5" customHeight="1" thickBot="1" x14ac:dyDescent="0.3">
      <c r="B62" s="779" t="s">
        <v>871</v>
      </c>
      <c r="C62" s="374" t="s">
        <v>304</v>
      </c>
      <c r="D62" s="260">
        <f t="shared" si="10"/>
        <v>5</v>
      </c>
      <c r="E62" s="260"/>
      <c r="F62" s="501"/>
      <c r="G62" s="501"/>
      <c r="H62" s="501"/>
      <c r="I62" s="501">
        <f t="shared" si="14"/>
        <v>5</v>
      </c>
      <c r="J62" s="501"/>
      <c r="K62" s="501"/>
      <c r="L62" s="501"/>
      <c r="M62" s="501">
        <f t="shared" si="14"/>
        <v>5</v>
      </c>
      <c r="N62" s="501"/>
      <c r="O62" s="501"/>
    </row>
    <row r="63" spans="2:15" ht="16.5" customHeight="1" thickBot="1" x14ac:dyDescent="0.3">
      <c r="B63" s="779" t="s">
        <v>872</v>
      </c>
      <c r="C63" s="374" t="s">
        <v>304</v>
      </c>
      <c r="D63" s="260">
        <f t="shared" si="10"/>
        <v>20</v>
      </c>
      <c r="E63" s="260"/>
      <c r="F63" s="501"/>
      <c r="G63" s="501"/>
      <c r="H63" s="501"/>
      <c r="I63" s="501">
        <f t="shared" si="14"/>
        <v>20</v>
      </c>
      <c r="J63" s="501"/>
      <c r="K63" s="501"/>
      <c r="L63" s="501"/>
      <c r="M63" s="501">
        <f t="shared" si="14"/>
        <v>20</v>
      </c>
      <c r="N63" s="501"/>
      <c r="O63" s="501"/>
    </row>
    <row r="64" spans="2:15" ht="16.5" customHeight="1" thickBot="1" x14ac:dyDescent="0.3">
      <c r="B64" s="780" t="s">
        <v>873</v>
      </c>
      <c r="C64" s="374" t="s">
        <v>304</v>
      </c>
      <c r="D64" s="260">
        <f t="shared" si="10"/>
        <v>44</v>
      </c>
      <c r="E64" s="260"/>
      <c r="F64" s="501"/>
      <c r="G64" s="501"/>
      <c r="H64" s="501"/>
      <c r="I64" s="501">
        <f t="shared" si="14"/>
        <v>44</v>
      </c>
      <c r="J64" s="501"/>
      <c r="K64" s="501"/>
      <c r="L64" s="501"/>
      <c r="M64" s="501">
        <f t="shared" si="14"/>
        <v>44</v>
      </c>
      <c r="N64" s="501"/>
      <c r="O64" s="501"/>
    </row>
    <row r="65" spans="2:15" ht="16.5" customHeight="1" thickBot="1" x14ac:dyDescent="0.3">
      <c r="B65" s="781" t="s">
        <v>874</v>
      </c>
      <c r="C65" s="374"/>
      <c r="D65" s="260"/>
      <c r="E65" s="260"/>
      <c r="F65" s="501"/>
      <c r="G65" s="501"/>
      <c r="H65" s="501"/>
      <c r="I65" s="501"/>
      <c r="J65" s="501"/>
      <c r="K65" s="501"/>
      <c r="L65" s="501"/>
      <c r="M65" s="501"/>
      <c r="N65" s="501"/>
      <c r="O65" s="501"/>
    </row>
    <row r="66" spans="2:15" ht="16.5" customHeight="1" thickBot="1" x14ac:dyDescent="0.3">
      <c r="B66" s="780" t="s">
        <v>875</v>
      </c>
      <c r="C66" s="374" t="s">
        <v>304</v>
      </c>
      <c r="D66" s="260">
        <f t="shared" si="10"/>
        <v>2</v>
      </c>
      <c r="E66" s="260"/>
      <c r="F66" s="501"/>
      <c r="G66" s="501"/>
      <c r="H66" s="501"/>
      <c r="I66" s="501">
        <f t="shared" si="14"/>
        <v>2</v>
      </c>
      <c r="J66" s="501"/>
      <c r="K66" s="501"/>
      <c r="L66" s="501"/>
      <c r="M66" s="501">
        <f t="shared" si="14"/>
        <v>2</v>
      </c>
      <c r="N66" s="501"/>
      <c r="O66" s="501"/>
    </row>
    <row r="67" spans="2:15" ht="16.5" customHeight="1" thickBot="1" x14ac:dyDescent="0.3">
      <c r="B67" s="780" t="s">
        <v>876</v>
      </c>
      <c r="C67" s="374" t="s">
        <v>304</v>
      </c>
      <c r="D67" s="260">
        <f t="shared" si="10"/>
        <v>2</v>
      </c>
      <c r="E67" s="260"/>
      <c r="F67" s="418"/>
      <c r="G67" s="418"/>
      <c r="H67" s="418"/>
      <c r="I67" s="501">
        <f t="shared" si="14"/>
        <v>2</v>
      </c>
      <c r="J67" s="418"/>
      <c r="K67" s="418"/>
      <c r="L67" s="418"/>
      <c r="M67" s="418">
        <f t="shared" si="14"/>
        <v>2</v>
      </c>
      <c r="N67" s="418"/>
      <c r="O67" s="418"/>
    </row>
    <row r="68" spans="2:15" ht="16.5" customHeight="1" thickBot="1" x14ac:dyDescent="0.3">
      <c r="B68" s="780" t="s">
        <v>877</v>
      </c>
      <c r="C68" s="374" t="s">
        <v>304</v>
      </c>
      <c r="D68" s="260">
        <f t="shared" si="10"/>
        <v>2</v>
      </c>
      <c r="E68" s="260"/>
      <c r="F68" s="501"/>
      <c r="G68" s="501"/>
      <c r="H68" s="501"/>
      <c r="I68" s="501">
        <f t="shared" si="14"/>
        <v>2</v>
      </c>
      <c r="J68" s="501"/>
      <c r="K68" s="501"/>
      <c r="L68" s="501"/>
      <c r="M68" s="501">
        <f t="shared" si="14"/>
        <v>2</v>
      </c>
      <c r="N68" s="501"/>
      <c r="O68" s="501"/>
    </row>
    <row r="69" spans="2:15" ht="16.5" customHeight="1" thickBot="1" x14ac:dyDescent="0.3">
      <c r="B69" s="780" t="s">
        <v>878</v>
      </c>
      <c r="C69" s="374" t="s">
        <v>304</v>
      </c>
      <c r="D69" s="260">
        <f t="shared" si="10"/>
        <v>1</v>
      </c>
      <c r="E69" s="260"/>
      <c r="F69" s="501"/>
      <c r="G69" s="501"/>
      <c r="H69" s="501"/>
      <c r="I69" s="501">
        <f t="shared" si="14"/>
        <v>1</v>
      </c>
      <c r="J69" s="501"/>
      <c r="K69" s="501"/>
      <c r="L69" s="501"/>
      <c r="M69" s="501">
        <f t="shared" si="14"/>
        <v>1</v>
      </c>
      <c r="N69" s="501"/>
      <c r="O69" s="501"/>
    </row>
    <row r="70" spans="2:15" ht="16.5" customHeight="1" thickBot="1" x14ac:dyDescent="0.3">
      <c r="B70" s="780" t="s">
        <v>879</v>
      </c>
      <c r="C70" s="374" t="s">
        <v>304</v>
      </c>
      <c r="D70" s="260">
        <f t="shared" si="10"/>
        <v>12</v>
      </c>
      <c r="E70" s="260"/>
      <c r="F70" s="501"/>
      <c r="G70" s="501"/>
      <c r="H70" s="501"/>
      <c r="I70" s="501">
        <f t="shared" ref="I70:J77" si="15">$D70</f>
        <v>12</v>
      </c>
      <c r="J70" s="501"/>
      <c r="K70" s="501"/>
      <c r="L70" s="501"/>
      <c r="M70" s="501">
        <f t="shared" ref="M70:M76" si="16">$D70</f>
        <v>12</v>
      </c>
      <c r="N70" s="501"/>
      <c r="O70" s="501"/>
    </row>
    <row r="71" spans="2:15" ht="16.5" customHeight="1" thickBot="1" x14ac:dyDescent="0.3">
      <c r="B71" s="780" t="s">
        <v>880</v>
      </c>
      <c r="C71" s="374" t="s">
        <v>304</v>
      </c>
      <c r="D71" s="260">
        <f t="shared" si="10"/>
        <v>12</v>
      </c>
      <c r="E71" s="260"/>
      <c r="F71" s="501"/>
      <c r="G71" s="501"/>
      <c r="H71" s="501"/>
      <c r="I71" s="501">
        <f t="shared" si="15"/>
        <v>12</v>
      </c>
      <c r="J71" s="501"/>
      <c r="K71" s="501"/>
      <c r="L71" s="501"/>
      <c r="M71" s="501">
        <f t="shared" si="16"/>
        <v>12</v>
      </c>
      <c r="N71" s="501"/>
      <c r="O71" s="501"/>
    </row>
    <row r="72" spans="2:15" ht="16.5" customHeight="1" thickBot="1" x14ac:dyDescent="0.3">
      <c r="B72" s="780" t="s">
        <v>881</v>
      </c>
      <c r="C72" s="374" t="s">
        <v>304</v>
      </c>
      <c r="D72" s="260">
        <f t="shared" si="10"/>
        <v>12</v>
      </c>
      <c r="E72" s="260"/>
      <c r="F72" s="501"/>
      <c r="G72" s="501"/>
      <c r="H72" s="501"/>
      <c r="I72" s="501">
        <f t="shared" si="15"/>
        <v>12</v>
      </c>
      <c r="J72" s="501"/>
      <c r="K72" s="501"/>
      <c r="L72" s="501"/>
      <c r="M72" s="501">
        <f t="shared" si="16"/>
        <v>12</v>
      </c>
      <c r="N72" s="501"/>
      <c r="O72" s="501"/>
    </row>
    <row r="73" spans="2:15" ht="16.5" customHeight="1" thickBot="1" x14ac:dyDescent="0.3">
      <c r="B73" s="780" t="s">
        <v>882</v>
      </c>
      <c r="C73" s="374" t="s">
        <v>304</v>
      </c>
      <c r="D73" s="260">
        <f t="shared" si="10"/>
        <v>12</v>
      </c>
      <c r="E73" s="260"/>
      <c r="F73" s="418"/>
      <c r="G73" s="418"/>
      <c r="H73" s="418"/>
      <c r="I73" s="501">
        <f t="shared" si="15"/>
        <v>12</v>
      </c>
      <c r="J73" s="418"/>
      <c r="K73" s="418"/>
      <c r="L73" s="418"/>
      <c r="M73" s="418">
        <f t="shared" si="16"/>
        <v>12</v>
      </c>
      <c r="N73" s="418"/>
      <c r="O73" s="418"/>
    </row>
    <row r="74" spans="2:15" ht="16.5" customHeight="1" thickBot="1" x14ac:dyDescent="0.3">
      <c r="B74" s="780" t="s">
        <v>883</v>
      </c>
      <c r="C74" s="374" t="s">
        <v>304</v>
      </c>
      <c r="D74" s="260">
        <f t="shared" si="10"/>
        <v>2</v>
      </c>
      <c r="E74" s="260"/>
      <c r="F74" s="501"/>
      <c r="G74" s="501"/>
      <c r="H74" s="501"/>
      <c r="I74" s="501">
        <f t="shared" si="15"/>
        <v>2</v>
      </c>
      <c r="J74" s="501"/>
      <c r="K74" s="501"/>
      <c r="L74" s="501"/>
      <c r="M74" s="501">
        <f t="shared" si="16"/>
        <v>2</v>
      </c>
      <c r="N74" s="501"/>
      <c r="O74" s="501"/>
    </row>
    <row r="75" spans="2:15" ht="16.5" customHeight="1" thickBot="1" x14ac:dyDescent="0.3">
      <c r="B75" s="780" t="s">
        <v>884</v>
      </c>
      <c r="C75" s="374" t="s">
        <v>304</v>
      </c>
      <c r="D75" s="260">
        <f t="shared" si="10"/>
        <v>4</v>
      </c>
      <c r="E75" s="260"/>
      <c r="F75" s="501"/>
      <c r="G75" s="501"/>
      <c r="H75" s="501"/>
      <c r="I75" s="501">
        <f t="shared" si="15"/>
        <v>4</v>
      </c>
      <c r="J75" s="501"/>
      <c r="K75" s="501"/>
      <c r="L75" s="501"/>
      <c r="M75" s="501">
        <f t="shared" si="16"/>
        <v>4</v>
      </c>
      <c r="N75" s="501"/>
      <c r="O75" s="501"/>
    </row>
    <row r="76" spans="2:15" ht="16.5" customHeight="1" thickBot="1" x14ac:dyDescent="0.3">
      <c r="B76" s="780" t="s">
        <v>885</v>
      </c>
      <c r="C76" s="374" t="s">
        <v>304</v>
      </c>
      <c r="D76" s="260">
        <f t="shared" si="10"/>
        <v>2</v>
      </c>
      <c r="E76" s="260"/>
      <c r="F76" s="501"/>
      <c r="G76" s="501"/>
      <c r="H76" s="501"/>
      <c r="I76" s="501">
        <f t="shared" si="15"/>
        <v>2</v>
      </c>
      <c r="J76" s="501"/>
      <c r="K76" s="501"/>
      <c r="L76" s="501"/>
      <c r="M76" s="501">
        <f t="shared" si="16"/>
        <v>2</v>
      </c>
      <c r="N76" s="501"/>
      <c r="O76" s="501"/>
    </row>
    <row r="77" spans="2:15" ht="16.5" customHeight="1" thickBot="1" x14ac:dyDescent="0.3">
      <c r="B77" s="776" t="s">
        <v>886</v>
      </c>
      <c r="C77" s="374" t="s">
        <v>304</v>
      </c>
      <c r="D77" s="260">
        <f t="shared" si="10"/>
        <v>18</v>
      </c>
      <c r="E77" s="260"/>
      <c r="F77" s="501"/>
      <c r="G77" s="501"/>
      <c r="H77" s="501"/>
      <c r="I77" s="501"/>
      <c r="J77" s="501">
        <f t="shared" si="15"/>
        <v>18</v>
      </c>
      <c r="K77" s="501"/>
      <c r="L77" s="501"/>
      <c r="M77" s="501"/>
      <c r="N77" s="501"/>
      <c r="O77" s="501"/>
    </row>
    <row r="78" spans="2:15" ht="16.5" customHeight="1" thickBot="1" x14ac:dyDescent="0.3">
      <c r="B78" s="782" t="s">
        <v>887</v>
      </c>
      <c r="C78" s="374" t="s">
        <v>304</v>
      </c>
      <c r="D78" s="383"/>
      <c r="E78" s="383"/>
      <c r="F78" s="394">
        <v>300</v>
      </c>
      <c r="G78" s="394">
        <v>300</v>
      </c>
      <c r="H78" s="394">
        <v>300</v>
      </c>
      <c r="I78" s="394">
        <v>350</v>
      </c>
      <c r="J78" s="394">
        <v>400</v>
      </c>
      <c r="K78" s="394">
        <v>400</v>
      </c>
      <c r="L78" s="394">
        <v>500</v>
      </c>
      <c r="M78" s="394">
        <v>300</v>
      </c>
      <c r="N78" s="394">
        <v>800</v>
      </c>
      <c r="O78" s="394">
        <v>1000</v>
      </c>
    </row>
    <row r="79" spans="2:15" ht="16.5" customHeight="1" x14ac:dyDescent="0.25">
      <c r="B79" s="384"/>
      <c r="C79" s="400"/>
      <c r="D79" s="385"/>
      <c r="E79" s="385"/>
      <c r="F79" s="386"/>
      <c r="G79" s="386"/>
      <c r="H79" s="386"/>
      <c r="I79" s="386"/>
      <c r="J79" s="386"/>
      <c r="K79" s="386"/>
      <c r="L79" s="386"/>
      <c r="M79" s="386"/>
      <c r="N79" s="386"/>
      <c r="O79" s="386"/>
    </row>
    <row r="80" spans="2:15" ht="16.5" customHeight="1" thickBot="1" x14ac:dyDescent="0.3">
      <c r="B80" s="401" t="s">
        <v>372</v>
      </c>
      <c r="C80" s="400"/>
      <c r="D80" s="402">
        <f>'ESDE240 ТО_1'!F10</f>
        <v>45</v>
      </c>
      <c r="E80" s="385"/>
      <c r="F80" s="386"/>
      <c r="G80" s="386"/>
      <c r="H80" s="386"/>
      <c r="I80" s="386"/>
      <c r="J80" s="386"/>
      <c r="K80" s="386"/>
      <c r="L80" s="386"/>
      <c r="M80" s="386"/>
      <c r="N80" s="386"/>
      <c r="O80" s="386"/>
    </row>
    <row r="81" spans="2:15" ht="24.8" customHeight="1" x14ac:dyDescent="0.25">
      <c r="B81" s="336" t="s">
        <v>361</v>
      </c>
      <c r="C81" s="367" t="s">
        <v>355</v>
      </c>
      <c r="D81" s="403" t="s">
        <v>373</v>
      </c>
      <c r="E81" s="388"/>
      <c r="F81" s="389">
        <f t="shared" ref="F81:O81" si="17">F15</f>
        <v>1</v>
      </c>
      <c r="G81" s="389">
        <f t="shared" si="17"/>
        <v>2</v>
      </c>
      <c r="H81" s="389">
        <f t="shared" si="17"/>
        <v>3</v>
      </c>
      <c r="I81" s="389">
        <f t="shared" si="17"/>
        <v>4</v>
      </c>
      <c r="J81" s="389">
        <f t="shared" si="17"/>
        <v>5</v>
      </c>
      <c r="K81" s="389">
        <f t="shared" si="17"/>
        <v>6</v>
      </c>
      <c r="L81" s="389">
        <f t="shared" si="17"/>
        <v>7</v>
      </c>
      <c r="M81" s="389">
        <f t="shared" si="17"/>
        <v>8</v>
      </c>
      <c r="N81" s="389">
        <f t="shared" si="17"/>
        <v>9</v>
      </c>
      <c r="O81" s="389">
        <f t="shared" si="17"/>
        <v>10</v>
      </c>
    </row>
    <row r="82" spans="2:15" ht="14.95" customHeight="1" x14ac:dyDescent="0.25">
      <c r="B82" s="390" t="s">
        <v>374</v>
      </c>
      <c r="C82" s="302" t="s">
        <v>375</v>
      </c>
      <c r="D82" s="260"/>
      <c r="E82" s="260"/>
      <c r="F82" s="391">
        <f>SUM(F83:F143)</f>
        <v>1440</v>
      </c>
      <c r="G82" s="391">
        <f t="shared" ref="G82:O82" si="18">SUM(G83:G143)</f>
        <v>14040</v>
      </c>
      <c r="H82" s="391">
        <f t="shared" si="18"/>
        <v>52470</v>
      </c>
      <c r="I82" s="391">
        <f t="shared" si="18"/>
        <v>82890</v>
      </c>
      <c r="J82" s="391">
        <f t="shared" si="18"/>
        <v>3060</v>
      </c>
      <c r="K82" s="391">
        <f t="shared" si="18"/>
        <v>65070</v>
      </c>
      <c r="L82" s="391">
        <f t="shared" si="18"/>
        <v>1440</v>
      </c>
      <c r="M82" s="391">
        <f t="shared" si="18"/>
        <v>82890</v>
      </c>
      <c r="N82" s="391">
        <f t="shared" si="18"/>
        <v>1440</v>
      </c>
      <c r="O82" s="391">
        <f t="shared" si="18"/>
        <v>1440</v>
      </c>
    </row>
    <row r="83" spans="2:15" ht="14.95" customHeight="1" x14ac:dyDescent="0.25">
      <c r="B83" s="774" t="s">
        <v>828</v>
      </c>
      <c r="C83" s="257" t="s">
        <v>375</v>
      </c>
      <c r="D83" s="405">
        <f t="shared" ref="D83:D143" si="19">$D$80</f>
        <v>45</v>
      </c>
      <c r="E83" s="260">
        <v>1086</v>
      </c>
      <c r="F83" s="501"/>
      <c r="G83" s="501"/>
      <c r="H83" s="501">
        <f>$D83*$E83</f>
        <v>48870</v>
      </c>
      <c r="I83" s="501"/>
      <c r="J83" s="501"/>
      <c r="K83" s="501">
        <f>$D83*$E83</f>
        <v>48870</v>
      </c>
      <c r="L83" s="501"/>
      <c r="M83" s="501"/>
      <c r="N83" s="501"/>
      <c r="O83" s="501"/>
    </row>
    <row r="84" spans="2:15" ht="14.95" customHeight="1" x14ac:dyDescent="0.25">
      <c r="B84" s="775" t="s">
        <v>829</v>
      </c>
      <c r="C84" s="257" t="s">
        <v>375</v>
      </c>
      <c r="D84" s="405">
        <f t="shared" si="19"/>
        <v>45</v>
      </c>
      <c r="E84" s="260">
        <v>48</v>
      </c>
      <c r="F84" s="501"/>
      <c r="G84" s="501"/>
      <c r="H84" s="501">
        <f>$D84*$E84</f>
        <v>2160</v>
      </c>
      <c r="I84" s="501"/>
      <c r="J84" s="501"/>
      <c r="K84" s="501">
        <f>$D84*$E84</f>
        <v>2160</v>
      </c>
      <c r="L84" s="501"/>
      <c r="M84" s="501"/>
      <c r="N84" s="501"/>
      <c r="O84" s="501"/>
    </row>
    <row r="85" spans="2:15" ht="14.95" customHeight="1" x14ac:dyDescent="0.25">
      <c r="B85" s="775" t="s">
        <v>830</v>
      </c>
      <c r="C85" s="257" t="s">
        <v>375</v>
      </c>
      <c r="D85" s="405">
        <f t="shared" si="19"/>
        <v>45</v>
      </c>
      <c r="E85" s="260">
        <v>6</v>
      </c>
      <c r="F85" s="501"/>
      <c r="G85" s="501">
        <f>$D85*$E85</f>
        <v>270</v>
      </c>
      <c r="H85" s="501"/>
      <c r="I85" s="501">
        <f>$D85*$E85</f>
        <v>270</v>
      </c>
      <c r="J85" s="501"/>
      <c r="K85" s="501">
        <f>$D85*$E85</f>
        <v>270</v>
      </c>
      <c r="L85" s="501"/>
      <c r="M85" s="501">
        <f>$D85*$E85</f>
        <v>270</v>
      </c>
      <c r="N85" s="501"/>
      <c r="O85" s="501"/>
    </row>
    <row r="86" spans="2:15" ht="14.95" customHeight="1" x14ac:dyDescent="0.25">
      <c r="B86" s="775" t="s">
        <v>831</v>
      </c>
      <c r="C86" s="257" t="s">
        <v>375</v>
      </c>
      <c r="D86" s="405">
        <f t="shared" si="19"/>
        <v>45</v>
      </c>
      <c r="E86" s="260">
        <v>8</v>
      </c>
      <c r="F86" s="501"/>
      <c r="G86" s="501">
        <f>$D86*$E86</f>
        <v>360</v>
      </c>
      <c r="H86" s="501"/>
      <c r="I86" s="501">
        <f>$D86*$E86</f>
        <v>360</v>
      </c>
      <c r="J86" s="501"/>
      <c r="K86" s="501">
        <f>$D86*$E86</f>
        <v>360</v>
      </c>
      <c r="L86" s="501"/>
      <c r="M86" s="501">
        <f>$D86*$E86</f>
        <v>360</v>
      </c>
      <c r="N86" s="501"/>
      <c r="O86" s="501"/>
    </row>
    <row r="87" spans="2:15" ht="14.95" customHeight="1" x14ac:dyDescent="0.25">
      <c r="B87" s="776" t="s">
        <v>396</v>
      </c>
      <c r="C87" s="257" t="s">
        <v>375</v>
      </c>
      <c r="D87" s="405">
        <f t="shared" si="19"/>
        <v>45</v>
      </c>
      <c r="E87" s="260"/>
      <c r="F87" s="501"/>
      <c r="G87" s="501"/>
      <c r="H87" s="501"/>
      <c r="I87" s="501"/>
      <c r="J87" s="501"/>
      <c r="K87" s="501"/>
      <c r="L87" s="501"/>
      <c r="M87" s="501"/>
      <c r="N87" s="501"/>
      <c r="O87" s="501"/>
    </row>
    <row r="88" spans="2:15" ht="14.95" customHeight="1" x14ac:dyDescent="0.25">
      <c r="B88" s="777" t="s">
        <v>832</v>
      </c>
      <c r="C88" s="257" t="s">
        <v>375</v>
      </c>
      <c r="D88" s="405">
        <f t="shared" si="19"/>
        <v>45</v>
      </c>
      <c r="E88" s="260">
        <v>440</v>
      </c>
      <c r="F88" s="501"/>
      <c r="G88" s="501"/>
      <c r="H88" s="501"/>
      <c r="I88" s="501">
        <f>$D88*$E88</f>
        <v>19800</v>
      </c>
      <c r="J88" s="501"/>
      <c r="K88" s="501"/>
      <c r="L88" s="501"/>
      <c r="M88" s="501">
        <f>$D88*$E88</f>
        <v>19800</v>
      </c>
      <c r="N88" s="501"/>
      <c r="O88" s="501"/>
    </row>
    <row r="89" spans="2:15" ht="14.95" customHeight="1" x14ac:dyDescent="0.25">
      <c r="B89" s="777" t="s">
        <v>833</v>
      </c>
      <c r="C89" s="257" t="s">
        <v>375</v>
      </c>
      <c r="D89" s="405">
        <f t="shared" si="19"/>
        <v>45</v>
      </c>
      <c r="E89" s="260">
        <v>160</v>
      </c>
      <c r="F89" s="501"/>
      <c r="G89" s="501"/>
      <c r="H89" s="501"/>
      <c r="I89" s="501">
        <f t="shared" ref="I89:I90" si="20">$D89*$E89</f>
        <v>7200</v>
      </c>
      <c r="J89" s="501"/>
      <c r="K89" s="501"/>
      <c r="L89" s="501"/>
      <c r="M89" s="501">
        <f t="shared" ref="M89:M90" si="21">$D89*$E89</f>
        <v>7200</v>
      </c>
      <c r="N89" s="501"/>
      <c r="O89" s="501"/>
    </row>
    <row r="90" spans="2:15" ht="14.95" customHeight="1" x14ac:dyDescent="0.25">
      <c r="B90" s="778" t="s">
        <v>834</v>
      </c>
      <c r="C90" s="257" t="s">
        <v>375</v>
      </c>
      <c r="D90" s="405">
        <f t="shared" si="19"/>
        <v>45</v>
      </c>
      <c r="E90" s="260">
        <v>80</v>
      </c>
      <c r="F90" s="501"/>
      <c r="G90" s="501"/>
      <c r="H90" s="501"/>
      <c r="I90" s="501">
        <f t="shared" si="20"/>
        <v>3600</v>
      </c>
      <c r="J90" s="501"/>
      <c r="K90" s="501"/>
      <c r="L90" s="501"/>
      <c r="M90" s="501">
        <f t="shared" si="21"/>
        <v>3600</v>
      </c>
      <c r="N90" s="501"/>
      <c r="O90" s="501"/>
    </row>
    <row r="91" spans="2:15" ht="14.95" customHeight="1" x14ac:dyDescent="0.25">
      <c r="B91" s="776" t="s">
        <v>835</v>
      </c>
      <c r="C91" s="257" t="s">
        <v>375</v>
      </c>
      <c r="D91" s="405">
        <f t="shared" si="19"/>
        <v>45</v>
      </c>
      <c r="E91" s="260"/>
      <c r="F91" s="501"/>
      <c r="G91" s="501"/>
      <c r="H91" s="501"/>
      <c r="I91" s="501"/>
      <c r="J91" s="501"/>
      <c r="K91" s="501"/>
      <c r="L91" s="501"/>
      <c r="M91" s="501"/>
      <c r="N91" s="501"/>
      <c r="O91" s="501"/>
    </row>
    <row r="92" spans="2:15" ht="14.95" customHeight="1" x14ac:dyDescent="0.25">
      <c r="B92" s="779" t="s">
        <v>836</v>
      </c>
      <c r="C92" s="257" t="s">
        <v>375</v>
      </c>
      <c r="D92" s="405">
        <f t="shared" si="19"/>
        <v>45</v>
      </c>
      <c r="E92" s="260">
        <v>50</v>
      </c>
      <c r="F92" s="501"/>
      <c r="G92" s="501">
        <f>$D92*$E92</f>
        <v>2250</v>
      </c>
      <c r="H92" s="501"/>
      <c r="I92" s="501">
        <f>$D92*$E92</f>
        <v>2250</v>
      </c>
      <c r="J92" s="501"/>
      <c r="K92" s="501">
        <f>$D92*$E92</f>
        <v>2250</v>
      </c>
      <c r="L92" s="501"/>
      <c r="M92" s="501">
        <f>$D92*$E92</f>
        <v>2250</v>
      </c>
      <c r="N92" s="501"/>
      <c r="O92" s="501"/>
    </row>
    <row r="93" spans="2:15" ht="14.95" customHeight="1" x14ac:dyDescent="0.25">
      <c r="B93" s="779" t="s">
        <v>837</v>
      </c>
      <c r="C93" s="257" t="s">
        <v>375</v>
      </c>
      <c r="D93" s="405">
        <f t="shared" si="19"/>
        <v>45</v>
      </c>
      <c r="E93" s="260">
        <v>48</v>
      </c>
      <c r="F93" s="501"/>
      <c r="G93" s="501">
        <f t="shared" ref="G93:M108" si="22">$D93*$E93</f>
        <v>2160</v>
      </c>
      <c r="H93" s="501"/>
      <c r="I93" s="501">
        <f t="shared" si="22"/>
        <v>2160</v>
      </c>
      <c r="J93" s="501"/>
      <c r="K93" s="501">
        <f t="shared" si="22"/>
        <v>2160</v>
      </c>
      <c r="L93" s="501"/>
      <c r="M93" s="501">
        <f t="shared" si="22"/>
        <v>2160</v>
      </c>
      <c r="N93" s="501"/>
      <c r="O93" s="501"/>
    </row>
    <row r="94" spans="2:15" ht="14.95" customHeight="1" x14ac:dyDescent="0.25">
      <c r="B94" s="780" t="s">
        <v>838</v>
      </c>
      <c r="C94" s="257" t="s">
        <v>375</v>
      </c>
      <c r="D94" s="405">
        <f t="shared" si="19"/>
        <v>45</v>
      </c>
      <c r="E94" s="260">
        <v>20</v>
      </c>
      <c r="F94" s="501"/>
      <c r="G94" s="501"/>
      <c r="H94" s="501"/>
      <c r="I94" s="501">
        <f t="shared" si="22"/>
        <v>900</v>
      </c>
      <c r="J94" s="501"/>
      <c r="K94" s="501"/>
      <c r="L94" s="501"/>
      <c r="M94" s="501">
        <f t="shared" si="22"/>
        <v>900</v>
      </c>
      <c r="N94" s="501"/>
      <c r="O94" s="501"/>
    </row>
    <row r="95" spans="2:15" ht="14.95" customHeight="1" x14ac:dyDescent="0.25">
      <c r="B95" s="780" t="s">
        <v>839</v>
      </c>
      <c r="C95" s="257" t="s">
        <v>375</v>
      </c>
      <c r="D95" s="405">
        <f t="shared" si="19"/>
        <v>45</v>
      </c>
      <c r="E95" s="260">
        <v>4</v>
      </c>
      <c r="F95" s="501"/>
      <c r="G95" s="501"/>
      <c r="H95" s="501"/>
      <c r="I95" s="501">
        <f t="shared" si="22"/>
        <v>180</v>
      </c>
      <c r="J95" s="501"/>
      <c r="K95" s="501"/>
      <c r="L95" s="501"/>
      <c r="M95" s="501">
        <f t="shared" si="22"/>
        <v>180</v>
      </c>
      <c r="N95" s="501"/>
      <c r="O95" s="501"/>
    </row>
    <row r="96" spans="2:15" ht="14.95" customHeight="1" x14ac:dyDescent="0.25">
      <c r="B96" s="780" t="s">
        <v>840</v>
      </c>
      <c r="C96" s="257" t="s">
        <v>375</v>
      </c>
      <c r="D96" s="405">
        <f t="shared" si="19"/>
        <v>45</v>
      </c>
      <c r="E96" s="260">
        <v>6</v>
      </c>
      <c r="F96" s="501"/>
      <c r="G96" s="501"/>
      <c r="H96" s="501"/>
      <c r="I96" s="501">
        <f t="shared" si="22"/>
        <v>270</v>
      </c>
      <c r="J96" s="501"/>
      <c r="K96" s="501"/>
      <c r="L96" s="501"/>
      <c r="M96" s="501">
        <f t="shared" si="22"/>
        <v>270</v>
      </c>
      <c r="N96" s="501"/>
      <c r="O96" s="501"/>
    </row>
    <row r="97" spans="2:15" ht="14.95" customHeight="1" x14ac:dyDescent="0.25">
      <c r="B97" s="780" t="s">
        <v>841</v>
      </c>
      <c r="C97" s="257" t="s">
        <v>375</v>
      </c>
      <c r="D97" s="405">
        <f t="shared" si="19"/>
        <v>45</v>
      </c>
      <c r="E97" s="260">
        <v>4</v>
      </c>
      <c r="F97" s="501"/>
      <c r="G97" s="501"/>
      <c r="H97" s="501"/>
      <c r="I97" s="501">
        <f t="shared" si="22"/>
        <v>180</v>
      </c>
      <c r="J97" s="501"/>
      <c r="K97" s="501"/>
      <c r="L97" s="501"/>
      <c r="M97" s="501">
        <f t="shared" si="22"/>
        <v>180</v>
      </c>
      <c r="N97" s="501"/>
      <c r="O97" s="501"/>
    </row>
    <row r="98" spans="2:15" ht="14.95" customHeight="1" x14ac:dyDescent="0.25">
      <c r="B98" s="780" t="s">
        <v>842</v>
      </c>
      <c r="C98" s="257" t="s">
        <v>375</v>
      </c>
      <c r="D98" s="405">
        <f t="shared" si="19"/>
        <v>45</v>
      </c>
      <c r="E98" s="260">
        <v>4</v>
      </c>
      <c r="F98" s="501"/>
      <c r="G98" s="501"/>
      <c r="H98" s="501"/>
      <c r="I98" s="501">
        <f t="shared" si="22"/>
        <v>180</v>
      </c>
      <c r="J98" s="501"/>
      <c r="K98" s="501"/>
      <c r="L98" s="501"/>
      <c r="M98" s="501">
        <f t="shared" si="22"/>
        <v>180</v>
      </c>
      <c r="N98" s="501"/>
      <c r="O98" s="501"/>
    </row>
    <row r="99" spans="2:15" ht="14.95" customHeight="1" x14ac:dyDescent="0.25">
      <c r="B99" s="780" t="s">
        <v>843</v>
      </c>
      <c r="C99" s="257" t="s">
        <v>375</v>
      </c>
      <c r="D99" s="405">
        <f t="shared" si="19"/>
        <v>45</v>
      </c>
      <c r="E99" s="260">
        <v>4</v>
      </c>
      <c r="F99" s="501"/>
      <c r="G99" s="501"/>
      <c r="H99" s="501"/>
      <c r="I99" s="501">
        <f t="shared" si="22"/>
        <v>180</v>
      </c>
      <c r="J99" s="501"/>
      <c r="K99" s="501"/>
      <c r="L99" s="501"/>
      <c r="M99" s="501">
        <f t="shared" si="22"/>
        <v>180</v>
      </c>
      <c r="N99" s="501"/>
      <c r="O99" s="501"/>
    </row>
    <row r="100" spans="2:15" ht="14.95" customHeight="1" x14ac:dyDescent="0.25">
      <c r="B100" s="780" t="s">
        <v>844</v>
      </c>
      <c r="C100" s="257" t="s">
        <v>375</v>
      </c>
      <c r="D100" s="405">
        <f t="shared" si="19"/>
        <v>45</v>
      </c>
      <c r="E100" s="260">
        <v>4</v>
      </c>
      <c r="F100" s="418"/>
      <c r="G100" s="418"/>
      <c r="H100" s="501"/>
      <c r="I100" s="501">
        <f t="shared" si="22"/>
        <v>180</v>
      </c>
      <c r="J100" s="418"/>
      <c r="K100" s="501"/>
      <c r="L100" s="418"/>
      <c r="M100" s="418">
        <f t="shared" si="22"/>
        <v>180</v>
      </c>
      <c r="N100" s="418"/>
      <c r="O100" s="418"/>
    </row>
    <row r="101" spans="2:15" ht="14.95" customHeight="1" x14ac:dyDescent="0.25">
      <c r="B101" s="780" t="s">
        <v>845</v>
      </c>
      <c r="C101" s="257" t="s">
        <v>375</v>
      </c>
      <c r="D101" s="405">
        <f t="shared" si="19"/>
        <v>45</v>
      </c>
      <c r="E101" s="260">
        <v>6</v>
      </c>
      <c r="F101" s="501"/>
      <c r="G101" s="501"/>
      <c r="H101" s="501"/>
      <c r="I101" s="501">
        <f t="shared" si="22"/>
        <v>270</v>
      </c>
      <c r="J101" s="501"/>
      <c r="K101" s="501"/>
      <c r="L101" s="501"/>
      <c r="M101" s="501">
        <f t="shared" si="22"/>
        <v>270</v>
      </c>
      <c r="N101" s="501"/>
      <c r="O101" s="501"/>
    </row>
    <row r="102" spans="2:15" ht="14.95" customHeight="1" x14ac:dyDescent="0.25">
      <c r="B102" s="780" t="s">
        <v>846</v>
      </c>
      <c r="C102" s="257" t="s">
        <v>375</v>
      </c>
      <c r="D102" s="405">
        <f t="shared" si="19"/>
        <v>45</v>
      </c>
      <c r="E102" s="260">
        <v>8</v>
      </c>
      <c r="F102" s="501"/>
      <c r="G102" s="501">
        <f t="shared" si="22"/>
        <v>360</v>
      </c>
      <c r="H102" s="501"/>
      <c r="I102" s="501">
        <f t="shared" si="22"/>
        <v>360</v>
      </c>
      <c r="J102" s="501"/>
      <c r="K102" s="501">
        <f t="shared" si="22"/>
        <v>360</v>
      </c>
      <c r="L102" s="501"/>
      <c r="M102" s="501">
        <f t="shared" si="22"/>
        <v>360</v>
      </c>
      <c r="N102" s="501"/>
      <c r="O102" s="501"/>
    </row>
    <row r="103" spans="2:15" ht="14.95" customHeight="1" x14ac:dyDescent="0.25">
      <c r="B103" s="780" t="s">
        <v>847</v>
      </c>
      <c r="C103" s="257" t="s">
        <v>375</v>
      </c>
      <c r="D103" s="405">
        <f t="shared" si="19"/>
        <v>45</v>
      </c>
      <c r="E103" s="260">
        <v>8</v>
      </c>
      <c r="F103" s="501"/>
      <c r="G103" s="501"/>
      <c r="H103" s="501"/>
      <c r="I103" s="501">
        <f t="shared" si="22"/>
        <v>360</v>
      </c>
      <c r="J103" s="501"/>
      <c r="K103" s="501"/>
      <c r="L103" s="501"/>
      <c r="M103" s="501">
        <f t="shared" si="22"/>
        <v>360</v>
      </c>
      <c r="N103" s="501"/>
      <c r="O103" s="501"/>
    </row>
    <row r="104" spans="2:15" ht="14.95" customHeight="1" x14ac:dyDescent="0.25">
      <c r="B104" s="780" t="s">
        <v>848</v>
      </c>
      <c r="C104" s="257" t="s">
        <v>375</v>
      </c>
      <c r="D104" s="405">
        <f t="shared" si="19"/>
        <v>45</v>
      </c>
      <c r="E104" s="260">
        <v>8</v>
      </c>
      <c r="F104" s="501"/>
      <c r="G104" s="501"/>
      <c r="H104" s="501"/>
      <c r="I104" s="501">
        <f t="shared" si="22"/>
        <v>360</v>
      </c>
      <c r="J104" s="501"/>
      <c r="K104" s="501"/>
      <c r="L104" s="501"/>
      <c r="M104" s="501">
        <f t="shared" si="22"/>
        <v>360</v>
      </c>
      <c r="N104" s="501"/>
      <c r="O104" s="501"/>
    </row>
    <row r="105" spans="2:15" ht="14.95" customHeight="1" x14ac:dyDescent="0.25">
      <c r="B105" s="780" t="s">
        <v>849</v>
      </c>
      <c r="C105" s="257" t="s">
        <v>375</v>
      </c>
      <c r="D105" s="405">
        <f t="shared" si="19"/>
        <v>45</v>
      </c>
      <c r="E105" s="260">
        <v>6</v>
      </c>
      <c r="F105" s="501"/>
      <c r="G105" s="501"/>
      <c r="H105" s="501"/>
      <c r="I105" s="501">
        <f t="shared" si="22"/>
        <v>270</v>
      </c>
      <c r="J105" s="501"/>
      <c r="K105" s="501"/>
      <c r="L105" s="501"/>
      <c r="M105" s="501">
        <f t="shared" si="22"/>
        <v>270</v>
      </c>
      <c r="N105" s="501"/>
      <c r="O105" s="501"/>
    </row>
    <row r="106" spans="2:15" ht="14.95" customHeight="1" x14ac:dyDescent="0.25">
      <c r="B106" s="780" t="s">
        <v>850</v>
      </c>
      <c r="C106" s="257" t="s">
        <v>375</v>
      </c>
      <c r="D106" s="405">
        <f t="shared" si="19"/>
        <v>45</v>
      </c>
      <c r="E106" s="260">
        <v>4</v>
      </c>
      <c r="F106" s="501"/>
      <c r="G106" s="501"/>
      <c r="H106" s="501"/>
      <c r="I106" s="501">
        <f t="shared" si="22"/>
        <v>180</v>
      </c>
      <c r="J106" s="501"/>
      <c r="K106" s="501"/>
      <c r="L106" s="501"/>
      <c r="M106" s="501">
        <f t="shared" si="22"/>
        <v>180</v>
      </c>
      <c r="N106" s="501"/>
      <c r="O106" s="501"/>
    </row>
    <row r="107" spans="2:15" ht="14.95" customHeight="1" x14ac:dyDescent="0.25">
      <c r="B107" s="780" t="s">
        <v>851</v>
      </c>
      <c r="C107" s="257" t="s">
        <v>375</v>
      </c>
      <c r="D107" s="405">
        <f t="shared" si="19"/>
        <v>45</v>
      </c>
      <c r="E107" s="260">
        <v>4</v>
      </c>
      <c r="F107" s="501"/>
      <c r="G107" s="501"/>
      <c r="H107" s="501"/>
      <c r="I107" s="501">
        <f t="shared" si="22"/>
        <v>180</v>
      </c>
      <c r="J107" s="501"/>
      <c r="K107" s="501"/>
      <c r="L107" s="501"/>
      <c r="M107" s="501">
        <f t="shared" si="22"/>
        <v>180</v>
      </c>
      <c r="N107" s="501"/>
      <c r="O107" s="501"/>
    </row>
    <row r="108" spans="2:15" ht="14.95" customHeight="1" x14ac:dyDescent="0.25">
      <c r="B108" s="780" t="s">
        <v>852</v>
      </c>
      <c r="C108" s="257" t="s">
        <v>375</v>
      </c>
      <c r="D108" s="405">
        <f t="shared" si="19"/>
        <v>45</v>
      </c>
      <c r="E108" s="260">
        <v>6</v>
      </c>
      <c r="F108" s="501"/>
      <c r="G108" s="501"/>
      <c r="H108" s="501"/>
      <c r="I108" s="501">
        <f t="shared" si="22"/>
        <v>270</v>
      </c>
      <c r="J108" s="501"/>
      <c r="K108" s="501"/>
      <c r="L108" s="501"/>
      <c r="M108" s="501">
        <f t="shared" si="22"/>
        <v>270</v>
      </c>
      <c r="N108" s="501"/>
      <c r="O108" s="501"/>
    </row>
    <row r="109" spans="2:15" ht="14.95" customHeight="1" x14ac:dyDescent="0.25">
      <c r="B109" s="780" t="s">
        <v>853</v>
      </c>
      <c r="C109" s="257" t="s">
        <v>375</v>
      </c>
      <c r="D109" s="405">
        <f t="shared" si="19"/>
        <v>45</v>
      </c>
      <c r="E109" s="260">
        <v>16</v>
      </c>
      <c r="F109" s="501"/>
      <c r="G109" s="501"/>
      <c r="H109" s="501"/>
      <c r="I109" s="501">
        <f t="shared" ref="I109:I117" si="23">$D109*$E109</f>
        <v>720</v>
      </c>
      <c r="J109" s="501"/>
      <c r="K109" s="501"/>
      <c r="L109" s="501"/>
      <c r="M109" s="501">
        <f t="shared" ref="M109:M117" si="24">$D109*$E109</f>
        <v>720</v>
      </c>
      <c r="N109" s="501"/>
      <c r="O109" s="501"/>
    </row>
    <row r="110" spans="2:15" ht="14.95" customHeight="1" x14ac:dyDescent="0.25">
      <c r="B110" s="780" t="s">
        <v>854</v>
      </c>
      <c r="C110" s="257" t="s">
        <v>375</v>
      </c>
      <c r="D110" s="405">
        <f t="shared" si="19"/>
        <v>45</v>
      </c>
      <c r="E110" s="260">
        <v>6</v>
      </c>
      <c r="F110" s="501"/>
      <c r="G110" s="501"/>
      <c r="H110" s="501"/>
      <c r="I110" s="501">
        <f t="shared" si="23"/>
        <v>270</v>
      </c>
      <c r="J110" s="501"/>
      <c r="K110" s="501"/>
      <c r="L110" s="501"/>
      <c r="M110" s="501">
        <f t="shared" si="24"/>
        <v>270</v>
      </c>
      <c r="N110" s="501"/>
      <c r="O110" s="501"/>
    </row>
    <row r="111" spans="2:15" ht="14.95" customHeight="1" x14ac:dyDescent="0.25">
      <c r="B111" s="780" t="s">
        <v>855</v>
      </c>
      <c r="C111" s="257" t="s">
        <v>375</v>
      </c>
      <c r="D111" s="405">
        <f t="shared" si="19"/>
        <v>45</v>
      </c>
      <c r="E111" s="260">
        <v>4</v>
      </c>
      <c r="F111" s="501"/>
      <c r="G111" s="501"/>
      <c r="H111" s="501"/>
      <c r="I111" s="501">
        <f t="shared" si="23"/>
        <v>180</v>
      </c>
      <c r="J111" s="501"/>
      <c r="K111" s="501"/>
      <c r="L111" s="501"/>
      <c r="M111" s="501">
        <f t="shared" si="24"/>
        <v>180</v>
      </c>
      <c r="N111" s="501"/>
      <c r="O111" s="501"/>
    </row>
    <row r="112" spans="2:15" ht="14.95" customHeight="1" x14ac:dyDescent="0.25">
      <c r="B112" s="780" t="s">
        <v>856</v>
      </c>
      <c r="C112" s="257" t="s">
        <v>375</v>
      </c>
      <c r="D112" s="405">
        <f t="shared" si="19"/>
        <v>45</v>
      </c>
      <c r="E112" s="260">
        <v>98</v>
      </c>
      <c r="F112" s="501"/>
      <c r="G112" s="501"/>
      <c r="H112" s="501"/>
      <c r="I112" s="501">
        <f t="shared" si="23"/>
        <v>4410</v>
      </c>
      <c r="J112" s="501"/>
      <c r="K112" s="501"/>
      <c r="L112" s="501"/>
      <c r="M112" s="501">
        <f t="shared" si="24"/>
        <v>4410</v>
      </c>
      <c r="N112" s="501"/>
      <c r="O112" s="501"/>
    </row>
    <row r="113" spans="2:15" ht="14.95" customHeight="1" x14ac:dyDescent="0.25">
      <c r="B113" s="780" t="s">
        <v>857</v>
      </c>
      <c r="C113" s="257" t="s">
        <v>375</v>
      </c>
      <c r="D113" s="405">
        <f t="shared" si="19"/>
        <v>45</v>
      </c>
      <c r="E113" s="260">
        <v>140</v>
      </c>
      <c r="F113" s="501"/>
      <c r="G113" s="501"/>
      <c r="H113" s="501"/>
      <c r="I113" s="501">
        <f t="shared" si="23"/>
        <v>6300</v>
      </c>
      <c r="J113" s="501"/>
      <c r="K113" s="501"/>
      <c r="L113" s="501"/>
      <c r="M113" s="501">
        <f t="shared" si="24"/>
        <v>6300</v>
      </c>
      <c r="N113" s="501"/>
      <c r="O113" s="501"/>
    </row>
    <row r="114" spans="2:15" ht="14.95" customHeight="1" x14ac:dyDescent="0.25">
      <c r="B114" s="780" t="s">
        <v>858</v>
      </c>
      <c r="C114" s="257" t="s">
        <v>375</v>
      </c>
      <c r="D114" s="405">
        <f t="shared" si="19"/>
        <v>45</v>
      </c>
      <c r="E114" s="260">
        <v>40</v>
      </c>
      <c r="F114" s="501"/>
      <c r="G114" s="501"/>
      <c r="H114" s="501"/>
      <c r="I114" s="501">
        <f t="shared" si="23"/>
        <v>1800</v>
      </c>
      <c r="J114" s="501"/>
      <c r="K114" s="501"/>
      <c r="L114" s="501"/>
      <c r="M114" s="501">
        <f t="shared" si="24"/>
        <v>1800</v>
      </c>
      <c r="N114" s="501"/>
      <c r="O114" s="501"/>
    </row>
    <row r="115" spans="2:15" ht="14.95" customHeight="1" x14ac:dyDescent="0.25">
      <c r="B115" s="780" t="s">
        <v>859</v>
      </c>
      <c r="C115" s="257" t="s">
        <v>375</v>
      </c>
      <c r="D115" s="405">
        <f t="shared" si="19"/>
        <v>45</v>
      </c>
      <c r="E115" s="260">
        <v>80</v>
      </c>
      <c r="F115" s="501"/>
      <c r="G115" s="501"/>
      <c r="H115" s="501"/>
      <c r="I115" s="501">
        <f t="shared" si="23"/>
        <v>3600</v>
      </c>
      <c r="J115" s="501"/>
      <c r="K115" s="501"/>
      <c r="L115" s="501"/>
      <c r="M115" s="501">
        <f t="shared" si="24"/>
        <v>3600</v>
      </c>
      <c r="N115" s="501"/>
      <c r="O115" s="501"/>
    </row>
    <row r="116" spans="2:15" ht="14.95" customHeight="1" x14ac:dyDescent="0.25">
      <c r="B116" s="780" t="s">
        <v>860</v>
      </c>
      <c r="C116" s="257" t="s">
        <v>375</v>
      </c>
      <c r="D116" s="405">
        <f t="shared" si="19"/>
        <v>45</v>
      </c>
      <c r="E116" s="260">
        <v>10</v>
      </c>
      <c r="F116" s="501"/>
      <c r="G116" s="501"/>
      <c r="H116" s="501"/>
      <c r="I116" s="501">
        <f t="shared" si="23"/>
        <v>450</v>
      </c>
      <c r="J116" s="501"/>
      <c r="K116" s="501"/>
      <c r="L116" s="501"/>
      <c r="M116" s="501">
        <f t="shared" si="24"/>
        <v>450</v>
      </c>
      <c r="N116" s="501"/>
      <c r="O116" s="501"/>
    </row>
    <row r="117" spans="2:15" ht="14.95" customHeight="1" x14ac:dyDescent="0.25">
      <c r="B117" s="780" t="s">
        <v>845</v>
      </c>
      <c r="C117" s="257" t="s">
        <v>375</v>
      </c>
      <c r="D117" s="405">
        <f t="shared" si="19"/>
        <v>45</v>
      </c>
      <c r="E117" s="260">
        <v>4</v>
      </c>
      <c r="F117" s="501"/>
      <c r="G117" s="501"/>
      <c r="H117" s="501"/>
      <c r="I117" s="501">
        <f t="shared" si="23"/>
        <v>180</v>
      </c>
      <c r="J117" s="501"/>
      <c r="K117" s="501"/>
      <c r="L117" s="501"/>
      <c r="M117" s="501">
        <f t="shared" si="24"/>
        <v>180</v>
      </c>
      <c r="N117" s="501"/>
      <c r="O117" s="501"/>
    </row>
    <row r="118" spans="2:15" ht="14.95" customHeight="1" x14ac:dyDescent="0.25">
      <c r="B118" s="781" t="s">
        <v>861</v>
      </c>
      <c r="C118" s="257" t="s">
        <v>375</v>
      </c>
      <c r="D118" s="405">
        <f t="shared" si="19"/>
        <v>45</v>
      </c>
      <c r="E118" s="260"/>
      <c r="F118" s="501"/>
      <c r="G118" s="501"/>
      <c r="H118" s="501"/>
      <c r="I118" s="501"/>
      <c r="J118" s="501"/>
      <c r="K118" s="501"/>
      <c r="L118" s="501"/>
      <c r="M118" s="501"/>
      <c r="N118" s="501"/>
      <c r="O118" s="501"/>
    </row>
    <row r="119" spans="2:15" ht="14.95" customHeight="1" x14ac:dyDescent="0.25">
      <c r="B119" s="779" t="s">
        <v>862</v>
      </c>
      <c r="C119" s="257" t="s">
        <v>375</v>
      </c>
      <c r="D119" s="405">
        <f t="shared" si="19"/>
        <v>45</v>
      </c>
      <c r="E119" s="260">
        <v>8</v>
      </c>
      <c r="F119" s="501">
        <f t="shared" ref="F119:O134" si="25">$D119*$E119</f>
        <v>360</v>
      </c>
      <c r="G119" s="501">
        <f t="shared" si="25"/>
        <v>360</v>
      </c>
      <c r="H119" s="501">
        <f t="shared" si="25"/>
        <v>360</v>
      </c>
      <c r="I119" s="501">
        <f t="shared" si="25"/>
        <v>360</v>
      </c>
      <c r="J119" s="501">
        <f t="shared" si="25"/>
        <v>360</v>
      </c>
      <c r="K119" s="501">
        <f t="shared" si="25"/>
        <v>360</v>
      </c>
      <c r="L119" s="501">
        <f t="shared" si="25"/>
        <v>360</v>
      </c>
      <c r="M119" s="501">
        <f t="shared" si="25"/>
        <v>360</v>
      </c>
      <c r="N119" s="501">
        <f t="shared" si="25"/>
        <v>360</v>
      </c>
      <c r="O119" s="501">
        <f t="shared" si="25"/>
        <v>360</v>
      </c>
    </row>
    <row r="120" spans="2:15" ht="14.95" customHeight="1" x14ac:dyDescent="0.25">
      <c r="B120" s="779" t="s">
        <v>863</v>
      </c>
      <c r="C120" s="257" t="s">
        <v>375</v>
      </c>
      <c r="D120" s="405">
        <f t="shared" si="19"/>
        <v>45</v>
      </c>
      <c r="E120" s="260">
        <v>16</v>
      </c>
      <c r="F120" s="501">
        <f t="shared" si="25"/>
        <v>720</v>
      </c>
      <c r="G120" s="501">
        <f t="shared" si="25"/>
        <v>720</v>
      </c>
      <c r="H120" s="501">
        <f t="shared" si="25"/>
        <v>720</v>
      </c>
      <c r="I120" s="501">
        <f t="shared" si="25"/>
        <v>720</v>
      </c>
      <c r="J120" s="501">
        <f t="shared" si="25"/>
        <v>720</v>
      </c>
      <c r="K120" s="501">
        <f t="shared" si="25"/>
        <v>720</v>
      </c>
      <c r="L120" s="501">
        <f t="shared" si="25"/>
        <v>720</v>
      </c>
      <c r="M120" s="501">
        <f t="shared" si="25"/>
        <v>720</v>
      </c>
      <c r="N120" s="501">
        <f t="shared" si="25"/>
        <v>720</v>
      </c>
      <c r="O120" s="501">
        <f t="shared" si="25"/>
        <v>720</v>
      </c>
    </row>
    <row r="121" spans="2:15" ht="14.95" customHeight="1" x14ac:dyDescent="0.25">
      <c r="B121" s="779" t="s">
        <v>864</v>
      </c>
      <c r="C121" s="257" t="s">
        <v>375</v>
      </c>
      <c r="D121" s="405">
        <f t="shared" si="19"/>
        <v>45</v>
      </c>
      <c r="E121" s="260">
        <v>8</v>
      </c>
      <c r="F121" s="501">
        <f t="shared" si="25"/>
        <v>360</v>
      </c>
      <c r="G121" s="501">
        <f t="shared" si="25"/>
        <v>360</v>
      </c>
      <c r="H121" s="501">
        <f t="shared" si="25"/>
        <v>360</v>
      </c>
      <c r="I121" s="501">
        <f t="shared" si="25"/>
        <v>360</v>
      </c>
      <c r="J121" s="501">
        <f t="shared" si="25"/>
        <v>360</v>
      </c>
      <c r="K121" s="501">
        <f t="shared" si="25"/>
        <v>360</v>
      </c>
      <c r="L121" s="501">
        <f t="shared" si="25"/>
        <v>360</v>
      </c>
      <c r="M121" s="501">
        <f t="shared" si="25"/>
        <v>360</v>
      </c>
      <c r="N121" s="501">
        <f t="shared" si="25"/>
        <v>360</v>
      </c>
      <c r="O121" s="501">
        <f t="shared" si="25"/>
        <v>360</v>
      </c>
    </row>
    <row r="122" spans="2:15" ht="14.95" customHeight="1" x14ac:dyDescent="0.25">
      <c r="B122" s="780" t="s">
        <v>865</v>
      </c>
      <c r="C122" s="257" t="s">
        <v>375</v>
      </c>
      <c r="D122" s="405">
        <f t="shared" si="19"/>
        <v>45</v>
      </c>
      <c r="E122" s="260">
        <v>20</v>
      </c>
      <c r="F122" s="501"/>
      <c r="G122" s="501">
        <f t="shared" si="25"/>
        <v>900</v>
      </c>
      <c r="H122" s="501"/>
      <c r="I122" s="501">
        <f t="shared" si="25"/>
        <v>900</v>
      </c>
      <c r="J122" s="501"/>
      <c r="K122" s="501">
        <f t="shared" si="25"/>
        <v>900</v>
      </c>
      <c r="L122" s="501"/>
      <c r="M122" s="501">
        <f t="shared" si="25"/>
        <v>900</v>
      </c>
      <c r="N122" s="501"/>
      <c r="O122" s="501"/>
    </row>
    <row r="123" spans="2:15" ht="14.95" customHeight="1" x14ac:dyDescent="0.25">
      <c r="B123" s="780" t="s">
        <v>866</v>
      </c>
      <c r="C123" s="257" t="s">
        <v>375</v>
      </c>
      <c r="D123" s="405">
        <f t="shared" si="19"/>
        <v>45</v>
      </c>
      <c r="E123" s="260">
        <v>40</v>
      </c>
      <c r="F123" s="501"/>
      <c r="G123" s="501">
        <f t="shared" si="25"/>
        <v>1800</v>
      </c>
      <c r="H123" s="501"/>
      <c r="I123" s="501">
        <f t="shared" si="25"/>
        <v>1800</v>
      </c>
      <c r="J123" s="501"/>
      <c r="K123" s="501">
        <f t="shared" si="25"/>
        <v>1800</v>
      </c>
      <c r="L123" s="501"/>
      <c r="M123" s="501">
        <f t="shared" si="25"/>
        <v>1800</v>
      </c>
      <c r="N123" s="501"/>
      <c r="O123" s="501"/>
    </row>
    <row r="124" spans="2:15" ht="14.95" customHeight="1" x14ac:dyDescent="0.25">
      <c r="B124" s="780" t="s">
        <v>867</v>
      </c>
      <c r="C124" s="257" t="s">
        <v>375</v>
      </c>
      <c r="D124" s="405">
        <f t="shared" si="19"/>
        <v>45</v>
      </c>
      <c r="E124" s="260">
        <v>20</v>
      </c>
      <c r="F124" s="501"/>
      <c r="G124" s="501">
        <f t="shared" si="25"/>
        <v>900</v>
      </c>
      <c r="H124" s="501"/>
      <c r="I124" s="501">
        <f t="shared" si="25"/>
        <v>900</v>
      </c>
      <c r="J124" s="501"/>
      <c r="K124" s="501">
        <f t="shared" si="25"/>
        <v>900</v>
      </c>
      <c r="L124" s="501"/>
      <c r="M124" s="501">
        <f t="shared" si="25"/>
        <v>900</v>
      </c>
      <c r="N124" s="501"/>
      <c r="O124" s="501"/>
    </row>
    <row r="125" spans="2:15" ht="14.95" customHeight="1" x14ac:dyDescent="0.25">
      <c r="B125" s="780" t="s">
        <v>868</v>
      </c>
      <c r="C125" s="257" t="s">
        <v>375</v>
      </c>
      <c r="D125" s="405">
        <f t="shared" si="19"/>
        <v>45</v>
      </c>
      <c r="E125" s="260">
        <v>80</v>
      </c>
      <c r="F125" s="501"/>
      <c r="G125" s="501">
        <f t="shared" si="25"/>
        <v>3600</v>
      </c>
      <c r="H125" s="501"/>
      <c r="I125" s="501">
        <f t="shared" si="25"/>
        <v>3600</v>
      </c>
      <c r="J125" s="501"/>
      <c r="K125" s="501">
        <f t="shared" si="25"/>
        <v>3600</v>
      </c>
      <c r="L125" s="501"/>
      <c r="M125" s="501">
        <f t="shared" si="25"/>
        <v>3600</v>
      </c>
      <c r="N125" s="501"/>
      <c r="O125" s="501"/>
    </row>
    <row r="126" spans="2:15" ht="14.95" customHeight="1" x14ac:dyDescent="0.25">
      <c r="B126" s="779" t="s">
        <v>869</v>
      </c>
      <c r="C126" s="257" t="s">
        <v>375</v>
      </c>
      <c r="D126" s="405">
        <f t="shared" si="19"/>
        <v>45</v>
      </c>
      <c r="E126" s="260">
        <v>20</v>
      </c>
      <c r="F126" s="501"/>
      <c r="G126" s="501"/>
      <c r="H126" s="501"/>
      <c r="I126" s="501">
        <f t="shared" si="25"/>
        <v>900</v>
      </c>
      <c r="J126" s="501"/>
      <c r="K126" s="501"/>
      <c r="L126" s="501"/>
      <c r="M126" s="501">
        <f t="shared" si="25"/>
        <v>900</v>
      </c>
      <c r="N126" s="501"/>
      <c r="O126" s="501"/>
    </row>
    <row r="127" spans="2:15" ht="14.95" customHeight="1" x14ac:dyDescent="0.25">
      <c r="B127" s="779" t="s">
        <v>870</v>
      </c>
      <c r="C127" s="257" t="s">
        <v>375</v>
      </c>
      <c r="D127" s="405">
        <f t="shared" si="19"/>
        <v>45</v>
      </c>
      <c r="E127" s="260">
        <v>80</v>
      </c>
      <c r="F127" s="501"/>
      <c r="G127" s="501"/>
      <c r="H127" s="501"/>
      <c r="I127" s="501">
        <f t="shared" si="25"/>
        <v>3600</v>
      </c>
      <c r="J127" s="501"/>
      <c r="K127" s="501"/>
      <c r="L127" s="501"/>
      <c r="M127" s="501">
        <f t="shared" si="25"/>
        <v>3600</v>
      </c>
      <c r="N127" s="501"/>
      <c r="O127" s="501"/>
    </row>
    <row r="128" spans="2:15" ht="14.95" customHeight="1" x14ac:dyDescent="0.25">
      <c r="B128" s="779" t="s">
        <v>871</v>
      </c>
      <c r="C128" s="257" t="s">
        <v>375</v>
      </c>
      <c r="D128" s="405">
        <f t="shared" si="19"/>
        <v>45</v>
      </c>
      <c r="E128" s="260">
        <v>10</v>
      </c>
      <c r="F128" s="501"/>
      <c r="G128" s="501"/>
      <c r="H128" s="501"/>
      <c r="I128" s="501">
        <f t="shared" si="25"/>
        <v>450</v>
      </c>
      <c r="J128" s="501"/>
      <c r="K128" s="501"/>
      <c r="L128" s="501"/>
      <c r="M128" s="501">
        <f t="shared" si="25"/>
        <v>450</v>
      </c>
      <c r="N128" s="501"/>
      <c r="O128" s="501"/>
    </row>
    <row r="129" spans="2:15" ht="14.95" customHeight="1" x14ac:dyDescent="0.25">
      <c r="B129" s="779" t="s">
        <v>872</v>
      </c>
      <c r="C129" s="257" t="s">
        <v>375</v>
      </c>
      <c r="D129" s="405">
        <f t="shared" si="19"/>
        <v>45</v>
      </c>
      <c r="E129" s="260">
        <v>40</v>
      </c>
      <c r="F129" s="501"/>
      <c r="G129" s="501"/>
      <c r="H129" s="501"/>
      <c r="I129" s="501">
        <f t="shared" si="25"/>
        <v>1800</v>
      </c>
      <c r="J129" s="501"/>
      <c r="K129" s="501"/>
      <c r="L129" s="501"/>
      <c r="M129" s="501">
        <f t="shared" si="25"/>
        <v>1800</v>
      </c>
      <c r="N129" s="501"/>
      <c r="O129" s="501"/>
    </row>
    <row r="130" spans="2:15" ht="14.95" customHeight="1" x14ac:dyDescent="0.25">
      <c r="B130" s="780" t="s">
        <v>873</v>
      </c>
      <c r="C130" s="257" t="s">
        <v>375</v>
      </c>
      <c r="D130" s="405">
        <f t="shared" si="19"/>
        <v>45</v>
      </c>
      <c r="E130" s="260">
        <v>88</v>
      </c>
      <c r="F130" s="501"/>
      <c r="G130" s="501"/>
      <c r="H130" s="501"/>
      <c r="I130" s="501">
        <f t="shared" si="25"/>
        <v>3960</v>
      </c>
      <c r="J130" s="501"/>
      <c r="K130" s="501"/>
      <c r="L130" s="501"/>
      <c r="M130" s="501">
        <f t="shared" si="25"/>
        <v>3960</v>
      </c>
      <c r="N130" s="501"/>
      <c r="O130" s="501"/>
    </row>
    <row r="131" spans="2:15" ht="14.95" customHeight="1" x14ac:dyDescent="0.25">
      <c r="B131" s="781" t="s">
        <v>874</v>
      </c>
      <c r="C131" s="257" t="s">
        <v>375</v>
      </c>
      <c r="D131" s="405">
        <f t="shared" si="19"/>
        <v>45</v>
      </c>
      <c r="E131" s="260"/>
      <c r="F131" s="501"/>
      <c r="G131" s="501"/>
      <c r="H131" s="501"/>
      <c r="I131" s="501"/>
      <c r="J131" s="501"/>
      <c r="K131" s="501"/>
      <c r="L131" s="501"/>
      <c r="M131" s="501"/>
      <c r="N131" s="501"/>
      <c r="O131" s="501"/>
    </row>
    <row r="132" spans="2:15" ht="14.95" customHeight="1" x14ac:dyDescent="0.25">
      <c r="B132" s="780" t="s">
        <v>875</v>
      </c>
      <c r="C132" s="257" t="s">
        <v>375</v>
      </c>
      <c r="D132" s="405">
        <f t="shared" si="19"/>
        <v>45</v>
      </c>
      <c r="E132" s="260">
        <v>4</v>
      </c>
      <c r="F132" s="501"/>
      <c r="G132" s="501"/>
      <c r="H132" s="501"/>
      <c r="I132" s="501">
        <f t="shared" si="25"/>
        <v>180</v>
      </c>
      <c r="J132" s="501"/>
      <c r="K132" s="501"/>
      <c r="L132" s="501"/>
      <c r="M132" s="501">
        <f t="shared" si="25"/>
        <v>180</v>
      </c>
      <c r="N132" s="501"/>
      <c r="O132" s="501"/>
    </row>
    <row r="133" spans="2:15" ht="14.95" customHeight="1" x14ac:dyDescent="0.25">
      <c r="B133" s="780" t="s">
        <v>876</v>
      </c>
      <c r="C133" s="257" t="s">
        <v>375</v>
      </c>
      <c r="D133" s="405">
        <f t="shared" si="19"/>
        <v>45</v>
      </c>
      <c r="E133" s="260">
        <v>4</v>
      </c>
      <c r="F133" s="418"/>
      <c r="G133" s="418"/>
      <c r="H133" s="418"/>
      <c r="I133" s="501">
        <f t="shared" si="25"/>
        <v>180</v>
      </c>
      <c r="J133" s="418"/>
      <c r="K133" s="418"/>
      <c r="L133" s="418"/>
      <c r="M133" s="418">
        <f t="shared" si="25"/>
        <v>180</v>
      </c>
      <c r="N133" s="418"/>
      <c r="O133" s="418"/>
    </row>
    <row r="134" spans="2:15" ht="14.95" customHeight="1" x14ac:dyDescent="0.25">
      <c r="B134" s="780" t="s">
        <v>877</v>
      </c>
      <c r="C134" s="257" t="s">
        <v>375</v>
      </c>
      <c r="D134" s="405">
        <f t="shared" si="19"/>
        <v>45</v>
      </c>
      <c r="E134" s="260">
        <v>4</v>
      </c>
      <c r="F134" s="501"/>
      <c r="G134" s="501"/>
      <c r="H134" s="501"/>
      <c r="I134" s="501">
        <f t="shared" si="25"/>
        <v>180</v>
      </c>
      <c r="J134" s="501"/>
      <c r="K134" s="501"/>
      <c r="L134" s="501"/>
      <c r="M134" s="501">
        <f t="shared" si="25"/>
        <v>180</v>
      </c>
      <c r="N134" s="501"/>
      <c r="O134" s="501"/>
    </row>
    <row r="135" spans="2:15" ht="14.95" customHeight="1" x14ac:dyDescent="0.25">
      <c r="B135" s="780" t="s">
        <v>878</v>
      </c>
      <c r="C135" s="257" t="s">
        <v>375</v>
      </c>
      <c r="D135" s="405">
        <f t="shared" si="19"/>
        <v>45</v>
      </c>
      <c r="E135" s="260">
        <v>2</v>
      </c>
      <c r="F135" s="501"/>
      <c r="G135" s="501"/>
      <c r="H135" s="501"/>
      <c r="I135" s="501">
        <f t="shared" ref="I135:J143" si="26">$D135*$E135</f>
        <v>90</v>
      </c>
      <c r="J135" s="501"/>
      <c r="K135" s="501"/>
      <c r="L135" s="501"/>
      <c r="M135" s="501">
        <f t="shared" ref="M135:M142" si="27">$D135*$E135</f>
        <v>90</v>
      </c>
      <c r="N135" s="501"/>
      <c r="O135" s="501"/>
    </row>
    <row r="136" spans="2:15" ht="14.95" customHeight="1" x14ac:dyDescent="0.25">
      <c r="B136" s="780" t="s">
        <v>879</v>
      </c>
      <c r="C136" s="257" t="s">
        <v>375</v>
      </c>
      <c r="D136" s="405">
        <f t="shared" si="19"/>
        <v>45</v>
      </c>
      <c r="E136" s="260">
        <v>24</v>
      </c>
      <c r="F136" s="501"/>
      <c r="G136" s="501"/>
      <c r="H136" s="501"/>
      <c r="I136" s="501">
        <f t="shared" si="26"/>
        <v>1080</v>
      </c>
      <c r="J136" s="501"/>
      <c r="K136" s="501"/>
      <c r="L136" s="501"/>
      <c r="M136" s="501">
        <f t="shared" si="27"/>
        <v>1080</v>
      </c>
      <c r="N136" s="501"/>
      <c r="O136" s="501"/>
    </row>
    <row r="137" spans="2:15" ht="14.95" customHeight="1" x14ac:dyDescent="0.25">
      <c r="B137" s="780" t="s">
        <v>880</v>
      </c>
      <c r="C137" s="257" t="s">
        <v>375</v>
      </c>
      <c r="D137" s="405">
        <f t="shared" si="19"/>
        <v>45</v>
      </c>
      <c r="E137" s="260">
        <v>24</v>
      </c>
      <c r="F137" s="501"/>
      <c r="G137" s="501"/>
      <c r="H137" s="501"/>
      <c r="I137" s="501">
        <f t="shared" si="26"/>
        <v>1080</v>
      </c>
      <c r="J137" s="501"/>
      <c r="K137" s="501"/>
      <c r="L137" s="501"/>
      <c r="M137" s="501">
        <f t="shared" si="27"/>
        <v>1080</v>
      </c>
      <c r="N137" s="501"/>
      <c r="O137" s="501"/>
    </row>
    <row r="138" spans="2:15" ht="14.95" customHeight="1" x14ac:dyDescent="0.25">
      <c r="B138" s="780" t="s">
        <v>881</v>
      </c>
      <c r="C138" s="257" t="s">
        <v>375</v>
      </c>
      <c r="D138" s="405">
        <f t="shared" si="19"/>
        <v>45</v>
      </c>
      <c r="E138" s="260">
        <v>24</v>
      </c>
      <c r="F138" s="501"/>
      <c r="G138" s="501"/>
      <c r="H138" s="501"/>
      <c r="I138" s="501">
        <f t="shared" si="26"/>
        <v>1080</v>
      </c>
      <c r="J138" s="501"/>
      <c r="K138" s="501"/>
      <c r="L138" s="501"/>
      <c r="M138" s="501">
        <f t="shared" si="27"/>
        <v>1080</v>
      </c>
      <c r="N138" s="501"/>
      <c r="O138" s="501"/>
    </row>
    <row r="139" spans="2:15" ht="14.95" customHeight="1" x14ac:dyDescent="0.25">
      <c r="B139" s="780" t="s">
        <v>882</v>
      </c>
      <c r="C139" s="257" t="s">
        <v>375</v>
      </c>
      <c r="D139" s="405">
        <f t="shared" si="19"/>
        <v>45</v>
      </c>
      <c r="E139" s="260">
        <v>24</v>
      </c>
      <c r="F139" s="418"/>
      <c r="G139" s="418"/>
      <c r="H139" s="418"/>
      <c r="I139" s="501">
        <f t="shared" si="26"/>
        <v>1080</v>
      </c>
      <c r="J139" s="418"/>
      <c r="K139" s="418"/>
      <c r="L139" s="418"/>
      <c r="M139" s="418">
        <f t="shared" si="27"/>
        <v>1080</v>
      </c>
      <c r="N139" s="418"/>
      <c r="O139" s="418"/>
    </row>
    <row r="140" spans="2:15" ht="14.95" customHeight="1" x14ac:dyDescent="0.25">
      <c r="B140" s="780" t="s">
        <v>883</v>
      </c>
      <c r="C140" s="257" t="s">
        <v>375</v>
      </c>
      <c r="D140" s="405">
        <f t="shared" si="19"/>
        <v>45</v>
      </c>
      <c r="E140" s="260">
        <v>4</v>
      </c>
      <c r="F140" s="501"/>
      <c r="G140" s="501"/>
      <c r="H140" s="501"/>
      <c r="I140" s="501">
        <f t="shared" si="26"/>
        <v>180</v>
      </c>
      <c r="J140" s="501"/>
      <c r="K140" s="501"/>
      <c r="L140" s="501"/>
      <c r="M140" s="501">
        <f t="shared" si="27"/>
        <v>180</v>
      </c>
      <c r="N140" s="501"/>
      <c r="O140" s="501"/>
    </row>
    <row r="141" spans="2:15" ht="14.95" customHeight="1" x14ac:dyDescent="0.25">
      <c r="B141" s="780" t="s">
        <v>884</v>
      </c>
      <c r="C141" s="257" t="s">
        <v>375</v>
      </c>
      <c r="D141" s="405">
        <f t="shared" si="19"/>
        <v>45</v>
      </c>
      <c r="E141" s="260">
        <v>8</v>
      </c>
      <c r="F141" s="501"/>
      <c r="G141" s="501"/>
      <c r="H141" s="501"/>
      <c r="I141" s="501">
        <f t="shared" si="26"/>
        <v>360</v>
      </c>
      <c r="J141" s="501"/>
      <c r="K141" s="501"/>
      <c r="L141" s="501"/>
      <c r="M141" s="501">
        <f t="shared" si="27"/>
        <v>360</v>
      </c>
      <c r="N141" s="501"/>
      <c r="O141" s="501"/>
    </row>
    <row r="142" spans="2:15" ht="14.95" customHeight="1" x14ac:dyDescent="0.25">
      <c r="B142" s="780" t="s">
        <v>885</v>
      </c>
      <c r="C142" s="257" t="s">
        <v>375</v>
      </c>
      <c r="D142" s="405">
        <f t="shared" si="19"/>
        <v>45</v>
      </c>
      <c r="E142" s="260">
        <v>4</v>
      </c>
      <c r="F142" s="501"/>
      <c r="G142" s="501"/>
      <c r="H142" s="501"/>
      <c r="I142" s="501">
        <f t="shared" si="26"/>
        <v>180</v>
      </c>
      <c r="J142" s="501"/>
      <c r="K142" s="501"/>
      <c r="L142" s="501"/>
      <c r="M142" s="501">
        <f t="shared" si="27"/>
        <v>180</v>
      </c>
      <c r="N142" s="501"/>
      <c r="O142" s="501"/>
    </row>
    <row r="143" spans="2:15" ht="14.95" customHeight="1" x14ac:dyDescent="0.25">
      <c r="B143" s="776" t="s">
        <v>886</v>
      </c>
      <c r="C143" s="257" t="s">
        <v>375</v>
      </c>
      <c r="D143" s="405">
        <f t="shared" si="19"/>
        <v>45</v>
      </c>
      <c r="E143" s="260">
        <v>36</v>
      </c>
      <c r="F143" s="501"/>
      <c r="G143" s="501"/>
      <c r="H143" s="501"/>
      <c r="I143" s="501"/>
      <c r="J143" s="501">
        <f t="shared" si="26"/>
        <v>1620</v>
      </c>
      <c r="K143" s="501"/>
      <c r="L143" s="501"/>
      <c r="M143" s="501"/>
      <c r="N143" s="501"/>
      <c r="O143" s="501"/>
    </row>
    <row r="144" spans="2:15" ht="16.5" customHeight="1" x14ac:dyDescent="0.25">
      <c r="B144" s="404"/>
      <c r="C144" s="257"/>
      <c r="D144" s="405"/>
      <c r="E144" s="260"/>
      <c r="F144" s="394"/>
      <c r="G144" s="394"/>
      <c r="H144" s="394"/>
      <c r="I144" s="394"/>
      <c r="J144" s="394"/>
      <c r="K144" s="394"/>
      <c r="L144" s="394"/>
      <c r="M144" s="394"/>
      <c r="N144" s="394"/>
      <c r="O144" s="394"/>
    </row>
    <row r="145" spans="2:15" ht="16.5" customHeight="1" x14ac:dyDescent="0.25">
      <c r="B145" s="404"/>
      <c r="C145" s="257"/>
      <c r="D145" s="405"/>
      <c r="E145" s="260"/>
      <c r="F145" s="394"/>
      <c r="G145" s="394"/>
      <c r="H145" s="394"/>
      <c r="I145" s="394"/>
      <c r="J145" s="394"/>
      <c r="K145" s="394"/>
      <c r="L145" s="394"/>
      <c r="M145" s="394"/>
      <c r="N145" s="394"/>
      <c r="O145" s="394"/>
    </row>
    <row r="146" spans="2:15" ht="16.5" customHeight="1" x14ac:dyDescent="0.25">
      <c r="B146" s="404"/>
      <c r="C146" s="257"/>
      <c r="D146" s="405"/>
      <c r="E146" s="260"/>
      <c r="F146" s="394"/>
      <c r="G146" s="394"/>
      <c r="H146" s="394"/>
      <c r="I146" s="394"/>
      <c r="J146" s="394"/>
      <c r="K146" s="394"/>
      <c r="L146" s="394"/>
      <c r="M146" s="394"/>
      <c r="N146" s="394"/>
      <c r="O146" s="394"/>
    </row>
    <row r="147" spans="2:15" ht="16.5" customHeight="1" x14ac:dyDescent="0.25">
      <c r="B147" s="404"/>
      <c r="C147" s="257"/>
      <c r="D147" s="405"/>
      <c r="E147" s="260"/>
      <c r="F147" s="394"/>
      <c r="G147" s="394"/>
      <c r="H147" s="394"/>
      <c r="I147" s="394"/>
      <c r="J147" s="394"/>
      <c r="K147" s="394"/>
      <c r="L147" s="394"/>
      <c r="M147" s="394"/>
      <c r="N147" s="394"/>
      <c r="O147" s="394"/>
    </row>
    <row r="148" spans="2:15" ht="16.5" customHeight="1" thickBot="1" x14ac:dyDescent="0.3">
      <c r="B148" s="576"/>
      <c r="C148" s="374"/>
      <c r="D148" s="577"/>
      <c r="E148" s="383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</row>
    <row r="149" spans="2:15" x14ac:dyDescent="0.25">
      <c r="B149" s="384"/>
      <c r="E149" s="412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</row>
    <row r="150" spans="2:15" ht="14.95" thickBot="1" x14ac:dyDescent="0.3">
      <c r="B150" s="387" t="s">
        <v>389</v>
      </c>
      <c r="F150" s="303"/>
    </row>
    <row r="151" spans="2:15" ht="43.5" customHeight="1" x14ac:dyDescent="0.25">
      <c r="B151" s="336" t="s">
        <v>390</v>
      </c>
      <c r="C151" s="337" t="s">
        <v>391</v>
      </c>
      <c r="D151" s="337" t="s">
        <v>392</v>
      </c>
      <c r="E151" s="337" t="s">
        <v>393</v>
      </c>
      <c r="F151" s="340" t="s">
        <v>292</v>
      </c>
      <c r="G151" s="340" t="s">
        <v>292</v>
      </c>
      <c r="H151" s="340" t="s">
        <v>292</v>
      </c>
      <c r="I151" s="340" t="s">
        <v>292</v>
      </c>
      <c r="J151" s="340" t="s">
        <v>292</v>
      </c>
      <c r="K151" s="340" t="s">
        <v>292</v>
      </c>
      <c r="L151" s="340" t="s">
        <v>292</v>
      </c>
      <c r="M151" s="340" t="s">
        <v>292</v>
      </c>
      <c r="N151" s="340" t="s">
        <v>292</v>
      </c>
      <c r="O151" s="340" t="s">
        <v>292</v>
      </c>
    </row>
    <row r="152" spans="2:15" ht="28.55" customHeight="1" x14ac:dyDescent="0.25">
      <c r="B152" s="379" t="s">
        <v>394</v>
      </c>
      <c r="C152" s="247"/>
      <c r="D152" s="247"/>
      <c r="E152" s="247"/>
      <c r="F152" s="346">
        <f>SUM(F153:F157)</f>
        <v>0</v>
      </c>
      <c r="G152" s="346">
        <f t="shared" ref="G152:O152" si="28">SUM(G153:G157)</f>
        <v>0</v>
      </c>
      <c r="H152" s="346">
        <f t="shared" si="28"/>
        <v>0</v>
      </c>
      <c r="I152" s="346">
        <f t="shared" si="28"/>
        <v>0</v>
      </c>
      <c r="J152" s="346">
        <f t="shared" si="28"/>
        <v>0</v>
      </c>
      <c r="K152" s="346">
        <f t="shared" si="28"/>
        <v>0</v>
      </c>
      <c r="L152" s="346">
        <f t="shared" si="28"/>
        <v>0</v>
      </c>
      <c r="M152" s="346">
        <f t="shared" si="28"/>
        <v>0</v>
      </c>
      <c r="N152" s="346">
        <f t="shared" si="28"/>
        <v>0</v>
      </c>
      <c r="O152" s="346">
        <f t="shared" si="28"/>
        <v>0</v>
      </c>
    </row>
    <row r="153" spans="2:15" x14ac:dyDescent="0.25">
      <c r="B153" s="496" t="s">
        <v>482</v>
      </c>
      <c r="C153" s="354">
        <v>0</v>
      </c>
      <c r="D153" s="497">
        <v>500</v>
      </c>
      <c r="E153" s="258">
        <v>5</v>
      </c>
      <c r="F153" s="476">
        <f>$E153*$C153</f>
        <v>0</v>
      </c>
      <c r="G153" s="476">
        <f t="shared" ref="G153:O153" si="29">$E153*$C153</f>
        <v>0</v>
      </c>
      <c r="H153" s="476">
        <f t="shared" si="29"/>
        <v>0</v>
      </c>
      <c r="I153" s="476">
        <f t="shared" si="29"/>
        <v>0</v>
      </c>
      <c r="J153" s="476">
        <f t="shared" si="29"/>
        <v>0</v>
      </c>
      <c r="K153" s="476">
        <f t="shared" si="29"/>
        <v>0</v>
      </c>
      <c r="L153" s="476">
        <f t="shared" si="29"/>
        <v>0</v>
      </c>
      <c r="M153" s="476">
        <f t="shared" si="29"/>
        <v>0</v>
      </c>
      <c r="N153" s="476">
        <f t="shared" si="29"/>
        <v>0</v>
      </c>
      <c r="O153" s="476">
        <f t="shared" si="29"/>
        <v>0</v>
      </c>
    </row>
    <row r="154" spans="2:15" x14ac:dyDescent="0.25">
      <c r="B154" s="496" t="s">
        <v>483</v>
      </c>
      <c r="C154" s="354">
        <v>0</v>
      </c>
      <c r="D154" s="497">
        <v>1000</v>
      </c>
      <c r="E154" s="258">
        <v>4</v>
      </c>
      <c r="F154" s="476">
        <f t="shared" ref="F154:O157" si="30">$E154*$C154</f>
        <v>0</v>
      </c>
      <c r="G154" s="476">
        <f t="shared" si="30"/>
        <v>0</v>
      </c>
      <c r="H154" s="476">
        <f t="shared" si="30"/>
        <v>0</v>
      </c>
      <c r="I154" s="476">
        <f t="shared" si="30"/>
        <v>0</v>
      </c>
      <c r="J154" s="476">
        <f t="shared" si="30"/>
        <v>0</v>
      </c>
      <c r="K154" s="476">
        <f t="shared" si="30"/>
        <v>0</v>
      </c>
      <c r="L154" s="476">
        <f t="shared" si="30"/>
        <v>0</v>
      </c>
      <c r="M154" s="476">
        <f t="shared" si="30"/>
        <v>0</v>
      </c>
      <c r="N154" s="476">
        <f t="shared" si="30"/>
        <v>0</v>
      </c>
      <c r="O154" s="476">
        <f t="shared" si="30"/>
        <v>0</v>
      </c>
    </row>
    <row r="155" spans="2:15" x14ac:dyDescent="0.25">
      <c r="B155" s="496" t="s">
        <v>484</v>
      </c>
      <c r="C155" s="354">
        <v>0</v>
      </c>
      <c r="D155" s="497">
        <v>2000</v>
      </c>
      <c r="E155" s="258">
        <v>3</v>
      </c>
      <c r="F155" s="476">
        <f t="shared" si="30"/>
        <v>0</v>
      </c>
      <c r="G155" s="476">
        <f t="shared" si="30"/>
        <v>0</v>
      </c>
      <c r="H155" s="476">
        <f t="shared" si="30"/>
        <v>0</v>
      </c>
      <c r="I155" s="476">
        <f t="shared" si="30"/>
        <v>0</v>
      </c>
      <c r="J155" s="476">
        <f t="shared" si="30"/>
        <v>0</v>
      </c>
      <c r="K155" s="476">
        <f t="shared" si="30"/>
        <v>0</v>
      </c>
      <c r="L155" s="476">
        <f t="shared" si="30"/>
        <v>0</v>
      </c>
      <c r="M155" s="476">
        <f t="shared" si="30"/>
        <v>0</v>
      </c>
      <c r="N155" s="476">
        <f t="shared" si="30"/>
        <v>0</v>
      </c>
      <c r="O155" s="476">
        <f t="shared" si="30"/>
        <v>0</v>
      </c>
    </row>
    <row r="156" spans="2:15" x14ac:dyDescent="0.25">
      <c r="B156" s="496" t="s">
        <v>485</v>
      </c>
      <c r="C156" s="354">
        <v>0</v>
      </c>
      <c r="D156" s="497">
        <v>4000</v>
      </c>
      <c r="E156" s="258">
        <v>2</v>
      </c>
      <c r="F156" s="476">
        <f t="shared" si="30"/>
        <v>0</v>
      </c>
      <c r="G156" s="476">
        <f t="shared" si="30"/>
        <v>0</v>
      </c>
      <c r="H156" s="476">
        <f t="shared" si="30"/>
        <v>0</v>
      </c>
      <c r="I156" s="476">
        <f t="shared" si="30"/>
        <v>0</v>
      </c>
      <c r="J156" s="476">
        <f t="shared" si="30"/>
        <v>0</v>
      </c>
      <c r="K156" s="476">
        <f t="shared" si="30"/>
        <v>0</v>
      </c>
      <c r="L156" s="476">
        <f t="shared" si="30"/>
        <v>0</v>
      </c>
      <c r="M156" s="476">
        <f t="shared" si="30"/>
        <v>0</v>
      </c>
      <c r="N156" s="476">
        <f t="shared" si="30"/>
        <v>0</v>
      </c>
      <c r="O156" s="476">
        <f t="shared" si="30"/>
        <v>0</v>
      </c>
    </row>
    <row r="157" spans="2:15" x14ac:dyDescent="0.25">
      <c r="B157" s="496" t="s">
        <v>486</v>
      </c>
      <c r="C157" s="354">
        <v>0</v>
      </c>
      <c r="D157" s="497">
        <v>6000</v>
      </c>
      <c r="E157" s="258">
        <v>1</v>
      </c>
      <c r="F157" s="476">
        <f t="shared" si="30"/>
        <v>0</v>
      </c>
      <c r="G157" s="476">
        <f t="shared" si="30"/>
        <v>0</v>
      </c>
      <c r="H157" s="476">
        <f t="shared" si="30"/>
        <v>0</v>
      </c>
      <c r="I157" s="476">
        <f t="shared" si="30"/>
        <v>0</v>
      </c>
      <c r="J157" s="476">
        <f t="shared" si="30"/>
        <v>0</v>
      </c>
      <c r="K157" s="476">
        <f t="shared" si="30"/>
        <v>0</v>
      </c>
      <c r="L157" s="476">
        <f t="shared" si="30"/>
        <v>0</v>
      </c>
      <c r="M157" s="476">
        <f t="shared" si="30"/>
        <v>0</v>
      </c>
      <c r="N157" s="476">
        <f t="shared" si="30"/>
        <v>0</v>
      </c>
      <c r="O157" s="476">
        <f t="shared" si="30"/>
        <v>0</v>
      </c>
    </row>
    <row r="158" spans="2:15" ht="47.25" customHeight="1" x14ac:dyDescent="0.25">
      <c r="B158" s="379" t="s">
        <v>284</v>
      </c>
      <c r="C158" s="247" t="s">
        <v>391</v>
      </c>
      <c r="D158" s="247" t="s">
        <v>392</v>
      </c>
      <c r="E158" s="247" t="s">
        <v>393</v>
      </c>
      <c r="F158" s="346">
        <f t="shared" ref="F158:O158" si="31">SUM(F159:F222)</f>
        <v>4931.0352762000002</v>
      </c>
      <c r="G158" s="346">
        <f t="shared" si="31"/>
        <v>88530.269182154589</v>
      </c>
      <c r="H158" s="346">
        <f t="shared" si="31"/>
        <v>701511.1192794001</v>
      </c>
      <c r="I158" s="346">
        <f t="shared" si="31"/>
        <v>2494289.9267764832</v>
      </c>
      <c r="J158" s="346">
        <f t="shared" si="31"/>
        <v>7014.0352762000002</v>
      </c>
      <c r="K158" s="346">
        <f t="shared" si="31"/>
        <v>785110.35318535462</v>
      </c>
      <c r="L158" s="346">
        <f t="shared" si="31"/>
        <v>4931.0352762000002</v>
      </c>
      <c r="M158" s="346">
        <f t="shared" si="31"/>
        <v>2494289.9267764832</v>
      </c>
      <c r="N158" s="346">
        <f t="shared" si="31"/>
        <v>4931.0352762000002</v>
      </c>
      <c r="O158" s="346">
        <f t="shared" si="31"/>
        <v>4931.0352762000002</v>
      </c>
    </row>
    <row r="159" spans="2:15" ht="15.65" x14ac:dyDescent="0.25">
      <c r="B159" s="783" t="s">
        <v>395</v>
      </c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</row>
    <row r="160" spans="2:15" ht="15.65" x14ac:dyDescent="0.25">
      <c r="B160" s="784" t="s">
        <v>828</v>
      </c>
      <c r="C160" s="292">
        <v>551673.79392299999</v>
      </c>
      <c r="D160" s="785">
        <v>21000</v>
      </c>
      <c r="E160" s="268">
        <v>1</v>
      </c>
      <c r="F160" s="501"/>
      <c r="G160" s="501"/>
      <c r="H160" s="501">
        <f>$C160*$E160</f>
        <v>551673.79392299999</v>
      </c>
      <c r="I160" s="501"/>
      <c r="J160" s="501"/>
      <c r="K160" s="501">
        <f>$C160*$E160</f>
        <v>551673.79392299999</v>
      </c>
      <c r="L160" s="501"/>
      <c r="M160" s="501"/>
      <c r="N160" s="501"/>
      <c r="O160" s="501"/>
    </row>
    <row r="161" spans="2:16" ht="15.65" x14ac:dyDescent="0.25">
      <c r="B161" s="775" t="s">
        <v>829</v>
      </c>
      <c r="C161" s="292">
        <v>144906.29008020001</v>
      </c>
      <c r="D161" s="785">
        <v>21000</v>
      </c>
      <c r="E161" s="268">
        <v>1</v>
      </c>
      <c r="F161" s="501"/>
      <c r="G161" s="501"/>
      <c r="H161" s="501">
        <f>$C161*$E161</f>
        <v>144906.29008020001</v>
      </c>
      <c r="I161" s="501"/>
      <c r="J161" s="501"/>
      <c r="K161" s="501">
        <f>$C161*$E161</f>
        <v>144906.29008020001</v>
      </c>
      <c r="L161" s="501"/>
      <c r="M161" s="501"/>
      <c r="N161" s="501"/>
      <c r="O161" s="501"/>
    </row>
    <row r="162" spans="2:16" ht="15.65" x14ac:dyDescent="0.25">
      <c r="B162" s="775" t="s">
        <v>830</v>
      </c>
      <c r="C162" s="292">
        <v>1252.146</v>
      </c>
      <c r="D162" s="785">
        <v>14000</v>
      </c>
      <c r="E162" s="268">
        <v>1</v>
      </c>
      <c r="F162" s="501"/>
      <c r="G162" s="501">
        <f>$C162*$E162</f>
        <v>1252.146</v>
      </c>
      <c r="H162" s="501"/>
      <c r="I162" s="501">
        <f>$C162*$E162</f>
        <v>1252.146</v>
      </c>
      <c r="J162" s="501"/>
      <c r="K162" s="501">
        <f>$C162*$E162</f>
        <v>1252.146</v>
      </c>
      <c r="L162" s="501"/>
      <c r="M162" s="501">
        <f>$C162*$E162</f>
        <v>1252.146</v>
      </c>
      <c r="N162" s="501"/>
      <c r="O162" s="501"/>
    </row>
    <row r="163" spans="2:16" ht="15.65" x14ac:dyDescent="0.25">
      <c r="B163" s="775" t="s">
        <v>831</v>
      </c>
      <c r="C163" s="292">
        <v>1533.24</v>
      </c>
      <c r="D163" s="785">
        <v>14000</v>
      </c>
      <c r="E163" s="268">
        <v>2</v>
      </c>
      <c r="F163" s="501"/>
      <c r="G163" s="501">
        <f>$C163*$E163</f>
        <v>3066.48</v>
      </c>
      <c r="H163" s="501"/>
      <c r="I163" s="501">
        <f>$C163*$E163</f>
        <v>3066.48</v>
      </c>
      <c r="J163" s="501"/>
      <c r="K163" s="501">
        <f>$C163*$E163</f>
        <v>3066.48</v>
      </c>
      <c r="L163" s="501"/>
      <c r="M163" s="501">
        <f>$C163*$E163</f>
        <v>3066.48</v>
      </c>
      <c r="N163" s="501"/>
      <c r="O163" s="501"/>
    </row>
    <row r="164" spans="2:16" ht="15.65" x14ac:dyDescent="0.25">
      <c r="B164" s="776" t="s">
        <v>396</v>
      </c>
      <c r="C164" s="292"/>
      <c r="D164" s="269"/>
      <c r="E164" s="268"/>
      <c r="F164" s="501"/>
      <c r="G164" s="501"/>
      <c r="H164" s="501"/>
      <c r="I164" s="501"/>
      <c r="J164" s="501"/>
      <c r="K164" s="501"/>
      <c r="L164" s="501"/>
      <c r="M164" s="501"/>
      <c r="N164" s="501"/>
      <c r="O164" s="501"/>
    </row>
    <row r="165" spans="2:16" ht="15.65" x14ac:dyDescent="0.25">
      <c r="B165" s="777" t="s">
        <v>832</v>
      </c>
      <c r="C165" s="292">
        <v>364783.99949750002</v>
      </c>
      <c r="D165" s="785">
        <v>28000</v>
      </c>
      <c r="E165" s="268">
        <v>2</v>
      </c>
      <c r="F165" s="501"/>
      <c r="G165" s="501"/>
      <c r="H165" s="501"/>
      <c r="I165" s="501">
        <f>$C165*$E165</f>
        <v>729567.99899500003</v>
      </c>
      <c r="J165" s="501"/>
      <c r="K165" s="501"/>
      <c r="L165" s="501"/>
      <c r="M165" s="501">
        <f>$C165*$E165</f>
        <v>729567.99899500003</v>
      </c>
      <c r="N165" s="501"/>
      <c r="O165" s="501"/>
      <c r="P165" s="786"/>
    </row>
    <row r="166" spans="2:16" ht="15.65" x14ac:dyDescent="0.25">
      <c r="B166" s="777" t="s">
        <v>833</v>
      </c>
      <c r="C166" s="292">
        <v>567576.92254716309</v>
      </c>
      <c r="D166" s="785">
        <v>28000</v>
      </c>
      <c r="E166" s="268">
        <v>1</v>
      </c>
      <c r="F166" s="501"/>
      <c r="G166" s="501"/>
      <c r="H166" s="501"/>
      <c r="I166" s="501">
        <f>$C166*$E166</f>
        <v>567576.92254716309</v>
      </c>
      <c r="J166" s="501"/>
      <c r="K166" s="501"/>
      <c r="L166" s="501"/>
      <c r="M166" s="501">
        <f>$C166*$E166</f>
        <v>567576.92254716309</v>
      </c>
      <c r="N166" s="501"/>
      <c r="O166" s="501"/>
    </row>
    <row r="167" spans="2:16" ht="15.65" x14ac:dyDescent="0.25">
      <c r="B167" s="778" t="s">
        <v>834</v>
      </c>
      <c r="C167" s="292">
        <v>188665.84640400001</v>
      </c>
      <c r="D167" s="785">
        <v>28000</v>
      </c>
      <c r="E167" s="268">
        <v>1</v>
      </c>
      <c r="F167" s="501"/>
      <c r="G167" s="501"/>
      <c r="H167" s="501"/>
      <c r="I167" s="501">
        <f>$C167*$E167</f>
        <v>188665.84640400001</v>
      </c>
      <c r="J167" s="501"/>
      <c r="K167" s="501"/>
      <c r="L167" s="501"/>
      <c r="M167" s="501">
        <f>$C167*$E167</f>
        <v>188665.84640400001</v>
      </c>
      <c r="N167" s="501"/>
      <c r="O167" s="501"/>
    </row>
    <row r="168" spans="2:16" ht="15.65" x14ac:dyDescent="0.25">
      <c r="B168" s="776" t="s">
        <v>835</v>
      </c>
      <c r="C168" s="292"/>
      <c r="D168" s="269"/>
      <c r="E168" s="268"/>
      <c r="F168" s="501"/>
      <c r="G168" s="501"/>
      <c r="H168" s="501"/>
      <c r="I168" s="501"/>
      <c r="J168" s="501"/>
      <c r="K168" s="501"/>
      <c r="L168" s="501"/>
      <c r="M168" s="501"/>
      <c r="N168" s="501"/>
      <c r="O168" s="501"/>
    </row>
    <row r="169" spans="2:16" ht="15.65" x14ac:dyDescent="0.25">
      <c r="B169" s="779" t="s">
        <v>836</v>
      </c>
      <c r="C169" s="292">
        <v>22237.972027915417</v>
      </c>
      <c r="D169" s="269">
        <v>14000</v>
      </c>
      <c r="E169" s="268">
        <v>1</v>
      </c>
      <c r="F169" s="501"/>
      <c r="G169" s="501">
        <f>$C169*$E169</f>
        <v>22237.972027915417</v>
      </c>
      <c r="H169" s="501"/>
      <c r="I169" s="501">
        <f>$C169*$E169</f>
        <v>22237.972027915417</v>
      </c>
      <c r="J169" s="501"/>
      <c r="K169" s="501">
        <f>$C169*$E169</f>
        <v>22237.972027915417</v>
      </c>
      <c r="L169" s="501"/>
      <c r="M169" s="501">
        <f>$C169*$E169</f>
        <v>22237.972027915417</v>
      </c>
      <c r="N169" s="501"/>
      <c r="O169" s="501"/>
    </row>
    <row r="170" spans="2:16" ht="15.65" x14ac:dyDescent="0.25">
      <c r="B170" s="779" t="s">
        <v>837</v>
      </c>
      <c r="C170" s="292">
        <v>3217.0400154750005</v>
      </c>
      <c r="D170" s="269">
        <v>14000</v>
      </c>
      <c r="E170" s="268">
        <v>2</v>
      </c>
      <c r="F170" s="501"/>
      <c r="G170" s="501">
        <f>$C170*$E170</f>
        <v>6434.0800309500009</v>
      </c>
      <c r="H170" s="501"/>
      <c r="I170" s="501">
        <f>$C170*$E170</f>
        <v>6434.0800309500009</v>
      </c>
      <c r="J170" s="501"/>
      <c r="K170" s="501">
        <f>$C170*$E170</f>
        <v>6434.0800309500009</v>
      </c>
      <c r="L170" s="501"/>
      <c r="M170" s="501">
        <f>$C170*$E170</f>
        <v>6434.0800309500009</v>
      </c>
      <c r="N170" s="501"/>
      <c r="O170" s="501"/>
    </row>
    <row r="171" spans="2:16" ht="15.65" x14ac:dyDescent="0.25">
      <c r="B171" s="780" t="s">
        <v>838</v>
      </c>
      <c r="C171" s="292">
        <v>5395.6628103949997</v>
      </c>
      <c r="D171" s="269">
        <v>28000</v>
      </c>
      <c r="E171" s="268">
        <v>1</v>
      </c>
      <c r="F171" s="501"/>
      <c r="G171" s="501"/>
      <c r="H171" s="501"/>
      <c r="I171" s="501">
        <f>$C171*$E171</f>
        <v>5395.6628103949997</v>
      </c>
      <c r="J171" s="501"/>
      <c r="K171" s="501"/>
      <c r="L171" s="501"/>
      <c r="M171" s="501">
        <f>$C171*$E171</f>
        <v>5395.6628103949997</v>
      </c>
      <c r="N171" s="501"/>
      <c r="O171" s="501"/>
    </row>
    <row r="172" spans="2:16" ht="15.65" x14ac:dyDescent="0.25">
      <c r="B172" s="780" t="s">
        <v>839</v>
      </c>
      <c r="C172" s="292">
        <v>2431.0544205566671</v>
      </c>
      <c r="D172" s="269">
        <v>28000</v>
      </c>
      <c r="E172" s="268">
        <v>1</v>
      </c>
      <c r="F172" s="501"/>
      <c r="G172" s="501"/>
      <c r="H172" s="501"/>
      <c r="I172" s="501">
        <f t="shared" ref="I172:I178" si="32">$C172*$E172</f>
        <v>2431.0544205566671</v>
      </c>
      <c r="J172" s="501"/>
      <c r="K172" s="501"/>
      <c r="L172" s="501"/>
      <c r="M172" s="501">
        <f t="shared" ref="M172:M178" si="33">$C172*$E172</f>
        <v>2431.0544205566671</v>
      </c>
      <c r="N172" s="501"/>
      <c r="O172" s="501"/>
    </row>
    <row r="173" spans="2:16" ht="15.65" x14ac:dyDescent="0.25">
      <c r="B173" s="780" t="s">
        <v>840</v>
      </c>
      <c r="C173" s="292">
        <v>83.998753927916681</v>
      </c>
      <c r="D173" s="269">
        <v>28000</v>
      </c>
      <c r="E173" s="268">
        <v>3</v>
      </c>
      <c r="F173" s="501"/>
      <c r="G173" s="501"/>
      <c r="H173" s="501"/>
      <c r="I173" s="501">
        <f t="shared" si="32"/>
        <v>251.99626178375004</v>
      </c>
      <c r="J173" s="501"/>
      <c r="K173" s="501"/>
      <c r="L173" s="501"/>
      <c r="M173" s="501">
        <f t="shared" si="33"/>
        <v>251.99626178375004</v>
      </c>
      <c r="N173" s="501"/>
      <c r="O173" s="501"/>
    </row>
    <row r="174" spans="2:16" ht="15.65" x14ac:dyDescent="0.25">
      <c r="B174" s="780" t="s">
        <v>841</v>
      </c>
      <c r="C174" s="292">
        <v>2876.4503621700005</v>
      </c>
      <c r="D174" s="269">
        <v>28000</v>
      </c>
      <c r="E174" s="268">
        <v>2</v>
      </c>
      <c r="F174" s="501"/>
      <c r="G174" s="501"/>
      <c r="H174" s="501"/>
      <c r="I174" s="501">
        <f t="shared" si="32"/>
        <v>5752.900724340001</v>
      </c>
      <c r="J174" s="501"/>
      <c r="K174" s="501"/>
      <c r="L174" s="501"/>
      <c r="M174" s="501">
        <f t="shared" si="33"/>
        <v>5752.900724340001</v>
      </c>
      <c r="N174" s="501"/>
      <c r="O174" s="501"/>
    </row>
    <row r="175" spans="2:16" ht="15.65" x14ac:dyDescent="0.25">
      <c r="B175" s="780" t="s">
        <v>842</v>
      </c>
      <c r="C175" s="292">
        <v>8.1077855420833345</v>
      </c>
      <c r="D175" s="269">
        <v>28000</v>
      </c>
      <c r="E175" s="268">
        <v>1</v>
      </c>
      <c r="F175" s="501"/>
      <c r="G175" s="501"/>
      <c r="H175" s="501"/>
      <c r="I175" s="501">
        <f t="shared" si="32"/>
        <v>8.1077855420833345</v>
      </c>
      <c r="J175" s="501"/>
      <c r="K175" s="501"/>
      <c r="L175" s="501"/>
      <c r="M175" s="501">
        <f t="shared" si="33"/>
        <v>8.1077855420833345</v>
      </c>
      <c r="N175" s="501"/>
      <c r="O175" s="501"/>
    </row>
    <row r="176" spans="2:16" ht="18" customHeight="1" x14ac:dyDescent="0.25">
      <c r="B176" s="780" t="s">
        <v>843</v>
      </c>
      <c r="C176" s="292">
        <v>5339.9621212941665</v>
      </c>
      <c r="D176" s="269">
        <v>28000</v>
      </c>
      <c r="E176" s="268">
        <v>1</v>
      </c>
      <c r="F176" s="501"/>
      <c r="G176" s="501"/>
      <c r="H176" s="501"/>
      <c r="I176" s="501">
        <f t="shared" si="32"/>
        <v>5339.9621212941665</v>
      </c>
      <c r="J176" s="501"/>
      <c r="K176" s="501"/>
      <c r="L176" s="501"/>
      <c r="M176" s="501">
        <f t="shared" si="33"/>
        <v>5339.9621212941665</v>
      </c>
      <c r="N176" s="501"/>
      <c r="O176" s="501"/>
    </row>
    <row r="177" spans="2:15" ht="15.65" x14ac:dyDescent="0.25">
      <c r="B177" s="780" t="s">
        <v>844</v>
      </c>
      <c r="C177" s="292">
        <v>7465.9654272820844</v>
      </c>
      <c r="D177" s="269">
        <v>28000</v>
      </c>
      <c r="E177" s="268">
        <v>1</v>
      </c>
      <c r="F177" s="418"/>
      <c r="G177" s="418"/>
      <c r="H177" s="501"/>
      <c r="I177" s="501">
        <f t="shared" si="32"/>
        <v>7465.9654272820844</v>
      </c>
      <c r="J177" s="418"/>
      <c r="K177" s="501"/>
      <c r="L177" s="418"/>
      <c r="M177" s="418">
        <f t="shared" si="33"/>
        <v>7465.9654272820844</v>
      </c>
      <c r="N177" s="418"/>
      <c r="O177" s="418"/>
    </row>
    <row r="178" spans="2:15" ht="15.65" x14ac:dyDescent="0.25">
      <c r="B178" s="780" t="s">
        <v>845</v>
      </c>
      <c r="C178" s="292">
        <v>33635.790728485001</v>
      </c>
      <c r="D178" s="269">
        <v>28000</v>
      </c>
      <c r="E178" s="268">
        <v>1</v>
      </c>
      <c r="F178" s="501"/>
      <c r="G178" s="501"/>
      <c r="H178" s="501"/>
      <c r="I178" s="501">
        <f t="shared" si="32"/>
        <v>33635.790728485001</v>
      </c>
      <c r="J178" s="501"/>
      <c r="K178" s="501"/>
      <c r="L178" s="501"/>
      <c r="M178" s="501">
        <f t="shared" si="33"/>
        <v>33635.790728485001</v>
      </c>
      <c r="N178" s="501"/>
      <c r="O178" s="501"/>
    </row>
    <row r="179" spans="2:15" ht="15.65" x14ac:dyDescent="0.25">
      <c r="B179" s="780" t="s">
        <v>846</v>
      </c>
      <c r="C179" s="292">
        <v>31651.406347137505</v>
      </c>
      <c r="D179" s="269">
        <v>14000</v>
      </c>
      <c r="E179" s="268">
        <v>1</v>
      </c>
      <c r="F179" s="501"/>
      <c r="G179" s="501">
        <f>$C179*$E179</f>
        <v>31651.406347137505</v>
      </c>
      <c r="H179" s="501"/>
      <c r="I179" s="501">
        <f>$C179*$E179</f>
        <v>31651.406347137505</v>
      </c>
      <c r="J179" s="501"/>
      <c r="K179" s="501">
        <f>$C179*$E179</f>
        <v>31651.406347137505</v>
      </c>
      <c r="L179" s="501"/>
      <c r="M179" s="501">
        <f>$C179*$E179</f>
        <v>31651.406347137505</v>
      </c>
      <c r="N179" s="501"/>
      <c r="O179" s="501"/>
    </row>
    <row r="180" spans="2:15" ht="15.65" x14ac:dyDescent="0.25">
      <c r="B180" s="780" t="s">
        <v>847</v>
      </c>
      <c r="C180" s="292">
        <v>44929.362224999997</v>
      </c>
      <c r="D180" s="269">
        <v>28000</v>
      </c>
      <c r="E180" s="268">
        <v>1</v>
      </c>
      <c r="F180" s="501"/>
      <c r="G180" s="501"/>
      <c r="H180" s="501"/>
      <c r="I180" s="501">
        <f>$C180*$E180</f>
        <v>44929.362224999997</v>
      </c>
      <c r="J180" s="501"/>
      <c r="K180" s="501"/>
      <c r="L180" s="501"/>
      <c r="M180" s="501">
        <f>$C180*$E180</f>
        <v>44929.362224999997</v>
      </c>
      <c r="N180" s="501"/>
      <c r="O180" s="501"/>
    </row>
    <row r="181" spans="2:15" ht="15.65" x14ac:dyDescent="0.25">
      <c r="B181" s="780" t="s">
        <v>848</v>
      </c>
      <c r="C181" s="292">
        <v>1954.9736332500004</v>
      </c>
      <c r="D181" s="269">
        <v>28000</v>
      </c>
      <c r="E181" s="268">
        <v>1</v>
      </c>
      <c r="F181" s="501"/>
      <c r="G181" s="501"/>
      <c r="H181" s="501"/>
      <c r="I181" s="501">
        <f t="shared" ref="I181:I194" si="34">$C181*$E181</f>
        <v>1954.9736332500004</v>
      </c>
      <c r="J181" s="501"/>
      <c r="K181" s="501"/>
      <c r="L181" s="501"/>
      <c r="M181" s="501">
        <f t="shared" ref="M181:M194" si="35">$C181*$E181</f>
        <v>1954.9736332500004</v>
      </c>
      <c r="N181" s="501"/>
      <c r="O181" s="501"/>
    </row>
    <row r="182" spans="2:15" ht="15.65" x14ac:dyDescent="0.25">
      <c r="B182" s="780" t="s">
        <v>849</v>
      </c>
      <c r="C182" s="292">
        <v>1995.8763239250004</v>
      </c>
      <c r="D182" s="269">
        <v>28000</v>
      </c>
      <c r="E182" s="268">
        <v>1</v>
      </c>
      <c r="F182" s="501"/>
      <c r="G182" s="501"/>
      <c r="H182" s="501"/>
      <c r="I182" s="501">
        <f t="shared" si="34"/>
        <v>1995.8763239250004</v>
      </c>
      <c r="J182" s="501"/>
      <c r="K182" s="501"/>
      <c r="L182" s="501"/>
      <c r="M182" s="501">
        <f t="shared" si="35"/>
        <v>1995.8763239250004</v>
      </c>
      <c r="N182" s="501"/>
      <c r="O182" s="501"/>
    </row>
    <row r="183" spans="2:15" ht="15.65" x14ac:dyDescent="0.25">
      <c r="B183" s="780" t="s">
        <v>850</v>
      </c>
      <c r="C183" s="292">
        <v>4686.9882941750002</v>
      </c>
      <c r="D183" s="269">
        <v>28000</v>
      </c>
      <c r="E183" s="268">
        <v>1</v>
      </c>
      <c r="F183" s="501"/>
      <c r="G183" s="501"/>
      <c r="H183" s="501"/>
      <c r="I183" s="501">
        <f t="shared" si="34"/>
        <v>4686.9882941750002</v>
      </c>
      <c r="J183" s="501"/>
      <c r="K183" s="501"/>
      <c r="L183" s="501"/>
      <c r="M183" s="501">
        <f t="shared" si="35"/>
        <v>4686.9882941750002</v>
      </c>
      <c r="N183" s="501"/>
      <c r="O183" s="501"/>
    </row>
    <row r="184" spans="2:15" ht="15.65" x14ac:dyDescent="0.25">
      <c r="B184" s="780" t="s">
        <v>851</v>
      </c>
      <c r="C184" s="292">
        <v>874.58884424999997</v>
      </c>
      <c r="D184" s="269">
        <v>28000</v>
      </c>
      <c r="E184" s="268">
        <v>1</v>
      </c>
      <c r="F184" s="501"/>
      <c r="G184" s="501"/>
      <c r="H184" s="501"/>
      <c r="I184" s="501">
        <f t="shared" si="34"/>
        <v>874.58884424999997</v>
      </c>
      <c r="J184" s="501"/>
      <c r="K184" s="501"/>
      <c r="L184" s="501"/>
      <c r="M184" s="501">
        <f t="shared" si="35"/>
        <v>874.58884424999997</v>
      </c>
      <c r="N184" s="501"/>
      <c r="O184" s="501"/>
    </row>
    <row r="185" spans="2:15" ht="15.65" x14ac:dyDescent="0.25">
      <c r="B185" s="780" t="s">
        <v>852</v>
      </c>
      <c r="C185" s="292">
        <v>13157.591583225836</v>
      </c>
      <c r="D185" s="269">
        <v>28000</v>
      </c>
      <c r="E185" s="268">
        <v>1</v>
      </c>
      <c r="F185" s="501"/>
      <c r="G185" s="501"/>
      <c r="H185" s="501"/>
      <c r="I185" s="501">
        <f t="shared" si="34"/>
        <v>13157.591583225836</v>
      </c>
      <c r="J185" s="501"/>
      <c r="K185" s="501"/>
      <c r="L185" s="501"/>
      <c r="M185" s="501">
        <f t="shared" si="35"/>
        <v>13157.591583225836</v>
      </c>
      <c r="N185" s="501"/>
      <c r="O185" s="501"/>
    </row>
    <row r="186" spans="2:15" ht="15.65" x14ac:dyDescent="0.25">
      <c r="B186" s="780" t="s">
        <v>853</v>
      </c>
      <c r="C186" s="292">
        <v>312.6909371620834</v>
      </c>
      <c r="D186" s="269">
        <v>28000</v>
      </c>
      <c r="E186" s="268">
        <v>1</v>
      </c>
      <c r="F186" s="501"/>
      <c r="G186" s="501"/>
      <c r="H186" s="501"/>
      <c r="I186" s="501">
        <f t="shared" si="34"/>
        <v>312.6909371620834</v>
      </c>
      <c r="J186" s="501"/>
      <c r="K186" s="501"/>
      <c r="L186" s="501"/>
      <c r="M186" s="501">
        <f t="shared" si="35"/>
        <v>312.6909371620834</v>
      </c>
      <c r="N186" s="501"/>
      <c r="O186" s="501"/>
    </row>
    <row r="187" spans="2:15" ht="15.65" x14ac:dyDescent="0.25">
      <c r="B187" s="780" t="s">
        <v>854</v>
      </c>
      <c r="C187" s="292">
        <v>17293.599348946253</v>
      </c>
      <c r="D187" s="269">
        <v>28000</v>
      </c>
      <c r="E187" s="268">
        <v>1</v>
      </c>
      <c r="F187" s="501"/>
      <c r="G187" s="501"/>
      <c r="H187" s="501"/>
      <c r="I187" s="501">
        <f t="shared" si="34"/>
        <v>17293.599348946253</v>
      </c>
      <c r="J187" s="501"/>
      <c r="K187" s="501"/>
      <c r="L187" s="501"/>
      <c r="M187" s="501">
        <f t="shared" si="35"/>
        <v>17293.599348946253</v>
      </c>
      <c r="N187" s="501"/>
      <c r="O187" s="501"/>
    </row>
    <row r="188" spans="2:15" ht="15.65" x14ac:dyDescent="0.25">
      <c r="B188" s="780" t="s">
        <v>855</v>
      </c>
      <c r="C188" s="292">
        <v>2852.1496297066669</v>
      </c>
      <c r="D188" s="269">
        <v>28000</v>
      </c>
      <c r="E188" s="268">
        <v>4</v>
      </c>
      <c r="F188" s="501"/>
      <c r="G188" s="501"/>
      <c r="H188" s="501"/>
      <c r="I188" s="501">
        <f t="shared" si="34"/>
        <v>11408.598518826668</v>
      </c>
      <c r="J188" s="501"/>
      <c r="K188" s="501"/>
      <c r="L188" s="501"/>
      <c r="M188" s="501">
        <f t="shared" si="35"/>
        <v>11408.598518826668</v>
      </c>
      <c r="N188" s="501"/>
      <c r="O188" s="501"/>
    </row>
    <row r="189" spans="2:15" ht="15.65" x14ac:dyDescent="0.25">
      <c r="B189" s="780" t="s">
        <v>856</v>
      </c>
      <c r="C189" s="292">
        <v>76171.343683132509</v>
      </c>
      <c r="D189" s="269">
        <v>28000</v>
      </c>
      <c r="E189" s="268">
        <v>2</v>
      </c>
      <c r="F189" s="501"/>
      <c r="G189" s="501"/>
      <c r="H189" s="501"/>
      <c r="I189" s="501">
        <f t="shared" si="34"/>
        <v>152342.68736626502</v>
      </c>
      <c r="J189" s="501"/>
      <c r="K189" s="501"/>
      <c r="L189" s="501"/>
      <c r="M189" s="501">
        <f t="shared" si="35"/>
        <v>152342.68736626502</v>
      </c>
      <c r="N189" s="501"/>
      <c r="O189" s="501"/>
    </row>
    <row r="190" spans="2:15" ht="15.65" x14ac:dyDescent="0.25">
      <c r="B190" s="780" t="s">
        <v>857</v>
      </c>
      <c r="C190" s="292">
        <v>69245.714711025415</v>
      </c>
      <c r="D190" s="269">
        <v>28000</v>
      </c>
      <c r="E190" s="268">
        <v>2</v>
      </c>
      <c r="F190" s="501"/>
      <c r="G190" s="501"/>
      <c r="H190" s="501"/>
      <c r="I190" s="501">
        <f t="shared" si="34"/>
        <v>138491.42942205083</v>
      </c>
      <c r="J190" s="501"/>
      <c r="K190" s="501"/>
      <c r="L190" s="501"/>
      <c r="M190" s="501">
        <f t="shared" si="35"/>
        <v>138491.42942205083</v>
      </c>
      <c r="N190" s="501"/>
      <c r="O190" s="501"/>
    </row>
    <row r="191" spans="2:15" ht="15.65" x14ac:dyDescent="0.25">
      <c r="B191" s="780" t="s">
        <v>858</v>
      </c>
      <c r="C191" s="292">
        <v>8263.9633205249993</v>
      </c>
      <c r="D191" s="269">
        <v>28000</v>
      </c>
      <c r="E191" s="268">
        <v>2</v>
      </c>
      <c r="F191" s="501"/>
      <c r="G191" s="501"/>
      <c r="H191" s="501"/>
      <c r="I191" s="501">
        <f t="shared" si="34"/>
        <v>16527.926641049999</v>
      </c>
      <c r="J191" s="501"/>
      <c r="K191" s="501"/>
      <c r="L191" s="501"/>
      <c r="M191" s="501">
        <f t="shared" si="35"/>
        <v>16527.926641049999</v>
      </c>
      <c r="N191" s="501"/>
      <c r="O191" s="501"/>
    </row>
    <row r="192" spans="2:15" ht="15.65" x14ac:dyDescent="0.25">
      <c r="B192" s="780" t="s">
        <v>859</v>
      </c>
      <c r="C192" s="292">
        <v>90149.878023443336</v>
      </c>
      <c r="D192" s="269">
        <v>28000</v>
      </c>
      <c r="E192" s="268">
        <v>2</v>
      </c>
      <c r="F192" s="501"/>
      <c r="G192" s="501"/>
      <c r="H192" s="501"/>
      <c r="I192" s="501">
        <f t="shared" si="34"/>
        <v>180299.75604688667</v>
      </c>
      <c r="J192" s="501"/>
      <c r="K192" s="501"/>
      <c r="L192" s="501"/>
      <c r="M192" s="501">
        <f t="shared" si="35"/>
        <v>180299.75604688667</v>
      </c>
      <c r="N192" s="501"/>
      <c r="O192" s="501"/>
    </row>
    <row r="193" spans="2:15" ht="15.65" x14ac:dyDescent="0.25">
      <c r="B193" s="780" t="s">
        <v>860</v>
      </c>
      <c r="C193" s="292">
        <v>7465.9654272820844</v>
      </c>
      <c r="D193" s="269">
        <v>28000</v>
      </c>
      <c r="E193" s="268">
        <v>1</v>
      </c>
      <c r="F193" s="501"/>
      <c r="G193" s="501"/>
      <c r="H193" s="501"/>
      <c r="I193" s="501">
        <f t="shared" si="34"/>
        <v>7465.9654272820844</v>
      </c>
      <c r="J193" s="501"/>
      <c r="K193" s="501"/>
      <c r="L193" s="501"/>
      <c r="M193" s="501">
        <f t="shared" si="35"/>
        <v>7465.9654272820844</v>
      </c>
      <c r="N193" s="501"/>
      <c r="O193" s="501"/>
    </row>
    <row r="194" spans="2:15" ht="15.65" x14ac:dyDescent="0.25">
      <c r="B194" s="780" t="s">
        <v>845</v>
      </c>
      <c r="C194" s="292">
        <v>33635.790728485001</v>
      </c>
      <c r="D194" s="269">
        <v>28000</v>
      </c>
      <c r="E194" s="268">
        <v>1</v>
      </c>
      <c r="F194" s="501"/>
      <c r="G194" s="501"/>
      <c r="H194" s="501"/>
      <c r="I194" s="501">
        <f t="shared" si="34"/>
        <v>33635.790728485001</v>
      </c>
      <c r="J194" s="501"/>
      <c r="K194" s="501"/>
      <c r="L194" s="501"/>
      <c r="M194" s="501">
        <f t="shared" si="35"/>
        <v>33635.790728485001</v>
      </c>
      <c r="N194" s="501"/>
      <c r="O194" s="501"/>
    </row>
    <row r="195" spans="2:15" ht="15.65" x14ac:dyDescent="0.25">
      <c r="B195" s="781" t="s">
        <v>861</v>
      </c>
      <c r="C195" s="292"/>
      <c r="D195" s="269"/>
      <c r="E195" s="268"/>
      <c r="F195" s="501"/>
      <c r="G195" s="501"/>
      <c r="H195" s="501"/>
      <c r="I195" s="501"/>
      <c r="J195" s="501"/>
      <c r="K195" s="501"/>
      <c r="L195" s="501"/>
      <c r="M195" s="501"/>
      <c r="N195" s="501"/>
      <c r="O195" s="501"/>
    </row>
    <row r="196" spans="2:15" ht="31.25" x14ac:dyDescent="0.25">
      <c r="B196" s="779" t="s">
        <v>862</v>
      </c>
      <c r="C196" s="292">
        <v>433.41883860000002</v>
      </c>
      <c r="D196" s="269">
        <v>7000</v>
      </c>
      <c r="E196" s="268">
        <v>2</v>
      </c>
      <c r="F196" s="501">
        <f>$C196*$E196</f>
        <v>866.83767720000003</v>
      </c>
      <c r="G196" s="501">
        <f t="shared" ref="G196:O198" si="36">$C196*$E196</f>
        <v>866.83767720000003</v>
      </c>
      <c r="H196" s="501">
        <f t="shared" si="36"/>
        <v>866.83767720000003</v>
      </c>
      <c r="I196" s="501">
        <f t="shared" si="36"/>
        <v>866.83767720000003</v>
      </c>
      <c r="J196" s="501">
        <f t="shared" si="36"/>
        <v>866.83767720000003</v>
      </c>
      <c r="K196" s="501">
        <f t="shared" si="36"/>
        <v>866.83767720000003</v>
      </c>
      <c r="L196" s="501">
        <f t="shared" si="36"/>
        <v>866.83767720000003</v>
      </c>
      <c r="M196" s="501">
        <f t="shared" si="36"/>
        <v>866.83767720000003</v>
      </c>
      <c r="N196" s="501">
        <f t="shared" si="36"/>
        <v>866.83767720000003</v>
      </c>
      <c r="O196" s="501">
        <f t="shared" si="36"/>
        <v>866.83767720000003</v>
      </c>
    </row>
    <row r="197" spans="2:15" ht="31.25" x14ac:dyDescent="0.25">
      <c r="B197" s="779" t="s">
        <v>863</v>
      </c>
      <c r="C197" s="292">
        <v>589.73521200000005</v>
      </c>
      <c r="D197" s="269">
        <v>7000</v>
      </c>
      <c r="E197" s="268">
        <v>6</v>
      </c>
      <c r="F197" s="501">
        <f t="shared" ref="F197:F198" si="37">$C197*$E197</f>
        <v>3538.4112720000003</v>
      </c>
      <c r="G197" s="501">
        <f t="shared" si="36"/>
        <v>3538.4112720000003</v>
      </c>
      <c r="H197" s="501">
        <f t="shared" si="36"/>
        <v>3538.4112720000003</v>
      </c>
      <c r="I197" s="501">
        <f t="shared" si="36"/>
        <v>3538.4112720000003</v>
      </c>
      <c r="J197" s="501">
        <f t="shared" si="36"/>
        <v>3538.4112720000003</v>
      </c>
      <c r="K197" s="501">
        <f t="shared" si="36"/>
        <v>3538.4112720000003</v>
      </c>
      <c r="L197" s="501">
        <f t="shared" si="36"/>
        <v>3538.4112720000003</v>
      </c>
      <c r="M197" s="501">
        <f t="shared" si="36"/>
        <v>3538.4112720000003</v>
      </c>
      <c r="N197" s="501">
        <f t="shared" si="36"/>
        <v>3538.4112720000003</v>
      </c>
      <c r="O197" s="501">
        <f t="shared" si="36"/>
        <v>3538.4112720000003</v>
      </c>
    </row>
    <row r="198" spans="2:15" ht="15.65" x14ac:dyDescent="0.25">
      <c r="B198" s="779" t="s">
        <v>864</v>
      </c>
      <c r="C198" s="292">
        <v>262.89316350000001</v>
      </c>
      <c r="D198" s="269">
        <v>7000</v>
      </c>
      <c r="E198" s="268">
        <v>2</v>
      </c>
      <c r="F198" s="501">
        <f t="shared" si="37"/>
        <v>525.78632700000003</v>
      </c>
      <c r="G198" s="501">
        <f t="shared" si="36"/>
        <v>525.78632700000003</v>
      </c>
      <c r="H198" s="501">
        <f t="shared" si="36"/>
        <v>525.78632700000003</v>
      </c>
      <c r="I198" s="501">
        <f t="shared" si="36"/>
        <v>525.78632700000003</v>
      </c>
      <c r="J198" s="501">
        <f t="shared" si="36"/>
        <v>525.78632700000003</v>
      </c>
      <c r="K198" s="501">
        <f t="shared" si="36"/>
        <v>525.78632700000003</v>
      </c>
      <c r="L198" s="501">
        <f t="shared" si="36"/>
        <v>525.78632700000003</v>
      </c>
      <c r="M198" s="501">
        <f t="shared" si="36"/>
        <v>525.78632700000003</v>
      </c>
      <c r="N198" s="501">
        <f t="shared" si="36"/>
        <v>525.78632700000003</v>
      </c>
      <c r="O198" s="501">
        <f t="shared" si="36"/>
        <v>525.78632700000003</v>
      </c>
    </row>
    <row r="199" spans="2:15" ht="31.25" x14ac:dyDescent="0.25">
      <c r="B199" s="780" t="s">
        <v>865</v>
      </c>
      <c r="C199" s="292">
        <v>737.04252269999995</v>
      </c>
      <c r="D199" s="269">
        <v>14000</v>
      </c>
      <c r="E199" s="268">
        <v>2</v>
      </c>
      <c r="F199" s="501"/>
      <c r="G199" s="501">
        <f>$C199*$E199</f>
        <v>1474.0850453999999</v>
      </c>
      <c r="H199" s="501"/>
      <c r="I199" s="501">
        <f>$C199*$E199</f>
        <v>1474.0850453999999</v>
      </c>
      <c r="J199" s="501"/>
      <c r="K199" s="501">
        <f>$C199*$E199</f>
        <v>1474.0850453999999</v>
      </c>
      <c r="L199" s="501"/>
      <c r="M199" s="501">
        <f>$C199*$E199</f>
        <v>1474.0850453999999</v>
      </c>
      <c r="N199" s="501"/>
      <c r="O199" s="501"/>
    </row>
    <row r="200" spans="2:15" ht="31.25" x14ac:dyDescent="0.25">
      <c r="B200" s="780" t="s">
        <v>866</v>
      </c>
      <c r="C200" s="292">
        <v>1028.8989092249999</v>
      </c>
      <c r="D200" s="269">
        <v>14000</v>
      </c>
      <c r="E200" s="268">
        <v>6</v>
      </c>
      <c r="F200" s="501"/>
      <c r="G200" s="501">
        <f t="shared" ref="G200:M202" si="38">$C200*$E200</f>
        <v>6173.3934553499994</v>
      </c>
      <c r="H200" s="501"/>
      <c r="I200" s="501">
        <f t="shared" si="38"/>
        <v>6173.3934553499994</v>
      </c>
      <c r="J200" s="501"/>
      <c r="K200" s="501">
        <f t="shared" si="38"/>
        <v>6173.3934553499994</v>
      </c>
      <c r="L200" s="501"/>
      <c r="M200" s="501">
        <f t="shared" si="38"/>
        <v>6173.3934553499994</v>
      </c>
      <c r="N200" s="501"/>
      <c r="O200" s="501"/>
    </row>
    <row r="201" spans="2:15" ht="15.65" x14ac:dyDescent="0.25">
      <c r="B201" s="780" t="s">
        <v>867</v>
      </c>
      <c r="C201" s="292">
        <v>985.44880417500008</v>
      </c>
      <c r="D201" s="269">
        <v>14000</v>
      </c>
      <c r="E201" s="268">
        <v>2</v>
      </c>
      <c r="F201" s="501"/>
      <c r="G201" s="501">
        <f t="shared" si="38"/>
        <v>1970.8976083500002</v>
      </c>
      <c r="H201" s="501"/>
      <c r="I201" s="501">
        <f t="shared" si="38"/>
        <v>1970.8976083500002</v>
      </c>
      <c r="J201" s="501"/>
      <c r="K201" s="501">
        <f t="shared" si="38"/>
        <v>1970.8976083500002</v>
      </c>
      <c r="L201" s="501"/>
      <c r="M201" s="501">
        <f t="shared" si="38"/>
        <v>1970.8976083500002</v>
      </c>
      <c r="N201" s="501"/>
      <c r="O201" s="501"/>
    </row>
    <row r="202" spans="2:15" ht="15.65" x14ac:dyDescent="0.25">
      <c r="B202" s="780" t="s">
        <v>868</v>
      </c>
      <c r="C202" s="292">
        <v>2334.6933477129173</v>
      </c>
      <c r="D202" s="269">
        <v>14000</v>
      </c>
      <c r="E202" s="268">
        <v>4</v>
      </c>
      <c r="F202" s="501"/>
      <c r="G202" s="501">
        <f t="shared" si="38"/>
        <v>9338.7733908516693</v>
      </c>
      <c r="H202" s="501"/>
      <c r="I202" s="501">
        <f t="shared" si="38"/>
        <v>9338.7733908516693</v>
      </c>
      <c r="J202" s="501"/>
      <c r="K202" s="501">
        <f t="shared" si="38"/>
        <v>9338.7733908516693</v>
      </c>
      <c r="L202" s="501"/>
      <c r="M202" s="501">
        <f t="shared" si="38"/>
        <v>9338.7733908516693</v>
      </c>
      <c r="N202" s="501"/>
      <c r="O202" s="501"/>
    </row>
    <row r="203" spans="2:15" ht="15.65" x14ac:dyDescent="0.25">
      <c r="B203" s="779" t="s">
        <v>869</v>
      </c>
      <c r="C203" s="292">
        <v>13987.86025841417</v>
      </c>
      <c r="D203" s="269">
        <v>28000</v>
      </c>
      <c r="E203" s="268">
        <v>2</v>
      </c>
      <c r="F203" s="501"/>
      <c r="G203" s="501"/>
      <c r="H203" s="501"/>
      <c r="I203" s="501">
        <f>$C203*$E203</f>
        <v>27975.72051682834</v>
      </c>
      <c r="J203" s="501"/>
      <c r="K203" s="501"/>
      <c r="L203" s="501"/>
      <c r="M203" s="501">
        <f>$C203*$E203</f>
        <v>27975.72051682834</v>
      </c>
      <c r="N203" s="501"/>
      <c r="O203" s="501"/>
    </row>
    <row r="204" spans="2:15" ht="15.65" x14ac:dyDescent="0.25">
      <c r="B204" s="779" t="s">
        <v>870</v>
      </c>
      <c r="C204" s="292">
        <v>14158.746514650835</v>
      </c>
      <c r="D204" s="269">
        <v>28000</v>
      </c>
      <c r="E204" s="268">
        <v>8</v>
      </c>
      <c r="F204" s="501"/>
      <c r="G204" s="501"/>
      <c r="H204" s="501"/>
      <c r="I204" s="501">
        <f t="shared" ref="I204:I207" si="39">$C204*$E204</f>
        <v>113269.97211720668</v>
      </c>
      <c r="J204" s="501"/>
      <c r="K204" s="501"/>
      <c r="L204" s="501"/>
      <c r="M204" s="501">
        <f t="shared" ref="M204:M207" si="40">$C204*$E204</f>
        <v>113269.97211720668</v>
      </c>
      <c r="N204" s="501"/>
      <c r="O204" s="501"/>
    </row>
    <row r="205" spans="2:15" ht="15.65" x14ac:dyDescent="0.25">
      <c r="B205" s="779" t="s">
        <v>871</v>
      </c>
      <c r="C205" s="292">
        <v>5670.2772813683332</v>
      </c>
      <c r="D205" s="269">
        <v>28000</v>
      </c>
      <c r="E205" s="268">
        <v>2</v>
      </c>
      <c r="F205" s="501"/>
      <c r="G205" s="501"/>
      <c r="H205" s="501"/>
      <c r="I205" s="501">
        <f t="shared" si="39"/>
        <v>11340.554562736666</v>
      </c>
      <c r="J205" s="501"/>
      <c r="K205" s="501"/>
      <c r="L205" s="501"/>
      <c r="M205" s="501">
        <f t="shared" si="40"/>
        <v>11340.554562736666</v>
      </c>
      <c r="N205" s="501"/>
      <c r="O205" s="501"/>
    </row>
    <row r="206" spans="2:15" ht="15.65" x14ac:dyDescent="0.25">
      <c r="B206" s="779" t="s">
        <v>872</v>
      </c>
      <c r="C206" s="292">
        <v>7829.6476554220835</v>
      </c>
      <c r="D206" s="269">
        <v>28000</v>
      </c>
      <c r="E206" s="268">
        <v>4</v>
      </c>
      <c r="F206" s="501"/>
      <c r="G206" s="501"/>
      <c r="H206" s="501"/>
      <c r="I206" s="501">
        <f t="shared" si="39"/>
        <v>31318.590621688334</v>
      </c>
      <c r="J206" s="501"/>
      <c r="K206" s="501"/>
      <c r="L206" s="501"/>
      <c r="M206" s="501">
        <f t="shared" si="40"/>
        <v>31318.590621688334</v>
      </c>
      <c r="N206" s="501"/>
      <c r="O206" s="501"/>
    </row>
    <row r="207" spans="2:15" ht="15.65" x14ac:dyDescent="0.25">
      <c r="B207" s="780" t="s">
        <v>873</v>
      </c>
      <c r="C207" s="292">
        <v>13882.89165</v>
      </c>
      <c r="D207" s="269">
        <v>28000</v>
      </c>
      <c r="E207" s="268">
        <v>2</v>
      </c>
      <c r="F207" s="501"/>
      <c r="G207" s="501"/>
      <c r="H207" s="501"/>
      <c r="I207" s="501">
        <f t="shared" si="39"/>
        <v>27765.783299999999</v>
      </c>
      <c r="J207" s="501"/>
      <c r="K207" s="501"/>
      <c r="L207" s="501"/>
      <c r="M207" s="501">
        <f t="shared" si="40"/>
        <v>27765.783299999999</v>
      </c>
      <c r="N207" s="501"/>
      <c r="O207" s="501"/>
    </row>
    <row r="208" spans="2:15" ht="15.65" x14ac:dyDescent="0.25">
      <c r="B208" s="781" t="s">
        <v>874</v>
      </c>
      <c r="C208" s="292"/>
      <c r="D208" s="269"/>
      <c r="E208" s="268"/>
      <c r="F208" s="501"/>
      <c r="G208" s="501"/>
      <c r="H208" s="501"/>
      <c r="I208" s="501"/>
      <c r="J208" s="501"/>
      <c r="K208" s="501"/>
      <c r="L208" s="501"/>
      <c r="M208" s="501"/>
      <c r="N208" s="501"/>
      <c r="O208" s="501"/>
    </row>
    <row r="209" spans="2:15" ht="15.65" x14ac:dyDescent="0.25">
      <c r="B209" s="780" t="s">
        <v>875</v>
      </c>
      <c r="C209" s="292">
        <v>1260.5885890812503</v>
      </c>
      <c r="D209" s="269">
        <v>28000</v>
      </c>
      <c r="E209" s="268">
        <v>1</v>
      </c>
      <c r="F209" s="501"/>
      <c r="G209" s="501"/>
      <c r="H209" s="501"/>
      <c r="I209" s="501">
        <f>$C209*$E209</f>
        <v>1260.5885890812503</v>
      </c>
      <c r="J209" s="501"/>
      <c r="K209" s="501"/>
      <c r="L209" s="501"/>
      <c r="M209" s="501">
        <f>$C209*$E209</f>
        <v>1260.5885890812503</v>
      </c>
      <c r="N209" s="501"/>
      <c r="O209" s="501"/>
    </row>
    <row r="210" spans="2:15" ht="15.65" x14ac:dyDescent="0.25">
      <c r="B210" s="780" t="s">
        <v>876</v>
      </c>
      <c r="C210" s="292">
        <v>3813.600345958333</v>
      </c>
      <c r="D210" s="269">
        <v>28000</v>
      </c>
      <c r="E210" s="268">
        <v>1</v>
      </c>
      <c r="F210" s="418"/>
      <c r="G210" s="418"/>
      <c r="H210" s="418"/>
      <c r="I210" s="418">
        <f t="shared" ref="I210:J220" si="41">$C210*$E210</f>
        <v>3813.600345958333</v>
      </c>
      <c r="J210" s="418"/>
      <c r="K210" s="418"/>
      <c r="L210" s="418"/>
      <c r="M210" s="418">
        <f t="shared" ref="M210:M219" si="42">$C210*$E210</f>
        <v>3813.600345958333</v>
      </c>
      <c r="N210" s="418"/>
      <c r="O210" s="418"/>
    </row>
    <row r="211" spans="2:15" ht="15.65" x14ac:dyDescent="0.25">
      <c r="B211" s="780" t="s">
        <v>877</v>
      </c>
      <c r="C211" s="292">
        <v>2187.5683772250004</v>
      </c>
      <c r="D211" s="269">
        <v>28000</v>
      </c>
      <c r="E211" s="268">
        <v>1</v>
      </c>
      <c r="F211" s="501"/>
      <c r="G211" s="501"/>
      <c r="H211" s="501"/>
      <c r="I211" s="501">
        <f t="shared" si="41"/>
        <v>2187.5683772250004</v>
      </c>
      <c r="J211" s="501"/>
      <c r="K211" s="501"/>
      <c r="L211" s="501"/>
      <c r="M211" s="501">
        <f t="shared" si="42"/>
        <v>2187.5683772250004</v>
      </c>
      <c r="N211" s="501"/>
      <c r="O211" s="501"/>
    </row>
    <row r="212" spans="2:15" ht="15.65" x14ac:dyDescent="0.25">
      <c r="B212" s="780" t="s">
        <v>878</v>
      </c>
      <c r="C212" s="292">
        <v>99.742789827083328</v>
      </c>
      <c r="D212" s="269">
        <v>28000</v>
      </c>
      <c r="E212" s="268">
        <v>1</v>
      </c>
      <c r="F212" s="501"/>
      <c r="G212" s="501"/>
      <c r="H212" s="501"/>
      <c r="I212" s="501">
        <f t="shared" si="41"/>
        <v>99.742789827083328</v>
      </c>
      <c r="J212" s="501"/>
      <c r="K212" s="501"/>
      <c r="L212" s="501"/>
      <c r="M212" s="501">
        <f t="shared" si="42"/>
        <v>99.742789827083328</v>
      </c>
      <c r="N212" s="501"/>
      <c r="O212" s="501"/>
    </row>
    <row r="213" spans="2:15" ht="15.65" x14ac:dyDescent="0.25">
      <c r="B213" s="780" t="s">
        <v>879</v>
      </c>
      <c r="C213" s="292">
        <v>1935.862754925</v>
      </c>
      <c r="D213" s="269">
        <v>28000</v>
      </c>
      <c r="E213" s="268">
        <v>1</v>
      </c>
      <c r="F213" s="501"/>
      <c r="G213" s="501"/>
      <c r="H213" s="501"/>
      <c r="I213" s="501">
        <f t="shared" si="41"/>
        <v>1935.862754925</v>
      </c>
      <c r="J213" s="501"/>
      <c r="K213" s="501"/>
      <c r="L213" s="501"/>
      <c r="M213" s="501">
        <f t="shared" si="42"/>
        <v>1935.862754925</v>
      </c>
      <c r="N213" s="501"/>
      <c r="O213" s="501"/>
    </row>
    <row r="214" spans="2:15" ht="15.65" x14ac:dyDescent="0.25">
      <c r="B214" s="780" t="s">
        <v>880</v>
      </c>
      <c r="C214" s="292">
        <v>791.9401809000002</v>
      </c>
      <c r="D214" s="269">
        <v>28000</v>
      </c>
      <c r="E214" s="268">
        <v>1</v>
      </c>
      <c r="F214" s="501"/>
      <c r="G214" s="501"/>
      <c r="H214" s="501"/>
      <c r="I214" s="501">
        <f t="shared" si="41"/>
        <v>791.9401809000002</v>
      </c>
      <c r="J214" s="501"/>
      <c r="K214" s="501"/>
      <c r="L214" s="501"/>
      <c r="M214" s="501">
        <f t="shared" si="42"/>
        <v>791.9401809000002</v>
      </c>
      <c r="N214" s="501"/>
      <c r="O214" s="501"/>
    </row>
    <row r="215" spans="2:15" ht="31.25" x14ac:dyDescent="0.25">
      <c r="B215" s="780" t="s">
        <v>881</v>
      </c>
      <c r="C215" s="292">
        <v>755.71067797500007</v>
      </c>
      <c r="D215" s="269">
        <v>28000</v>
      </c>
      <c r="E215" s="268">
        <v>1</v>
      </c>
      <c r="F215" s="501"/>
      <c r="G215" s="501"/>
      <c r="H215" s="501"/>
      <c r="I215" s="501">
        <f t="shared" si="41"/>
        <v>755.71067797500007</v>
      </c>
      <c r="J215" s="501"/>
      <c r="K215" s="501"/>
      <c r="L215" s="501"/>
      <c r="M215" s="501">
        <f t="shared" si="42"/>
        <v>755.71067797500007</v>
      </c>
      <c r="N215" s="501"/>
      <c r="O215" s="501"/>
    </row>
    <row r="216" spans="2:15" ht="15.65" x14ac:dyDescent="0.25">
      <c r="B216" s="780" t="s">
        <v>882</v>
      </c>
      <c r="C216" s="292">
        <v>3053.9071125750006</v>
      </c>
      <c r="D216" s="269">
        <v>28000</v>
      </c>
      <c r="E216" s="268">
        <v>1</v>
      </c>
      <c r="F216" s="418"/>
      <c r="G216" s="418"/>
      <c r="H216" s="418"/>
      <c r="I216" s="501">
        <f t="shared" si="41"/>
        <v>3053.9071125750006</v>
      </c>
      <c r="J216" s="418"/>
      <c r="K216" s="418"/>
      <c r="L216" s="418"/>
      <c r="M216" s="418">
        <f t="shared" si="42"/>
        <v>3053.9071125750006</v>
      </c>
      <c r="N216" s="418"/>
      <c r="O216" s="418"/>
    </row>
    <row r="217" spans="2:15" ht="15.65" x14ac:dyDescent="0.25">
      <c r="B217" s="780" t="s">
        <v>883</v>
      </c>
      <c r="C217" s="292">
        <v>2595.7904767162499</v>
      </c>
      <c r="D217" s="269">
        <v>28000</v>
      </c>
      <c r="E217" s="268">
        <v>2</v>
      </c>
      <c r="F217" s="501"/>
      <c r="G217" s="501"/>
      <c r="H217" s="501"/>
      <c r="I217" s="501">
        <f t="shared" si="41"/>
        <v>5191.5809534324999</v>
      </c>
      <c r="J217" s="501"/>
      <c r="K217" s="501"/>
      <c r="L217" s="501"/>
      <c r="M217" s="501">
        <f t="shared" si="42"/>
        <v>5191.5809534324999</v>
      </c>
      <c r="N217" s="501"/>
      <c r="O217" s="501"/>
    </row>
    <row r="218" spans="2:15" ht="15.65" x14ac:dyDescent="0.25">
      <c r="B218" s="780" t="s">
        <v>884</v>
      </c>
      <c r="C218" s="292">
        <v>2215.3720874999999</v>
      </c>
      <c r="D218" s="269">
        <v>28000</v>
      </c>
      <c r="E218" s="268">
        <v>1</v>
      </c>
      <c r="F218" s="501"/>
      <c r="G218" s="501"/>
      <c r="H218" s="501"/>
      <c r="I218" s="501">
        <f t="shared" si="41"/>
        <v>2215.3720874999999</v>
      </c>
      <c r="J218" s="501"/>
      <c r="K218" s="501"/>
      <c r="L218" s="501"/>
      <c r="M218" s="501">
        <f t="shared" si="42"/>
        <v>2215.3720874999999</v>
      </c>
      <c r="N218" s="501"/>
      <c r="O218" s="501"/>
    </row>
    <row r="219" spans="2:15" ht="15.65" x14ac:dyDescent="0.25">
      <c r="B219" s="780" t="s">
        <v>885</v>
      </c>
      <c r="C219" s="292">
        <v>1313.1290398462502</v>
      </c>
      <c r="D219" s="269">
        <v>28000</v>
      </c>
      <c r="E219" s="268">
        <v>1</v>
      </c>
      <c r="F219" s="501"/>
      <c r="G219" s="501"/>
      <c r="H219" s="501"/>
      <c r="I219" s="501">
        <f t="shared" si="41"/>
        <v>1313.1290398462502</v>
      </c>
      <c r="J219" s="501"/>
      <c r="K219" s="501"/>
      <c r="L219" s="501"/>
      <c r="M219" s="501">
        <f t="shared" si="42"/>
        <v>1313.1290398462502</v>
      </c>
      <c r="N219" s="501"/>
      <c r="O219" s="501"/>
    </row>
    <row r="220" spans="2:15" ht="15.65" x14ac:dyDescent="0.25">
      <c r="B220" s="776" t="s">
        <v>886</v>
      </c>
      <c r="C220" s="292">
        <v>2083</v>
      </c>
      <c r="D220" s="269">
        <v>35000</v>
      </c>
      <c r="E220" s="268">
        <v>1</v>
      </c>
      <c r="F220" s="501"/>
      <c r="G220" s="501"/>
      <c r="H220" s="501"/>
      <c r="I220" s="501"/>
      <c r="J220" s="501">
        <f t="shared" si="41"/>
        <v>2083</v>
      </c>
      <c r="K220" s="501"/>
      <c r="L220" s="501"/>
      <c r="M220" s="501"/>
      <c r="N220" s="501"/>
      <c r="O220" s="501"/>
    </row>
    <row r="221" spans="2:15" x14ac:dyDescent="0.25">
      <c r="B221" s="420"/>
      <c r="C221" s="348"/>
      <c r="D221" s="295"/>
      <c r="E221" s="370"/>
      <c r="F221" s="476"/>
      <c r="G221" s="476"/>
      <c r="H221" s="476"/>
      <c r="I221" s="476"/>
      <c r="J221" s="476"/>
      <c r="K221" s="476"/>
      <c r="L221" s="476"/>
      <c r="M221" s="476"/>
      <c r="N221" s="476"/>
      <c r="O221" s="476"/>
    </row>
    <row r="222" spans="2:15" ht="14.95" thickBot="1" x14ac:dyDescent="0.3">
      <c r="B222" s="421"/>
      <c r="C222" s="422"/>
      <c r="D222" s="375"/>
      <c r="E222" s="372"/>
      <c r="F222" s="493"/>
      <c r="G222" s="493"/>
      <c r="H222" s="493"/>
      <c r="I222" s="493"/>
      <c r="J222" s="493"/>
      <c r="K222" s="493"/>
      <c r="L222" s="493"/>
      <c r="M222" s="493"/>
      <c r="N222" s="493"/>
      <c r="O222" s="493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05EF-EDEA-4F6B-BC75-75E3227B1E84}">
  <sheetPr>
    <tabColor theme="9" tint="0.39997558519241921"/>
    <pageSetUpPr fitToPage="1"/>
  </sheetPr>
  <dimension ref="A2:AF35"/>
  <sheetViews>
    <sheetView showGridLines="0" zoomScale="85" zoomScaleNormal="85" zoomScaleSheetLayoutView="100" workbookViewId="0">
      <selection activeCell="AF18" sqref="AF18"/>
    </sheetView>
  </sheetViews>
  <sheetFormatPr defaultColWidth="9.125" defaultRowHeight="12.9" x14ac:dyDescent="0.25"/>
  <cols>
    <col min="1" max="1" width="3" style="238" bestFit="1" customWidth="1"/>
    <col min="2" max="2" width="39" style="744" customWidth="1"/>
    <col min="3" max="3" width="14" style="238" bestFit="1" customWidth="1"/>
    <col min="4" max="4" width="10.875" style="238" bestFit="1" customWidth="1"/>
    <col min="5" max="14" width="10" style="239" bestFit="1" customWidth="1"/>
    <col min="15" max="15" width="10.5" style="239" customWidth="1"/>
    <col min="16" max="24" width="10" style="239" bestFit="1" customWidth="1"/>
    <col min="25" max="25" width="69.5" style="236" bestFit="1" customWidth="1"/>
    <col min="26" max="26" width="4.75" style="236" customWidth="1"/>
    <col min="27" max="16384" width="9.125" style="236"/>
  </cols>
  <sheetData>
    <row r="2" spans="1:30" ht="14.3" x14ac:dyDescent="0.25">
      <c r="B2" s="237" t="s">
        <v>259</v>
      </c>
    </row>
    <row r="3" spans="1:30" s="241" customFormat="1" ht="27" customHeight="1" x14ac:dyDescent="0.25">
      <c r="A3" s="787"/>
      <c r="B3" s="242" t="s">
        <v>261</v>
      </c>
      <c r="C3" s="243" t="s">
        <v>419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5" t="s">
        <v>263</v>
      </c>
    </row>
    <row r="4" spans="1:30" s="249" customFormat="1" ht="13.6" x14ac:dyDescent="0.25">
      <c r="A4" s="238">
        <v>1</v>
      </c>
      <c r="B4" s="788" t="s">
        <v>264</v>
      </c>
      <c r="C4" s="247" t="s">
        <v>8</v>
      </c>
      <c r="D4" s="247">
        <v>0</v>
      </c>
      <c r="E4" s="247">
        <f>D4+1</f>
        <v>1</v>
      </c>
      <c r="F4" s="247">
        <f>E4+1</f>
        <v>2</v>
      </c>
      <c r="G4" s="247">
        <f t="shared" ref="G4:N4" si="0">F4+1</f>
        <v>3</v>
      </c>
      <c r="H4" s="247">
        <f t="shared" si="0"/>
        <v>4</v>
      </c>
      <c r="I4" s="247">
        <f t="shared" si="0"/>
        <v>5</v>
      </c>
      <c r="J4" s="247">
        <f t="shared" si="0"/>
        <v>6</v>
      </c>
      <c r="K4" s="247">
        <f t="shared" si="0"/>
        <v>7</v>
      </c>
      <c r="L4" s="247">
        <f t="shared" si="0"/>
        <v>8</v>
      </c>
      <c r="M4" s="247">
        <f t="shared" si="0"/>
        <v>9</v>
      </c>
      <c r="N4" s="247">
        <f t="shared" si="0"/>
        <v>10</v>
      </c>
      <c r="O4" s="247">
        <f>N4+1</f>
        <v>11</v>
      </c>
      <c r="P4" s="247">
        <f>O4+1</f>
        <v>12</v>
      </c>
      <c r="Q4" s="247">
        <v>13</v>
      </c>
      <c r="R4" s="247">
        <v>14</v>
      </c>
      <c r="S4" s="247">
        <v>15</v>
      </c>
      <c r="T4" s="247">
        <v>16</v>
      </c>
      <c r="U4" s="247">
        <v>17</v>
      </c>
      <c r="V4" s="247">
        <v>18</v>
      </c>
      <c r="W4" s="247">
        <v>19</v>
      </c>
      <c r="X4" s="247">
        <v>20</v>
      </c>
      <c r="Y4" s="789" t="s">
        <v>891</v>
      </c>
      <c r="Z4" s="248"/>
    </row>
    <row r="5" spans="1:30" s="249" customFormat="1" ht="13.6" x14ac:dyDescent="0.25">
      <c r="A5" s="238">
        <f>A4+1</f>
        <v>2</v>
      </c>
      <c r="B5" s="788" t="s">
        <v>265</v>
      </c>
      <c r="C5" s="247"/>
      <c r="Y5" s="789"/>
      <c r="Z5" s="248"/>
    </row>
    <row r="6" spans="1:30" s="249" customFormat="1" ht="13.6" x14ac:dyDescent="0.2">
      <c r="A6" s="238">
        <f t="shared" ref="A6:A10" si="1">A5+1</f>
        <v>3</v>
      </c>
      <c r="B6" s="790" t="s">
        <v>266</v>
      </c>
      <c r="C6" s="251" t="s">
        <v>29</v>
      </c>
      <c r="D6" s="247">
        <v>8500</v>
      </c>
      <c r="E6" s="247">
        <f>D6</f>
        <v>8500</v>
      </c>
      <c r="F6" s="247">
        <f t="shared" ref="F6:U8" si="2">E6</f>
        <v>8500</v>
      </c>
      <c r="G6" s="247">
        <f t="shared" si="2"/>
        <v>8500</v>
      </c>
      <c r="H6" s="247">
        <f t="shared" si="2"/>
        <v>8500</v>
      </c>
      <c r="I6" s="247">
        <f t="shared" si="2"/>
        <v>8500</v>
      </c>
      <c r="J6" s="247">
        <f t="shared" si="2"/>
        <v>8500</v>
      </c>
      <c r="K6" s="247">
        <f t="shared" si="2"/>
        <v>8500</v>
      </c>
      <c r="L6" s="247">
        <f t="shared" si="2"/>
        <v>8500</v>
      </c>
      <c r="M6" s="247">
        <f t="shared" si="2"/>
        <v>8500</v>
      </c>
      <c r="N6" s="247">
        <f t="shared" si="2"/>
        <v>8500</v>
      </c>
      <c r="O6" s="247">
        <f t="shared" si="2"/>
        <v>8500</v>
      </c>
      <c r="P6" s="247">
        <f t="shared" si="2"/>
        <v>8500</v>
      </c>
      <c r="Q6" s="247">
        <f t="shared" si="2"/>
        <v>8500</v>
      </c>
      <c r="R6" s="247">
        <f t="shared" si="2"/>
        <v>8500</v>
      </c>
      <c r="S6" s="247">
        <f t="shared" si="2"/>
        <v>8500</v>
      </c>
      <c r="T6" s="247">
        <f t="shared" si="2"/>
        <v>8500</v>
      </c>
      <c r="U6" s="247">
        <f t="shared" si="2"/>
        <v>8500</v>
      </c>
      <c r="V6" s="247">
        <f t="shared" ref="V6:X8" si="3">U6</f>
        <v>8500</v>
      </c>
      <c r="W6" s="247">
        <f t="shared" si="3"/>
        <v>8500</v>
      </c>
      <c r="X6" s="247">
        <f t="shared" si="3"/>
        <v>8500</v>
      </c>
      <c r="Y6" s="789" t="s">
        <v>892</v>
      </c>
      <c r="Z6" s="248"/>
    </row>
    <row r="7" spans="1:30" s="249" customFormat="1" ht="13.6" x14ac:dyDescent="0.2">
      <c r="A7" s="238">
        <f t="shared" si="1"/>
        <v>4</v>
      </c>
      <c r="B7" s="790" t="s">
        <v>267</v>
      </c>
      <c r="C7" s="251" t="s">
        <v>29</v>
      </c>
      <c r="D7" s="252">
        <v>7300</v>
      </c>
      <c r="E7" s="247">
        <f>D7</f>
        <v>7300</v>
      </c>
      <c r="F7" s="247">
        <f t="shared" si="2"/>
        <v>7300</v>
      </c>
      <c r="G7" s="247">
        <f t="shared" si="2"/>
        <v>7300</v>
      </c>
      <c r="H7" s="247">
        <f t="shared" si="2"/>
        <v>7300</v>
      </c>
      <c r="I7" s="247">
        <f t="shared" si="2"/>
        <v>7300</v>
      </c>
      <c r="J7" s="247">
        <f t="shared" si="2"/>
        <v>7300</v>
      </c>
      <c r="K7" s="247">
        <f t="shared" si="2"/>
        <v>7300</v>
      </c>
      <c r="L7" s="247">
        <f t="shared" si="2"/>
        <v>7300</v>
      </c>
      <c r="M7" s="247">
        <f t="shared" si="2"/>
        <v>7300</v>
      </c>
      <c r="N7" s="247">
        <f t="shared" si="2"/>
        <v>7300</v>
      </c>
      <c r="O7" s="247">
        <f t="shared" si="2"/>
        <v>7300</v>
      </c>
      <c r="P7" s="247">
        <f t="shared" si="2"/>
        <v>7300</v>
      </c>
      <c r="Q7" s="247">
        <f t="shared" si="2"/>
        <v>7300</v>
      </c>
      <c r="R7" s="247">
        <f t="shared" si="2"/>
        <v>7300</v>
      </c>
      <c r="S7" s="247">
        <f t="shared" si="2"/>
        <v>7300</v>
      </c>
      <c r="T7" s="247">
        <f t="shared" si="2"/>
        <v>7300</v>
      </c>
      <c r="U7" s="247">
        <f t="shared" si="2"/>
        <v>7300</v>
      </c>
      <c r="V7" s="247">
        <f t="shared" si="3"/>
        <v>7300</v>
      </c>
      <c r="W7" s="247">
        <f t="shared" si="3"/>
        <v>7300</v>
      </c>
      <c r="X7" s="247">
        <f t="shared" si="3"/>
        <v>7300</v>
      </c>
      <c r="Y7" s="789" t="s">
        <v>893</v>
      </c>
      <c r="Z7" s="248"/>
    </row>
    <row r="8" spans="1:30" s="249" customFormat="1" ht="13.6" x14ac:dyDescent="0.2">
      <c r="A8" s="238">
        <f t="shared" si="1"/>
        <v>5</v>
      </c>
      <c r="B8" s="790" t="s">
        <v>268</v>
      </c>
      <c r="C8" s="251" t="s">
        <v>29</v>
      </c>
      <c r="D8" s="252">
        <v>15600</v>
      </c>
      <c r="E8" s="247">
        <f>D8</f>
        <v>15600</v>
      </c>
      <c r="F8" s="247">
        <f t="shared" si="2"/>
        <v>15600</v>
      </c>
      <c r="G8" s="247">
        <f t="shared" si="2"/>
        <v>15600</v>
      </c>
      <c r="H8" s="247">
        <f t="shared" si="2"/>
        <v>15600</v>
      </c>
      <c r="I8" s="247">
        <f t="shared" si="2"/>
        <v>15600</v>
      </c>
      <c r="J8" s="247">
        <f t="shared" si="2"/>
        <v>15600</v>
      </c>
      <c r="K8" s="247">
        <f t="shared" si="2"/>
        <v>15600</v>
      </c>
      <c r="L8" s="247">
        <f t="shared" si="2"/>
        <v>15600</v>
      </c>
      <c r="M8" s="247">
        <f t="shared" si="2"/>
        <v>15600</v>
      </c>
      <c r="N8" s="247">
        <f t="shared" si="2"/>
        <v>15600</v>
      </c>
      <c r="O8" s="247">
        <f t="shared" si="2"/>
        <v>15600</v>
      </c>
      <c r="P8" s="247">
        <f t="shared" si="2"/>
        <v>15600</v>
      </c>
      <c r="Q8" s="247">
        <f t="shared" si="2"/>
        <v>15600</v>
      </c>
      <c r="R8" s="247">
        <f t="shared" si="2"/>
        <v>15600</v>
      </c>
      <c r="S8" s="247">
        <f t="shared" si="2"/>
        <v>15600</v>
      </c>
      <c r="T8" s="247">
        <f t="shared" si="2"/>
        <v>15600</v>
      </c>
      <c r="U8" s="247">
        <f t="shared" si="2"/>
        <v>15600</v>
      </c>
      <c r="V8" s="247">
        <f t="shared" si="3"/>
        <v>15600</v>
      </c>
      <c r="W8" s="247">
        <f t="shared" si="3"/>
        <v>15600</v>
      </c>
      <c r="X8" s="247">
        <f t="shared" si="3"/>
        <v>15600</v>
      </c>
      <c r="Y8" s="789" t="s">
        <v>894</v>
      </c>
      <c r="Z8" s="248"/>
    </row>
    <row r="9" spans="1:30" s="249" customFormat="1" ht="13.6" x14ac:dyDescent="0.2">
      <c r="A9" s="238">
        <f t="shared" si="1"/>
        <v>6</v>
      </c>
      <c r="B9" s="788" t="s">
        <v>10</v>
      </c>
      <c r="C9" s="251" t="s">
        <v>269</v>
      </c>
      <c r="D9" s="252">
        <v>236</v>
      </c>
      <c r="E9" s="247">
        <v>236</v>
      </c>
      <c r="F9" s="247">
        <v>236</v>
      </c>
      <c r="G9" s="247">
        <v>236</v>
      </c>
      <c r="H9" s="247">
        <v>236</v>
      </c>
      <c r="I9" s="247">
        <v>236</v>
      </c>
      <c r="J9" s="247">
        <v>236</v>
      </c>
      <c r="K9" s="247">
        <v>236</v>
      </c>
      <c r="L9" s="247">
        <v>236</v>
      </c>
      <c r="M9" s="247">
        <v>236</v>
      </c>
      <c r="N9" s="247">
        <v>236</v>
      </c>
      <c r="O9" s="247">
        <v>236</v>
      </c>
      <c r="P9" s="247">
        <v>236</v>
      </c>
      <c r="Q9" s="247">
        <v>236</v>
      </c>
      <c r="R9" s="247">
        <v>236</v>
      </c>
      <c r="S9" s="247">
        <v>236</v>
      </c>
      <c r="T9" s="247">
        <v>236</v>
      </c>
      <c r="U9" s="247">
        <v>236</v>
      </c>
      <c r="V9" s="247">
        <v>236</v>
      </c>
      <c r="W9" s="247">
        <v>236</v>
      </c>
      <c r="X9" s="247">
        <v>236</v>
      </c>
      <c r="Y9" s="789" t="s">
        <v>421</v>
      </c>
      <c r="Z9" s="248"/>
    </row>
    <row r="10" spans="1:30" ht="27.2" x14ac:dyDescent="0.25">
      <c r="A10" s="238">
        <f t="shared" si="1"/>
        <v>7</v>
      </c>
      <c r="B10" s="788" t="s">
        <v>270</v>
      </c>
      <c r="C10" s="253" t="s">
        <v>271</v>
      </c>
      <c r="D10" s="252">
        <v>140</v>
      </c>
      <c r="E10" s="247">
        <f>D10</f>
        <v>140</v>
      </c>
      <c r="F10" s="247">
        <f t="shared" ref="F10:X10" si="4">E10</f>
        <v>140</v>
      </c>
      <c r="G10" s="247">
        <f t="shared" si="4"/>
        <v>140</v>
      </c>
      <c r="H10" s="247">
        <f t="shared" si="4"/>
        <v>140</v>
      </c>
      <c r="I10" s="247">
        <f t="shared" si="4"/>
        <v>140</v>
      </c>
      <c r="J10" s="247">
        <f t="shared" si="4"/>
        <v>140</v>
      </c>
      <c r="K10" s="247">
        <f t="shared" si="4"/>
        <v>140</v>
      </c>
      <c r="L10" s="247">
        <f t="shared" si="4"/>
        <v>140</v>
      </c>
      <c r="M10" s="247">
        <f t="shared" si="4"/>
        <v>140</v>
      </c>
      <c r="N10" s="247">
        <f t="shared" si="4"/>
        <v>140</v>
      </c>
      <c r="O10" s="247">
        <f t="shared" si="4"/>
        <v>140</v>
      </c>
      <c r="P10" s="247">
        <f t="shared" si="4"/>
        <v>140</v>
      </c>
      <c r="Q10" s="247">
        <f t="shared" si="4"/>
        <v>140</v>
      </c>
      <c r="R10" s="247">
        <f t="shared" si="4"/>
        <v>140</v>
      </c>
      <c r="S10" s="247">
        <f t="shared" si="4"/>
        <v>140</v>
      </c>
      <c r="T10" s="247">
        <f t="shared" si="4"/>
        <v>140</v>
      </c>
      <c r="U10" s="247">
        <f t="shared" si="4"/>
        <v>140</v>
      </c>
      <c r="V10" s="247">
        <f t="shared" si="4"/>
        <v>140</v>
      </c>
      <c r="W10" s="247">
        <f t="shared" si="4"/>
        <v>140</v>
      </c>
      <c r="X10" s="247">
        <f t="shared" si="4"/>
        <v>140</v>
      </c>
      <c r="Y10" s="789" t="s">
        <v>422</v>
      </c>
      <c r="Z10" s="254"/>
    </row>
    <row r="11" spans="1:30" ht="18.7" customHeight="1" x14ac:dyDescent="0.25">
      <c r="A11" s="238">
        <f>A10+1</f>
        <v>8</v>
      </c>
      <c r="B11" s="788" t="s">
        <v>12</v>
      </c>
      <c r="C11" s="253" t="s">
        <v>13</v>
      </c>
      <c r="D11" s="252">
        <v>2500</v>
      </c>
      <c r="E11" s="253">
        <v>2500</v>
      </c>
      <c r="F11" s="253">
        <v>2500</v>
      </c>
      <c r="G11" s="253">
        <v>2500</v>
      </c>
      <c r="H11" s="253">
        <v>2500</v>
      </c>
      <c r="I11" s="253">
        <v>2500</v>
      </c>
      <c r="J11" s="253">
        <v>2500</v>
      </c>
      <c r="K11" s="253">
        <v>2500</v>
      </c>
      <c r="L11" s="253">
        <v>2500</v>
      </c>
      <c r="M11" s="253">
        <v>2500</v>
      </c>
      <c r="N11" s="253">
        <v>2500</v>
      </c>
      <c r="O11" s="253">
        <v>2500</v>
      </c>
      <c r="P11" s="253">
        <v>2500</v>
      </c>
      <c r="Q11" s="253">
        <v>2500</v>
      </c>
      <c r="R11" s="253">
        <v>2500</v>
      </c>
      <c r="S11" s="253">
        <v>2500</v>
      </c>
      <c r="T11" s="253">
        <v>2500</v>
      </c>
      <c r="U11" s="253">
        <v>2500</v>
      </c>
      <c r="V11" s="253">
        <v>2500</v>
      </c>
      <c r="W11" s="253">
        <v>2500</v>
      </c>
      <c r="X11" s="253">
        <v>2500</v>
      </c>
      <c r="Y11" s="789" t="s">
        <v>895</v>
      </c>
      <c r="Z11" s="254"/>
    </row>
    <row r="12" spans="1:30" ht="13.6" x14ac:dyDescent="0.25">
      <c r="A12" s="238">
        <f>A11+1</f>
        <v>9</v>
      </c>
      <c r="B12" s="788" t="s">
        <v>50</v>
      </c>
      <c r="C12" s="253"/>
      <c r="D12" s="253"/>
      <c r="E12" s="255">
        <f>(8760-E13-E14-E15)/8760</f>
        <v>0.93755029173008619</v>
      </c>
      <c r="F12" s="255">
        <f>(8760-F13-F14-F15)/8760</f>
        <v>0.93038070776255699</v>
      </c>
      <c r="G12" s="255">
        <f t="shared" ref="G12:X12" si="5">(8760-G13-G14-G15)/8760</f>
        <v>0.92090265093860979</v>
      </c>
      <c r="H12" s="255">
        <f t="shared" si="5"/>
        <v>0.90840582191780817</v>
      </c>
      <c r="I12" s="255">
        <f t="shared" si="5"/>
        <v>0.93333288939624548</v>
      </c>
      <c r="J12" s="255">
        <f t="shared" si="5"/>
        <v>0.92172393455098933</v>
      </c>
      <c r="K12" s="255">
        <f t="shared" si="5"/>
        <v>0.93126858193810236</v>
      </c>
      <c r="L12" s="255">
        <f t="shared" si="5"/>
        <v>0.91113603500761031</v>
      </c>
      <c r="M12" s="255">
        <f t="shared" si="5"/>
        <v>0.91706259512937582</v>
      </c>
      <c r="N12" s="255">
        <f t="shared" si="5"/>
        <v>0.93222304667681377</v>
      </c>
      <c r="O12" s="255">
        <f t="shared" si="5"/>
        <v>0.91462094114662595</v>
      </c>
      <c r="P12" s="255">
        <f t="shared" si="5"/>
        <v>0.91328912988330779</v>
      </c>
      <c r="Q12" s="255">
        <f t="shared" si="5"/>
        <v>0.93377682648401816</v>
      </c>
      <c r="R12" s="255">
        <f t="shared" si="5"/>
        <v>0.93266698376458645</v>
      </c>
      <c r="S12" s="255">
        <f t="shared" si="5"/>
        <v>0.89848382800608828</v>
      </c>
      <c r="T12" s="255">
        <f t="shared" si="5"/>
        <v>0.92556399036022319</v>
      </c>
      <c r="U12" s="255">
        <f t="shared" si="5"/>
        <v>0.93422076357179096</v>
      </c>
      <c r="V12" s="255">
        <f t="shared" si="5"/>
        <v>0.90469894723490607</v>
      </c>
      <c r="W12" s="255">
        <f t="shared" si="5"/>
        <v>0.9344427321156773</v>
      </c>
      <c r="X12" s="255">
        <f t="shared" si="5"/>
        <v>0.9220124936580415</v>
      </c>
      <c r="Y12" s="789"/>
    </row>
    <row r="13" spans="1:30" x14ac:dyDescent="0.25">
      <c r="A13" s="238">
        <f t="shared" ref="A13:A30" si="6">A12+1</f>
        <v>10</v>
      </c>
      <c r="B13" s="791" t="s">
        <v>272</v>
      </c>
      <c r="C13" s="253" t="s">
        <v>273</v>
      </c>
      <c r="D13" s="253"/>
      <c r="E13" s="257">
        <f>'NHL NTE240 ТО_1'!G7</f>
        <v>173.404</v>
      </c>
      <c r="F13" s="257">
        <f>'NHL NTE240 ТО_1'!H7</f>
        <v>202.00399999999999</v>
      </c>
      <c r="G13" s="257">
        <f>'NHL NTE240 ТО_1'!I7</f>
        <v>173.404</v>
      </c>
      <c r="H13" s="257">
        <f>'NHL NTE240 ТО_1'!J7</f>
        <v>202.00399999999999</v>
      </c>
      <c r="I13" s="257">
        <f>'NHL NTE240 ТО_1'!K7</f>
        <v>173.404</v>
      </c>
      <c r="J13" s="257">
        <f>'NHL NTE240 ТО_1'!L7</f>
        <v>202.00399999999999</v>
      </c>
      <c r="K13" s="257">
        <f>'NHL NTE240 ТО_1'!M7</f>
        <v>202.00399999999999</v>
      </c>
      <c r="L13" s="257">
        <f>'NHL NTE240 ТО_1'!N7</f>
        <v>173.404</v>
      </c>
      <c r="M13" s="257">
        <f>'NHL NTE240 ТО_1'!O7</f>
        <v>202.00399999999999</v>
      </c>
      <c r="N13" s="257">
        <f>'NHL NTE240 ТО_1'!P7</f>
        <v>173.404</v>
      </c>
      <c r="O13" s="257">
        <f>'NHL NTE240 ТО_1'!Q7</f>
        <v>202.00399999999999</v>
      </c>
      <c r="P13" s="257">
        <f>'NHL NTE240 ТО_1'!R7</f>
        <v>202.00399999999999</v>
      </c>
      <c r="Q13" s="257">
        <f>'NHL NTE240 ТО_1'!S7</f>
        <v>173.404</v>
      </c>
      <c r="R13" s="257">
        <f>'NHL NTE240 ТО_1'!T7</f>
        <v>197.404</v>
      </c>
      <c r="S13" s="257">
        <f>'NHL NTE240 ТО_1'!U7</f>
        <v>197.404</v>
      </c>
      <c r="T13" s="257">
        <f>'NHL NTE240 ТО_1'!V7</f>
        <v>173.404</v>
      </c>
      <c r="U13" s="257">
        <f>'NHL NTE240 ТО_1'!W7</f>
        <v>197.404</v>
      </c>
      <c r="V13" s="257">
        <f>'NHL NTE240 ТО_1'!X7</f>
        <v>197.404</v>
      </c>
      <c r="W13" s="257">
        <f>'NHL NTE240 ТО_1'!Y7</f>
        <v>173.404</v>
      </c>
      <c r="X13" s="257">
        <f>'NHL NTE240 ТО_1'!Z7</f>
        <v>197.404</v>
      </c>
      <c r="Y13" s="1044"/>
    </row>
    <row r="14" spans="1:30" x14ac:dyDescent="0.25">
      <c r="A14" s="238">
        <f t="shared" si="6"/>
        <v>11</v>
      </c>
      <c r="B14" s="791" t="s">
        <v>274</v>
      </c>
      <c r="C14" s="253" t="s">
        <v>273</v>
      </c>
      <c r="D14" s="253"/>
      <c r="E14" s="1047">
        <f>'NHL NTE240 Рем_1'!G8</f>
        <v>139</v>
      </c>
      <c r="F14" s="1047">
        <f>'NHL NTE240 Рем_1'!H8</f>
        <v>175</v>
      </c>
      <c r="G14" s="1047">
        <f>'NHL NTE240 Рем_1'!I8</f>
        <v>289</v>
      </c>
      <c r="H14" s="1047">
        <f>'NHL NTE240 Рем_1'!J8</f>
        <v>373</v>
      </c>
      <c r="I14" s="1047">
        <f>'NHL NTE240 Рем_1'!K8</f>
        <v>177</v>
      </c>
      <c r="J14" s="1047">
        <f>'NHL NTE240 Рем_1'!L8</f>
        <v>253</v>
      </c>
      <c r="K14" s="1047">
        <f>'NHL NTE240 Рем_1'!M8</f>
        <v>167</v>
      </c>
      <c r="L14" s="1047">
        <f>'NHL NTE240 Рем_1'!N8</f>
        <v>377</v>
      </c>
      <c r="M14" s="1047">
        <f>'NHL NTE240 Рем_1'!O8</f>
        <v>295</v>
      </c>
      <c r="N14" s="1047">
        <f>'NHL NTE240 Рем_1'!P8</f>
        <v>187</v>
      </c>
      <c r="O14" s="1047">
        <f>'NHL NTE240 Рем_1'!Q8</f>
        <v>317</v>
      </c>
      <c r="P14" s="1047">
        <f>'NHL NTE240 Рем_1'!R8</f>
        <v>329</v>
      </c>
      <c r="Q14" s="1047">
        <f>'NHL NTE240 Рем_1'!S8</f>
        <v>173</v>
      </c>
      <c r="R14" s="1047">
        <f>'NHL NTE240 Рем_1'!T8</f>
        <v>159</v>
      </c>
      <c r="S14" s="1047">
        <f>'NHL NTE240 Рем_1'!U8</f>
        <v>467</v>
      </c>
      <c r="T14" s="1047">
        <f>'NHL NTE240 Рем_1'!V8</f>
        <v>247</v>
      </c>
      <c r="U14" s="1047">
        <f>'NHL NTE240 Рем_1'!W8</f>
        <v>145</v>
      </c>
      <c r="V14" s="1047">
        <f>'NHL NTE240 Рем_1'!X8</f>
        <v>411</v>
      </c>
      <c r="W14" s="1047">
        <f>'NHL NTE240 Рем_1'!Y8</f>
        <v>167</v>
      </c>
      <c r="X14" s="1047">
        <f>'NHL NTE240 Рем_1'!Z8</f>
        <v>255</v>
      </c>
      <c r="Y14" s="1044"/>
    </row>
    <row r="15" spans="1:30" x14ac:dyDescent="0.25">
      <c r="A15" s="238">
        <f t="shared" si="6"/>
        <v>12</v>
      </c>
      <c r="B15" s="791" t="s">
        <v>275</v>
      </c>
      <c r="C15" s="253" t="s">
        <v>273</v>
      </c>
      <c r="D15" s="253"/>
      <c r="E15" s="1047">
        <f>(8760-E13-E14)/12*20/60</f>
        <v>234.65544444444444</v>
      </c>
      <c r="F15" s="1047">
        <f t="shared" ref="F15:X15" si="7">(8760-F13-F14)/12*20/60</f>
        <v>232.86099999999999</v>
      </c>
      <c r="G15" s="1047">
        <f t="shared" si="7"/>
        <v>230.48877777777776</v>
      </c>
      <c r="H15" s="1047">
        <f t="shared" si="7"/>
        <v>227.36099999999999</v>
      </c>
      <c r="I15" s="1047">
        <f t="shared" si="7"/>
        <v>233.5998888888889</v>
      </c>
      <c r="J15" s="1047">
        <f t="shared" si="7"/>
        <v>230.69433333333333</v>
      </c>
      <c r="K15" s="1047">
        <f t="shared" si="7"/>
        <v>233.08322222222219</v>
      </c>
      <c r="L15" s="1047">
        <f t="shared" si="7"/>
        <v>228.0443333333333</v>
      </c>
      <c r="M15" s="1047">
        <f t="shared" si="7"/>
        <v>229.52766666666668</v>
      </c>
      <c r="N15" s="1047">
        <f t="shared" si="7"/>
        <v>233.3221111111111</v>
      </c>
      <c r="O15" s="1047">
        <f t="shared" si="7"/>
        <v>228.91655555555553</v>
      </c>
      <c r="P15" s="1047">
        <f t="shared" si="7"/>
        <v>228.58322222222219</v>
      </c>
      <c r="Q15" s="1047">
        <f t="shared" si="7"/>
        <v>233.71099999999996</v>
      </c>
      <c r="R15" s="1047">
        <f t="shared" si="7"/>
        <v>233.43322222222224</v>
      </c>
      <c r="S15" s="1047">
        <f t="shared" si="7"/>
        <v>224.87766666666664</v>
      </c>
      <c r="T15" s="1047">
        <f t="shared" si="7"/>
        <v>231.65544444444444</v>
      </c>
      <c r="U15" s="1047">
        <f t="shared" si="7"/>
        <v>233.8221111111111</v>
      </c>
      <c r="V15" s="1047">
        <f t="shared" si="7"/>
        <v>226.43322222222224</v>
      </c>
      <c r="W15" s="1047">
        <f t="shared" si="7"/>
        <v>233.87766666666664</v>
      </c>
      <c r="X15" s="1047">
        <f t="shared" si="7"/>
        <v>230.76655555555556</v>
      </c>
      <c r="Y15" s="1044"/>
      <c r="AD15" s="1049">
        <f>'ФОТ, МТР, макро'!AJ8/'ФОТ, МТР, макро'!AJ7</f>
        <v>0.13578313317065133</v>
      </c>
    </row>
    <row r="16" spans="1:30" ht="13.6" x14ac:dyDescent="0.25">
      <c r="A16" s="238">
        <f t="shared" si="6"/>
        <v>13</v>
      </c>
      <c r="B16" s="788" t="s">
        <v>276</v>
      </c>
      <c r="C16" s="253" t="s">
        <v>277</v>
      </c>
      <c r="D16" s="258">
        <v>22</v>
      </c>
      <c r="E16" s="259">
        <f>D16</f>
        <v>22</v>
      </c>
      <c r="F16" s="259">
        <f t="shared" ref="F16:U17" si="8">E16</f>
        <v>22</v>
      </c>
      <c r="G16" s="259">
        <f t="shared" si="8"/>
        <v>22</v>
      </c>
      <c r="H16" s="259">
        <f t="shared" si="8"/>
        <v>22</v>
      </c>
      <c r="I16" s="259">
        <f t="shared" si="8"/>
        <v>22</v>
      </c>
      <c r="J16" s="259">
        <f t="shared" si="8"/>
        <v>22</v>
      </c>
      <c r="K16" s="259">
        <f t="shared" si="8"/>
        <v>22</v>
      </c>
      <c r="L16" s="259">
        <f t="shared" si="8"/>
        <v>22</v>
      </c>
      <c r="M16" s="259">
        <f t="shared" si="8"/>
        <v>22</v>
      </c>
      <c r="N16" s="259">
        <f t="shared" si="8"/>
        <v>22</v>
      </c>
      <c r="O16" s="259">
        <f t="shared" si="8"/>
        <v>22</v>
      </c>
      <c r="P16" s="259">
        <f t="shared" si="8"/>
        <v>22</v>
      </c>
      <c r="Q16" s="259">
        <f t="shared" si="8"/>
        <v>22</v>
      </c>
      <c r="R16" s="259">
        <f t="shared" si="8"/>
        <v>22</v>
      </c>
      <c r="S16" s="259">
        <f t="shared" si="8"/>
        <v>22</v>
      </c>
      <c r="T16" s="259">
        <f t="shared" si="8"/>
        <v>22</v>
      </c>
      <c r="U16" s="259">
        <f t="shared" si="8"/>
        <v>22</v>
      </c>
      <c r="V16" s="259">
        <f t="shared" ref="V16:X17" si="9">U16</f>
        <v>22</v>
      </c>
      <c r="W16" s="259">
        <f t="shared" si="9"/>
        <v>22</v>
      </c>
      <c r="X16" s="259">
        <f t="shared" si="9"/>
        <v>22</v>
      </c>
      <c r="Y16" s="789"/>
      <c r="AA16" s="236" t="s">
        <v>155</v>
      </c>
      <c r="AD16" s="236" t="s">
        <v>942</v>
      </c>
    </row>
    <row r="17" spans="1:32" ht="16.5" customHeight="1" x14ac:dyDescent="0.25">
      <c r="A17" s="238">
        <f t="shared" si="6"/>
        <v>14</v>
      </c>
      <c r="B17" s="788" t="s">
        <v>278</v>
      </c>
      <c r="C17" s="253" t="s">
        <v>277</v>
      </c>
      <c r="D17" s="258">
        <v>15</v>
      </c>
      <c r="E17" s="259">
        <f>D17</f>
        <v>15</v>
      </c>
      <c r="F17" s="259">
        <f t="shared" si="8"/>
        <v>15</v>
      </c>
      <c r="G17" s="259">
        <f t="shared" si="8"/>
        <v>15</v>
      </c>
      <c r="H17" s="259">
        <f t="shared" si="8"/>
        <v>15</v>
      </c>
      <c r="I17" s="259">
        <f t="shared" si="8"/>
        <v>15</v>
      </c>
      <c r="J17" s="259">
        <f t="shared" si="8"/>
        <v>15</v>
      </c>
      <c r="K17" s="259">
        <f t="shared" si="8"/>
        <v>15</v>
      </c>
      <c r="L17" s="259">
        <f t="shared" si="8"/>
        <v>15</v>
      </c>
      <c r="M17" s="259">
        <f t="shared" si="8"/>
        <v>15</v>
      </c>
      <c r="N17" s="259">
        <f t="shared" si="8"/>
        <v>15</v>
      </c>
      <c r="O17" s="259">
        <f t="shared" si="8"/>
        <v>15</v>
      </c>
      <c r="P17" s="259">
        <f t="shared" si="8"/>
        <v>15</v>
      </c>
      <c r="Q17" s="259">
        <f t="shared" si="8"/>
        <v>15</v>
      </c>
      <c r="R17" s="259">
        <f t="shared" si="8"/>
        <v>15</v>
      </c>
      <c r="S17" s="259">
        <f t="shared" si="8"/>
        <v>15</v>
      </c>
      <c r="T17" s="259">
        <f t="shared" si="8"/>
        <v>15</v>
      </c>
      <c r="U17" s="259">
        <f t="shared" si="8"/>
        <v>15</v>
      </c>
      <c r="V17" s="259">
        <f t="shared" si="9"/>
        <v>15</v>
      </c>
      <c r="W17" s="259">
        <f t="shared" si="9"/>
        <v>15</v>
      </c>
      <c r="X17" s="259">
        <f t="shared" si="9"/>
        <v>15</v>
      </c>
      <c r="Y17" s="789"/>
      <c r="AA17" s="531" t="s">
        <v>523</v>
      </c>
      <c r="AB17" s="531" t="s">
        <v>524</v>
      </c>
      <c r="AD17" s="531" t="s">
        <v>523</v>
      </c>
      <c r="AE17" s="531" t="s">
        <v>524</v>
      </c>
    </row>
    <row r="18" spans="1:32" ht="27.2" x14ac:dyDescent="0.25">
      <c r="A18" s="238">
        <f t="shared" si="6"/>
        <v>15</v>
      </c>
      <c r="B18" s="788" t="s">
        <v>423</v>
      </c>
      <c r="C18" s="260" t="s">
        <v>896</v>
      </c>
      <c r="D18" s="260"/>
      <c r="E18" s="792">
        <f t="shared" ref="E18:X18" si="10">SUM(E19:E22)</f>
        <v>470.70529599999998</v>
      </c>
      <c r="F18" s="792">
        <f t="shared" si="10"/>
        <v>654.09809599999994</v>
      </c>
      <c r="G18" s="792">
        <f t="shared" si="10"/>
        <v>3875.4080660000004</v>
      </c>
      <c r="H18" s="792">
        <f t="shared" si="10"/>
        <v>2060.9562960000003</v>
      </c>
      <c r="I18" s="792">
        <f t="shared" si="10"/>
        <v>687.31743599999982</v>
      </c>
      <c r="J18" s="792">
        <f t="shared" si="10"/>
        <v>3784.5746859999999</v>
      </c>
      <c r="K18" s="792">
        <f t="shared" si="10"/>
        <v>637.16343599999993</v>
      </c>
      <c r="L18" s="792">
        <f t="shared" si="10"/>
        <v>2184.2222959999999</v>
      </c>
      <c r="M18" s="792">
        <f t="shared" si="10"/>
        <v>7060.2275659999996</v>
      </c>
      <c r="N18" s="792">
        <f t="shared" si="10"/>
        <v>541.46829600000001</v>
      </c>
      <c r="O18" s="792">
        <f t="shared" si="10"/>
        <v>15567.830995999999</v>
      </c>
      <c r="P18" s="792">
        <f t="shared" si="10"/>
        <v>3794.5066860000002</v>
      </c>
      <c r="Q18" s="792">
        <f t="shared" si="10"/>
        <v>590.42603599999995</v>
      </c>
      <c r="R18" s="792">
        <f t="shared" si="10"/>
        <v>600.44869599999993</v>
      </c>
      <c r="S18" s="792">
        <f t="shared" si="10"/>
        <v>5399.6669259999999</v>
      </c>
      <c r="T18" s="792">
        <f t="shared" si="10"/>
        <v>601.65023599999995</v>
      </c>
      <c r="U18" s="792">
        <f t="shared" si="10"/>
        <v>593.57269599999995</v>
      </c>
      <c r="V18" s="792">
        <f t="shared" si="10"/>
        <v>8618.8377259999997</v>
      </c>
      <c r="W18" s="792">
        <f t="shared" si="10"/>
        <v>611.37429599999996</v>
      </c>
      <c r="X18" s="792">
        <f t="shared" si="10"/>
        <v>747.02156600000001</v>
      </c>
      <c r="Y18" s="1044"/>
      <c r="AA18" s="528">
        <f>SUM(E18:X18)</f>
        <v>59081.477330000002</v>
      </c>
      <c r="AB18" s="528">
        <f>AA18/$X$4</f>
        <v>2954.0738664999999</v>
      </c>
      <c r="AD18" s="528">
        <f>AA18*$AD$15</f>
        <v>8022.2681042182076</v>
      </c>
      <c r="AE18" s="528">
        <f t="shared" ref="AE18:AE22" si="11">AB18*$AD$15</f>
        <v>401.11340521091034</v>
      </c>
      <c r="AF18" s="1050">
        <f>AE18*'ФОТ, МТР, макро'!$AJ$7</f>
        <v>37724.114089978306</v>
      </c>
    </row>
    <row r="19" spans="1:32" x14ac:dyDescent="0.25">
      <c r="A19" s="238">
        <f t="shared" si="6"/>
        <v>16</v>
      </c>
      <c r="B19" s="791" t="s">
        <v>281</v>
      </c>
      <c r="C19" s="260" t="s">
        <v>896</v>
      </c>
      <c r="D19" s="260"/>
      <c r="E19" s="1045">
        <f>'NHL NTE240 ТО_1'!G9/1000</f>
        <v>297.27423999999996</v>
      </c>
      <c r="F19" s="1045">
        <f>'NHL NTE240 ТО_1'!H9/1000</f>
        <v>297.27423999999996</v>
      </c>
      <c r="G19" s="1045">
        <f>'NHL NTE240 ТО_1'!I9/1000</f>
        <v>297.27423999999996</v>
      </c>
      <c r="H19" s="1045">
        <f>'NHL NTE240 ТО_1'!J9/1000</f>
        <v>297.27423999999996</v>
      </c>
      <c r="I19" s="1045">
        <f>'NHL NTE240 ТО_1'!K9/1000</f>
        <v>297.27423999999996</v>
      </c>
      <c r="J19" s="1045">
        <f>'NHL NTE240 ТО_1'!L9/1000</f>
        <v>297.27423999999996</v>
      </c>
      <c r="K19" s="1045">
        <f>'NHL NTE240 ТО_1'!M9/1000</f>
        <v>297.27423999999996</v>
      </c>
      <c r="L19" s="1045">
        <f>'NHL NTE240 ТО_1'!N9/1000</f>
        <v>297.27423999999996</v>
      </c>
      <c r="M19" s="1045">
        <f>'NHL NTE240 ТО_1'!O9/1000</f>
        <v>297.27423999999996</v>
      </c>
      <c r="N19" s="1045">
        <f>'NHL NTE240 ТО_1'!P9/1000</f>
        <v>297.27423999999996</v>
      </c>
      <c r="O19" s="1045">
        <f>'NHL NTE240 ТО_1'!Q9/1000</f>
        <v>297.27423999999996</v>
      </c>
      <c r="P19" s="1045">
        <f>'NHL NTE240 ТО_1'!R9/1000</f>
        <v>297.27423999999996</v>
      </c>
      <c r="Q19" s="1045">
        <f>'NHL NTE240 ТО_1'!S9/1000</f>
        <v>297.27423999999996</v>
      </c>
      <c r="R19" s="1045">
        <f>'NHL NTE240 ТО_1'!T9/1000</f>
        <v>297.27423999999996</v>
      </c>
      <c r="S19" s="1045">
        <f>'NHL NTE240 ТО_1'!U9/1000</f>
        <v>297.27423999999996</v>
      </c>
      <c r="T19" s="1045">
        <f>'NHL NTE240 ТО_1'!V9/1000</f>
        <v>297.27423999999996</v>
      </c>
      <c r="U19" s="1045">
        <f>'NHL NTE240 ТО_1'!W9/1000</f>
        <v>297.27423999999996</v>
      </c>
      <c r="V19" s="1045">
        <f>'NHL NTE240 ТО_1'!X9/1000</f>
        <v>297.27423999999996</v>
      </c>
      <c r="W19" s="1045">
        <f>'NHL NTE240 ТО_1'!Y9/1000</f>
        <v>297.27423999999996</v>
      </c>
      <c r="X19" s="1045">
        <f>'NHL NTE240 ТО_1'!Z9/1000</f>
        <v>297.27423999999996</v>
      </c>
      <c r="Y19" s="1044" t="s">
        <v>897</v>
      </c>
      <c r="AA19" s="529">
        <f>SUM(E19:X19)</f>
        <v>5945.4847999999965</v>
      </c>
      <c r="AB19" s="529">
        <f>AA19/$X$4</f>
        <v>297.27423999999985</v>
      </c>
      <c r="AD19" s="529">
        <f t="shared" ref="AD19:AD22" si="12">AA19*$AD$15</f>
        <v>807.29655436248277</v>
      </c>
      <c r="AE19" s="529">
        <f t="shared" si="11"/>
        <v>40.36482771812414</v>
      </c>
    </row>
    <row r="20" spans="1:32" ht="25.85" x14ac:dyDescent="0.25">
      <c r="A20" s="238">
        <f t="shared" si="6"/>
        <v>17</v>
      </c>
      <c r="B20" s="791" t="s">
        <v>284</v>
      </c>
      <c r="C20" s="260" t="s">
        <v>896</v>
      </c>
      <c r="D20" s="260"/>
      <c r="E20" s="1046">
        <f>'NHL NTE240 Рем_1'!G10/1000</f>
        <v>0</v>
      </c>
      <c r="F20" s="1046">
        <f>'NHL NTE240 Рем_1'!H10/1000</f>
        <v>151.6104</v>
      </c>
      <c r="G20" s="1046">
        <f>'NHL NTE240 Рем_1'!I10/1000</f>
        <v>3293.5407700000005</v>
      </c>
      <c r="H20" s="1046">
        <f>'NHL NTE240 Рем_1'!J10/1000</f>
        <v>1329.6506000000002</v>
      </c>
      <c r="I20" s="1046">
        <f>'NHL NTE240 Рем_1'!K10/1000</f>
        <v>207.44413999999998</v>
      </c>
      <c r="J20" s="1046">
        <f>'NHL NTE240 Рем_1'!L10/1000</f>
        <v>3259.1669900000002</v>
      </c>
      <c r="K20" s="1046">
        <f>'NHL NTE240 Рем_1'!M10/1000</f>
        <v>47.961739999999999</v>
      </c>
      <c r="L20" s="1046">
        <f>'NHL NTE240 Рем_1'!N10/1000</f>
        <v>1481.261</v>
      </c>
      <c r="M20" s="1046">
        <f>'NHL NTE240 Рем_1'!O10/1000</f>
        <v>6533.29187</v>
      </c>
      <c r="N20" s="1046">
        <f>'NHL NTE240 Рем_1'!P10/1000</f>
        <v>44.023000000000003</v>
      </c>
      <c r="O20" s="1046">
        <f>'NHL NTE240 Рем_1'!Q10/1000</f>
        <v>14777.315299999998</v>
      </c>
      <c r="P20" s="1046">
        <f>'NHL NTE240 Рем_1'!R10/1000</f>
        <v>3259.1669900000002</v>
      </c>
      <c r="Q20" s="1046">
        <f>'NHL NTE240 Рем_1'!S10/1000</f>
        <v>99.856739999999988</v>
      </c>
      <c r="R20" s="1046">
        <f>'NHL NTE240 Рем_1'!T10/1000</f>
        <v>107.58739999999999</v>
      </c>
      <c r="S20" s="1046">
        <f>'NHL NTE240 Рем_1'!U10/1000</f>
        <v>4575.2296299999998</v>
      </c>
      <c r="T20" s="1046">
        <f>'NHL NTE240 Рем_1'!V10/1000</f>
        <v>96.182940000000002</v>
      </c>
      <c r="U20" s="1046">
        <f>'NHL NTE240 Рем_1'!W10/1000</f>
        <v>107.58739999999999</v>
      </c>
      <c r="V20" s="1046">
        <f>'NHL NTE240 Рем_1'!X10/1000</f>
        <v>7876.5304299999998</v>
      </c>
      <c r="W20" s="1046">
        <f>'NHL NTE240 Рем_1'!Y10/1000</f>
        <v>44.023000000000003</v>
      </c>
      <c r="X20" s="1046">
        <f>'NHL NTE240 Рем_1'!Z10/1000</f>
        <v>237.35227000000003</v>
      </c>
      <c r="Y20" s="1044"/>
      <c r="AA20" s="529">
        <f>SUM(E20:X20)</f>
        <v>47528.782609999995</v>
      </c>
      <c r="AB20" s="529">
        <f>AA20/$X$4</f>
        <v>2376.4391304999999</v>
      </c>
      <c r="AD20" s="529">
        <f t="shared" si="12"/>
        <v>6453.6070185725666</v>
      </c>
      <c r="AE20" s="529">
        <f t="shared" si="11"/>
        <v>322.68035092862834</v>
      </c>
    </row>
    <row r="21" spans="1:32" ht="16.5" customHeight="1" x14ac:dyDescent="0.25">
      <c r="A21" s="238">
        <f t="shared" si="6"/>
        <v>18</v>
      </c>
      <c r="B21" s="791" t="s">
        <v>285</v>
      </c>
      <c r="C21" s="260" t="s">
        <v>896</v>
      </c>
      <c r="D21" s="260"/>
      <c r="E21" s="1046">
        <f>'NHL NTE240 ТО_1'!G10/1000</f>
        <v>126.063056</v>
      </c>
      <c r="F21" s="1046">
        <f>'NHL NTE240 ТО_1'!H10/1000</f>
        <v>147.91345599999997</v>
      </c>
      <c r="G21" s="1046">
        <f>'NHL NTE240 ТО_1'!I10/1000</f>
        <v>126.063056</v>
      </c>
      <c r="H21" s="1046">
        <f>'NHL NTE240 ТО_1'!J10/1000</f>
        <v>147.91345599999997</v>
      </c>
      <c r="I21" s="1046">
        <f>'NHL NTE240 ТО_1'!K10/1000</f>
        <v>126.063056</v>
      </c>
      <c r="J21" s="1046">
        <f>'NHL NTE240 ТО_1'!L10/1000</f>
        <v>147.91345599999997</v>
      </c>
      <c r="K21" s="1046">
        <f>'NHL NTE240 ТО_1'!M10/1000</f>
        <v>147.91345599999997</v>
      </c>
      <c r="L21" s="1046">
        <f>'NHL NTE240 ТО_1'!N10/1000</f>
        <v>126.063056</v>
      </c>
      <c r="M21" s="1046">
        <f>'NHL NTE240 ТО_1'!O10/1000</f>
        <v>147.91345599999997</v>
      </c>
      <c r="N21" s="1046">
        <f>'NHL NTE240 ТО_1'!P10/1000</f>
        <v>126.063056</v>
      </c>
      <c r="O21" s="1046">
        <f>'NHL NTE240 ТО_1'!Q10/1000</f>
        <v>147.91345599999997</v>
      </c>
      <c r="P21" s="1046">
        <f>'NHL NTE240 ТО_1'!R10/1000</f>
        <v>147.91345599999997</v>
      </c>
      <c r="Q21" s="1046">
        <f>'NHL NTE240 ТО_1'!S10/1000</f>
        <v>126.063056</v>
      </c>
      <c r="R21" s="1046">
        <f>'NHL NTE240 ТО_1'!T10/1000</f>
        <v>144.39905599999997</v>
      </c>
      <c r="S21" s="1046">
        <f>'NHL NTE240 ТО_1'!U10/1000</f>
        <v>144.39905599999997</v>
      </c>
      <c r="T21" s="1046">
        <f>'NHL NTE240 ТО_1'!V10/1000</f>
        <v>126.063056</v>
      </c>
      <c r="U21" s="1046">
        <f>'NHL NTE240 ТО_1'!W10/1000</f>
        <v>144.39905599999997</v>
      </c>
      <c r="V21" s="1046">
        <f>'NHL NTE240 ТО_1'!X10/1000</f>
        <v>144.39905599999997</v>
      </c>
      <c r="W21" s="1046">
        <f>'NHL NTE240 ТО_1'!Y10/1000</f>
        <v>126.063056</v>
      </c>
      <c r="X21" s="1046">
        <f>'NHL NTE240 ТО_1'!Z10/1000</f>
        <v>144.39905599999997</v>
      </c>
      <c r="Y21" s="1044"/>
      <c r="AA21" s="529">
        <f>SUM(E21:X21)</f>
        <v>2765.8939200000004</v>
      </c>
      <c r="AB21" s="529">
        <f>AA21/$X$4</f>
        <v>138.29469600000002</v>
      </c>
      <c r="AD21" s="529">
        <f t="shared" si="12"/>
        <v>375.5617424752549</v>
      </c>
      <c r="AE21" s="529">
        <f t="shared" si="11"/>
        <v>18.778087123762745</v>
      </c>
    </row>
    <row r="22" spans="1:32" x14ac:dyDescent="0.25">
      <c r="A22" s="238">
        <f t="shared" si="6"/>
        <v>19</v>
      </c>
      <c r="B22" s="791" t="s">
        <v>286</v>
      </c>
      <c r="C22" s="260" t="s">
        <v>896</v>
      </c>
      <c r="D22" s="260"/>
      <c r="E22" s="1046">
        <f>'NHL NTE240 Рем_1'!G11/1000</f>
        <v>47.368000000000002</v>
      </c>
      <c r="F22" s="1046">
        <f>'NHL NTE240 Рем_1'!H11/1000</f>
        <v>57.3</v>
      </c>
      <c r="G22" s="1046">
        <f>'NHL NTE240 Рем_1'!I11/1000</f>
        <v>158.53</v>
      </c>
      <c r="H22" s="1046">
        <f>'NHL NTE240 Рем_1'!J11/1000</f>
        <v>286.11799999999999</v>
      </c>
      <c r="I22" s="1046">
        <f>'NHL NTE240 Рем_1'!K11/1000</f>
        <v>56.536000000000001</v>
      </c>
      <c r="J22" s="1046">
        <f>'NHL NTE240 Рем_1'!L11/1000</f>
        <v>80.22</v>
      </c>
      <c r="K22" s="1046">
        <f>'NHL NTE240 Рем_1'!M11/1000</f>
        <v>144.01400000000001</v>
      </c>
      <c r="L22" s="1046">
        <f>'NHL NTE240 Рем_1'!N11/1000</f>
        <v>279.62400000000002</v>
      </c>
      <c r="M22" s="1046">
        <f>'NHL NTE240 Рем_1'!O11/1000</f>
        <v>81.748000000000005</v>
      </c>
      <c r="N22" s="1046">
        <f>'NHL NTE240 Рем_1'!P11/1000</f>
        <v>74.108000000000004</v>
      </c>
      <c r="O22" s="1046">
        <f>'NHL NTE240 Рем_1'!Q11/1000</f>
        <v>345.32799999999997</v>
      </c>
      <c r="P22" s="1046">
        <f>'NHL NTE240 Рем_1'!R11/1000</f>
        <v>90.152000000000001</v>
      </c>
      <c r="Q22" s="1046">
        <f>'NHL NTE240 Рем_1'!S11/1000</f>
        <v>67.231999999999999</v>
      </c>
      <c r="R22" s="1046">
        <f>'NHL NTE240 Рем_1'!T11/1000</f>
        <v>51.188000000000002</v>
      </c>
      <c r="S22" s="1046">
        <f>'NHL NTE240 Рем_1'!U11/1000</f>
        <v>382.76400000000001</v>
      </c>
      <c r="T22" s="1046">
        <f>'NHL NTE240 Рем_1'!V11/1000</f>
        <v>82.13</v>
      </c>
      <c r="U22" s="1046">
        <f>'NHL NTE240 Рем_1'!W11/1000</f>
        <v>44.311999999999998</v>
      </c>
      <c r="V22" s="1046">
        <f>'NHL NTE240 Рем_1'!X11/1000</f>
        <v>300.63400000000001</v>
      </c>
      <c r="W22" s="1046">
        <f>'NHL NTE240 Рем_1'!Y11/1000</f>
        <v>144.01400000000001</v>
      </c>
      <c r="X22" s="1046">
        <f>'NHL NTE240 Рем_1'!Z11/1000</f>
        <v>67.995999999999995</v>
      </c>
      <c r="Y22" s="1044" t="s">
        <v>898</v>
      </c>
      <c r="AA22" s="529">
        <f>SUM(E22:X22)</f>
        <v>2841.3160000000003</v>
      </c>
      <c r="AB22" s="529">
        <f>AA22/$X$4</f>
        <v>142.06580000000002</v>
      </c>
      <c r="AD22" s="529">
        <f t="shared" si="12"/>
        <v>385.8027888079024</v>
      </c>
      <c r="AE22" s="529">
        <f t="shared" si="11"/>
        <v>19.290139440395119</v>
      </c>
    </row>
    <row r="23" spans="1:32" ht="13.6" x14ac:dyDescent="0.25">
      <c r="A23" s="238">
        <f t="shared" si="6"/>
        <v>20</v>
      </c>
      <c r="B23" s="264" t="s">
        <v>39</v>
      </c>
      <c r="C23" s="260"/>
      <c r="D23" s="260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469"/>
      <c r="AA23" s="529"/>
      <c r="AB23" s="529"/>
    </row>
    <row r="24" spans="1:32" ht="14.95" customHeight="1" x14ac:dyDescent="0.25">
      <c r="A24" s="238">
        <f t="shared" si="6"/>
        <v>21</v>
      </c>
      <c r="B24" s="793" t="s">
        <v>287</v>
      </c>
      <c r="C24" s="260"/>
      <c r="D24" s="268" t="s">
        <v>166</v>
      </c>
      <c r="E24" s="794" t="s">
        <v>166</v>
      </c>
      <c r="F24" s="794" t="s">
        <v>166</v>
      </c>
      <c r="G24" s="794" t="s">
        <v>166</v>
      </c>
      <c r="H24" s="794" t="s">
        <v>166</v>
      </c>
      <c r="I24" s="794" t="s">
        <v>166</v>
      </c>
      <c r="J24" s="794" t="s">
        <v>166</v>
      </c>
      <c r="K24" s="794" t="s">
        <v>166</v>
      </c>
      <c r="L24" s="794" t="s">
        <v>166</v>
      </c>
      <c r="M24" s="794" t="s">
        <v>166</v>
      </c>
      <c r="N24" s="794" t="s">
        <v>166</v>
      </c>
      <c r="O24" s="794" t="s">
        <v>166</v>
      </c>
      <c r="P24" s="794" t="s">
        <v>166</v>
      </c>
      <c r="Q24" s="794" t="s">
        <v>166</v>
      </c>
      <c r="R24" s="794" t="s">
        <v>166</v>
      </c>
      <c r="S24" s="794" t="s">
        <v>166</v>
      </c>
      <c r="T24" s="794" t="s">
        <v>166</v>
      </c>
      <c r="U24" s="794" t="s">
        <v>166</v>
      </c>
      <c r="V24" s="794" t="s">
        <v>166</v>
      </c>
      <c r="W24" s="794" t="s">
        <v>166</v>
      </c>
      <c r="X24" s="794" t="s">
        <v>166</v>
      </c>
      <c r="Y24" s="789" t="s">
        <v>899</v>
      </c>
    </row>
    <row r="25" spans="1:32" ht="25.85" x14ac:dyDescent="0.25">
      <c r="A25" s="238">
        <f t="shared" si="6"/>
        <v>22</v>
      </c>
      <c r="B25" s="793" t="s">
        <v>290</v>
      </c>
      <c r="C25" s="260"/>
      <c r="D25" s="795">
        <v>0</v>
      </c>
      <c r="E25" s="796">
        <f>D25</f>
        <v>0</v>
      </c>
      <c r="F25" s="796">
        <f t="shared" ref="F25:X25" si="13">E25</f>
        <v>0</v>
      </c>
      <c r="G25" s="796">
        <f t="shared" si="13"/>
        <v>0</v>
      </c>
      <c r="H25" s="796">
        <f t="shared" si="13"/>
        <v>0</v>
      </c>
      <c r="I25" s="796">
        <f t="shared" si="13"/>
        <v>0</v>
      </c>
      <c r="J25" s="796">
        <f t="shared" si="13"/>
        <v>0</v>
      </c>
      <c r="K25" s="796">
        <f t="shared" si="13"/>
        <v>0</v>
      </c>
      <c r="L25" s="796">
        <f t="shared" si="13"/>
        <v>0</v>
      </c>
      <c r="M25" s="796">
        <f t="shared" si="13"/>
        <v>0</v>
      </c>
      <c r="N25" s="796">
        <f t="shared" si="13"/>
        <v>0</v>
      </c>
      <c r="O25" s="796">
        <f t="shared" si="13"/>
        <v>0</v>
      </c>
      <c r="P25" s="796">
        <f t="shared" si="13"/>
        <v>0</v>
      </c>
      <c r="Q25" s="796">
        <f t="shared" si="13"/>
        <v>0</v>
      </c>
      <c r="R25" s="796">
        <f t="shared" si="13"/>
        <v>0</v>
      </c>
      <c r="S25" s="796">
        <f t="shared" si="13"/>
        <v>0</v>
      </c>
      <c r="T25" s="796">
        <f t="shared" si="13"/>
        <v>0</v>
      </c>
      <c r="U25" s="796">
        <f t="shared" si="13"/>
        <v>0</v>
      </c>
      <c r="V25" s="796">
        <f t="shared" si="13"/>
        <v>0</v>
      </c>
      <c r="W25" s="796">
        <f t="shared" si="13"/>
        <v>0</v>
      </c>
      <c r="X25" s="796">
        <f t="shared" si="13"/>
        <v>0</v>
      </c>
      <c r="Y25" s="789" t="s">
        <v>900</v>
      </c>
    </row>
    <row r="26" spans="1:32" ht="13.6" x14ac:dyDescent="0.25">
      <c r="A26" s="238">
        <f t="shared" si="6"/>
        <v>23</v>
      </c>
      <c r="B26" s="264" t="s">
        <v>70</v>
      </c>
      <c r="C26" s="260"/>
      <c r="D26" s="26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469" t="s">
        <v>901</v>
      </c>
    </row>
    <row r="27" spans="1:32" x14ac:dyDescent="0.25">
      <c r="A27" s="238">
        <f t="shared" si="6"/>
        <v>24</v>
      </c>
      <c r="B27" s="793" t="s">
        <v>293</v>
      </c>
      <c r="C27" s="260" t="s">
        <v>145</v>
      </c>
      <c r="D27" s="271">
        <v>140</v>
      </c>
      <c r="E27" s="797">
        <f>D27</f>
        <v>140</v>
      </c>
      <c r="F27" s="797">
        <f t="shared" ref="F27:U30" si="14">E27</f>
        <v>140</v>
      </c>
      <c r="G27" s="797">
        <f t="shared" si="14"/>
        <v>140</v>
      </c>
      <c r="H27" s="797">
        <f t="shared" si="14"/>
        <v>140</v>
      </c>
      <c r="I27" s="797">
        <f t="shared" si="14"/>
        <v>140</v>
      </c>
      <c r="J27" s="797">
        <f t="shared" si="14"/>
        <v>140</v>
      </c>
      <c r="K27" s="797">
        <f t="shared" si="14"/>
        <v>140</v>
      </c>
      <c r="L27" s="797">
        <f t="shared" si="14"/>
        <v>140</v>
      </c>
      <c r="M27" s="797">
        <f t="shared" si="14"/>
        <v>140</v>
      </c>
      <c r="N27" s="797">
        <f t="shared" si="14"/>
        <v>140</v>
      </c>
      <c r="O27" s="797">
        <f t="shared" si="14"/>
        <v>140</v>
      </c>
      <c r="P27" s="797">
        <f t="shared" si="14"/>
        <v>140</v>
      </c>
      <c r="Q27" s="797">
        <f t="shared" si="14"/>
        <v>140</v>
      </c>
      <c r="R27" s="797">
        <f t="shared" si="14"/>
        <v>140</v>
      </c>
      <c r="S27" s="797">
        <f t="shared" si="14"/>
        <v>140</v>
      </c>
      <c r="T27" s="797">
        <f t="shared" si="14"/>
        <v>140</v>
      </c>
      <c r="U27" s="797">
        <f t="shared" si="14"/>
        <v>140</v>
      </c>
      <c r="V27" s="797">
        <f t="shared" ref="V27:X30" si="15">U27</f>
        <v>140</v>
      </c>
      <c r="W27" s="797">
        <f t="shared" si="15"/>
        <v>140</v>
      </c>
      <c r="X27" s="797">
        <f t="shared" si="15"/>
        <v>140</v>
      </c>
      <c r="Y27" s="789" t="s">
        <v>902</v>
      </c>
    </row>
    <row r="28" spans="1:32" x14ac:dyDescent="0.25">
      <c r="A28" s="238">
        <f t="shared" si="6"/>
        <v>25</v>
      </c>
      <c r="B28" s="793" t="s">
        <v>294</v>
      </c>
      <c r="C28" s="260" t="s">
        <v>145</v>
      </c>
      <c r="D28" s="271">
        <v>165</v>
      </c>
      <c r="E28" s="797">
        <f>D28</f>
        <v>165</v>
      </c>
      <c r="F28" s="797">
        <f t="shared" si="14"/>
        <v>165</v>
      </c>
      <c r="G28" s="797">
        <f t="shared" si="14"/>
        <v>165</v>
      </c>
      <c r="H28" s="797">
        <f t="shared" si="14"/>
        <v>165</v>
      </c>
      <c r="I28" s="797">
        <f t="shared" si="14"/>
        <v>165</v>
      </c>
      <c r="J28" s="797">
        <f t="shared" si="14"/>
        <v>165</v>
      </c>
      <c r="K28" s="797">
        <f t="shared" si="14"/>
        <v>165</v>
      </c>
      <c r="L28" s="797">
        <f t="shared" si="14"/>
        <v>165</v>
      </c>
      <c r="M28" s="797">
        <f t="shared" si="14"/>
        <v>165</v>
      </c>
      <c r="N28" s="797">
        <f t="shared" si="14"/>
        <v>165</v>
      </c>
      <c r="O28" s="797">
        <f t="shared" si="14"/>
        <v>165</v>
      </c>
      <c r="P28" s="797">
        <f t="shared" si="14"/>
        <v>165</v>
      </c>
      <c r="Q28" s="797">
        <f t="shared" si="14"/>
        <v>165</v>
      </c>
      <c r="R28" s="797">
        <f t="shared" si="14"/>
        <v>165</v>
      </c>
      <c r="S28" s="797">
        <f t="shared" si="14"/>
        <v>165</v>
      </c>
      <c r="T28" s="797">
        <f t="shared" si="14"/>
        <v>165</v>
      </c>
      <c r="U28" s="797">
        <f t="shared" si="14"/>
        <v>165</v>
      </c>
      <c r="V28" s="797">
        <f t="shared" si="15"/>
        <v>165</v>
      </c>
      <c r="W28" s="797">
        <f t="shared" si="15"/>
        <v>165</v>
      </c>
      <c r="X28" s="797">
        <f t="shared" si="15"/>
        <v>165</v>
      </c>
      <c r="Y28" s="789" t="s">
        <v>903</v>
      </c>
    </row>
    <row r="29" spans="1:32" x14ac:dyDescent="0.25">
      <c r="A29" s="238">
        <f t="shared" si="6"/>
        <v>26</v>
      </c>
      <c r="B29" s="793" t="s">
        <v>295</v>
      </c>
      <c r="C29" s="260" t="s">
        <v>145</v>
      </c>
      <c r="D29" s="271">
        <v>190</v>
      </c>
      <c r="E29" s="797">
        <f>D29</f>
        <v>190</v>
      </c>
      <c r="F29" s="797">
        <f t="shared" si="14"/>
        <v>190</v>
      </c>
      <c r="G29" s="797">
        <f t="shared" si="14"/>
        <v>190</v>
      </c>
      <c r="H29" s="797">
        <f t="shared" si="14"/>
        <v>190</v>
      </c>
      <c r="I29" s="797">
        <f t="shared" si="14"/>
        <v>190</v>
      </c>
      <c r="J29" s="797">
        <f t="shared" si="14"/>
        <v>190</v>
      </c>
      <c r="K29" s="797">
        <f t="shared" si="14"/>
        <v>190</v>
      </c>
      <c r="L29" s="797">
        <f t="shared" si="14"/>
        <v>190</v>
      </c>
      <c r="M29" s="797">
        <f t="shared" si="14"/>
        <v>190</v>
      </c>
      <c r="N29" s="797">
        <f t="shared" si="14"/>
        <v>190</v>
      </c>
      <c r="O29" s="797">
        <f t="shared" si="14"/>
        <v>190</v>
      </c>
      <c r="P29" s="797">
        <f t="shared" si="14"/>
        <v>190</v>
      </c>
      <c r="Q29" s="797">
        <f t="shared" si="14"/>
        <v>190</v>
      </c>
      <c r="R29" s="797">
        <f t="shared" si="14"/>
        <v>190</v>
      </c>
      <c r="S29" s="797">
        <f t="shared" si="14"/>
        <v>190</v>
      </c>
      <c r="T29" s="797">
        <f t="shared" si="14"/>
        <v>190</v>
      </c>
      <c r="U29" s="797">
        <f t="shared" si="14"/>
        <v>190</v>
      </c>
      <c r="V29" s="797">
        <f t="shared" si="15"/>
        <v>190</v>
      </c>
      <c r="W29" s="797">
        <f t="shared" si="15"/>
        <v>190</v>
      </c>
      <c r="X29" s="797">
        <f t="shared" si="15"/>
        <v>190</v>
      </c>
      <c r="Y29" s="789" t="s">
        <v>904</v>
      </c>
    </row>
    <row r="30" spans="1:32" ht="18" customHeight="1" x14ac:dyDescent="0.25">
      <c r="A30" s="238">
        <f t="shared" si="6"/>
        <v>27</v>
      </c>
      <c r="B30" s="788" t="s">
        <v>296</v>
      </c>
      <c r="C30" s="272" t="s">
        <v>297</v>
      </c>
      <c r="D30" s="273" t="s">
        <v>905</v>
      </c>
      <c r="E30" s="798" t="str">
        <f>D30</f>
        <v>От 6 до 14</v>
      </c>
      <c r="F30" s="798" t="str">
        <f t="shared" si="14"/>
        <v>От 6 до 14</v>
      </c>
      <c r="G30" s="798" t="str">
        <f t="shared" si="14"/>
        <v>От 6 до 14</v>
      </c>
      <c r="H30" s="798" t="str">
        <f t="shared" si="14"/>
        <v>От 6 до 14</v>
      </c>
      <c r="I30" s="798" t="str">
        <f t="shared" si="14"/>
        <v>От 6 до 14</v>
      </c>
      <c r="J30" s="798" t="str">
        <f t="shared" si="14"/>
        <v>От 6 до 14</v>
      </c>
      <c r="K30" s="798" t="str">
        <f t="shared" si="14"/>
        <v>От 6 до 14</v>
      </c>
      <c r="L30" s="798" t="str">
        <f t="shared" si="14"/>
        <v>От 6 до 14</v>
      </c>
      <c r="M30" s="798" t="str">
        <f t="shared" si="14"/>
        <v>От 6 до 14</v>
      </c>
      <c r="N30" s="798" t="str">
        <f t="shared" si="14"/>
        <v>От 6 до 14</v>
      </c>
      <c r="O30" s="798" t="str">
        <f t="shared" si="14"/>
        <v>От 6 до 14</v>
      </c>
      <c r="P30" s="798" t="str">
        <f t="shared" si="14"/>
        <v>От 6 до 14</v>
      </c>
      <c r="Q30" s="798" t="str">
        <f t="shared" si="14"/>
        <v>От 6 до 14</v>
      </c>
      <c r="R30" s="798" t="str">
        <f t="shared" si="14"/>
        <v>От 6 до 14</v>
      </c>
      <c r="S30" s="798" t="str">
        <f t="shared" si="14"/>
        <v>От 6 до 14</v>
      </c>
      <c r="T30" s="798" t="str">
        <f t="shared" si="14"/>
        <v>От 6 до 14</v>
      </c>
      <c r="U30" s="798" t="str">
        <f t="shared" si="14"/>
        <v>От 6 до 14</v>
      </c>
      <c r="V30" s="798" t="str">
        <f t="shared" si="15"/>
        <v>От 6 до 14</v>
      </c>
      <c r="W30" s="798" t="str">
        <f t="shared" si="15"/>
        <v>От 6 до 14</v>
      </c>
      <c r="X30" s="798" t="str">
        <f t="shared" si="15"/>
        <v>От 6 до 14</v>
      </c>
      <c r="Y30" s="473" t="s">
        <v>906</v>
      </c>
    </row>
    <row r="33" spans="4:25" ht="13.6" x14ac:dyDescent="0.25">
      <c r="D33" s="238" t="s">
        <v>155</v>
      </c>
      <c r="E33" s="527">
        <f>E18/(365*24*E12)*1000</f>
        <v>57.312638855226638</v>
      </c>
      <c r="F33" s="527">
        <f t="shared" ref="F33:X33" si="16">F18/(365*24*F12)*1000</f>
        <v>80.256105696408696</v>
      </c>
      <c r="G33" s="527">
        <f t="shared" si="16"/>
        <v>480.39625100364702</v>
      </c>
      <c r="H33" s="527">
        <f t="shared" si="16"/>
        <v>258.99105651365016</v>
      </c>
      <c r="I33" s="527">
        <f t="shared" si="16"/>
        <v>84.065284114548589</v>
      </c>
      <c r="J33" s="527">
        <f t="shared" si="16"/>
        <v>468.71851489323848</v>
      </c>
      <c r="K33" s="527">
        <f t="shared" si="16"/>
        <v>78.103732334039975</v>
      </c>
      <c r="L33" s="527">
        <f t="shared" si="16"/>
        <v>273.65885572375129</v>
      </c>
      <c r="M33" s="527">
        <f t="shared" si="16"/>
        <v>878.85173290656326</v>
      </c>
      <c r="N33" s="527">
        <f t="shared" si="16"/>
        <v>66.30542930193991</v>
      </c>
      <c r="O33" s="527">
        <f t="shared" si="16"/>
        <v>1943.0450114663672</v>
      </c>
      <c r="P33" s="527">
        <f t="shared" si="16"/>
        <v>474.28886376209908</v>
      </c>
      <c r="Q33" s="527">
        <f t="shared" si="16"/>
        <v>72.18023676371979</v>
      </c>
      <c r="R33" s="527">
        <f t="shared" si="16"/>
        <v>73.492868175549063</v>
      </c>
      <c r="S33" s="527">
        <f t="shared" si="16"/>
        <v>686.04499580830293</v>
      </c>
      <c r="T33" s="527">
        <f t="shared" si="16"/>
        <v>74.205062540542386</v>
      </c>
      <c r="U33" s="527">
        <f t="shared" si="16"/>
        <v>72.53043694253256</v>
      </c>
      <c r="V33" s="527">
        <f t="shared" si="16"/>
        <v>1087.5281641113154</v>
      </c>
      <c r="W33" s="527">
        <f t="shared" si="16"/>
        <v>74.687922440527004</v>
      </c>
      <c r="X33" s="527">
        <f t="shared" si="16"/>
        <v>92.489456554493714</v>
      </c>
      <c r="Y33" s="532">
        <f>SUMPRODUCT(E33:X33,E12:X12)/SUM(E12:X12)</f>
        <v>365.39968643701968</v>
      </c>
    </row>
    <row r="35" spans="4:25" ht="13.6" x14ac:dyDescent="0.25">
      <c r="D35" s="238" t="s">
        <v>942</v>
      </c>
      <c r="E35" s="527">
        <f>E33*$AD$15</f>
        <v>7.7820896740406837</v>
      </c>
      <c r="F35" s="527">
        <f t="shared" ref="F35:X35" si="17">F33*$AD$15</f>
        <v>10.897425487533331</v>
      </c>
      <c r="G35" s="527">
        <f t="shared" si="17"/>
        <v>65.229708124709845</v>
      </c>
      <c r="H35" s="527">
        <f t="shared" si="17"/>
        <v>35.166617116600641</v>
      </c>
      <c r="I35" s="527">
        <f t="shared" si="17"/>
        <v>11.414647667954391</v>
      </c>
      <c r="J35" s="527">
        <f t="shared" si="17"/>
        <v>63.644068527298515</v>
      </c>
      <c r="K35" s="527">
        <f t="shared" si="17"/>
        <v>10.605169488637856</v>
      </c>
      <c r="L35" s="527">
        <f t="shared" si="17"/>
        <v>37.158256850066181</v>
      </c>
      <c r="M35" s="527">
        <f t="shared" si="17"/>
        <v>119.33324188650957</v>
      </c>
      <c r="N35" s="527">
        <f t="shared" si="17"/>
        <v>9.0031589368425138</v>
      </c>
      <c r="O35" s="527">
        <f t="shared" si="17"/>
        <v>263.83273954850745</v>
      </c>
      <c r="P35" s="527">
        <f t="shared" si="17"/>
        <v>64.400427949566009</v>
      </c>
      <c r="Q35" s="527">
        <f t="shared" si="17"/>
        <v>9.8008587007773063</v>
      </c>
      <c r="R35" s="527">
        <f t="shared" si="17"/>
        <v>9.9790919065737018</v>
      </c>
      <c r="S35" s="527">
        <f t="shared" si="17"/>
        <v>93.153339026897726</v>
      </c>
      <c r="T35" s="527">
        <f t="shared" si="17"/>
        <v>10.075795888878977</v>
      </c>
      <c r="U35" s="527">
        <f t="shared" si="17"/>
        <v>9.8484099782934269</v>
      </c>
      <c r="V35" s="527">
        <f t="shared" si="17"/>
        <v>147.66798153436068</v>
      </c>
      <c r="W35" s="527">
        <f t="shared" si="17"/>
        <v>10.141360118981355</v>
      </c>
      <c r="X35" s="527">
        <f t="shared" si="17"/>
        <v>12.558508196219989</v>
      </c>
      <c r="Y35" s="532">
        <f>Y33*$AD$15</f>
        <v>49.615114283992078</v>
      </c>
    </row>
  </sheetData>
  <printOptions horizontalCentered="1" verticalCentered="1"/>
  <pageMargins left="0.19685039370078741" right="0.19685039370078741" top="0.19685039370078741" bottom="0.19685039370078741" header="0.15748031496062992" footer="0.15748031496062992"/>
  <pageSetup paperSize="9" scale="42" orientation="landscape" r:id="rId1"/>
  <headerFooter alignWithMargins="0">
    <oddFooter>&amp;R&amp;"Arial Cyr,полужирный курсив"&amp;12&amp;A,  стр.&amp;P из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F334-C757-45AB-B86D-42BA463CAE13}">
  <sheetPr>
    <tabColor theme="9" tint="0.39997558519241921"/>
    <pageSetUpPr fitToPage="1"/>
  </sheetPr>
  <dimension ref="B2:Z53"/>
  <sheetViews>
    <sheetView showGridLines="0" zoomScale="85" zoomScaleNormal="85" workbookViewId="0">
      <pane xSplit="5" ySplit="4" topLeftCell="F5" activePane="bottomRight" state="frozen"/>
      <selection activeCell="D27" sqref="D27:D29"/>
      <selection pane="topRight" activeCell="D27" sqref="D27:D29"/>
      <selection pane="bottomLeft" activeCell="D27" sqref="D27:D29"/>
      <selection pane="bottomRight" activeCell="W49" sqref="W49"/>
    </sheetView>
  </sheetViews>
  <sheetFormatPr defaultRowHeight="14.3" x14ac:dyDescent="0.25"/>
  <cols>
    <col min="1" max="1" width="5.5" style="275" customWidth="1"/>
    <col min="2" max="2" width="33.375" style="888" bestFit="1" customWidth="1"/>
    <col min="3" max="3" width="19.375" style="799" bestFit="1" customWidth="1"/>
    <col min="4" max="4" width="14.625" style="275" customWidth="1"/>
    <col min="5" max="5" width="9.375" style="368" bestFit="1" customWidth="1"/>
    <col min="6" max="6" width="9.375" style="275" bestFit="1" customWidth="1"/>
    <col min="7" max="26" width="11.375" style="368" bestFit="1" customWidth="1"/>
    <col min="27" max="27" width="5.5" style="275" customWidth="1"/>
    <col min="28" max="16384" width="9" style="275"/>
  </cols>
  <sheetData>
    <row r="2" spans="2:26" ht="14.95" thickBot="1" x14ac:dyDescent="0.3">
      <c r="B2" s="237" t="s">
        <v>259</v>
      </c>
    </row>
    <row r="3" spans="2:26" ht="14.95" thickBot="1" x14ac:dyDescent="0.3">
      <c r="B3" s="800" t="s">
        <v>298</v>
      </c>
      <c r="C3" s="801"/>
      <c r="D3" s="802"/>
      <c r="E3" s="803"/>
      <c r="F3" s="802"/>
      <c r="G3" s="804">
        <f>'NHL NTE240_1'!E12</f>
        <v>0.93755029173008619</v>
      </c>
      <c r="H3" s="804">
        <f>'NHL NTE240_1'!F12</f>
        <v>0.93038070776255699</v>
      </c>
      <c r="I3" s="804">
        <f>'NHL NTE240_1'!G12</f>
        <v>0.92090265093860979</v>
      </c>
      <c r="J3" s="804">
        <f>'NHL NTE240_1'!H12</f>
        <v>0.90840582191780817</v>
      </c>
      <c r="K3" s="804">
        <f>'NHL NTE240_1'!I12</f>
        <v>0.93333288939624548</v>
      </c>
      <c r="L3" s="804">
        <f>'NHL NTE240_1'!J12</f>
        <v>0.92172393455098933</v>
      </c>
      <c r="M3" s="804">
        <f>'NHL NTE240_1'!K12</f>
        <v>0.93126858193810236</v>
      </c>
      <c r="N3" s="804">
        <f>'NHL NTE240_1'!L12</f>
        <v>0.91113603500761031</v>
      </c>
      <c r="O3" s="804">
        <f>'NHL NTE240_1'!M12</f>
        <v>0.91706259512937582</v>
      </c>
      <c r="P3" s="804">
        <f>'NHL NTE240_1'!N12</f>
        <v>0.93222304667681377</v>
      </c>
      <c r="Q3" s="804">
        <f>'NHL NTE240_1'!O12</f>
        <v>0.91462094114662595</v>
      </c>
      <c r="R3" s="804">
        <f>'NHL NTE240_1'!P12</f>
        <v>0.91328912988330779</v>
      </c>
      <c r="S3" s="804">
        <f>'NHL NTE240_1'!Q12</f>
        <v>0.93377682648401816</v>
      </c>
      <c r="T3" s="804">
        <f>'NHL NTE240_1'!R12</f>
        <v>0.93266698376458645</v>
      </c>
      <c r="U3" s="804">
        <f>'NHL NTE240_1'!S12</f>
        <v>0.89848382800608828</v>
      </c>
      <c r="V3" s="804">
        <f>'NHL NTE240_1'!T12</f>
        <v>0.92556399036022319</v>
      </c>
      <c r="W3" s="804">
        <f>'NHL NTE240_1'!U12</f>
        <v>0.93422076357179096</v>
      </c>
      <c r="X3" s="804">
        <f>'NHL NTE240_1'!V12</f>
        <v>0.90469894723490607</v>
      </c>
      <c r="Y3" s="804">
        <f>'NHL NTE240_1'!W12</f>
        <v>0.9344427321156773</v>
      </c>
      <c r="Z3" s="805">
        <f>'NHL NTE240_1'!X12</f>
        <v>0.9220124936580415</v>
      </c>
    </row>
    <row r="4" spans="2:26" ht="14.95" thickBot="1" x14ac:dyDescent="0.3">
      <c r="B4" s="806" t="s">
        <v>299</v>
      </c>
      <c r="C4" s="807" t="s">
        <v>8</v>
      </c>
      <c r="D4" s="280"/>
      <c r="E4" s="808"/>
      <c r="F4" s="809"/>
      <c r="G4" s="283">
        <f>E4+1</f>
        <v>1</v>
      </c>
      <c r="H4" s="283">
        <f>G4+1</f>
        <v>2</v>
      </c>
      <c r="I4" s="283">
        <f t="shared" ref="I4:P4" si="0">H4+1</f>
        <v>3</v>
      </c>
      <c r="J4" s="283">
        <f t="shared" si="0"/>
        <v>4</v>
      </c>
      <c r="K4" s="283">
        <f t="shared" si="0"/>
        <v>5</v>
      </c>
      <c r="L4" s="283">
        <f t="shared" si="0"/>
        <v>6</v>
      </c>
      <c r="M4" s="283">
        <f t="shared" si="0"/>
        <v>7</v>
      </c>
      <c r="N4" s="283">
        <f t="shared" si="0"/>
        <v>8</v>
      </c>
      <c r="O4" s="283">
        <f t="shared" si="0"/>
        <v>9</v>
      </c>
      <c r="P4" s="283">
        <f t="shared" si="0"/>
        <v>10</v>
      </c>
      <c r="Q4" s="283">
        <f>P4+1</f>
        <v>11</v>
      </c>
      <c r="R4" s="283">
        <f>Q4+1</f>
        <v>12</v>
      </c>
      <c r="S4" s="283">
        <v>13</v>
      </c>
      <c r="T4" s="283">
        <v>14</v>
      </c>
      <c r="U4" s="283">
        <v>15</v>
      </c>
      <c r="V4" s="283">
        <v>16</v>
      </c>
      <c r="W4" s="283">
        <v>17</v>
      </c>
      <c r="X4" s="283">
        <v>18</v>
      </c>
      <c r="Y4" s="283">
        <v>19</v>
      </c>
      <c r="Z4" s="810">
        <v>20</v>
      </c>
    </row>
    <row r="5" spans="2:26" x14ac:dyDescent="0.25">
      <c r="B5" s="811" t="s">
        <v>300</v>
      </c>
      <c r="C5" s="812" t="s">
        <v>301</v>
      </c>
      <c r="D5" s="286"/>
      <c r="E5" s="813"/>
      <c r="F5" s="288"/>
      <c r="G5" s="814">
        <v>0</v>
      </c>
      <c r="H5" s="814">
        <f>G6+1</f>
        <v>7001</v>
      </c>
      <c r="I5" s="814">
        <f t="shared" ref="I5:Z5" si="1">H6+1</f>
        <v>14001</v>
      </c>
      <c r="J5" s="814">
        <f t="shared" si="1"/>
        <v>21001</v>
      </c>
      <c r="K5" s="814">
        <f t="shared" si="1"/>
        <v>28001</v>
      </c>
      <c r="L5" s="814">
        <f t="shared" si="1"/>
        <v>35001</v>
      </c>
      <c r="M5" s="814">
        <f t="shared" si="1"/>
        <v>42001</v>
      </c>
      <c r="N5" s="814">
        <f t="shared" si="1"/>
        <v>49001</v>
      </c>
      <c r="O5" s="814">
        <f t="shared" si="1"/>
        <v>56001</v>
      </c>
      <c r="P5" s="814">
        <f t="shared" si="1"/>
        <v>63001</v>
      </c>
      <c r="Q5" s="814">
        <f t="shared" si="1"/>
        <v>70001</v>
      </c>
      <c r="R5" s="814">
        <f t="shared" si="1"/>
        <v>77001</v>
      </c>
      <c r="S5" s="814">
        <f t="shared" si="1"/>
        <v>84001</v>
      </c>
      <c r="T5" s="814">
        <f t="shared" si="1"/>
        <v>91001</v>
      </c>
      <c r="U5" s="814">
        <f t="shared" si="1"/>
        <v>98001</v>
      </c>
      <c r="V5" s="814">
        <f t="shared" si="1"/>
        <v>105001</v>
      </c>
      <c r="W5" s="814">
        <f t="shared" si="1"/>
        <v>112001</v>
      </c>
      <c r="X5" s="814">
        <f t="shared" si="1"/>
        <v>119001</v>
      </c>
      <c r="Y5" s="814">
        <f t="shared" si="1"/>
        <v>126001</v>
      </c>
      <c r="Z5" s="815">
        <f t="shared" si="1"/>
        <v>133001</v>
      </c>
    </row>
    <row r="6" spans="2:26" x14ac:dyDescent="0.25">
      <c r="B6" s="816" t="s">
        <v>302</v>
      </c>
      <c r="C6" s="817" t="s">
        <v>301</v>
      </c>
      <c r="D6" s="292"/>
      <c r="E6" s="818"/>
      <c r="F6" s="294">
        <v>7000</v>
      </c>
      <c r="G6" s="819">
        <f>F6</f>
        <v>7000</v>
      </c>
      <c r="H6" s="819">
        <f t="shared" ref="H6:R6" si="2">G6+$F6</f>
        <v>14000</v>
      </c>
      <c r="I6" s="819">
        <f t="shared" si="2"/>
        <v>21000</v>
      </c>
      <c r="J6" s="819">
        <f t="shared" si="2"/>
        <v>28000</v>
      </c>
      <c r="K6" s="819">
        <f t="shared" si="2"/>
        <v>35000</v>
      </c>
      <c r="L6" s="819">
        <f t="shared" si="2"/>
        <v>42000</v>
      </c>
      <c r="M6" s="819">
        <f t="shared" si="2"/>
        <v>49000</v>
      </c>
      <c r="N6" s="819">
        <f t="shared" si="2"/>
        <v>56000</v>
      </c>
      <c r="O6" s="819">
        <f t="shared" si="2"/>
        <v>63000</v>
      </c>
      <c r="P6" s="819">
        <f t="shared" si="2"/>
        <v>70000</v>
      </c>
      <c r="Q6" s="819">
        <f t="shared" si="2"/>
        <v>77000</v>
      </c>
      <c r="R6" s="819">
        <f t="shared" si="2"/>
        <v>84000</v>
      </c>
      <c r="S6" s="820">
        <v>91000</v>
      </c>
      <c r="T6" s="820">
        <v>98000</v>
      </c>
      <c r="U6" s="820">
        <v>105000</v>
      </c>
      <c r="V6" s="820">
        <v>112000</v>
      </c>
      <c r="W6" s="820">
        <v>119000</v>
      </c>
      <c r="X6" s="820">
        <v>126000</v>
      </c>
      <c r="Y6" s="820">
        <v>133000</v>
      </c>
      <c r="Z6" s="821">
        <v>140000</v>
      </c>
    </row>
    <row r="7" spans="2:26" x14ac:dyDescent="0.25">
      <c r="B7" s="822" t="s">
        <v>303</v>
      </c>
      <c r="C7" s="823" t="s">
        <v>304</v>
      </c>
      <c r="D7" s="253"/>
      <c r="E7" s="298"/>
      <c r="F7" s="299"/>
      <c r="G7" s="257">
        <f>G13</f>
        <v>173.404</v>
      </c>
      <c r="H7" s="257">
        <f t="shared" ref="H7:Z7" si="3">H13</f>
        <v>202.00399999999999</v>
      </c>
      <c r="I7" s="257">
        <f t="shared" si="3"/>
        <v>173.404</v>
      </c>
      <c r="J7" s="257">
        <f t="shared" si="3"/>
        <v>202.00399999999999</v>
      </c>
      <c r="K7" s="257">
        <f t="shared" si="3"/>
        <v>173.404</v>
      </c>
      <c r="L7" s="257">
        <f t="shared" si="3"/>
        <v>202.00399999999999</v>
      </c>
      <c r="M7" s="257">
        <f t="shared" si="3"/>
        <v>202.00399999999999</v>
      </c>
      <c r="N7" s="257">
        <f t="shared" si="3"/>
        <v>173.404</v>
      </c>
      <c r="O7" s="257">
        <f t="shared" si="3"/>
        <v>202.00399999999999</v>
      </c>
      <c r="P7" s="257">
        <f t="shared" si="3"/>
        <v>173.404</v>
      </c>
      <c r="Q7" s="257">
        <f t="shared" si="3"/>
        <v>202.00399999999999</v>
      </c>
      <c r="R7" s="257">
        <f t="shared" si="3"/>
        <v>202.00399999999999</v>
      </c>
      <c r="S7" s="257">
        <f t="shared" si="3"/>
        <v>173.404</v>
      </c>
      <c r="T7" s="257">
        <f t="shared" si="3"/>
        <v>197.404</v>
      </c>
      <c r="U7" s="257">
        <f t="shared" si="3"/>
        <v>197.404</v>
      </c>
      <c r="V7" s="257">
        <f t="shared" si="3"/>
        <v>173.404</v>
      </c>
      <c r="W7" s="257">
        <f t="shared" si="3"/>
        <v>197.404</v>
      </c>
      <c r="X7" s="257">
        <f t="shared" si="3"/>
        <v>197.404</v>
      </c>
      <c r="Y7" s="257">
        <f t="shared" si="3"/>
        <v>173.404</v>
      </c>
      <c r="Z7" s="349">
        <f t="shared" si="3"/>
        <v>197.404</v>
      </c>
    </row>
    <row r="8" spans="2:26" x14ac:dyDescent="0.25">
      <c r="B8" s="824" t="s">
        <v>305</v>
      </c>
      <c r="C8" s="825" t="s">
        <v>907</v>
      </c>
      <c r="D8" s="260"/>
      <c r="E8" s="298"/>
      <c r="F8" s="299"/>
      <c r="G8" s="302">
        <f t="shared" ref="G8:Z8" si="4">SUM(G9:G10)</f>
        <v>423337.29599999997</v>
      </c>
      <c r="H8" s="302">
        <f t="shared" si="4"/>
        <v>445187.696</v>
      </c>
      <c r="I8" s="302">
        <f t="shared" si="4"/>
        <v>423337.29599999997</v>
      </c>
      <c r="J8" s="302">
        <f t="shared" si="4"/>
        <v>445187.696</v>
      </c>
      <c r="K8" s="302">
        <f t="shared" si="4"/>
        <v>423337.29599999997</v>
      </c>
      <c r="L8" s="302">
        <f t="shared" si="4"/>
        <v>445187.696</v>
      </c>
      <c r="M8" s="302">
        <f t="shared" si="4"/>
        <v>445187.696</v>
      </c>
      <c r="N8" s="302">
        <f t="shared" si="4"/>
        <v>423337.29599999997</v>
      </c>
      <c r="O8" s="302">
        <f t="shared" si="4"/>
        <v>445187.696</v>
      </c>
      <c r="P8" s="302">
        <f t="shared" si="4"/>
        <v>423337.29599999997</v>
      </c>
      <c r="Q8" s="302">
        <f t="shared" si="4"/>
        <v>445187.696</v>
      </c>
      <c r="R8" s="302">
        <f t="shared" si="4"/>
        <v>445187.696</v>
      </c>
      <c r="S8" s="302">
        <f t="shared" si="4"/>
        <v>423337.29599999997</v>
      </c>
      <c r="T8" s="302">
        <f t="shared" si="4"/>
        <v>441673.29599999997</v>
      </c>
      <c r="U8" s="302">
        <f t="shared" si="4"/>
        <v>441673.29599999997</v>
      </c>
      <c r="V8" s="302">
        <f t="shared" si="4"/>
        <v>423337.29599999997</v>
      </c>
      <c r="W8" s="302">
        <f t="shared" si="4"/>
        <v>441673.29599999997</v>
      </c>
      <c r="X8" s="302">
        <f t="shared" si="4"/>
        <v>441673.29599999997</v>
      </c>
      <c r="Y8" s="302">
        <f t="shared" si="4"/>
        <v>423337.29599999997</v>
      </c>
      <c r="Z8" s="568">
        <f t="shared" si="4"/>
        <v>441673.29599999997</v>
      </c>
    </row>
    <row r="9" spans="2:26" x14ac:dyDescent="0.25">
      <c r="B9" s="826" t="s">
        <v>307</v>
      </c>
      <c r="C9" s="827" t="s">
        <v>907</v>
      </c>
      <c r="D9" s="306"/>
      <c r="E9" s="307"/>
      <c r="F9" s="308"/>
      <c r="G9" s="263">
        <f>G22</f>
        <v>297274.23999999999</v>
      </c>
      <c r="H9" s="263">
        <f>H22</f>
        <v>297274.23999999999</v>
      </c>
      <c r="I9" s="263">
        <f t="shared" ref="I9:Z9" si="5">I22</f>
        <v>297274.23999999999</v>
      </c>
      <c r="J9" s="263">
        <f t="shared" si="5"/>
        <v>297274.23999999999</v>
      </c>
      <c r="K9" s="263">
        <f t="shared" si="5"/>
        <v>297274.23999999999</v>
      </c>
      <c r="L9" s="263">
        <f t="shared" si="5"/>
        <v>297274.23999999999</v>
      </c>
      <c r="M9" s="263">
        <f t="shared" si="5"/>
        <v>297274.23999999999</v>
      </c>
      <c r="N9" s="263">
        <f t="shared" si="5"/>
        <v>297274.23999999999</v>
      </c>
      <c r="O9" s="263">
        <f t="shared" si="5"/>
        <v>297274.23999999999</v>
      </c>
      <c r="P9" s="263">
        <f t="shared" si="5"/>
        <v>297274.23999999999</v>
      </c>
      <c r="Q9" s="263">
        <f t="shared" si="5"/>
        <v>297274.23999999999</v>
      </c>
      <c r="R9" s="263">
        <f t="shared" si="5"/>
        <v>297274.23999999999</v>
      </c>
      <c r="S9" s="263">
        <f t="shared" si="5"/>
        <v>297274.23999999999</v>
      </c>
      <c r="T9" s="263">
        <f t="shared" si="5"/>
        <v>297274.23999999999</v>
      </c>
      <c r="U9" s="263">
        <f t="shared" si="5"/>
        <v>297274.23999999999</v>
      </c>
      <c r="V9" s="263">
        <f t="shared" si="5"/>
        <v>297274.23999999999</v>
      </c>
      <c r="W9" s="263">
        <f t="shared" si="5"/>
        <v>297274.23999999999</v>
      </c>
      <c r="X9" s="263">
        <f t="shared" si="5"/>
        <v>297274.23999999999</v>
      </c>
      <c r="Y9" s="263">
        <f t="shared" si="5"/>
        <v>297274.23999999999</v>
      </c>
      <c r="Z9" s="569">
        <f t="shared" si="5"/>
        <v>297274.23999999999</v>
      </c>
    </row>
    <row r="10" spans="2:26" ht="14.95" thickBot="1" x14ac:dyDescent="0.3">
      <c r="B10" s="828" t="s">
        <v>308</v>
      </c>
      <c r="C10" s="829" t="s">
        <v>907</v>
      </c>
      <c r="D10" s="311"/>
      <c r="E10" s="312"/>
      <c r="F10" s="830">
        <v>191</v>
      </c>
      <c r="G10" s="314">
        <f>SUMPRODUCT(G14:G19,$F$14:$F$19)*$F10</f>
        <v>126063.056</v>
      </c>
      <c r="H10" s="314">
        <f>SUMPRODUCT(H14:H19,$F$14:$F$19)*$F10</f>
        <v>147913.45599999998</v>
      </c>
      <c r="I10" s="314">
        <f t="shared" ref="I10:Z10" si="6">SUMPRODUCT(I14:I19,$F$14:$F$19)*$F10</f>
        <v>126063.056</v>
      </c>
      <c r="J10" s="314">
        <f t="shared" si="6"/>
        <v>147913.45599999998</v>
      </c>
      <c r="K10" s="314">
        <f t="shared" si="6"/>
        <v>126063.056</v>
      </c>
      <c r="L10" s="314">
        <f t="shared" si="6"/>
        <v>147913.45599999998</v>
      </c>
      <c r="M10" s="314">
        <f t="shared" si="6"/>
        <v>147913.45599999998</v>
      </c>
      <c r="N10" s="314">
        <f t="shared" si="6"/>
        <v>126063.056</v>
      </c>
      <c r="O10" s="314">
        <f t="shared" si="6"/>
        <v>147913.45599999998</v>
      </c>
      <c r="P10" s="314">
        <f t="shared" si="6"/>
        <v>126063.056</v>
      </c>
      <c r="Q10" s="314">
        <f t="shared" si="6"/>
        <v>147913.45599999998</v>
      </c>
      <c r="R10" s="314">
        <f t="shared" si="6"/>
        <v>147913.45599999998</v>
      </c>
      <c r="S10" s="314">
        <f t="shared" si="6"/>
        <v>126063.056</v>
      </c>
      <c r="T10" s="314">
        <f t="shared" si="6"/>
        <v>144399.05599999998</v>
      </c>
      <c r="U10" s="314">
        <f t="shared" si="6"/>
        <v>144399.05599999998</v>
      </c>
      <c r="V10" s="314">
        <f t="shared" si="6"/>
        <v>126063.056</v>
      </c>
      <c r="W10" s="314">
        <f t="shared" si="6"/>
        <v>144399.05599999998</v>
      </c>
      <c r="X10" s="314">
        <f t="shared" si="6"/>
        <v>144399.05599999998</v>
      </c>
      <c r="Y10" s="314">
        <f t="shared" si="6"/>
        <v>126063.056</v>
      </c>
      <c r="Z10" s="570">
        <f t="shared" si="6"/>
        <v>144399.05599999998</v>
      </c>
    </row>
    <row r="11" spans="2:26" ht="14.95" thickBot="1" x14ac:dyDescent="0.3">
      <c r="B11" s="1069"/>
      <c r="C11" s="1075"/>
      <c r="D11" s="1075"/>
      <c r="E11" s="1075"/>
      <c r="F11" s="1075"/>
      <c r="G11" s="1075"/>
      <c r="H11" s="1075"/>
      <c r="I11" s="1075"/>
      <c r="J11" s="1075"/>
      <c r="K11" s="1075"/>
      <c r="L11" s="1075"/>
      <c r="M11" s="1075"/>
      <c r="N11" s="1075"/>
      <c r="O11" s="1075"/>
      <c r="P11" s="1075"/>
      <c r="Q11" s="1075"/>
      <c r="R11" s="1075"/>
      <c r="S11" s="276"/>
      <c r="T11" s="276"/>
      <c r="U11" s="276"/>
      <c r="V11" s="276"/>
      <c r="W11" s="276"/>
      <c r="X11" s="276"/>
      <c r="Y11" s="276"/>
      <c r="Z11" s="276"/>
    </row>
    <row r="12" spans="2:26" ht="34.65" x14ac:dyDescent="0.25">
      <c r="B12" s="831" t="s">
        <v>309</v>
      </c>
      <c r="C12" s="832" t="s">
        <v>310</v>
      </c>
      <c r="D12" s="317" t="s">
        <v>311</v>
      </c>
      <c r="E12" s="317" t="s">
        <v>312</v>
      </c>
      <c r="F12" s="317" t="s">
        <v>313</v>
      </c>
      <c r="G12" s="833" t="s">
        <v>314</v>
      </c>
      <c r="H12" s="833" t="s">
        <v>314</v>
      </c>
      <c r="I12" s="833" t="s">
        <v>314</v>
      </c>
      <c r="J12" s="833" t="s">
        <v>314</v>
      </c>
      <c r="K12" s="833" t="s">
        <v>314</v>
      </c>
      <c r="L12" s="833" t="s">
        <v>314</v>
      </c>
      <c r="M12" s="833" t="s">
        <v>314</v>
      </c>
      <c r="N12" s="833" t="s">
        <v>314</v>
      </c>
      <c r="O12" s="833" t="s">
        <v>314</v>
      </c>
      <c r="P12" s="833" t="s">
        <v>314</v>
      </c>
      <c r="Q12" s="833" t="s">
        <v>314</v>
      </c>
      <c r="R12" s="833" t="s">
        <v>314</v>
      </c>
      <c r="S12" s="833" t="s">
        <v>314</v>
      </c>
      <c r="T12" s="833" t="s">
        <v>314</v>
      </c>
      <c r="U12" s="833" t="s">
        <v>314</v>
      </c>
      <c r="V12" s="833" t="s">
        <v>314</v>
      </c>
      <c r="W12" s="833" t="s">
        <v>314</v>
      </c>
      <c r="X12" s="833" t="s">
        <v>314</v>
      </c>
      <c r="Y12" s="833" t="s">
        <v>314</v>
      </c>
      <c r="Z12" s="834" t="s">
        <v>314</v>
      </c>
    </row>
    <row r="13" spans="2:26" ht="14.95" thickBot="1" x14ac:dyDescent="0.3">
      <c r="B13" s="835" t="s">
        <v>315</v>
      </c>
      <c r="C13" s="836"/>
      <c r="D13" s="323"/>
      <c r="E13" s="323"/>
      <c r="F13" s="582"/>
      <c r="G13" s="681">
        <f>SUM(G14:G19)</f>
        <v>173.404</v>
      </c>
      <c r="H13" s="681">
        <f t="shared" ref="H13:Z13" si="7">SUM(H14:H19)</f>
        <v>202.00399999999999</v>
      </c>
      <c r="I13" s="681">
        <f t="shared" si="7"/>
        <v>173.404</v>
      </c>
      <c r="J13" s="681">
        <f t="shared" si="7"/>
        <v>202.00399999999999</v>
      </c>
      <c r="K13" s="681">
        <f t="shared" si="7"/>
        <v>173.404</v>
      </c>
      <c r="L13" s="681">
        <f t="shared" si="7"/>
        <v>202.00399999999999</v>
      </c>
      <c r="M13" s="681">
        <f t="shared" si="7"/>
        <v>202.00399999999999</v>
      </c>
      <c r="N13" s="681">
        <f t="shared" si="7"/>
        <v>173.404</v>
      </c>
      <c r="O13" s="681">
        <f t="shared" si="7"/>
        <v>202.00399999999999</v>
      </c>
      <c r="P13" s="681">
        <f t="shared" si="7"/>
        <v>173.404</v>
      </c>
      <c r="Q13" s="681">
        <f t="shared" si="7"/>
        <v>202.00399999999999</v>
      </c>
      <c r="R13" s="681">
        <f t="shared" si="7"/>
        <v>202.00399999999999</v>
      </c>
      <c r="S13" s="681">
        <f t="shared" si="7"/>
        <v>173.404</v>
      </c>
      <c r="T13" s="681">
        <f t="shared" si="7"/>
        <v>197.404</v>
      </c>
      <c r="U13" s="681">
        <f t="shared" si="7"/>
        <v>197.404</v>
      </c>
      <c r="V13" s="681">
        <f t="shared" si="7"/>
        <v>173.404</v>
      </c>
      <c r="W13" s="681">
        <f t="shared" si="7"/>
        <v>197.404</v>
      </c>
      <c r="X13" s="681">
        <f t="shared" si="7"/>
        <v>197.404</v>
      </c>
      <c r="Y13" s="681">
        <f t="shared" si="7"/>
        <v>173.404</v>
      </c>
      <c r="Z13" s="837">
        <f t="shared" si="7"/>
        <v>197.404</v>
      </c>
    </row>
    <row r="14" spans="2:26" x14ac:dyDescent="0.25">
      <c r="B14" s="838" t="s">
        <v>317</v>
      </c>
      <c r="C14" s="839">
        <v>250</v>
      </c>
      <c r="D14" s="840">
        <f>6/2.5</f>
        <v>2.4</v>
      </c>
      <c r="E14" s="841">
        <v>14</v>
      </c>
      <c r="F14" s="842">
        <v>3</v>
      </c>
      <c r="G14" s="843">
        <f>$E14*$D14</f>
        <v>33.6</v>
      </c>
      <c r="H14" s="843">
        <f t="shared" ref="H14:W18" si="8">$E14*$D14</f>
        <v>33.6</v>
      </c>
      <c r="I14" s="843">
        <f>$E14*$D14</f>
        <v>33.6</v>
      </c>
      <c r="J14" s="843">
        <f t="shared" si="8"/>
        <v>33.6</v>
      </c>
      <c r="K14" s="843">
        <f t="shared" si="8"/>
        <v>33.6</v>
      </c>
      <c r="L14" s="843">
        <f t="shared" si="8"/>
        <v>33.6</v>
      </c>
      <c r="M14" s="843">
        <f t="shared" si="8"/>
        <v>33.6</v>
      </c>
      <c r="N14" s="843">
        <f t="shared" si="8"/>
        <v>33.6</v>
      </c>
      <c r="O14" s="843">
        <f t="shared" si="8"/>
        <v>33.6</v>
      </c>
      <c r="P14" s="843">
        <f t="shared" si="8"/>
        <v>33.6</v>
      </c>
      <c r="Q14" s="843">
        <f t="shared" si="8"/>
        <v>33.6</v>
      </c>
      <c r="R14" s="843">
        <f t="shared" si="8"/>
        <v>33.6</v>
      </c>
      <c r="S14" s="843">
        <f t="shared" si="8"/>
        <v>33.6</v>
      </c>
      <c r="T14" s="843">
        <f t="shared" si="8"/>
        <v>33.6</v>
      </c>
      <c r="U14" s="843">
        <f t="shared" si="8"/>
        <v>33.6</v>
      </c>
      <c r="V14" s="843">
        <f t="shared" si="8"/>
        <v>33.6</v>
      </c>
      <c r="W14" s="843">
        <f t="shared" si="8"/>
        <v>33.6</v>
      </c>
      <c r="X14" s="843">
        <f t="shared" ref="X14:Z18" si="9">$E14*$D14</f>
        <v>33.6</v>
      </c>
      <c r="Y14" s="843">
        <f t="shared" si="9"/>
        <v>33.6</v>
      </c>
      <c r="Z14" s="844">
        <f t="shared" si="9"/>
        <v>33.6</v>
      </c>
    </row>
    <row r="15" spans="2:26" x14ac:dyDescent="0.25">
      <c r="B15" s="845" t="s">
        <v>318</v>
      </c>
      <c r="C15" s="846">
        <v>500</v>
      </c>
      <c r="D15" s="847">
        <f>20.83/2.5</f>
        <v>8.331999999999999</v>
      </c>
      <c r="E15" s="848">
        <v>7</v>
      </c>
      <c r="F15" s="849">
        <v>4</v>
      </c>
      <c r="G15" s="850">
        <f>$E15*$D15</f>
        <v>58.323999999999991</v>
      </c>
      <c r="H15" s="850">
        <f t="shared" si="8"/>
        <v>58.323999999999991</v>
      </c>
      <c r="I15" s="850">
        <f t="shared" si="8"/>
        <v>58.323999999999991</v>
      </c>
      <c r="J15" s="850">
        <f t="shared" si="8"/>
        <v>58.323999999999991</v>
      </c>
      <c r="K15" s="850">
        <f t="shared" si="8"/>
        <v>58.323999999999991</v>
      </c>
      <c r="L15" s="850">
        <f t="shared" si="8"/>
        <v>58.323999999999991</v>
      </c>
      <c r="M15" s="850">
        <f t="shared" si="8"/>
        <v>58.323999999999991</v>
      </c>
      <c r="N15" s="850">
        <f t="shared" si="8"/>
        <v>58.323999999999991</v>
      </c>
      <c r="O15" s="850">
        <f t="shared" si="8"/>
        <v>58.323999999999991</v>
      </c>
      <c r="P15" s="850">
        <f t="shared" si="8"/>
        <v>58.323999999999991</v>
      </c>
      <c r="Q15" s="850">
        <f t="shared" si="8"/>
        <v>58.323999999999991</v>
      </c>
      <c r="R15" s="850">
        <f t="shared" si="8"/>
        <v>58.323999999999991</v>
      </c>
      <c r="S15" s="850">
        <f t="shared" si="8"/>
        <v>58.323999999999991</v>
      </c>
      <c r="T15" s="850">
        <f t="shared" si="8"/>
        <v>58.323999999999991</v>
      </c>
      <c r="U15" s="850">
        <f t="shared" si="8"/>
        <v>58.323999999999991</v>
      </c>
      <c r="V15" s="850">
        <f t="shared" si="8"/>
        <v>58.323999999999991</v>
      </c>
      <c r="W15" s="850">
        <f t="shared" si="8"/>
        <v>58.323999999999991</v>
      </c>
      <c r="X15" s="850">
        <f t="shared" si="9"/>
        <v>58.323999999999991</v>
      </c>
      <c r="Y15" s="850">
        <f t="shared" si="9"/>
        <v>58.323999999999991</v>
      </c>
      <c r="Z15" s="851">
        <f t="shared" si="9"/>
        <v>58.323999999999991</v>
      </c>
    </row>
    <row r="16" spans="2:26" x14ac:dyDescent="0.25">
      <c r="B16" s="845" t="s">
        <v>319</v>
      </c>
      <c r="C16" s="846">
        <v>1000</v>
      </c>
      <c r="D16" s="847">
        <f>24.2/2.5</f>
        <v>9.68</v>
      </c>
      <c r="E16" s="848">
        <v>3</v>
      </c>
      <c r="F16" s="849">
        <v>4</v>
      </c>
      <c r="G16" s="850">
        <f>$E16*$D16</f>
        <v>29.04</v>
      </c>
      <c r="H16" s="850">
        <f t="shared" si="8"/>
        <v>29.04</v>
      </c>
      <c r="I16" s="850">
        <f t="shared" si="8"/>
        <v>29.04</v>
      </c>
      <c r="J16" s="850">
        <f t="shared" si="8"/>
        <v>29.04</v>
      </c>
      <c r="K16" s="850">
        <f t="shared" si="8"/>
        <v>29.04</v>
      </c>
      <c r="L16" s="850">
        <f t="shared" si="8"/>
        <v>29.04</v>
      </c>
      <c r="M16" s="850">
        <f t="shared" si="8"/>
        <v>29.04</v>
      </c>
      <c r="N16" s="850">
        <f t="shared" si="8"/>
        <v>29.04</v>
      </c>
      <c r="O16" s="850">
        <f t="shared" si="8"/>
        <v>29.04</v>
      </c>
      <c r="P16" s="850">
        <f t="shared" si="8"/>
        <v>29.04</v>
      </c>
      <c r="Q16" s="850">
        <f t="shared" si="8"/>
        <v>29.04</v>
      </c>
      <c r="R16" s="850">
        <f t="shared" si="8"/>
        <v>29.04</v>
      </c>
      <c r="S16" s="850">
        <f t="shared" si="8"/>
        <v>29.04</v>
      </c>
      <c r="T16" s="850">
        <f t="shared" si="8"/>
        <v>29.04</v>
      </c>
      <c r="U16" s="850">
        <f t="shared" si="8"/>
        <v>29.04</v>
      </c>
      <c r="V16" s="850">
        <f t="shared" si="8"/>
        <v>29.04</v>
      </c>
      <c r="W16" s="850">
        <f t="shared" si="8"/>
        <v>29.04</v>
      </c>
      <c r="X16" s="850">
        <f t="shared" si="9"/>
        <v>29.04</v>
      </c>
      <c r="Y16" s="850">
        <f t="shared" si="9"/>
        <v>29.04</v>
      </c>
      <c r="Z16" s="851">
        <f t="shared" si="9"/>
        <v>29.04</v>
      </c>
    </row>
    <row r="17" spans="2:26" x14ac:dyDescent="0.25">
      <c r="B17" s="845" t="s">
        <v>552</v>
      </c>
      <c r="C17" s="846">
        <v>2000</v>
      </c>
      <c r="D17" s="847">
        <f>28.2/2.5</f>
        <v>11.28</v>
      </c>
      <c r="E17" s="848">
        <v>3</v>
      </c>
      <c r="F17" s="849">
        <v>4</v>
      </c>
      <c r="G17" s="850">
        <f>$E17*$D17</f>
        <v>33.839999999999996</v>
      </c>
      <c r="H17" s="850">
        <f t="shared" si="8"/>
        <v>33.839999999999996</v>
      </c>
      <c r="I17" s="850">
        <f t="shared" si="8"/>
        <v>33.839999999999996</v>
      </c>
      <c r="J17" s="850">
        <f t="shared" si="8"/>
        <v>33.839999999999996</v>
      </c>
      <c r="K17" s="850">
        <f t="shared" si="8"/>
        <v>33.839999999999996</v>
      </c>
      <c r="L17" s="850">
        <f t="shared" si="8"/>
        <v>33.839999999999996</v>
      </c>
      <c r="M17" s="850">
        <f t="shared" si="8"/>
        <v>33.839999999999996</v>
      </c>
      <c r="N17" s="850">
        <f t="shared" si="8"/>
        <v>33.839999999999996</v>
      </c>
      <c r="O17" s="850">
        <f t="shared" si="8"/>
        <v>33.839999999999996</v>
      </c>
      <c r="P17" s="850">
        <f t="shared" si="8"/>
        <v>33.839999999999996</v>
      </c>
      <c r="Q17" s="850">
        <f t="shared" si="8"/>
        <v>33.839999999999996</v>
      </c>
      <c r="R17" s="850">
        <f t="shared" si="8"/>
        <v>33.839999999999996</v>
      </c>
      <c r="S17" s="850">
        <f t="shared" si="8"/>
        <v>33.839999999999996</v>
      </c>
      <c r="T17" s="850">
        <f t="shared" si="8"/>
        <v>33.839999999999996</v>
      </c>
      <c r="U17" s="850">
        <f t="shared" si="8"/>
        <v>33.839999999999996</v>
      </c>
      <c r="V17" s="850">
        <f t="shared" si="8"/>
        <v>33.839999999999996</v>
      </c>
      <c r="W17" s="850">
        <f t="shared" si="8"/>
        <v>33.839999999999996</v>
      </c>
      <c r="X17" s="850">
        <f t="shared" si="9"/>
        <v>33.839999999999996</v>
      </c>
      <c r="Y17" s="850">
        <f t="shared" si="9"/>
        <v>33.839999999999996</v>
      </c>
      <c r="Z17" s="851">
        <f t="shared" si="9"/>
        <v>33.839999999999996</v>
      </c>
    </row>
    <row r="18" spans="2:26" x14ac:dyDescent="0.25">
      <c r="B18" s="845" t="s">
        <v>553</v>
      </c>
      <c r="C18" s="846">
        <v>5000</v>
      </c>
      <c r="D18" s="847">
        <f>46.5/2.5</f>
        <v>18.600000000000001</v>
      </c>
      <c r="E18" s="848">
        <v>1</v>
      </c>
      <c r="F18" s="849">
        <v>4</v>
      </c>
      <c r="G18" s="850">
        <f>$E18*$D18</f>
        <v>18.600000000000001</v>
      </c>
      <c r="H18" s="850">
        <f t="shared" si="8"/>
        <v>18.600000000000001</v>
      </c>
      <c r="I18" s="850">
        <f t="shared" si="8"/>
        <v>18.600000000000001</v>
      </c>
      <c r="J18" s="850">
        <f t="shared" si="8"/>
        <v>18.600000000000001</v>
      </c>
      <c r="K18" s="850">
        <f t="shared" si="8"/>
        <v>18.600000000000001</v>
      </c>
      <c r="L18" s="850">
        <f t="shared" si="8"/>
        <v>18.600000000000001</v>
      </c>
      <c r="M18" s="850">
        <f t="shared" si="8"/>
        <v>18.600000000000001</v>
      </c>
      <c r="N18" s="850">
        <f t="shared" si="8"/>
        <v>18.600000000000001</v>
      </c>
      <c r="O18" s="850">
        <f t="shared" si="8"/>
        <v>18.600000000000001</v>
      </c>
      <c r="P18" s="850">
        <f t="shared" si="8"/>
        <v>18.600000000000001</v>
      </c>
      <c r="Q18" s="850">
        <f t="shared" si="8"/>
        <v>18.600000000000001</v>
      </c>
      <c r="R18" s="850">
        <f t="shared" si="8"/>
        <v>18.600000000000001</v>
      </c>
      <c r="S18" s="850">
        <f t="shared" si="8"/>
        <v>18.600000000000001</v>
      </c>
      <c r="T18" s="850">
        <f t="shared" si="8"/>
        <v>18.600000000000001</v>
      </c>
      <c r="U18" s="850">
        <f t="shared" si="8"/>
        <v>18.600000000000001</v>
      </c>
      <c r="V18" s="850">
        <f t="shared" si="8"/>
        <v>18.600000000000001</v>
      </c>
      <c r="W18" s="850">
        <f t="shared" si="8"/>
        <v>18.600000000000001</v>
      </c>
      <c r="X18" s="850">
        <f t="shared" si="9"/>
        <v>18.600000000000001</v>
      </c>
      <c r="Y18" s="850">
        <f t="shared" si="9"/>
        <v>18.600000000000001</v>
      </c>
      <c r="Z18" s="851">
        <f t="shared" si="9"/>
        <v>18.600000000000001</v>
      </c>
    </row>
    <row r="19" spans="2:26" ht="14.95" thickBot="1" x14ac:dyDescent="0.3">
      <c r="B19" s="852" t="s">
        <v>554</v>
      </c>
      <c r="C19" s="853">
        <v>10000</v>
      </c>
      <c r="D19" s="854">
        <f>71.5/2.5</f>
        <v>28.6</v>
      </c>
      <c r="E19" s="855"/>
      <c r="F19" s="856">
        <v>4</v>
      </c>
      <c r="G19" s="857"/>
      <c r="H19" s="857">
        <f>$D19</f>
        <v>28.6</v>
      </c>
      <c r="I19" s="857"/>
      <c r="J19" s="857">
        <f>$D19</f>
        <v>28.6</v>
      </c>
      <c r="K19" s="857"/>
      <c r="L19" s="857">
        <f>$D19</f>
        <v>28.6</v>
      </c>
      <c r="M19" s="857">
        <f>$D19</f>
        <v>28.6</v>
      </c>
      <c r="N19" s="857"/>
      <c r="O19" s="857">
        <f>$D19</f>
        <v>28.6</v>
      </c>
      <c r="P19" s="857"/>
      <c r="Q19" s="857">
        <f>$D19</f>
        <v>28.6</v>
      </c>
      <c r="R19" s="857">
        <f>$D19</f>
        <v>28.6</v>
      </c>
      <c r="S19" s="857"/>
      <c r="T19" s="857">
        <v>24</v>
      </c>
      <c r="U19" s="857">
        <v>24</v>
      </c>
      <c r="V19" s="857"/>
      <c r="W19" s="857">
        <v>24</v>
      </c>
      <c r="X19" s="857">
        <v>24</v>
      </c>
      <c r="Y19" s="857"/>
      <c r="Z19" s="858">
        <v>24</v>
      </c>
    </row>
    <row r="20" spans="2:26" ht="14.95" thickBot="1" x14ac:dyDescent="0.3">
      <c r="B20" s="1076"/>
      <c r="C20" s="1077"/>
      <c r="D20" s="1077"/>
      <c r="E20" s="1077"/>
      <c r="F20" s="1077"/>
      <c r="G20" s="1077"/>
      <c r="H20" s="1077"/>
      <c r="I20" s="1077"/>
      <c r="J20" s="1077"/>
      <c r="K20" s="1077"/>
      <c r="L20" s="1077"/>
      <c r="M20" s="1077"/>
      <c r="N20" s="1077"/>
      <c r="O20" s="1077"/>
      <c r="P20" s="1077"/>
      <c r="Q20" s="1077"/>
      <c r="R20" s="1077"/>
      <c r="S20" s="276"/>
      <c r="T20" s="276"/>
      <c r="U20" s="276"/>
      <c r="V20" s="276"/>
      <c r="W20" s="276"/>
      <c r="X20" s="276"/>
      <c r="Y20" s="276"/>
      <c r="Z20" s="276"/>
    </row>
    <row r="21" spans="2:26" ht="27.2" x14ac:dyDescent="0.25">
      <c r="B21" s="859" t="s">
        <v>305</v>
      </c>
      <c r="C21" s="860" t="s">
        <v>323</v>
      </c>
      <c r="D21" s="335" t="s">
        <v>908</v>
      </c>
      <c r="E21" s="335" t="s">
        <v>325</v>
      </c>
      <c r="F21" s="339" t="s">
        <v>312</v>
      </c>
      <c r="G21" s="340" t="s">
        <v>909</v>
      </c>
      <c r="H21" s="340" t="str">
        <f>G21</f>
        <v>¥</v>
      </c>
      <c r="I21" s="340" t="str">
        <f t="shared" ref="I21:Z21" si="10">H21</f>
        <v>¥</v>
      </c>
      <c r="J21" s="340" t="str">
        <f t="shared" si="10"/>
        <v>¥</v>
      </c>
      <c r="K21" s="340" t="str">
        <f t="shared" si="10"/>
        <v>¥</v>
      </c>
      <c r="L21" s="340" t="str">
        <f t="shared" si="10"/>
        <v>¥</v>
      </c>
      <c r="M21" s="340" t="str">
        <f t="shared" si="10"/>
        <v>¥</v>
      </c>
      <c r="N21" s="340" t="str">
        <f t="shared" si="10"/>
        <v>¥</v>
      </c>
      <c r="O21" s="340" t="str">
        <f t="shared" si="10"/>
        <v>¥</v>
      </c>
      <c r="P21" s="340" t="str">
        <f t="shared" si="10"/>
        <v>¥</v>
      </c>
      <c r="Q21" s="340" t="str">
        <f t="shared" si="10"/>
        <v>¥</v>
      </c>
      <c r="R21" s="340" t="str">
        <f t="shared" si="10"/>
        <v>¥</v>
      </c>
      <c r="S21" s="340" t="str">
        <f t="shared" si="10"/>
        <v>¥</v>
      </c>
      <c r="T21" s="340" t="str">
        <f t="shared" si="10"/>
        <v>¥</v>
      </c>
      <c r="U21" s="340" t="str">
        <f t="shared" si="10"/>
        <v>¥</v>
      </c>
      <c r="V21" s="340" t="str">
        <f t="shared" si="10"/>
        <v>¥</v>
      </c>
      <c r="W21" s="340" t="str">
        <f t="shared" si="10"/>
        <v>¥</v>
      </c>
      <c r="X21" s="340" t="str">
        <f t="shared" si="10"/>
        <v>¥</v>
      </c>
      <c r="Y21" s="340" t="str">
        <f t="shared" si="10"/>
        <v>¥</v>
      </c>
      <c r="Z21" s="494" t="str">
        <f t="shared" si="10"/>
        <v>¥</v>
      </c>
    </row>
    <row r="22" spans="2:26" x14ac:dyDescent="0.25">
      <c r="B22" s="861" t="s">
        <v>326</v>
      </c>
      <c r="C22" s="862"/>
      <c r="D22" s="341"/>
      <c r="E22" s="341"/>
      <c r="F22" s="345"/>
      <c r="G22" s="863">
        <f t="shared" ref="G22:Z22" si="11">SUM(G23:G52)</f>
        <v>297274.23999999999</v>
      </c>
      <c r="H22" s="863">
        <f t="shared" si="11"/>
        <v>297274.23999999999</v>
      </c>
      <c r="I22" s="863">
        <f t="shared" si="11"/>
        <v>297274.23999999999</v>
      </c>
      <c r="J22" s="863">
        <f t="shared" si="11"/>
        <v>297274.23999999999</v>
      </c>
      <c r="K22" s="863">
        <f t="shared" si="11"/>
        <v>297274.23999999999</v>
      </c>
      <c r="L22" s="863">
        <f t="shared" si="11"/>
        <v>297274.23999999999</v>
      </c>
      <c r="M22" s="863">
        <f t="shared" si="11"/>
        <v>297274.23999999999</v>
      </c>
      <c r="N22" s="863">
        <f t="shared" si="11"/>
        <v>297274.23999999999</v>
      </c>
      <c r="O22" s="863">
        <f t="shared" si="11"/>
        <v>297274.23999999999</v>
      </c>
      <c r="P22" s="863">
        <f t="shared" si="11"/>
        <v>297274.23999999999</v>
      </c>
      <c r="Q22" s="863">
        <f t="shared" si="11"/>
        <v>297274.23999999999</v>
      </c>
      <c r="R22" s="863">
        <f t="shared" si="11"/>
        <v>297274.23999999999</v>
      </c>
      <c r="S22" s="863">
        <f t="shared" si="11"/>
        <v>297274.23999999999</v>
      </c>
      <c r="T22" s="863">
        <f t="shared" si="11"/>
        <v>297274.23999999999</v>
      </c>
      <c r="U22" s="863">
        <f t="shared" si="11"/>
        <v>297274.23999999999</v>
      </c>
      <c r="V22" s="863">
        <f t="shared" si="11"/>
        <v>297274.23999999999</v>
      </c>
      <c r="W22" s="863">
        <f t="shared" si="11"/>
        <v>297274.23999999999</v>
      </c>
      <c r="X22" s="863">
        <f t="shared" si="11"/>
        <v>297274.23999999999</v>
      </c>
      <c r="Y22" s="863">
        <f t="shared" si="11"/>
        <v>297274.23999999999</v>
      </c>
      <c r="Z22" s="864">
        <f t="shared" si="11"/>
        <v>297274.23999999999</v>
      </c>
    </row>
    <row r="23" spans="2:26" x14ac:dyDescent="0.25">
      <c r="B23" s="865" t="s">
        <v>317</v>
      </c>
      <c r="C23" s="866"/>
      <c r="D23" s="867"/>
      <c r="E23" s="868">
        <f>VLOOKUP($B23,$B$14:$C$19,2,FALSE)</f>
        <v>250</v>
      </c>
      <c r="F23" s="869">
        <f>VLOOKUP($B23,$B$14:$E$19,4,FALSE)</f>
        <v>14</v>
      </c>
      <c r="G23" s="819"/>
      <c r="H23" s="819"/>
      <c r="I23" s="819"/>
      <c r="J23" s="819"/>
      <c r="K23" s="819"/>
      <c r="L23" s="819"/>
      <c r="M23" s="819"/>
      <c r="N23" s="819"/>
      <c r="O23" s="819"/>
      <c r="P23" s="819"/>
      <c r="Q23" s="819"/>
      <c r="R23" s="819"/>
      <c r="S23" s="820"/>
      <c r="T23" s="820"/>
      <c r="U23" s="820"/>
      <c r="V23" s="820"/>
      <c r="W23" s="820"/>
      <c r="X23" s="820"/>
      <c r="Y23" s="820"/>
      <c r="Z23" s="821"/>
    </row>
    <row r="24" spans="2:26" x14ac:dyDescent="0.25">
      <c r="B24" s="865" t="s">
        <v>587</v>
      </c>
      <c r="C24" s="870">
        <v>4323856</v>
      </c>
      <c r="D24" s="871">
        <v>446.41</v>
      </c>
      <c r="E24" s="872">
        <v>1</v>
      </c>
      <c r="F24" s="873"/>
      <c r="G24" s="874">
        <f>IF(G$14=0,0,G$14/$D$14*$E24*$D24)</f>
        <v>6249.7400000000007</v>
      </c>
      <c r="H24" s="874">
        <f t="shared" ref="H24:W29" si="12">IF(H$14=0,0,H$14/$D$14*$E24*$D24)</f>
        <v>6249.7400000000007</v>
      </c>
      <c r="I24" s="874">
        <f t="shared" si="12"/>
        <v>6249.7400000000007</v>
      </c>
      <c r="J24" s="874">
        <f t="shared" si="12"/>
        <v>6249.7400000000007</v>
      </c>
      <c r="K24" s="874">
        <f t="shared" si="12"/>
        <v>6249.7400000000007</v>
      </c>
      <c r="L24" s="874">
        <f t="shared" si="12"/>
        <v>6249.7400000000007</v>
      </c>
      <c r="M24" s="874">
        <f t="shared" si="12"/>
        <v>6249.7400000000007</v>
      </c>
      <c r="N24" s="874">
        <f t="shared" si="12"/>
        <v>6249.7400000000007</v>
      </c>
      <c r="O24" s="874">
        <f t="shared" si="12"/>
        <v>6249.7400000000007</v>
      </c>
      <c r="P24" s="874">
        <f t="shared" si="12"/>
        <v>6249.7400000000007</v>
      </c>
      <c r="Q24" s="874">
        <f t="shared" si="12"/>
        <v>6249.7400000000007</v>
      </c>
      <c r="R24" s="874">
        <f t="shared" si="12"/>
        <v>6249.7400000000007</v>
      </c>
      <c r="S24" s="874">
        <f t="shared" si="12"/>
        <v>6249.7400000000007</v>
      </c>
      <c r="T24" s="874">
        <f t="shared" si="12"/>
        <v>6249.7400000000007</v>
      </c>
      <c r="U24" s="874">
        <f t="shared" si="12"/>
        <v>6249.7400000000007</v>
      </c>
      <c r="V24" s="874">
        <f t="shared" si="12"/>
        <v>6249.7400000000007</v>
      </c>
      <c r="W24" s="874">
        <f t="shared" si="12"/>
        <v>6249.7400000000007</v>
      </c>
      <c r="X24" s="874">
        <f t="shared" ref="W24:Z29" si="13">IF(X$14=0,0,X$14/$D$14*$E24*$D24)</f>
        <v>6249.7400000000007</v>
      </c>
      <c r="Y24" s="874">
        <f t="shared" si="13"/>
        <v>6249.7400000000007</v>
      </c>
      <c r="Z24" s="875">
        <f t="shared" si="13"/>
        <v>6249.7400000000007</v>
      </c>
    </row>
    <row r="25" spans="2:26" x14ac:dyDescent="0.25">
      <c r="B25" s="865" t="s">
        <v>587</v>
      </c>
      <c r="C25" s="870">
        <v>5375337</v>
      </c>
      <c r="D25" s="871">
        <v>1131.08</v>
      </c>
      <c r="E25" s="872">
        <v>4</v>
      </c>
      <c r="F25" s="873"/>
      <c r="G25" s="874">
        <f>IF(G$14=0,0,G$14/$D$14*$E25*$D25)</f>
        <v>63340.480000000003</v>
      </c>
      <c r="H25" s="874">
        <f t="shared" si="12"/>
        <v>63340.480000000003</v>
      </c>
      <c r="I25" s="874">
        <f t="shared" si="12"/>
        <v>63340.480000000003</v>
      </c>
      <c r="J25" s="874">
        <f t="shared" si="12"/>
        <v>63340.480000000003</v>
      </c>
      <c r="K25" s="874">
        <f t="shared" si="12"/>
        <v>63340.480000000003</v>
      </c>
      <c r="L25" s="874">
        <f t="shared" si="12"/>
        <v>63340.480000000003</v>
      </c>
      <c r="M25" s="874">
        <f t="shared" si="12"/>
        <v>63340.480000000003</v>
      </c>
      <c r="N25" s="874">
        <f t="shared" si="12"/>
        <v>63340.480000000003</v>
      </c>
      <c r="O25" s="874">
        <f t="shared" si="12"/>
        <v>63340.480000000003</v>
      </c>
      <c r="P25" s="874">
        <f t="shared" si="12"/>
        <v>63340.480000000003</v>
      </c>
      <c r="Q25" s="874">
        <f t="shared" si="12"/>
        <v>63340.480000000003</v>
      </c>
      <c r="R25" s="874">
        <f t="shared" si="12"/>
        <v>63340.480000000003</v>
      </c>
      <c r="S25" s="874">
        <f t="shared" si="12"/>
        <v>63340.480000000003</v>
      </c>
      <c r="T25" s="874">
        <f t="shared" si="12"/>
        <v>63340.480000000003</v>
      </c>
      <c r="U25" s="874">
        <f t="shared" si="12"/>
        <v>63340.480000000003</v>
      </c>
      <c r="V25" s="874">
        <f t="shared" si="12"/>
        <v>63340.480000000003</v>
      </c>
      <c r="W25" s="874">
        <f t="shared" si="12"/>
        <v>63340.480000000003</v>
      </c>
      <c r="X25" s="874">
        <f t="shared" si="13"/>
        <v>63340.480000000003</v>
      </c>
      <c r="Y25" s="874">
        <f t="shared" si="13"/>
        <v>63340.480000000003</v>
      </c>
      <c r="Z25" s="875">
        <f t="shared" si="13"/>
        <v>63340.480000000003</v>
      </c>
    </row>
    <row r="26" spans="2:26" x14ac:dyDescent="0.25">
      <c r="B26" s="865" t="s">
        <v>587</v>
      </c>
      <c r="C26" s="870">
        <v>2881458</v>
      </c>
      <c r="D26" s="871">
        <v>1711.91</v>
      </c>
      <c r="E26" s="872">
        <v>3</v>
      </c>
      <c r="F26" s="873"/>
      <c r="G26" s="874">
        <f t="shared" ref="G26:V29" si="14">IF(G$14=0,0,G$14/$D$14*$E26*$D26)</f>
        <v>71900.220000000016</v>
      </c>
      <c r="H26" s="874">
        <f t="shared" si="14"/>
        <v>71900.220000000016</v>
      </c>
      <c r="I26" s="874">
        <f t="shared" si="14"/>
        <v>71900.220000000016</v>
      </c>
      <c r="J26" s="874">
        <f t="shared" si="14"/>
        <v>71900.220000000016</v>
      </c>
      <c r="K26" s="874">
        <f t="shared" si="14"/>
        <v>71900.220000000016</v>
      </c>
      <c r="L26" s="874">
        <f t="shared" si="14"/>
        <v>71900.220000000016</v>
      </c>
      <c r="M26" s="874">
        <f t="shared" si="14"/>
        <v>71900.220000000016</v>
      </c>
      <c r="N26" s="874">
        <f t="shared" si="14"/>
        <v>71900.220000000016</v>
      </c>
      <c r="O26" s="874">
        <f t="shared" si="14"/>
        <v>71900.220000000016</v>
      </c>
      <c r="P26" s="874">
        <f t="shared" si="14"/>
        <v>71900.220000000016</v>
      </c>
      <c r="Q26" s="874">
        <f t="shared" si="14"/>
        <v>71900.220000000016</v>
      </c>
      <c r="R26" s="874">
        <f t="shared" si="14"/>
        <v>71900.220000000016</v>
      </c>
      <c r="S26" s="874">
        <f t="shared" si="14"/>
        <v>71900.220000000016</v>
      </c>
      <c r="T26" s="874">
        <f t="shared" si="14"/>
        <v>71900.220000000016</v>
      </c>
      <c r="U26" s="874">
        <f t="shared" si="14"/>
        <v>71900.220000000016</v>
      </c>
      <c r="V26" s="874">
        <f t="shared" si="14"/>
        <v>71900.220000000016</v>
      </c>
      <c r="W26" s="874">
        <f t="shared" si="13"/>
        <v>71900.220000000016</v>
      </c>
      <c r="X26" s="874">
        <f t="shared" si="13"/>
        <v>71900.220000000016</v>
      </c>
      <c r="Y26" s="874">
        <f t="shared" si="13"/>
        <v>71900.220000000016</v>
      </c>
      <c r="Z26" s="875">
        <f t="shared" si="13"/>
        <v>71900.220000000016</v>
      </c>
    </row>
    <row r="27" spans="2:26" x14ac:dyDescent="0.25">
      <c r="B27" s="865" t="s">
        <v>910</v>
      </c>
      <c r="C27" s="870">
        <v>0</v>
      </c>
      <c r="D27" s="1048">
        <v>3</v>
      </c>
      <c r="E27" s="872">
        <v>280</v>
      </c>
      <c r="F27" s="873"/>
      <c r="G27" s="874">
        <f t="shared" si="14"/>
        <v>11760.000000000002</v>
      </c>
      <c r="H27" s="874">
        <f t="shared" si="12"/>
        <v>11760.000000000002</v>
      </c>
      <c r="I27" s="874">
        <f t="shared" si="12"/>
        <v>11760.000000000002</v>
      </c>
      <c r="J27" s="874">
        <f t="shared" si="12"/>
        <v>11760.000000000002</v>
      </c>
      <c r="K27" s="874">
        <f t="shared" si="12"/>
        <v>11760.000000000002</v>
      </c>
      <c r="L27" s="874">
        <f t="shared" si="12"/>
        <v>11760.000000000002</v>
      </c>
      <c r="M27" s="874">
        <f t="shared" si="12"/>
        <v>11760.000000000002</v>
      </c>
      <c r="N27" s="874">
        <f t="shared" si="12"/>
        <v>11760.000000000002</v>
      </c>
      <c r="O27" s="874">
        <f t="shared" si="12"/>
        <v>11760.000000000002</v>
      </c>
      <c r="P27" s="874">
        <f t="shared" si="12"/>
        <v>11760.000000000002</v>
      </c>
      <c r="Q27" s="874">
        <f t="shared" si="12"/>
        <v>11760.000000000002</v>
      </c>
      <c r="R27" s="874">
        <f t="shared" si="12"/>
        <v>11760.000000000002</v>
      </c>
      <c r="S27" s="874">
        <f t="shared" si="14"/>
        <v>11760.000000000002</v>
      </c>
      <c r="T27" s="874">
        <f t="shared" si="14"/>
        <v>11760.000000000002</v>
      </c>
      <c r="U27" s="874">
        <f t="shared" si="14"/>
        <v>11760.000000000002</v>
      </c>
      <c r="V27" s="874">
        <f t="shared" si="14"/>
        <v>11760.000000000002</v>
      </c>
      <c r="W27" s="874">
        <f t="shared" si="13"/>
        <v>11760.000000000002</v>
      </c>
      <c r="X27" s="874">
        <f t="shared" si="13"/>
        <v>11760.000000000002</v>
      </c>
      <c r="Y27" s="874">
        <f t="shared" si="13"/>
        <v>11760.000000000002</v>
      </c>
      <c r="Z27" s="875">
        <f t="shared" si="13"/>
        <v>11760.000000000002</v>
      </c>
    </row>
    <row r="28" spans="2:26" x14ac:dyDescent="0.25">
      <c r="B28" s="865" t="s">
        <v>911</v>
      </c>
      <c r="C28" s="870">
        <v>0</v>
      </c>
      <c r="D28" s="1048">
        <v>3</v>
      </c>
      <c r="E28" s="872">
        <v>50</v>
      </c>
      <c r="F28" s="873"/>
      <c r="G28" s="874">
        <f t="shared" si="14"/>
        <v>2100.0000000000005</v>
      </c>
      <c r="H28" s="874">
        <f t="shared" si="12"/>
        <v>2100.0000000000005</v>
      </c>
      <c r="I28" s="874">
        <f t="shared" si="12"/>
        <v>2100.0000000000005</v>
      </c>
      <c r="J28" s="874">
        <f t="shared" si="12"/>
        <v>2100.0000000000005</v>
      </c>
      <c r="K28" s="874">
        <f t="shared" si="12"/>
        <v>2100.0000000000005</v>
      </c>
      <c r="L28" s="874">
        <f t="shared" si="12"/>
        <v>2100.0000000000005</v>
      </c>
      <c r="M28" s="874">
        <f t="shared" si="12"/>
        <v>2100.0000000000005</v>
      </c>
      <c r="N28" s="874">
        <f t="shared" si="12"/>
        <v>2100.0000000000005</v>
      </c>
      <c r="O28" s="874">
        <f t="shared" si="12"/>
        <v>2100.0000000000005</v>
      </c>
      <c r="P28" s="874">
        <f t="shared" si="12"/>
        <v>2100.0000000000005</v>
      </c>
      <c r="Q28" s="874">
        <f t="shared" si="12"/>
        <v>2100.0000000000005</v>
      </c>
      <c r="R28" s="874">
        <f t="shared" si="12"/>
        <v>2100.0000000000005</v>
      </c>
      <c r="S28" s="874">
        <f t="shared" si="14"/>
        <v>2100.0000000000005</v>
      </c>
      <c r="T28" s="874">
        <f t="shared" si="14"/>
        <v>2100.0000000000005</v>
      </c>
      <c r="U28" s="874">
        <f t="shared" si="14"/>
        <v>2100.0000000000005</v>
      </c>
      <c r="V28" s="874">
        <f t="shared" si="14"/>
        <v>2100.0000000000005</v>
      </c>
      <c r="W28" s="874">
        <f t="shared" si="13"/>
        <v>2100.0000000000005</v>
      </c>
      <c r="X28" s="874">
        <f t="shared" si="13"/>
        <v>2100.0000000000005</v>
      </c>
      <c r="Y28" s="874">
        <f t="shared" si="13"/>
        <v>2100.0000000000005</v>
      </c>
      <c r="Z28" s="875">
        <f t="shared" si="13"/>
        <v>2100.0000000000005</v>
      </c>
    </row>
    <row r="29" spans="2:26" x14ac:dyDescent="0.25">
      <c r="B29" s="865" t="s">
        <v>912</v>
      </c>
      <c r="C29" s="870">
        <v>0</v>
      </c>
      <c r="D29" s="1048">
        <v>7</v>
      </c>
      <c r="E29" s="872">
        <v>40</v>
      </c>
      <c r="F29" s="873"/>
      <c r="G29" s="874">
        <f t="shared" si="14"/>
        <v>3920.0000000000009</v>
      </c>
      <c r="H29" s="874">
        <f t="shared" si="12"/>
        <v>3920.0000000000009</v>
      </c>
      <c r="I29" s="874">
        <f t="shared" si="12"/>
        <v>3920.0000000000009</v>
      </c>
      <c r="J29" s="874">
        <f t="shared" si="12"/>
        <v>3920.0000000000009</v>
      </c>
      <c r="K29" s="874">
        <f t="shared" si="12"/>
        <v>3920.0000000000009</v>
      </c>
      <c r="L29" s="874">
        <f t="shared" si="12"/>
        <v>3920.0000000000009</v>
      </c>
      <c r="M29" s="874">
        <f t="shared" si="12"/>
        <v>3920.0000000000009</v>
      </c>
      <c r="N29" s="874">
        <f t="shared" si="12"/>
        <v>3920.0000000000009</v>
      </c>
      <c r="O29" s="874">
        <f t="shared" si="12"/>
        <v>3920.0000000000009</v>
      </c>
      <c r="P29" s="874">
        <f t="shared" si="12"/>
        <v>3920.0000000000009</v>
      </c>
      <c r="Q29" s="874">
        <f t="shared" si="12"/>
        <v>3920.0000000000009</v>
      </c>
      <c r="R29" s="874">
        <f t="shared" si="12"/>
        <v>3920.0000000000009</v>
      </c>
      <c r="S29" s="874">
        <f t="shared" si="14"/>
        <v>3920.0000000000009</v>
      </c>
      <c r="T29" s="874">
        <f t="shared" si="14"/>
        <v>3920.0000000000009</v>
      </c>
      <c r="U29" s="874">
        <f t="shared" si="14"/>
        <v>3920.0000000000009</v>
      </c>
      <c r="V29" s="874">
        <f t="shared" si="14"/>
        <v>3920.0000000000009</v>
      </c>
      <c r="W29" s="874">
        <f t="shared" si="13"/>
        <v>3920.0000000000009</v>
      </c>
      <c r="X29" s="874">
        <f t="shared" si="13"/>
        <v>3920.0000000000009</v>
      </c>
      <c r="Y29" s="874">
        <f t="shared" si="13"/>
        <v>3920.0000000000009</v>
      </c>
      <c r="Z29" s="875">
        <f t="shared" si="13"/>
        <v>3920.0000000000009</v>
      </c>
    </row>
    <row r="30" spans="2:26" x14ac:dyDescent="0.25">
      <c r="B30" s="865" t="s">
        <v>318</v>
      </c>
      <c r="C30" s="866"/>
      <c r="D30" s="876"/>
      <c r="E30" s="868">
        <f>VLOOKUP($B30,$B$14:$C$19,2,FALSE)</f>
        <v>500</v>
      </c>
      <c r="F30" s="869">
        <f>VLOOKUP($B30,$B$14:$E$19,4,FALSE)</f>
        <v>7</v>
      </c>
      <c r="G30" s="819"/>
      <c r="H30" s="819"/>
      <c r="I30" s="819"/>
      <c r="J30" s="819"/>
      <c r="K30" s="819"/>
      <c r="L30" s="819"/>
      <c r="M30" s="819"/>
      <c r="N30" s="819"/>
      <c r="O30" s="819"/>
      <c r="P30" s="819"/>
      <c r="Q30" s="819"/>
      <c r="R30" s="819"/>
      <c r="S30" s="820"/>
      <c r="T30" s="820"/>
      <c r="U30" s="820"/>
      <c r="V30" s="820"/>
      <c r="W30" s="820"/>
      <c r="X30" s="820"/>
      <c r="Y30" s="820"/>
      <c r="Z30" s="821"/>
    </row>
    <row r="31" spans="2:26" x14ac:dyDescent="0.25">
      <c r="B31" s="865" t="s">
        <v>587</v>
      </c>
      <c r="C31" s="870" t="s">
        <v>913</v>
      </c>
      <c r="D31" s="871">
        <v>1146.8599999999999</v>
      </c>
      <c r="E31" s="870">
        <v>3</v>
      </c>
      <c r="F31" s="873"/>
      <c r="G31" s="874">
        <f>IF(G$15=0,0,G$15/$D$15*$E31*$D31)</f>
        <v>24084.059999999998</v>
      </c>
      <c r="H31" s="874">
        <f t="shared" ref="H31:W34" si="15">IF(H$15=0,0,H$15/$D$15*$E31*$D31)</f>
        <v>24084.059999999998</v>
      </c>
      <c r="I31" s="874">
        <f t="shared" si="15"/>
        <v>24084.059999999998</v>
      </c>
      <c r="J31" s="874">
        <f t="shared" si="15"/>
        <v>24084.059999999998</v>
      </c>
      <c r="K31" s="874">
        <f t="shared" si="15"/>
        <v>24084.059999999998</v>
      </c>
      <c r="L31" s="874">
        <f t="shared" si="15"/>
        <v>24084.059999999998</v>
      </c>
      <c r="M31" s="874">
        <f t="shared" si="15"/>
        <v>24084.059999999998</v>
      </c>
      <c r="N31" s="874">
        <f t="shared" si="15"/>
        <v>24084.059999999998</v>
      </c>
      <c r="O31" s="874">
        <f t="shared" si="15"/>
        <v>24084.059999999998</v>
      </c>
      <c r="P31" s="874">
        <f t="shared" si="15"/>
        <v>24084.059999999998</v>
      </c>
      <c r="Q31" s="874">
        <f t="shared" si="15"/>
        <v>24084.059999999998</v>
      </c>
      <c r="R31" s="874">
        <f t="shared" si="15"/>
        <v>24084.059999999998</v>
      </c>
      <c r="S31" s="874">
        <f t="shared" si="15"/>
        <v>24084.059999999998</v>
      </c>
      <c r="T31" s="874">
        <f t="shared" si="15"/>
        <v>24084.059999999998</v>
      </c>
      <c r="U31" s="874">
        <f t="shared" si="15"/>
        <v>24084.059999999998</v>
      </c>
      <c r="V31" s="874">
        <f t="shared" si="15"/>
        <v>24084.059999999998</v>
      </c>
      <c r="W31" s="874">
        <f t="shared" si="15"/>
        <v>24084.059999999998</v>
      </c>
      <c r="X31" s="874">
        <f t="shared" ref="X31:Z34" si="16">IF(X$15=0,0,X$15/$D$15*$E31*$D31)</f>
        <v>24084.059999999998</v>
      </c>
      <c r="Y31" s="874">
        <f t="shared" si="16"/>
        <v>24084.059999999998</v>
      </c>
      <c r="Z31" s="875">
        <f t="shared" si="16"/>
        <v>24084.059999999998</v>
      </c>
    </row>
    <row r="32" spans="2:26" x14ac:dyDescent="0.25">
      <c r="B32" s="865" t="s">
        <v>587</v>
      </c>
      <c r="C32" s="870">
        <v>20070596</v>
      </c>
      <c r="D32" s="871">
        <v>5185.6099999999997</v>
      </c>
      <c r="E32" s="870">
        <v>1</v>
      </c>
      <c r="F32" s="873"/>
      <c r="G32" s="874">
        <f t="shared" ref="G32:V34" si="17">IF(G$15=0,0,G$15/$D$15*$E32*$D32)</f>
        <v>36299.269999999997</v>
      </c>
      <c r="H32" s="874">
        <f t="shared" si="17"/>
        <v>36299.269999999997</v>
      </c>
      <c r="I32" s="874">
        <f t="shared" si="17"/>
        <v>36299.269999999997</v>
      </c>
      <c r="J32" s="874">
        <f t="shared" si="17"/>
        <v>36299.269999999997</v>
      </c>
      <c r="K32" s="874">
        <f t="shared" si="17"/>
        <v>36299.269999999997</v>
      </c>
      <c r="L32" s="874">
        <f t="shared" si="17"/>
        <v>36299.269999999997</v>
      </c>
      <c r="M32" s="874">
        <f t="shared" si="17"/>
        <v>36299.269999999997</v>
      </c>
      <c r="N32" s="874">
        <f t="shared" si="17"/>
        <v>36299.269999999997</v>
      </c>
      <c r="O32" s="874">
        <f t="shared" si="17"/>
        <v>36299.269999999997</v>
      </c>
      <c r="P32" s="874">
        <f t="shared" si="17"/>
        <v>36299.269999999997</v>
      </c>
      <c r="Q32" s="874">
        <f t="shared" si="17"/>
        <v>36299.269999999997</v>
      </c>
      <c r="R32" s="874">
        <f t="shared" si="17"/>
        <v>36299.269999999997</v>
      </c>
      <c r="S32" s="874">
        <f t="shared" si="17"/>
        <v>36299.269999999997</v>
      </c>
      <c r="T32" s="874">
        <f t="shared" si="17"/>
        <v>36299.269999999997</v>
      </c>
      <c r="U32" s="874">
        <f t="shared" si="17"/>
        <v>36299.269999999997</v>
      </c>
      <c r="V32" s="874">
        <f t="shared" si="17"/>
        <v>36299.269999999997</v>
      </c>
      <c r="W32" s="874">
        <f t="shared" si="15"/>
        <v>36299.269999999997</v>
      </c>
      <c r="X32" s="874">
        <f t="shared" si="16"/>
        <v>36299.269999999997</v>
      </c>
      <c r="Y32" s="874">
        <f t="shared" si="16"/>
        <v>36299.269999999997</v>
      </c>
      <c r="Z32" s="875">
        <f t="shared" si="16"/>
        <v>36299.269999999997</v>
      </c>
    </row>
    <row r="33" spans="2:26" x14ac:dyDescent="0.25">
      <c r="B33" s="865" t="s">
        <v>587</v>
      </c>
      <c r="C33" s="870">
        <v>4328043</v>
      </c>
      <c r="D33" s="871">
        <v>2381.38</v>
      </c>
      <c r="E33" s="870">
        <v>1</v>
      </c>
      <c r="F33" s="873"/>
      <c r="G33" s="874">
        <f t="shared" si="17"/>
        <v>16669.66</v>
      </c>
      <c r="H33" s="874">
        <f t="shared" si="15"/>
        <v>16669.66</v>
      </c>
      <c r="I33" s="874">
        <f t="shared" si="15"/>
        <v>16669.66</v>
      </c>
      <c r="J33" s="874">
        <f t="shared" si="15"/>
        <v>16669.66</v>
      </c>
      <c r="K33" s="874">
        <f t="shared" si="15"/>
        <v>16669.66</v>
      </c>
      <c r="L33" s="874">
        <f t="shared" si="15"/>
        <v>16669.66</v>
      </c>
      <c r="M33" s="874">
        <f t="shared" si="15"/>
        <v>16669.66</v>
      </c>
      <c r="N33" s="874">
        <f t="shared" si="15"/>
        <v>16669.66</v>
      </c>
      <c r="O33" s="874">
        <f t="shared" si="15"/>
        <v>16669.66</v>
      </c>
      <c r="P33" s="874">
        <f t="shared" si="15"/>
        <v>16669.66</v>
      </c>
      <c r="Q33" s="874">
        <f t="shared" si="15"/>
        <v>16669.66</v>
      </c>
      <c r="R33" s="874">
        <f t="shared" si="15"/>
        <v>16669.66</v>
      </c>
      <c r="S33" s="874">
        <f t="shared" si="17"/>
        <v>16669.66</v>
      </c>
      <c r="T33" s="874">
        <f t="shared" si="17"/>
        <v>16669.66</v>
      </c>
      <c r="U33" s="874">
        <f t="shared" si="17"/>
        <v>16669.66</v>
      </c>
      <c r="V33" s="874">
        <f t="shared" si="17"/>
        <v>16669.66</v>
      </c>
      <c r="W33" s="874">
        <f t="shared" si="15"/>
        <v>16669.66</v>
      </c>
      <c r="X33" s="874">
        <f t="shared" si="16"/>
        <v>16669.66</v>
      </c>
      <c r="Y33" s="874">
        <f t="shared" si="16"/>
        <v>16669.66</v>
      </c>
      <c r="Z33" s="875">
        <f t="shared" si="16"/>
        <v>16669.66</v>
      </c>
    </row>
    <row r="34" spans="2:26" x14ac:dyDescent="0.25">
      <c r="B34" s="865" t="s">
        <v>587</v>
      </c>
      <c r="C34" s="870">
        <v>3100308</v>
      </c>
      <c r="D34" s="871">
        <v>133.16999999999999</v>
      </c>
      <c r="E34" s="870">
        <v>2</v>
      </c>
      <c r="F34" s="873"/>
      <c r="G34" s="874">
        <f t="shared" si="17"/>
        <v>1864.3799999999999</v>
      </c>
      <c r="H34" s="874">
        <f t="shared" si="15"/>
        <v>1864.3799999999999</v>
      </c>
      <c r="I34" s="874">
        <f t="shared" si="15"/>
        <v>1864.3799999999999</v>
      </c>
      <c r="J34" s="874">
        <f t="shared" si="15"/>
        <v>1864.3799999999999</v>
      </c>
      <c r="K34" s="874">
        <f t="shared" si="15"/>
        <v>1864.3799999999999</v>
      </c>
      <c r="L34" s="874">
        <f t="shared" si="15"/>
        <v>1864.3799999999999</v>
      </c>
      <c r="M34" s="874">
        <f t="shared" si="15"/>
        <v>1864.3799999999999</v>
      </c>
      <c r="N34" s="874">
        <f t="shared" si="15"/>
        <v>1864.3799999999999</v>
      </c>
      <c r="O34" s="874">
        <f t="shared" si="15"/>
        <v>1864.3799999999999</v>
      </c>
      <c r="P34" s="874">
        <f t="shared" si="15"/>
        <v>1864.3799999999999</v>
      </c>
      <c r="Q34" s="874">
        <f t="shared" si="15"/>
        <v>1864.3799999999999</v>
      </c>
      <c r="R34" s="874">
        <f t="shared" si="15"/>
        <v>1864.3799999999999</v>
      </c>
      <c r="S34" s="874">
        <f t="shared" si="17"/>
        <v>1864.3799999999999</v>
      </c>
      <c r="T34" s="874">
        <f t="shared" si="17"/>
        <v>1864.3799999999999</v>
      </c>
      <c r="U34" s="874">
        <f t="shared" si="17"/>
        <v>1864.3799999999999</v>
      </c>
      <c r="V34" s="874">
        <f t="shared" si="17"/>
        <v>1864.3799999999999</v>
      </c>
      <c r="W34" s="874">
        <f t="shared" si="15"/>
        <v>1864.3799999999999</v>
      </c>
      <c r="X34" s="874">
        <f t="shared" si="16"/>
        <v>1864.3799999999999</v>
      </c>
      <c r="Y34" s="874">
        <f t="shared" si="16"/>
        <v>1864.3799999999999</v>
      </c>
      <c r="Z34" s="875">
        <f t="shared" si="16"/>
        <v>1864.3799999999999</v>
      </c>
    </row>
    <row r="35" spans="2:26" x14ac:dyDescent="0.25">
      <c r="B35" s="865" t="s">
        <v>319</v>
      </c>
      <c r="C35" s="866"/>
      <c r="D35" s="876"/>
      <c r="E35" s="868">
        <f>VLOOKUP($B35,$B$14:$C$19,2,FALSE)</f>
        <v>1000</v>
      </c>
      <c r="F35" s="869">
        <f>VLOOKUP($B35,$B$14:$E$19,4,FALSE)</f>
        <v>3</v>
      </c>
      <c r="G35" s="819"/>
      <c r="H35" s="819"/>
      <c r="I35" s="819"/>
      <c r="J35" s="819"/>
      <c r="K35" s="819"/>
      <c r="L35" s="819"/>
      <c r="M35" s="819"/>
      <c r="N35" s="819"/>
      <c r="O35" s="819"/>
      <c r="P35" s="819"/>
      <c r="Q35" s="819"/>
      <c r="R35" s="819"/>
      <c r="S35" s="820"/>
      <c r="T35" s="820"/>
      <c r="U35" s="820"/>
      <c r="V35" s="820"/>
      <c r="W35" s="820"/>
      <c r="X35" s="820"/>
      <c r="Y35" s="820"/>
      <c r="Z35" s="821"/>
    </row>
    <row r="36" spans="2:26" x14ac:dyDescent="0.25">
      <c r="B36" s="865" t="s">
        <v>587</v>
      </c>
      <c r="C36" s="870" t="s">
        <v>914</v>
      </c>
      <c r="D36" s="871">
        <v>810</v>
      </c>
      <c r="E36" s="870">
        <v>2</v>
      </c>
      <c r="F36" s="873"/>
      <c r="G36" s="874">
        <f>IF(G$16=0,0,G$16/$D$16*$E36*$D36)</f>
        <v>4860</v>
      </c>
      <c r="H36" s="874">
        <f t="shared" ref="H36:W41" si="18">IF(H$16=0,0,H$16/$D$16*$E36*$D36)</f>
        <v>4860</v>
      </c>
      <c r="I36" s="874">
        <f t="shared" si="18"/>
        <v>4860</v>
      </c>
      <c r="J36" s="874">
        <f t="shared" si="18"/>
        <v>4860</v>
      </c>
      <c r="K36" s="874">
        <f t="shared" si="18"/>
        <v>4860</v>
      </c>
      <c r="L36" s="874">
        <f t="shared" si="18"/>
        <v>4860</v>
      </c>
      <c r="M36" s="874">
        <f t="shared" si="18"/>
        <v>4860</v>
      </c>
      <c r="N36" s="874">
        <f t="shared" si="18"/>
        <v>4860</v>
      </c>
      <c r="O36" s="874">
        <f t="shared" si="18"/>
        <v>4860</v>
      </c>
      <c r="P36" s="874">
        <f t="shared" si="18"/>
        <v>4860</v>
      </c>
      <c r="Q36" s="874">
        <f t="shared" si="18"/>
        <v>4860</v>
      </c>
      <c r="R36" s="874">
        <f t="shared" si="18"/>
        <v>4860</v>
      </c>
      <c r="S36" s="874">
        <f t="shared" si="18"/>
        <v>4860</v>
      </c>
      <c r="T36" s="874">
        <f t="shared" si="18"/>
        <v>4860</v>
      </c>
      <c r="U36" s="874">
        <f t="shared" si="18"/>
        <v>4860</v>
      </c>
      <c r="V36" s="874">
        <f t="shared" si="18"/>
        <v>4860</v>
      </c>
      <c r="W36" s="874">
        <f t="shared" si="18"/>
        <v>4860</v>
      </c>
      <c r="X36" s="874">
        <f t="shared" ref="X36:Z41" si="19">IF(X$16=0,0,X$16/$D$16*$E36*$D36)</f>
        <v>4860</v>
      </c>
      <c r="Y36" s="874">
        <f t="shared" si="19"/>
        <v>4860</v>
      </c>
      <c r="Z36" s="875">
        <f t="shared" si="19"/>
        <v>4860</v>
      </c>
    </row>
    <row r="37" spans="2:26" x14ac:dyDescent="0.25">
      <c r="B37" s="865" t="s">
        <v>587</v>
      </c>
      <c r="C37" s="870">
        <v>20042559</v>
      </c>
      <c r="D37" s="871">
        <v>814.95</v>
      </c>
      <c r="E37" s="870">
        <v>4</v>
      </c>
      <c r="F37" s="873"/>
      <c r="G37" s="874">
        <f t="shared" ref="G37:V41" si="20">IF(G$16=0,0,G$16/$D$16*$E37*$D37)</f>
        <v>9779.4000000000015</v>
      </c>
      <c r="H37" s="874">
        <f t="shared" si="20"/>
        <v>9779.4000000000015</v>
      </c>
      <c r="I37" s="874">
        <f t="shared" si="20"/>
        <v>9779.4000000000015</v>
      </c>
      <c r="J37" s="874">
        <f t="shared" si="20"/>
        <v>9779.4000000000015</v>
      </c>
      <c r="K37" s="874">
        <f t="shared" si="20"/>
        <v>9779.4000000000015</v>
      </c>
      <c r="L37" s="874">
        <f t="shared" si="20"/>
        <v>9779.4000000000015</v>
      </c>
      <c r="M37" s="874">
        <f t="shared" si="20"/>
        <v>9779.4000000000015</v>
      </c>
      <c r="N37" s="874">
        <f t="shared" si="20"/>
        <v>9779.4000000000015</v>
      </c>
      <c r="O37" s="874">
        <f t="shared" si="20"/>
        <v>9779.4000000000015</v>
      </c>
      <c r="P37" s="874">
        <f t="shared" si="20"/>
        <v>9779.4000000000015</v>
      </c>
      <c r="Q37" s="874">
        <f t="shared" si="20"/>
        <v>9779.4000000000015</v>
      </c>
      <c r="R37" s="874">
        <f t="shared" si="20"/>
        <v>9779.4000000000015</v>
      </c>
      <c r="S37" s="874">
        <f t="shared" si="20"/>
        <v>9779.4000000000015</v>
      </c>
      <c r="T37" s="874">
        <f t="shared" si="20"/>
        <v>9779.4000000000015</v>
      </c>
      <c r="U37" s="874">
        <f t="shared" si="20"/>
        <v>9779.4000000000015</v>
      </c>
      <c r="V37" s="874">
        <f t="shared" si="20"/>
        <v>9779.4000000000015</v>
      </c>
      <c r="W37" s="874">
        <f t="shared" si="18"/>
        <v>9779.4000000000015</v>
      </c>
      <c r="X37" s="874">
        <f t="shared" si="19"/>
        <v>9779.4000000000015</v>
      </c>
      <c r="Y37" s="874">
        <f t="shared" si="19"/>
        <v>9779.4000000000015</v>
      </c>
      <c r="Z37" s="875">
        <f t="shared" si="19"/>
        <v>9779.4000000000015</v>
      </c>
    </row>
    <row r="38" spans="2:26" x14ac:dyDescent="0.25">
      <c r="B38" s="865" t="s">
        <v>587</v>
      </c>
      <c r="C38" s="870">
        <v>20042560</v>
      </c>
      <c r="D38" s="871">
        <v>1895.1</v>
      </c>
      <c r="E38" s="870">
        <v>4</v>
      </c>
      <c r="F38" s="873"/>
      <c r="G38" s="874">
        <f t="shared" si="20"/>
        <v>22741.199999999997</v>
      </c>
      <c r="H38" s="874">
        <f t="shared" si="18"/>
        <v>22741.199999999997</v>
      </c>
      <c r="I38" s="874">
        <f t="shared" si="18"/>
        <v>22741.199999999997</v>
      </c>
      <c r="J38" s="874">
        <f t="shared" si="18"/>
        <v>22741.199999999997</v>
      </c>
      <c r="K38" s="874">
        <f t="shared" si="18"/>
        <v>22741.199999999997</v>
      </c>
      <c r="L38" s="874">
        <f t="shared" si="18"/>
        <v>22741.199999999997</v>
      </c>
      <c r="M38" s="874">
        <f t="shared" si="18"/>
        <v>22741.199999999997</v>
      </c>
      <c r="N38" s="874">
        <f t="shared" si="18"/>
        <v>22741.199999999997</v>
      </c>
      <c r="O38" s="874">
        <f t="shared" si="18"/>
        <v>22741.199999999997</v>
      </c>
      <c r="P38" s="874">
        <f t="shared" si="18"/>
        <v>22741.199999999997</v>
      </c>
      <c r="Q38" s="874">
        <f t="shared" si="18"/>
        <v>22741.199999999997</v>
      </c>
      <c r="R38" s="874">
        <f t="shared" si="18"/>
        <v>22741.199999999997</v>
      </c>
      <c r="S38" s="874">
        <f t="shared" si="20"/>
        <v>22741.199999999997</v>
      </c>
      <c r="T38" s="874">
        <f t="shared" si="20"/>
        <v>22741.199999999997</v>
      </c>
      <c r="U38" s="874">
        <f t="shared" si="20"/>
        <v>22741.199999999997</v>
      </c>
      <c r="V38" s="874">
        <f t="shared" si="20"/>
        <v>22741.199999999997</v>
      </c>
      <c r="W38" s="874">
        <f t="shared" si="18"/>
        <v>22741.199999999997</v>
      </c>
      <c r="X38" s="874">
        <f t="shared" si="19"/>
        <v>22741.199999999997</v>
      </c>
      <c r="Y38" s="874">
        <f t="shared" si="19"/>
        <v>22741.199999999997</v>
      </c>
      <c r="Z38" s="875">
        <f t="shared" si="19"/>
        <v>22741.199999999997</v>
      </c>
    </row>
    <row r="39" spans="2:26" x14ac:dyDescent="0.25">
      <c r="B39" s="865" t="s">
        <v>587</v>
      </c>
      <c r="C39" s="870">
        <v>20039876</v>
      </c>
      <c r="D39" s="871">
        <v>3242.88</v>
      </c>
      <c r="E39" s="870">
        <v>1</v>
      </c>
      <c r="F39" s="873"/>
      <c r="G39" s="874">
        <f t="shared" si="20"/>
        <v>9728.64</v>
      </c>
      <c r="H39" s="874">
        <f t="shared" si="18"/>
        <v>9728.64</v>
      </c>
      <c r="I39" s="874">
        <f t="shared" si="18"/>
        <v>9728.64</v>
      </c>
      <c r="J39" s="874">
        <f t="shared" si="18"/>
        <v>9728.64</v>
      </c>
      <c r="K39" s="874">
        <f t="shared" si="18"/>
        <v>9728.64</v>
      </c>
      <c r="L39" s="874">
        <f t="shared" si="18"/>
        <v>9728.64</v>
      </c>
      <c r="M39" s="874">
        <f t="shared" si="18"/>
        <v>9728.64</v>
      </c>
      <c r="N39" s="874">
        <f t="shared" si="18"/>
        <v>9728.64</v>
      </c>
      <c r="O39" s="874">
        <f t="shared" si="18"/>
        <v>9728.64</v>
      </c>
      <c r="P39" s="874">
        <f t="shared" si="18"/>
        <v>9728.64</v>
      </c>
      <c r="Q39" s="874">
        <f t="shared" si="18"/>
        <v>9728.64</v>
      </c>
      <c r="R39" s="874">
        <f t="shared" si="18"/>
        <v>9728.64</v>
      </c>
      <c r="S39" s="874">
        <f t="shared" si="20"/>
        <v>9728.64</v>
      </c>
      <c r="T39" s="874">
        <f t="shared" si="20"/>
        <v>9728.64</v>
      </c>
      <c r="U39" s="874">
        <f t="shared" si="20"/>
        <v>9728.64</v>
      </c>
      <c r="V39" s="874">
        <f t="shared" si="20"/>
        <v>9728.64</v>
      </c>
      <c r="W39" s="874">
        <f t="shared" si="18"/>
        <v>9728.64</v>
      </c>
      <c r="X39" s="874">
        <f t="shared" si="19"/>
        <v>9728.64</v>
      </c>
      <c r="Y39" s="874">
        <f t="shared" si="19"/>
        <v>9728.64</v>
      </c>
      <c r="Z39" s="875">
        <f t="shared" si="19"/>
        <v>9728.64</v>
      </c>
    </row>
    <row r="40" spans="2:26" x14ac:dyDescent="0.25">
      <c r="B40" s="865" t="s">
        <v>587</v>
      </c>
      <c r="C40" s="870">
        <v>20046992</v>
      </c>
      <c r="D40" s="871">
        <v>64.400000000000006</v>
      </c>
      <c r="E40" s="870">
        <v>1</v>
      </c>
      <c r="F40" s="873"/>
      <c r="G40" s="874">
        <f t="shared" si="20"/>
        <v>193.20000000000002</v>
      </c>
      <c r="H40" s="874">
        <f t="shared" si="18"/>
        <v>193.20000000000002</v>
      </c>
      <c r="I40" s="874">
        <f t="shared" si="18"/>
        <v>193.20000000000002</v>
      </c>
      <c r="J40" s="874">
        <f t="shared" si="18"/>
        <v>193.20000000000002</v>
      </c>
      <c r="K40" s="874">
        <f t="shared" si="18"/>
        <v>193.20000000000002</v>
      </c>
      <c r="L40" s="874">
        <f t="shared" si="18"/>
        <v>193.20000000000002</v>
      </c>
      <c r="M40" s="874">
        <f t="shared" si="18"/>
        <v>193.20000000000002</v>
      </c>
      <c r="N40" s="874">
        <f t="shared" si="18"/>
        <v>193.20000000000002</v>
      </c>
      <c r="O40" s="874">
        <f t="shared" si="18"/>
        <v>193.20000000000002</v>
      </c>
      <c r="P40" s="874">
        <f t="shared" si="18"/>
        <v>193.20000000000002</v>
      </c>
      <c r="Q40" s="874">
        <f t="shared" si="18"/>
        <v>193.20000000000002</v>
      </c>
      <c r="R40" s="874">
        <f t="shared" si="18"/>
        <v>193.20000000000002</v>
      </c>
      <c r="S40" s="874">
        <f t="shared" si="20"/>
        <v>193.20000000000002</v>
      </c>
      <c r="T40" s="874">
        <f t="shared" si="20"/>
        <v>193.20000000000002</v>
      </c>
      <c r="U40" s="874">
        <f t="shared" si="20"/>
        <v>193.20000000000002</v>
      </c>
      <c r="V40" s="874">
        <f t="shared" si="20"/>
        <v>193.20000000000002</v>
      </c>
      <c r="W40" s="874">
        <f t="shared" si="18"/>
        <v>193.20000000000002</v>
      </c>
      <c r="X40" s="874">
        <f t="shared" si="19"/>
        <v>193.20000000000002</v>
      </c>
      <c r="Y40" s="874">
        <f t="shared" si="19"/>
        <v>193.20000000000002</v>
      </c>
      <c r="Z40" s="875">
        <f t="shared" si="19"/>
        <v>193.20000000000002</v>
      </c>
    </row>
    <row r="41" spans="2:26" x14ac:dyDescent="0.25">
      <c r="B41" s="865" t="s">
        <v>587</v>
      </c>
      <c r="C41" s="870">
        <v>20046634</v>
      </c>
      <c r="D41" s="871">
        <v>452.98</v>
      </c>
      <c r="E41" s="870">
        <v>1</v>
      </c>
      <c r="F41" s="873"/>
      <c r="G41" s="874">
        <f t="shared" si="20"/>
        <v>1358.94</v>
      </c>
      <c r="H41" s="874">
        <f t="shared" si="18"/>
        <v>1358.94</v>
      </c>
      <c r="I41" s="874">
        <f t="shared" si="18"/>
        <v>1358.94</v>
      </c>
      <c r="J41" s="874">
        <f t="shared" si="18"/>
        <v>1358.94</v>
      </c>
      <c r="K41" s="874">
        <f t="shared" si="18"/>
        <v>1358.94</v>
      </c>
      <c r="L41" s="874">
        <f t="shared" si="18"/>
        <v>1358.94</v>
      </c>
      <c r="M41" s="874">
        <f t="shared" si="18"/>
        <v>1358.94</v>
      </c>
      <c r="N41" s="874">
        <f t="shared" si="18"/>
        <v>1358.94</v>
      </c>
      <c r="O41" s="874">
        <f t="shared" si="18"/>
        <v>1358.94</v>
      </c>
      <c r="P41" s="874">
        <f t="shared" si="18"/>
        <v>1358.94</v>
      </c>
      <c r="Q41" s="874">
        <f t="shared" si="18"/>
        <v>1358.94</v>
      </c>
      <c r="R41" s="874">
        <f t="shared" si="18"/>
        <v>1358.94</v>
      </c>
      <c r="S41" s="874">
        <f t="shared" si="20"/>
        <v>1358.94</v>
      </c>
      <c r="T41" s="874">
        <f t="shared" si="20"/>
        <v>1358.94</v>
      </c>
      <c r="U41" s="874">
        <f t="shared" si="20"/>
        <v>1358.94</v>
      </c>
      <c r="V41" s="874">
        <f t="shared" si="20"/>
        <v>1358.94</v>
      </c>
      <c r="W41" s="874">
        <f t="shared" si="18"/>
        <v>1358.94</v>
      </c>
      <c r="X41" s="874">
        <f t="shared" si="19"/>
        <v>1358.94</v>
      </c>
      <c r="Y41" s="874">
        <f t="shared" si="19"/>
        <v>1358.94</v>
      </c>
      <c r="Z41" s="875">
        <f t="shared" si="19"/>
        <v>1358.94</v>
      </c>
    </row>
    <row r="42" spans="2:26" x14ac:dyDescent="0.25">
      <c r="B42" s="865" t="s">
        <v>587</v>
      </c>
      <c r="C42" s="870" t="s">
        <v>914</v>
      </c>
      <c r="D42" s="871">
        <v>810</v>
      </c>
      <c r="E42" s="870">
        <v>2</v>
      </c>
      <c r="F42" s="873"/>
      <c r="G42" s="874"/>
      <c r="H42" s="874"/>
      <c r="I42" s="874"/>
      <c r="J42" s="874"/>
      <c r="K42" s="874"/>
      <c r="L42" s="874"/>
      <c r="M42" s="874"/>
      <c r="N42" s="874"/>
      <c r="O42" s="874"/>
      <c r="P42" s="874"/>
      <c r="Q42" s="874"/>
      <c r="R42" s="874"/>
      <c r="S42" s="877"/>
      <c r="T42" s="877"/>
      <c r="U42" s="877"/>
      <c r="V42" s="877"/>
      <c r="W42" s="877"/>
      <c r="X42" s="877"/>
      <c r="Y42" s="877"/>
      <c r="Z42" s="878"/>
    </row>
    <row r="43" spans="2:26" x14ac:dyDescent="0.25">
      <c r="B43" s="865" t="s">
        <v>552</v>
      </c>
      <c r="C43" s="866"/>
      <c r="D43" s="876"/>
      <c r="E43" s="868">
        <f>VLOOKUP($B43,$B$14:$C$19,2,FALSE)</f>
        <v>2000</v>
      </c>
      <c r="F43" s="869">
        <f>VLOOKUP($B43,$B$14:$E$19,4,FALSE)</f>
        <v>3</v>
      </c>
      <c r="G43" s="819"/>
      <c r="H43" s="819"/>
      <c r="I43" s="819"/>
      <c r="J43" s="819"/>
      <c r="K43" s="819"/>
      <c r="L43" s="819"/>
      <c r="M43" s="819"/>
      <c r="N43" s="819"/>
      <c r="O43" s="819"/>
      <c r="P43" s="819"/>
      <c r="Q43" s="819"/>
      <c r="R43" s="819"/>
      <c r="S43" s="820"/>
      <c r="T43" s="820"/>
      <c r="U43" s="820"/>
      <c r="V43" s="820"/>
      <c r="W43" s="820"/>
      <c r="X43" s="820"/>
      <c r="Y43" s="820"/>
      <c r="Z43" s="821"/>
    </row>
    <row r="44" spans="2:26" x14ac:dyDescent="0.25">
      <c r="B44" s="865" t="s">
        <v>915</v>
      </c>
      <c r="C44" s="870">
        <v>0</v>
      </c>
      <c r="D44" s="871">
        <v>0</v>
      </c>
      <c r="E44" s="870">
        <v>80</v>
      </c>
      <c r="F44" s="873"/>
      <c r="G44" s="874">
        <f>IF(G$17=0,0,G$17/$D$17*$E44*$D44)</f>
        <v>0</v>
      </c>
      <c r="H44" s="874">
        <f t="shared" ref="H44:Z44" si="21">IF(H$17=0,0,H$17/$D$17*$E44*$D44)</f>
        <v>0</v>
      </c>
      <c r="I44" s="874">
        <f t="shared" si="21"/>
        <v>0</v>
      </c>
      <c r="J44" s="874">
        <f t="shared" si="21"/>
        <v>0</v>
      </c>
      <c r="K44" s="874">
        <f t="shared" si="21"/>
        <v>0</v>
      </c>
      <c r="L44" s="874">
        <f t="shared" si="21"/>
        <v>0</v>
      </c>
      <c r="M44" s="874">
        <f t="shared" si="21"/>
        <v>0</v>
      </c>
      <c r="N44" s="874">
        <f t="shared" si="21"/>
        <v>0</v>
      </c>
      <c r="O44" s="874">
        <f t="shared" si="21"/>
        <v>0</v>
      </c>
      <c r="P44" s="874">
        <f t="shared" si="21"/>
        <v>0</v>
      </c>
      <c r="Q44" s="874">
        <f t="shared" si="21"/>
        <v>0</v>
      </c>
      <c r="R44" s="874">
        <f t="shared" si="21"/>
        <v>0</v>
      </c>
      <c r="S44" s="874">
        <f t="shared" si="21"/>
        <v>0</v>
      </c>
      <c r="T44" s="874">
        <f t="shared" si="21"/>
        <v>0</v>
      </c>
      <c r="U44" s="874">
        <f t="shared" si="21"/>
        <v>0</v>
      </c>
      <c r="V44" s="874">
        <f t="shared" si="21"/>
        <v>0</v>
      </c>
      <c r="W44" s="874">
        <f t="shared" si="21"/>
        <v>0</v>
      </c>
      <c r="X44" s="874">
        <f t="shared" si="21"/>
        <v>0</v>
      </c>
      <c r="Y44" s="874">
        <f t="shared" si="21"/>
        <v>0</v>
      </c>
      <c r="Z44" s="875">
        <f t="shared" si="21"/>
        <v>0</v>
      </c>
    </row>
    <row r="45" spans="2:26" x14ac:dyDescent="0.25">
      <c r="B45" s="865" t="s">
        <v>553</v>
      </c>
      <c r="C45" s="866"/>
      <c r="D45" s="876"/>
      <c r="E45" s="868">
        <f>VLOOKUP($B45,$B$14:$C$19,2,FALSE)</f>
        <v>5000</v>
      </c>
      <c r="F45" s="869">
        <f>VLOOKUP($B45,$B$14:$E$19,4,FALSE)</f>
        <v>1</v>
      </c>
      <c r="G45" s="819"/>
      <c r="H45" s="819"/>
      <c r="I45" s="819"/>
      <c r="J45" s="819"/>
      <c r="K45" s="819"/>
      <c r="L45" s="819"/>
      <c r="M45" s="819"/>
      <c r="N45" s="819"/>
      <c r="O45" s="819"/>
      <c r="P45" s="819"/>
      <c r="Q45" s="819"/>
      <c r="R45" s="819"/>
      <c r="S45" s="819"/>
      <c r="T45" s="819"/>
      <c r="U45" s="819"/>
      <c r="V45" s="819"/>
      <c r="W45" s="819"/>
      <c r="X45" s="819"/>
      <c r="Y45" s="819"/>
      <c r="Z45" s="879"/>
    </row>
    <row r="46" spans="2:26" x14ac:dyDescent="0.25">
      <c r="B46" s="865" t="s">
        <v>587</v>
      </c>
      <c r="C46" s="870">
        <v>20038263</v>
      </c>
      <c r="D46" s="871">
        <v>3851.98</v>
      </c>
      <c r="E46" s="870">
        <v>1</v>
      </c>
      <c r="F46" s="873"/>
      <c r="G46" s="874">
        <f>IF(G$18=0,0,G$18/$D$18*$E46*$D46)</f>
        <v>3851.98</v>
      </c>
      <c r="H46" s="874">
        <f t="shared" ref="H46:W51" si="22">IF(H$18=0,0,H$18/$D$18*$E46*$D46)</f>
        <v>3851.98</v>
      </c>
      <c r="I46" s="874">
        <f t="shared" si="22"/>
        <v>3851.98</v>
      </c>
      <c r="J46" s="874">
        <f t="shared" si="22"/>
        <v>3851.98</v>
      </c>
      <c r="K46" s="874">
        <f t="shared" si="22"/>
        <v>3851.98</v>
      </c>
      <c r="L46" s="874">
        <f t="shared" si="22"/>
        <v>3851.98</v>
      </c>
      <c r="M46" s="874">
        <f t="shared" si="22"/>
        <v>3851.98</v>
      </c>
      <c r="N46" s="874">
        <f t="shared" si="22"/>
        <v>3851.98</v>
      </c>
      <c r="O46" s="874">
        <f t="shared" si="22"/>
        <v>3851.98</v>
      </c>
      <c r="P46" s="874">
        <f t="shared" si="22"/>
        <v>3851.98</v>
      </c>
      <c r="Q46" s="874">
        <f t="shared" si="22"/>
        <v>3851.98</v>
      </c>
      <c r="R46" s="874">
        <f t="shared" si="22"/>
        <v>3851.98</v>
      </c>
      <c r="S46" s="874">
        <f t="shared" si="22"/>
        <v>3851.98</v>
      </c>
      <c r="T46" s="874">
        <f t="shared" si="22"/>
        <v>3851.98</v>
      </c>
      <c r="U46" s="874">
        <f t="shared" si="22"/>
        <v>3851.98</v>
      </c>
      <c r="V46" s="874">
        <f t="shared" si="22"/>
        <v>3851.98</v>
      </c>
      <c r="W46" s="874">
        <f t="shared" si="22"/>
        <v>3851.98</v>
      </c>
      <c r="X46" s="874">
        <f t="shared" ref="X46:Z51" si="23">IF(X$18=0,0,X$18/$D$18*$E46*$D46)</f>
        <v>3851.98</v>
      </c>
      <c r="Y46" s="874">
        <f t="shared" si="23"/>
        <v>3851.98</v>
      </c>
      <c r="Z46" s="875">
        <f t="shared" si="23"/>
        <v>3851.98</v>
      </c>
    </row>
    <row r="47" spans="2:26" x14ac:dyDescent="0.25">
      <c r="B47" s="865" t="s">
        <v>916</v>
      </c>
      <c r="C47" s="870">
        <v>0</v>
      </c>
      <c r="D47" s="871">
        <v>0</v>
      </c>
      <c r="E47" s="870">
        <v>908</v>
      </c>
      <c r="F47" s="873"/>
      <c r="G47" s="874">
        <f t="shared" ref="G47:V51" si="24">IF(G$18=0,0,G$18/$D$18*$E47*$D47)</f>
        <v>0</v>
      </c>
      <c r="H47" s="874">
        <f t="shared" si="24"/>
        <v>0</v>
      </c>
      <c r="I47" s="874">
        <f t="shared" si="24"/>
        <v>0</v>
      </c>
      <c r="J47" s="874">
        <f t="shared" si="24"/>
        <v>0</v>
      </c>
      <c r="K47" s="874">
        <f t="shared" si="24"/>
        <v>0</v>
      </c>
      <c r="L47" s="874">
        <f t="shared" si="24"/>
        <v>0</v>
      </c>
      <c r="M47" s="874">
        <f t="shared" si="24"/>
        <v>0</v>
      </c>
      <c r="N47" s="874">
        <f t="shared" si="24"/>
        <v>0</v>
      </c>
      <c r="O47" s="874">
        <f t="shared" si="24"/>
        <v>0</v>
      </c>
      <c r="P47" s="874">
        <f t="shared" si="24"/>
        <v>0</v>
      </c>
      <c r="Q47" s="874">
        <f t="shared" si="24"/>
        <v>0</v>
      </c>
      <c r="R47" s="874">
        <f t="shared" si="24"/>
        <v>0</v>
      </c>
      <c r="S47" s="874">
        <f t="shared" si="24"/>
        <v>0</v>
      </c>
      <c r="T47" s="874">
        <f t="shared" si="24"/>
        <v>0</v>
      </c>
      <c r="U47" s="874">
        <f t="shared" si="24"/>
        <v>0</v>
      </c>
      <c r="V47" s="874">
        <f t="shared" si="24"/>
        <v>0</v>
      </c>
      <c r="W47" s="874">
        <f t="shared" si="22"/>
        <v>0</v>
      </c>
      <c r="X47" s="874">
        <f t="shared" si="23"/>
        <v>0</v>
      </c>
      <c r="Y47" s="874">
        <f t="shared" si="23"/>
        <v>0</v>
      </c>
      <c r="Z47" s="875">
        <f t="shared" si="23"/>
        <v>0</v>
      </c>
    </row>
    <row r="48" spans="2:26" x14ac:dyDescent="0.25">
      <c r="B48" s="865" t="s">
        <v>587</v>
      </c>
      <c r="C48" s="870">
        <v>55894</v>
      </c>
      <c r="D48" s="871">
        <v>1901.07</v>
      </c>
      <c r="E48" s="870">
        <v>1</v>
      </c>
      <c r="F48" s="873"/>
      <c r="G48" s="874">
        <f t="shared" si="24"/>
        <v>1901.07</v>
      </c>
      <c r="H48" s="874">
        <f t="shared" si="22"/>
        <v>1901.07</v>
      </c>
      <c r="I48" s="874">
        <f t="shared" si="22"/>
        <v>1901.07</v>
      </c>
      <c r="J48" s="874">
        <f t="shared" si="22"/>
        <v>1901.07</v>
      </c>
      <c r="K48" s="874">
        <f t="shared" si="22"/>
        <v>1901.07</v>
      </c>
      <c r="L48" s="874">
        <f t="shared" si="22"/>
        <v>1901.07</v>
      </c>
      <c r="M48" s="874">
        <f t="shared" si="22"/>
        <v>1901.07</v>
      </c>
      <c r="N48" s="874">
        <f t="shared" si="22"/>
        <v>1901.07</v>
      </c>
      <c r="O48" s="874">
        <f t="shared" si="22"/>
        <v>1901.07</v>
      </c>
      <c r="P48" s="874">
        <f t="shared" si="22"/>
        <v>1901.07</v>
      </c>
      <c r="Q48" s="874">
        <f t="shared" si="22"/>
        <v>1901.07</v>
      </c>
      <c r="R48" s="874">
        <f t="shared" si="22"/>
        <v>1901.07</v>
      </c>
      <c r="S48" s="874">
        <f t="shared" si="24"/>
        <v>1901.07</v>
      </c>
      <c r="T48" s="874">
        <f t="shared" si="24"/>
        <v>1901.07</v>
      </c>
      <c r="U48" s="874">
        <f t="shared" si="24"/>
        <v>1901.07</v>
      </c>
      <c r="V48" s="874">
        <f t="shared" si="24"/>
        <v>1901.07</v>
      </c>
      <c r="W48" s="874">
        <f t="shared" si="22"/>
        <v>1901.07</v>
      </c>
      <c r="X48" s="874">
        <f t="shared" si="23"/>
        <v>1901.07</v>
      </c>
      <c r="Y48" s="874">
        <f t="shared" si="23"/>
        <v>1901.07</v>
      </c>
      <c r="Z48" s="875">
        <f t="shared" si="23"/>
        <v>1901.07</v>
      </c>
    </row>
    <row r="49" spans="2:26" x14ac:dyDescent="0.25">
      <c r="B49" s="865" t="s">
        <v>912</v>
      </c>
      <c r="C49" s="870">
        <v>0</v>
      </c>
      <c r="D49" s="1048">
        <v>7</v>
      </c>
      <c r="E49" s="870">
        <v>662</v>
      </c>
      <c r="F49" s="873"/>
      <c r="G49" s="880">
        <f t="shared" si="24"/>
        <v>4634</v>
      </c>
      <c r="H49" s="874">
        <f t="shared" si="22"/>
        <v>4634</v>
      </c>
      <c r="I49" s="874">
        <f t="shared" si="22"/>
        <v>4634</v>
      </c>
      <c r="J49" s="874">
        <f t="shared" si="22"/>
        <v>4634</v>
      </c>
      <c r="K49" s="874">
        <f t="shared" si="22"/>
        <v>4634</v>
      </c>
      <c r="L49" s="874">
        <f t="shared" si="22"/>
        <v>4634</v>
      </c>
      <c r="M49" s="874">
        <f t="shared" si="22"/>
        <v>4634</v>
      </c>
      <c r="N49" s="874">
        <f t="shared" si="22"/>
        <v>4634</v>
      </c>
      <c r="O49" s="874">
        <f t="shared" si="22"/>
        <v>4634</v>
      </c>
      <c r="P49" s="874">
        <f t="shared" si="22"/>
        <v>4634</v>
      </c>
      <c r="Q49" s="874">
        <f t="shared" si="22"/>
        <v>4634</v>
      </c>
      <c r="R49" s="874">
        <f t="shared" si="22"/>
        <v>4634</v>
      </c>
      <c r="S49" s="874">
        <f t="shared" si="24"/>
        <v>4634</v>
      </c>
      <c r="T49" s="874">
        <f t="shared" si="24"/>
        <v>4634</v>
      </c>
      <c r="U49" s="874">
        <f t="shared" si="24"/>
        <v>4634</v>
      </c>
      <c r="V49" s="874">
        <f t="shared" si="24"/>
        <v>4634</v>
      </c>
      <c r="W49" s="874">
        <f t="shared" si="22"/>
        <v>4634</v>
      </c>
      <c r="X49" s="874">
        <f t="shared" si="23"/>
        <v>4634</v>
      </c>
      <c r="Y49" s="874">
        <f t="shared" si="23"/>
        <v>4634</v>
      </c>
      <c r="Z49" s="875">
        <f t="shared" si="23"/>
        <v>4634</v>
      </c>
    </row>
    <row r="50" spans="2:26" x14ac:dyDescent="0.25">
      <c r="B50" s="865" t="s">
        <v>589</v>
      </c>
      <c r="C50" s="870" t="s">
        <v>917</v>
      </c>
      <c r="D50" s="1048">
        <v>4</v>
      </c>
      <c r="E50" s="870">
        <v>7</v>
      </c>
      <c r="F50" s="873"/>
      <c r="G50" s="880">
        <f t="shared" si="24"/>
        <v>28</v>
      </c>
      <c r="H50" s="874">
        <f t="shared" si="22"/>
        <v>28</v>
      </c>
      <c r="I50" s="874">
        <f t="shared" si="22"/>
        <v>28</v>
      </c>
      <c r="J50" s="874">
        <f t="shared" si="22"/>
        <v>28</v>
      </c>
      <c r="K50" s="874">
        <f t="shared" si="22"/>
        <v>28</v>
      </c>
      <c r="L50" s="874">
        <f t="shared" si="22"/>
        <v>28</v>
      </c>
      <c r="M50" s="874">
        <f t="shared" si="22"/>
        <v>28</v>
      </c>
      <c r="N50" s="874">
        <f t="shared" si="22"/>
        <v>28</v>
      </c>
      <c r="O50" s="874">
        <f t="shared" si="22"/>
        <v>28</v>
      </c>
      <c r="P50" s="874">
        <f t="shared" si="22"/>
        <v>28</v>
      </c>
      <c r="Q50" s="874">
        <f t="shared" si="22"/>
        <v>28</v>
      </c>
      <c r="R50" s="874">
        <f t="shared" si="22"/>
        <v>28</v>
      </c>
      <c r="S50" s="874">
        <f t="shared" si="24"/>
        <v>28</v>
      </c>
      <c r="T50" s="874">
        <f t="shared" si="24"/>
        <v>28</v>
      </c>
      <c r="U50" s="874">
        <f t="shared" si="24"/>
        <v>28</v>
      </c>
      <c r="V50" s="874">
        <f t="shared" si="24"/>
        <v>28</v>
      </c>
      <c r="W50" s="874">
        <f t="shared" si="22"/>
        <v>28</v>
      </c>
      <c r="X50" s="874">
        <f t="shared" si="23"/>
        <v>28</v>
      </c>
      <c r="Y50" s="874">
        <f t="shared" si="23"/>
        <v>28</v>
      </c>
      <c r="Z50" s="875">
        <f t="shared" si="23"/>
        <v>28</v>
      </c>
    </row>
    <row r="51" spans="2:26" x14ac:dyDescent="0.25">
      <c r="B51" s="865" t="s">
        <v>589</v>
      </c>
      <c r="C51" s="870" t="s">
        <v>917</v>
      </c>
      <c r="D51" s="1048">
        <v>4</v>
      </c>
      <c r="E51" s="870">
        <v>2.5</v>
      </c>
      <c r="F51" s="873"/>
      <c r="G51" s="880">
        <f t="shared" si="24"/>
        <v>10</v>
      </c>
      <c r="H51" s="874">
        <f t="shared" si="22"/>
        <v>10</v>
      </c>
      <c r="I51" s="874">
        <f t="shared" si="22"/>
        <v>10</v>
      </c>
      <c r="J51" s="874">
        <f t="shared" si="22"/>
        <v>10</v>
      </c>
      <c r="K51" s="874">
        <f t="shared" si="22"/>
        <v>10</v>
      </c>
      <c r="L51" s="874">
        <f t="shared" si="22"/>
        <v>10</v>
      </c>
      <c r="M51" s="874">
        <f t="shared" si="22"/>
        <v>10</v>
      </c>
      <c r="N51" s="874">
        <f t="shared" si="22"/>
        <v>10</v>
      </c>
      <c r="O51" s="874">
        <f t="shared" si="22"/>
        <v>10</v>
      </c>
      <c r="P51" s="874">
        <f t="shared" si="22"/>
        <v>10</v>
      </c>
      <c r="Q51" s="874">
        <f t="shared" si="22"/>
        <v>10</v>
      </c>
      <c r="R51" s="874">
        <f t="shared" si="22"/>
        <v>10</v>
      </c>
      <c r="S51" s="874">
        <f t="shared" si="24"/>
        <v>10</v>
      </c>
      <c r="T51" s="874">
        <f t="shared" si="24"/>
        <v>10</v>
      </c>
      <c r="U51" s="874">
        <f t="shared" si="24"/>
        <v>10</v>
      </c>
      <c r="V51" s="874">
        <f t="shared" si="24"/>
        <v>10</v>
      </c>
      <c r="W51" s="874">
        <f t="shared" si="22"/>
        <v>10</v>
      </c>
      <c r="X51" s="874">
        <f t="shared" si="23"/>
        <v>10</v>
      </c>
      <c r="Y51" s="874">
        <f t="shared" si="23"/>
        <v>10</v>
      </c>
      <c r="Z51" s="875">
        <f t="shared" si="23"/>
        <v>10</v>
      </c>
    </row>
    <row r="52" spans="2:26" x14ac:dyDescent="0.25">
      <c r="B52" s="865" t="s">
        <v>554</v>
      </c>
      <c r="C52" s="866"/>
      <c r="D52" s="876"/>
      <c r="E52" s="868">
        <f>VLOOKUP($B52,$B$14:$C$19,2,FALSE)</f>
        <v>10000</v>
      </c>
      <c r="F52" s="873"/>
      <c r="G52" s="819"/>
      <c r="H52" s="819"/>
      <c r="I52" s="881"/>
      <c r="J52" s="819"/>
      <c r="K52" s="881"/>
      <c r="L52" s="819"/>
      <c r="M52" s="881"/>
      <c r="N52" s="819"/>
      <c r="O52" s="881"/>
      <c r="P52" s="819"/>
      <c r="Q52" s="881"/>
      <c r="R52" s="819"/>
      <c r="S52" s="819"/>
      <c r="T52" s="819"/>
      <c r="U52" s="819"/>
      <c r="V52" s="819"/>
      <c r="W52" s="819"/>
      <c r="X52" s="819"/>
      <c r="Y52" s="819"/>
      <c r="Z52" s="879"/>
    </row>
    <row r="53" spans="2:26" ht="14.95" thickBot="1" x14ac:dyDescent="0.3">
      <c r="B53" s="882" t="s">
        <v>918</v>
      </c>
      <c r="C53" s="883"/>
      <c r="D53" s="884"/>
      <c r="E53" s="885">
        <v>1</v>
      </c>
      <c r="F53" s="564"/>
      <c r="G53" s="886">
        <f>IF(G$19=0,0,G$19/$D$19*$E53*$D53)</f>
        <v>0</v>
      </c>
      <c r="H53" s="886">
        <f t="shared" ref="H53:Z53" si="25">IF(H$19=0,0,H$19/$D$19*$E53*$D53)</f>
        <v>0</v>
      </c>
      <c r="I53" s="886">
        <f t="shared" si="25"/>
        <v>0</v>
      </c>
      <c r="J53" s="886">
        <f t="shared" si="25"/>
        <v>0</v>
      </c>
      <c r="K53" s="886">
        <f t="shared" si="25"/>
        <v>0</v>
      </c>
      <c r="L53" s="886">
        <f t="shared" si="25"/>
        <v>0</v>
      </c>
      <c r="M53" s="886">
        <f t="shared" si="25"/>
        <v>0</v>
      </c>
      <c r="N53" s="886">
        <f t="shared" si="25"/>
        <v>0</v>
      </c>
      <c r="O53" s="886">
        <f t="shared" si="25"/>
        <v>0</v>
      </c>
      <c r="P53" s="886">
        <f t="shared" si="25"/>
        <v>0</v>
      </c>
      <c r="Q53" s="886">
        <f t="shared" si="25"/>
        <v>0</v>
      </c>
      <c r="R53" s="886">
        <f t="shared" si="25"/>
        <v>0</v>
      </c>
      <c r="S53" s="886">
        <f t="shared" si="25"/>
        <v>0</v>
      </c>
      <c r="T53" s="886">
        <f t="shared" si="25"/>
        <v>0</v>
      </c>
      <c r="U53" s="886">
        <f t="shared" si="25"/>
        <v>0</v>
      </c>
      <c r="V53" s="886">
        <f t="shared" si="25"/>
        <v>0</v>
      </c>
      <c r="W53" s="886">
        <f t="shared" si="25"/>
        <v>0</v>
      </c>
      <c r="X53" s="886">
        <f t="shared" si="25"/>
        <v>0</v>
      </c>
      <c r="Y53" s="886">
        <f t="shared" si="25"/>
        <v>0</v>
      </c>
      <c r="Z53" s="887">
        <f t="shared" si="25"/>
        <v>0</v>
      </c>
    </row>
  </sheetData>
  <mergeCells count="2">
    <mergeCell ref="B11:R11"/>
    <mergeCell ref="B20:R20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2455-BBAC-4FC9-8005-15AF37B11673}">
  <sheetPr>
    <tabColor theme="9" tint="0.39997558519241921"/>
    <pageSetUpPr fitToPage="1"/>
  </sheetPr>
  <dimension ref="A2:AB83"/>
  <sheetViews>
    <sheetView showGridLines="0" zoomScale="85" zoomScaleNormal="85" zoomScaleSheetLayoutView="85" workbookViewId="0">
      <pane xSplit="2" ySplit="6" topLeftCell="C7" activePane="bottomRight" state="frozen"/>
      <selection activeCell="D27" sqref="D27:D29"/>
      <selection pane="topRight" activeCell="D27" sqref="D27:D29"/>
      <selection pane="bottomLeft" activeCell="D27" sqref="D27:D29"/>
      <selection pane="bottomRight" activeCell="AE50" sqref="AE50"/>
    </sheetView>
  </sheetViews>
  <sheetFormatPr defaultRowHeight="14.3" x14ac:dyDescent="0.25"/>
  <cols>
    <col min="1" max="1" width="3.5" style="368" bestFit="1" customWidth="1"/>
    <col min="2" max="2" width="53.5" style="888" customWidth="1"/>
    <col min="3" max="3" width="10.875" style="368" bestFit="1" customWidth="1"/>
    <col min="4" max="4" width="14.375" style="276" customWidth="1"/>
    <col min="5" max="5" width="12.875" style="276" bestFit="1" customWidth="1"/>
    <col min="6" max="6" width="7.375" style="276" customWidth="1"/>
    <col min="7" max="7" width="8.5" style="276" customWidth="1"/>
    <col min="8" max="8" width="9.375" style="276" bestFit="1" customWidth="1"/>
    <col min="9" max="9" width="10.875" style="276" customWidth="1"/>
    <col min="10" max="10" width="11.25" style="276" customWidth="1"/>
    <col min="11" max="11" width="9.5" style="276" customWidth="1"/>
    <col min="12" max="12" width="11.25" style="276" bestFit="1" customWidth="1"/>
    <col min="13" max="13" width="9.5" style="276" bestFit="1" customWidth="1"/>
    <col min="14" max="15" width="11.25" style="276" bestFit="1" customWidth="1"/>
    <col min="16" max="16" width="9.5" style="276" customWidth="1"/>
    <col min="17" max="17" width="12.375" style="276" bestFit="1" customWidth="1"/>
    <col min="18" max="18" width="11.25" style="276" bestFit="1" customWidth="1"/>
    <col min="19" max="20" width="9.5" style="1019" bestFit="1" customWidth="1"/>
    <col min="21" max="21" width="11.25" style="1019" bestFit="1" customWidth="1"/>
    <col min="22" max="23" width="9.5" style="1019" bestFit="1" customWidth="1"/>
    <col min="24" max="24" width="11.25" style="1019" bestFit="1" customWidth="1"/>
    <col min="25" max="26" width="9.5" style="1019" bestFit="1" customWidth="1"/>
    <col min="27" max="16384" width="9" style="275"/>
  </cols>
  <sheetData>
    <row r="2" spans="1:26" ht="14.95" thickBot="1" x14ac:dyDescent="0.3">
      <c r="B2" s="889" t="s">
        <v>259</v>
      </c>
      <c r="C2" s="890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2"/>
      <c r="T2" s="892"/>
      <c r="U2" s="892"/>
      <c r="V2" s="892"/>
      <c r="W2" s="892"/>
      <c r="X2" s="892"/>
      <c r="Y2" s="892"/>
      <c r="Z2" s="892"/>
    </row>
    <row r="3" spans="1:26" ht="14.95" thickBot="1" x14ac:dyDescent="0.3">
      <c r="B3" s="893" t="s">
        <v>298</v>
      </c>
      <c r="C3" s="894"/>
      <c r="D3" s="895"/>
      <c r="E3" s="895"/>
      <c r="F3" s="895"/>
      <c r="G3" s="896">
        <f>'NHL NTE240_1'!E12</f>
        <v>0.93755029173008619</v>
      </c>
      <c r="H3" s="896">
        <f>'NHL NTE240_1'!F12</f>
        <v>0.93038070776255699</v>
      </c>
      <c r="I3" s="896">
        <f>'NHL NTE240_1'!G12</f>
        <v>0.92090265093860979</v>
      </c>
      <c r="J3" s="896">
        <f>'NHL NTE240_1'!H12</f>
        <v>0.90840582191780817</v>
      </c>
      <c r="K3" s="896">
        <f>'NHL NTE240_1'!I12</f>
        <v>0.93333288939624548</v>
      </c>
      <c r="L3" s="896">
        <f>'NHL NTE240_1'!J12</f>
        <v>0.92172393455098933</v>
      </c>
      <c r="M3" s="896">
        <f>'NHL NTE240_1'!K12</f>
        <v>0.93126858193810236</v>
      </c>
      <c r="N3" s="896">
        <f>'NHL NTE240_1'!L12</f>
        <v>0.91113603500761031</v>
      </c>
      <c r="O3" s="896">
        <f>'NHL NTE240_1'!M12</f>
        <v>0.91706259512937582</v>
      </c>
      <c r="P3" s="896">
        <f>'NHL NTE240_1'!N12</f>
        <v>0.93222304667681377</v>
      </c>
      <c r="Q3" s="896">
        <f>'NHL NTE240_1'!O12</f>
        <v>0.91462094114662595</v>
      </c>
      <c r="R3" s="896">
        <f>'NHL NTE240_1'!P12</f>
        <v>0.91328912988330779</v>
      </c>
      <c r="S3" s="897">
        <f>'NHL NTE240_1'!Q12</f>
        <v>0.93377682648401816</v>
      </c>
      <c r="T3" s="897">
        <f>'NHL NTE240_1'!R12</f>
        <v>0.93266698376458645</v>
      </c>
      <c r="U3" s="897">
        <f>'NHL NTE240_1'!S12</f>
        <v>0.89848382800608828</v>
      </c>
      <c r="V3" s="897">
        <f>'NHL NTE240_1'!T12</f>
        <v>0.92556399036022319</v>
      </c>
      <c r="W3" s="897">
        <f>'NHL NTE240_1'!U12</f>
        <v>0.93422076357179096</v>
      </c>
      <c r="X3" s="897">
        <f>'NHL NTE240_1'!V12</f>
        <v>0.90469894723490607</v>
      </c>
      <c r="Y3" s="897">
        <f>'NHL NTE240_1'!W12</f>
        <v>0.9344427321156773</v>
      </c>
      <c r="Z3" s="898">
        <f>'NHL NTE240_1'!X12</f>
        <v>0.9220124936580415</v>
      </c>
    </row>
    <row r="4" spans="1:26" s="368" customFormat="1" x14ac:dyDescent="0.25">
      <c r="B4" s="899" t="s">
        <v>299</v>
      </c>
      <c r="C4" s="900"/>
      <c r="D4" s="901" t="s">
        <v>355</v>
      </c>
      <c r="E4" s="902"/>
      <c r="F4" s="902"/>
      <c r="G4" s="903">
        <v>1</v>
      </c>
      <c r="H4" s="903">
        <f>G4+1</f>
        <v>2</v>
      </c>
      <c r="I4" s="904">
        <f t="shared" ref="I4:P4" si="0">H4+1</f>
        <v>3</v>
      </c>
      <c r="J4" s="905">
        <f t="shared" si="0"/>
        <v>4</v>
      </c>
      <c r="K4" s="903">
        <f t="shared" si="0"/>
        <v>5</v>
      </c>
      <c r="L4" s="903">
        <f t="shared" si="0"/>
        <v>6</v>
      </c>
      <c r="M4" s="903">
        <f t="shared" si="0"/>
        <v>7</v>
      </c>
      <c r="N4" s="903">
        <f t="shared" si="0"/>
        <v>8</v>
      </c>
      <c r="O4" s="903">
        <f t="shared" si="0"/>
        <v>9</v>
      </c>
      <c r="P4" s="903">
        <f t="shared" si="0"/>
        <v>10</v>
      </c>
      <c r="Q4" s="903">
        <f>P4+1</f>
        <v>11</v>
      </c>
      <c r="R4" s="903">
        <f>Q4+1</f>
        <v>12</v>
      </c>
      <c r="S4" s="906">
        <f t="shared" ref="S4:Z4" si="1">R4+1</f>
        <v>13</v>
      </c>
      <c r="T4" s="906">
        <f t="shared" si="1"/>
        <v>14</v>
      </c>
      <c r="U4" s="906">
        <f t="shared" si="1"/>
        <v>15</v>
      </c>
      <c r="V4" s="906">
        <f t="shared" si="1"/>
        <v>16</v>
      </c>
      <c r="W4" s="906">
        <f t="shared" si="1"/>
        <v>17</v>
      </c>
      <c r="X4" s="906">
        <f t="shared" si="1"/>
        <v>18</v>
      </c>
      <c r="Y4" s="906">
        <f t="shared" si="1"/>
        <v>19</v>
      </c>
      <c r="Z4" s="907">
        <f t="shared" si="1"/>
        <v>20</v>
      </c>
    </row>
    <row r="5" spans="1:26" s="918" customFormat="1" x14ac:dyDescent="0.25">
      <c r="A5" s="908"/>
      <c r="B5" s="909" t="s">
        <v>300</v>
      </c>
      <c r="C5" s="910"/>
      <c r="D5" s="911" t="s">
        <v>301</v>
      </c>
      <c r="E5" s="912"/>
      <c r="F5" s="912"/>
      <c r="G5" s="913">
        <v>0</v>
      </c>
      <c r="H5" s="913">
        <f>G6+1</f>
        <v>7001</v>
      </c>
      <c r="I5" s="914">
        <f t="shared" ref="I5:R5" si="2">H6+1</f>
        <v>14001</v>
      </c>
      <c r="J5" s="915">
        <f t="shared" si="2"/>
        <v>21001</v>
      </c>
      <c r="K5" s="913">
        <f t="shared" si="2"/>
        <v>28001</v>
      </c>
      <c r="L5" s="913">
        <f t="shared" si="2"/>
        <v>35001</v>
      </c>
      <c r="M5" s="913">
        <f t="shared" si="2"/>
        <v>42001</v>
      </c>
      <c r="N5" s="913">
        <f t="shared" si="2"/>
        <v>49001</v>
      </c>
      <c r="O5" s="913">
        <f t="shared" si="2"/>
        <v>56001</v>
      </c>
      <c r="P5" s="913">
        <f t="shared" si="2"/>
        <v>63001</v>
      </c>
      <c r="Q5" s="913">
        <f t="shared" si="2"/>
        <v>70001</v>
      </c>
      <c r="R5" s="913">
        <f t="shared" si="2"/>
        <v>77001</v>
      </c>
      <c r="S5" s="916">
        <v>84001</v>
      </c>
      <c r="T5" s="916">
        <v>91001</v>
      </c>
      <c r="U5" s="916">
        <v>98001</v>
      </c>
      <c r="V5" s="916">
        <v>105001</v>
      </c>
      <c r="W5" s="916">
        <v>112001</v>
      </c>
      <c r="X5" s="916">
        <v>119001</v>
      </c>
      <c r="Y5" s="916">
        <v>126001</v>
      </c>
      <c r="Z5" s="917">
        <v>133001</v>
      </c>
    </row>
    <row r="6" spans="1:26" s="918" customFormat="1" ht="14.95" thickBot="1" x14ac:dyDescent="0.3">
      <c r="A6" s="908"/>
      <c r="B6" s="919" t="s">
        <v>302</v>
      </c>
      <c r="C6" s="920"/>
      <c r="D6" s="921" t="s">
        <v>301</v>
      </c>
      <c r="E6" s="922"/>
      <c r="F6" s="923">
        <f>'NHL NTE240 ТО_1'!F6</f>
        <v>7000</v>
      </c>
      <c r="G6" s="924">
        <f>F6</f>
        <v>7000</v>
      </c>
      <c r="H6" s="924">
        <f t="shared" ref="H6:R6" si="3">G6+$F6</f>
        <v>14000</v>
      </c>
      <c r="I6" s="925">
        <f t="shared" si="3"/>
        <v>21000</v>
      </c>
      <c r="J6" s="926">
        <f t="shared" si="3"/>
        <v>28000</v>
      </c>
      <c r="K6" s="924">
        <f t="shared" si="3"/>
        <v>35000</v>
      </c>
      <c r="L6" s="924">
        <f t="shared" si="3"/>
        <v>42000</v>
      </c>
      <c r="M6" s="924">
        <f t="shared" si="3"/>
        <v>49000</v>
      </c>
      <c r="N6" s="924">
        <f t="shared" si="3"/>
        <v>56000</v>
      </c>
      <c r="O6" s="924">
        <f t="shared" si="3"/>
        <v>63000</v>
      </c>
      <c r="P6" s="924">
        <f t="shared" si="3"/>
        <v>70000</v>
      </c>
      <c r="Q6" s="924">
        <f t="shared" si="3"/>
        <v>77000</v>
      </c>
      <c r="R6" s="924">
        <f t="shared" si="3"/>
        <v>84000</v>
      </c>
      <c r="S6" s="927">
        <v>91000</v>
      </c>
      <c r="T6" s="927">
        <v>98000</v>
      </c>
      <c r="U6" s="927">
        <v>105000</v>
      </c>
      <c r="V6" s="927">
        <v>112000</v>
      </c>
      <c r="W6" s="927">
        <v>119000</v>
      </c>
      <c r="X6" s="927">
        <v>126000</v>
      </c>
      <c r="Y6" s="927">
        <v>133000</v>
      </c>
      <c r="Z6" s="928">
        <v>140000</v>
      </c>
    </row>
    <row r="7" spans="1:26" ht="14.95" thickBot="1" x14ac:dyDescent="0.3">
      <c r="B7" s="929"/>
      <c r="C7" s="930"/>
      <c r="D7" s="891"/>
      <c r="E7" s="891"/>
      <c r="F7" s="891"/>
      <c r="G7" s="891"/>
      <c r="H7" s="891"/>
      <c r="I7" s="891"/>
      <c r="J7" s="891"/>
      <c r="K7" s="891"/>
      <c r="L7" s="891"/>
      <c r="M7" s="891"/>
      <c r="N7" s="891"/>
      <c r="O7" s="891"/>
      <c r="P7" s="891"/>
      <c r="Q7" s="891"/>
      <c r="R7" s="891"/>
      <c r="S7" s="892"/>
      <c r="T7" s="892"/>
      <c r="U7" s="892"/>
      <c r="V7" s="892"/>
      <c r="W7" s="892"/>
      <c r="X7" s="892"/>
      <c r="Y7" s="892"/>
      <c r="Z7" s="892"/>
    </row>
    <row r="8" spans="1:26" ht="14.95" thickBot="1" x14ac:dyDescent="0.3">
      <c r="B8" s="931" t="s">
        <v>356</v>
      </c>
      <c r="C8" s="932"/>
      <c r="D8" s="933" t="s">
        <v>304</v>
      </c>
      <c r="E8" s="933"/>
      <c r="F8" s="933"/>
      <c r="G8" s="934">
        <f>G14</f>
        <v>139</v>
      </c>
      <c r="H8" s="934">
        <f t="shared" ref="H8:Z8" si="4">H14</f>
        <v>175</v>
      </c>
      <c r="I8" s="934">
        <f t="shared" si="4"/>
        <v>289</v>
      </c>
      <c r="J8" s="934">
        <f t="shared" si="4"/>
        <v>373</v>
      </c>
      <c r="K8" s="934">
        <f t="shared" si="4"/>
        <v>177</v>
      </c>
      <c r="L8" s="934">
        <f t="shared" si="4"/>
        <v>253</v>
      </c>
      <c r="M8" s="934">
        <f t="shared" si="4"/>
        <v>167</v>
      </c>
      <c r="N8" s="934">
        <f t="shared" si="4"/>
        <v>377</v>
      </c>
      <c r="O8" s="934">
        <f t="shared" si="4"/>
        <v>295</v>
      </c>
      <c r="P8" s="934">
        <f t="shared" si="4"/>
        <v>187</v>
      </c>
      <c r="Q8" s="934">
        <f t="shared" si="4"/>
        <v>317</v>
      </c>
      <c r="R8" s="934">
        <f t="shared" si="4"/>
        <v>329</v>
      </c>
      <c r="S8" s="934">
        <f t="shared" si="4"/>
        <v>173</v>
      </c>
      <c r="T8" s="934">
        <f t="shared" si="4"/>
        <v>159</v>
      </c>
      <c r="U8" s="934">
        <f t="shared" si="4"/>
        <v>467</v>
      </c>
      <c r="V8" s="934">
        <f t="shared" si="4"/>
        <v>247</v>
      </c>
      <c r="W8" s="934">
        <f t="shared" si="4"/>
        <v>145</v>
      </c>
      <c r="X8" s="934">
        <f t="shared" si="4"/>
        <v>411</v>
      </c>
      <c r="Y8" s="934">
        <f t="shared" si="4"/>
        <v>167</v>
      </c>
      <c r="Z8" s="935">
        <f t="shared" si="4"/>
        <v>255</v>
      </c>
    </row>
    <row r="9" spans="1:26" ht="21.1" customHeight="1" thickBot="1" x14ac:dyDescent="0.3">
      <c r="B9" s="931" t="s">
        <v>919</v>
      </c>
      <c r="C9" s="936"/>
      <c r="D9" s="937" t="s">
        <v>920</v>
      </c>
      <c r="E9" s="933"/>
      <c r="F9" s="933"/>
      <c r="G9" s="938">
        <f t="shared" ref="G9:Z9" si="5">SUM(G10:G11)</f>
        <v>47368</v>
      </c>
      <c r="H9" s="938">
        <f t="shared" si="5"/>
        <v>208910.4</v>
      </c>
      <c r="I9" s="939">
        <f t="shared" si="5"/>
        <v>3452070.7700000005</v>
      </c>
      <c r="J9" s="939">
        <f t="shared" si="5"/>
        <v>1615768.6</v>
      </c>
      <c r="K9" s="939">
        <f t="shared" si="5"/>
        <v>263980.14</v>
      </c>
      <c r="L9" s="939">
        <f t="shared" si="5"/>
        <v>3339386.99</v>
      </c>
      <c r="M9" s="939">
        <f t="shared" si="5"/>
        <v>191975.74</v>
      </c>
      <c r="N9" s="939">
        <f t="shared" si="5"/>
        <v>1760885</v>
      </c>
      <c r="O9" s="939">
        <f t="shared" si="5"/>
        <v>6615039.8700000001</v>
      </c>
      <c r="P9" s="939">
        <f t="shared" si="5"/>
        <v>118131</v>
      </c>
      <c r="Q9" s="939">
        <f t="shared" si="5"/>
        <v>15122643.299999999</v>
      </c>
      <c r="R9" s="939">
        <f t="shared" si="5"/>
        <v>3349318.99</v>
      </c>
      <c r="S9" s="939">
        <f t="shared" si="5"/>
        <v>167088.74</v>
      </c>
      <c r="T9" s="939">
        <f t="shared" si="5"/>
        <v>158775.4</v>
      </c>
      <c r="U9" s="939">
        <f t="shared" si="5"/>
        <v>4957993.63</v>
      </c>
      <c r="V9" s="939">
        <f t="shared" si="5"/>
        <v>178312.94</v>
      </c>
      <c r="W9" s="939">
        <f t="shared" si="5"/>
        <v>151899.4</v>
      </c>
      <c r="X9" s="939">
        <f t="shared" si="5"/>
        <v>8177164.4299999997</v>
      </c>
      <c r="Y9" s="939">
        <f t="shared" si="5"/>
        <v>188037</v>
      </c>
      <c r="Z9" s="940">
        <f t="shared" si="5"/>
        <v>305348.27</v>
      </c>
    </row>
    <row r="10" spans="1:26" ht="18.7" customHeight="1" x14ac:dyDescent="0.25">
      <c r="B10" s="941" t="s">
        <v>921</v>
      </c>
      <c r="C10" s="942"/>
      <c r="D10" s="943" t="s">
        <v>920</v>
      </c>
      <c r="E10" s="943"/>
      <c r="F10" s="943"/>
      <c r="G10" s="944">
        <f>G61</f>
        <v>0</v>
      </c>
      <c r="H10" s="944">
        <f t="shared" ref="H10:Z10" si="6">H61</f>
        <v>151610.4</v>
      </c>
      <c r="I10" s="944">
        <f t="shared" si="6"/>
        <v>3293540.7700000005</v>
      </c>
      <c r="J10" s="944">
        <f t="shared" si="6"/>
        <v>1329650.6000000001</v>
      </c>
      <c r="K10" s="944">
        <f t="shared" si="6"/>
        <v>207444.13999999998</v>
      </c>
      <c r="L10" s="944">
        <f t="shared" si="6"/>
        <v>3259166.99</v>
      </c>
      <c r="M10" s="944">
        <f t="shared" si="6"/>
        <v>47961.74</v>
      </c>
      <c r="N10" s="944">
        <f t="shared" si="6"/>
        <v>1481261</v>
      </c>
      <c r="O10" s="944">
        <f t="shared" si="6"/>
        <v>6533291.8700000001</v>
      </c>
      <c r="P10" s="944">
        <f t="shared" si="6"/>
        <v>44023</v>
      </c>
      <c r="Q10" s="944">
        <f t="shared" si="6"/>
        <v>14777315.299999999</v>
      </c>
      <c r="R10" s="944">
        <f t="shared" si="6"/>
        <v>3259166.99</v>
      </c>
      <c r="S10" s="944">
        <f t="shared" si="6"/>
        <v>99856.739999999991</v>
      </c>
      <c r="T10" s="944">
        <f t="shared" si="6"/>
        <v>107587.4</v>
      </c>
      <c r="U10" s="944">
        <f t="shared" si="6"/>
        <v>4575229.63</v>
      </c>
      <c r="V10" s="944">
        <f t="shared" si="6"/>
        <v>96182.94</v>
      </c>
      <c r="W10" s="944">
        <f t="shared" si="6"/>
        <v>107587.4</v>
      </c>
      <c r="X10" s="944">
        <f t="shared" si="6"/>
        <v>7876530.4299999997</v>
      </c>
      <c r="Y10" s="944">
        <f t="shared" si="6"/>
        <v>44023</v>
      </c>
      <c r="Z10" s="945">
        <f t="shared" si="6"/>
        <v>237352.27000000002</v>
      </c>
    </row>
    <row r="11" spans="1:26" ht="18.7" customHeight="1" thickBot="1" x14ac:dyDescent="0.3">
      <c r="B11" s="946" t="s">
        <v>922</v>
      </c>
      <c r="C11" s="947"/>
      <c r="D11" s="948" t="s">
        <v>920</v>
      </c>
      <c r="E11" s="948"/>
      <c r="F11" s="948"/>
      <c r="G11" s="949">
        <f>G38*E36</f>
        <v>47368</v>
      </c>
      <c r="H11" s="949">
        <f>H38*E36</f>
        <v>57300</v>
      </c>
      <c r="I11" s="949">
        <f>I38*E36</f>
        <v>158530</v>
      </c>
      <c r="J11" s="949">
        <f>J38*E36</f>
        <v>286118</v>
      </c>
      <c r="K11" s="949">
        <f>K38*E36</f>
        <v>56536</v>
      </c>
      <c r="L11" s="949">
        <f>L38*E36</f>
        <v>80220</v>
      </c>
      <c r="M11" s="949">
        <f>M38*E36</f>
        <v>144014</v>
      </c>
      <c r="N11" s="949">
        <f>N38*E36</f>
        <v>279624</v>
      </c>
      <c r="O11" s="949">
        <f>O38*E36</f>
        <v>81748</v>
      </c>
      <c r="P11" s="949">
        <f>P38*E36</f>
        <v>74108</v>
      </c>
      <c r="Q11" s="949">
        <f>Q38*E36</f>
        <v>345328</v>
      </c>
      <c r="R11" s="949">
        <f>R38*E36</f>
        <v>90152</v>
      </c>
      <c r="S11" s="949">
        <f>S38*E36</f>
        <v>67232</v>
      </c>
      <c r="T11" s="949">
        <f>T38*E36</f>
        <v>51188</v>
      </c>
      <c r="U11" s="949">
        <f>U38*E36</f>
        <v>382764</v>
      </c>
      <c r="V11" s="949">
        <f>V38*E36</f>
        <v>82130</v>
      </c>
      <c r="W11" s="949">
        <f>W38*E36</f>
        <v>44312</v>
      </c>
      <c r="X11" s="949">
        <f>X38*E36</f>
        <v>300634</v>
      </c>
      <c r="Y11" s="949">
        <f>Y38*E36</f>
        <v>144014</v>
      </c>
      <c r="Z11" s="950">
        <f>Z38*E36</f>
        <v>67996</v>
      </c>
    </row>
    <row r="12" spans="1:26" ht="23.3" customHeight="1" thickBot="1" x14ac:dyDescent="0.3">
      <c r="B12" s="401" t="s">
        <v>360</v>
      </c>
      <c r="C12" s="951"/>
      <c r="D12" s="952"/>
      <c r="E12" s="952"/>
      <c r="F12" s="952"/>
      <c r="G12" s="953"/>
      <c r="H12" s="953"/>
      <c r="I12" s="953"/>
      <c r="J12" s="953"/>
      <c r="K12" s="953"/>
      <c r="L12" s="953"/>
      <c r="M12" s="953"/>
      <c r="N12" s="953"/>
      <c r="O12" s="953"/>
      <c r="P12" s="953"/>
      <c r="Q12" s="953"/>
      <c r="R12" s="953"/>
      <c r="S12" s="892"/>
      <c r="T12" s="892"/>
      <c r="U12" s="892"/>
      <c r="V12" s="892"/>
      <c r="W12" s="892"/>
      <c r="X12" s="892"/>
      <c r="Y12" s="892"/>
      <c r="Z12" s="892"/>
    </row>
    <row r="13" spans="1:26" ht="16.5" customHeight="1" thickBot="1" x14ac:dyDescent="0.3">
      <c r="B13" s="931" t="s">
        <v>361</v>
      </c>
      <c r="C13" s="936"/>
      <c r="D13" s="954" t="s">
        <v>355</v>
      </c>
      <c r="E13" s="955"/>
      <c r="F13" s="955"/>
      <c r="G13" s="956">
        <f t="shared" ref="G13:R13" si="7">G4</f>
        <v>1</v>
      </c>
      <c r="H13" s="956">
        <f t="shared" si="7"/>
        <v>2</v>
      </c>
      <c r="I13" s="956">
        <f t="shared" si="7"/>
        <v>3</v>
      </c>
      <c r="J13" s="956">
        <f t="shared" si="7"/>
        <v>4</v>
      </c>
      <c r="K13" s="956">
        <f t="shared" si="7"/>
        <v>5</v>
      </c>
      <c r="L13" s="956">
        <f t="shared" si="7"/>
        <v>6</v>
      </c>
      <c r="M13" s="956">
        <f t="shared" si="7"/>
        <v>7</v>
      </c>
      <c r="N13" s="956">
        <f t="shared" si="7"/>
        <v>8</v>
      </c>
      <c r="O13" s="956">
        <f t="shared" si="7"/>
        <v>9</v>
      </c>
      <c r="P13" s="956">
        <f t="shared" si="7"/>
        <v>10</v>
      </c>
      <c r="Q13" s="956">
        <f t="shared" si="7"/>
        <v>11</v>
      </c>
      <c r="R13" s="956">
        <f t="shared" si="7"/>
        <v>12</v>
      </c>
      <c r="S13" s="957">
        <v>13</v>
      </c>
      <c r="T13" s="957">
        <v>14</v>
      </c>
      <c r="U13" s="957">
        <v>15</v>
      </c>
      <c r="V13" s="957">
        <v>16</v>
      </c>
      <c r="W13" s="957">
        <v>17</v>
      </c>
      <c r="X13" s="957">
        <v>18</v>
      </c>
      <c r="Y13" s="957">
        <v>19</v>
      </c>
      <c r="Z13" s="958">
        <v>20</v>
      </c>
    </row>
    <row r="14" spans="1:26" ht="16.5" customHeight="1" thickBot="1" x14ac:dyDescent="0.3">
      <c r="B14" s="959" t="s">
        <v>362</v>
      </c>
      <c r="C14" s="960"/>
      <c r="D14" s="961" t="s">
        <v>304</v>
      </c>
      <c r="E14" s="962"/>
      <c r="F14" s="962"/>
      <c r="G14" s="963">
        <f>SUM(G15:G34)</f>
        <v>139</v>
      </c>
      <c r="H14" s="963">
        <f t="shared" ref="H14:Z14" si="8">SUM(H15:H34)</f>
        <v>175</v>
      </c>
      <c r="I14" s="963">
        <f t="shared" si="8"/>
        <v>289</v>
      </c>
      <c r="J14" s="963">
        <f t="shared" si="8"/>
        <v>373</v>
      </c>
      <c r="K14" s="963">
        <f t="shared" si="8"/>
        <v>177</v>
      </c>
      <c r="L14" s="963">
        <f t="shared" si="8"/>
        <v>253</v>
      </c>
      <c r="M14" s="963">
        <f t="shared" si="8"/>
        <v>167</v>
      </c>
      <c r="N14" s="963">
        <f t="shared" si="8"/>
        <v>377</v>
      </c>
      <c r="O14" s="963">
        <f t="shared" si="8"/>
        <v>295</v>
      </c>
      <c r="P14" s="963">
        <f t="shared" si="8"/>
        <v>187</v>
      </c>
      <c r="Q14" s="963">
        <f t="shared" si="8"/>
        <v>317</v>
      </c>
      <c r="R14" s="963">
        <f t="shared" si="8"/>
        <v>329</v>
      </c>
      <c r="S14" s="963">
        <f t="shared" si="8"/>
        <v>173</v>
      </c>
      <c r="T14" s="963">
        <f t="shared" si="8"/>
        <v>159</v>
      </c>
      <c r="U14" s="963">
        <f t="shared" si="8"/>
        <v>467</v>
      </c>
      <c r="V14" s="963">
        <f t="shared" si="8"/>
        <v>247</v>
      </c>
      <c r="W14" s="963">
        <f t="shared" si="8"/>
        <v>145</v>
      </c>
      <c r="X14" s="963">
        <f t="shared" si="8"/>
        <v>411</v>
      </c>
      <c r="Y14" s="963">
        <f t="shared" si="8"/>
        <v>167</v>
      </c>
      <c r="Z14" s="963">
        <f t="shared" si="8"/>
        <v>255</v>
      </c>
    </row>
    <row r="15" spans="1:26" ht="16.5" customHeight="1" x14ac:dyDescent="0.25">
      <c r="A15" s="368">
        <v>1</v>
      </c>
      <c r="B15" s="964" t="s">
        <v>596</v>
      </c>
      <c r="C15" s="965"/>
      <c r="D15" s="966" t="s">
        <v>304</v>
      </c>
      <c r="E15" s="967">
        <v>20000</v>
      </c>
      <c r="F15" s="968">
        <v>1</v>
      </c>
      <c r="G15" s="969">
        <v>30</v>
      </c>
      <c r="H15" s="969">
        <v>50</v>
      </c>
      <c r="I15" s="969">
        <v>60</v>
      </c>
      <c r="J15" s="969">
        <v>30</v>
      </c>
      <c r="K15" s="969">
        <v>50</v>
      </c>
      <c r="L15" s="969">
        <v>60</v>
      </c>
      <c r="M15" s="969">
        <v>30</v>
      </c>
      <c r="N15" s="969">
        <v>50</v>
      </c>
      <c r="O15" s="969">
        <v>60</v>
      </c>
      <c r="P15" s="969">
        <v>30</v>
      </c>
      <c r="Q15" s="969">
        <v>50</v>
      </c>
      <c r="R15" s="969">
        <v>60</v>
      </c>
      <c r="S15" s="969">
        <v>30</v>
      </c>
      <c r="T15" s="969">
        <v>50</v>
      </c>
      <c r="U15" s="969">
        <v>60</v>
      </c>
      <c r="V15" s="969">
        <v>30</v>
      </c>
      <c r="W15" s="969">
        <v>50</v>
      </c>
      <c r="X15" s="969">
        <v>60</v>
      </c>
      <c r="Y15" s="969">
        <v>30</v>
      </c>
      <c r="Z15" s="970">
        <v>50</v>
      </c>
    </row>
    <row r="16" spans="1:26" ht="16.5" customHeight="1" x14ac:dyDescent="0.25">
      <c r="A16" s="368">
        <v>2</v>
      </c>
      <c r="B16" s="971" t="s">
        <v>597</v>
      </c>
      <c r="C16" s="972"/>
      <c r="D16" s="973" t="s">
        <v>304</v>
      </c>
      <c r="E16" s="913">
        <v>14000</v>
      </c>
      <c r="F16" s="974">
        <v>4</v>
      </c>
      <c r="G16" s="975">
        <v>0</v>
      </c>
      <c r="H16" s="975">
        <v>10</v>
      </c>
      <c r="I16" s="975">
        <v>0</v>
      </c>
      <c r="J16" s="975">
        <v>0</v>
      </c>
      <c r="K16" s="975">
        <v>0</v>
      </c>
      <c r="L16" s="975">
        <v>10</v>
      </c>
      <c r="M16" s="975">
        <v>0</v>
      </c>
      <c r="N16" s="975">
        <v>0</v>
      </c>
      <c r="O16" s="975">
        <v>0</v>
      </c>
      <c r="P16" s="975">
        <v>10</v>
      </c>
      <c r="Q16" s="975">
        <v>0</v>
      </c>
      <c r="R16" s="975">
        <v>10</v>
      </c>
      <c r="S16" s="975">
        <v>0</v>
      </c>
      <c r="T16" s="975">
        <v>10</v>
      </c>
      <c r="U16" s="975">
        <v>0</v>
      </c>
      <c r="V16" s="975">
        <v>10</v>
      </c>
      <c r="W16" s="975">
        <v>0</v>
      </c>
      <c r="X16" s="975">
        <v>0</v>
      </c>
      <c r="Y16" s="975">
        <v>0</v>
      </c>
      <c r="Z16" s="976">
        <v>12</v>
      </c>
    </row>
    <row r="17" spans="1:26" ht="16.5" customHeight="1" x14ac:dyDescent="0.25">
      <c r="A17" s="368">
        <v>3</v>
      </c>
      <c r="B17" s="971" t="s">
        <v>923</v>
      </c>
      <c r="C17" s="972"/>
      <c r="D17" s="977" t="s">
        <v>304</v>
      </c>
      <c r="E17" s="913">
        <v>20000</v>
      </c>
      <c r="F17" s="974">
        <v>16</v>
      </c>
      <c r="G17" s="975">
        <v>0</v>
      </c>
      <c r="H17" s="975">
        <v>0</v>
      </c>
      <c r="I17" s="975">
        <v>12</v>
      </c>
      <c r="J17" s="975">
        <v>0</v>
      </c>
      <c r="K17" s="975">
        <v>0</v>
      </c>
      <c r="L17" s="975">
        <v>12</v>
      </c>
      <c r="M17" s="975">
        <v>0</v>
      </c>
      <c r="N17" s="975">
        <v>0</v>
      </c>
      <c r="O17" s="975">
        <v>12</v>
      </c>
      <c r="P17" s="975">
        <v>0</v>
      </c>
      <c r="Q17" s="975">
        <v>0</v>
      </c>
      <c r="R17" s="975">
        <v>12</v>
      </c>
      <c r="S17" s="975">
        <v>0</v>
      </c>
      <c r="T17" s="975">
        <v>0</v>
      </c>
      <c r="U17" s="975">
        <v>12</v>
      </c>
      <c r="V17" s="975">
        <v>0</v>
      </c>
      <c r="W17" s="975">
        <v>0</v>
      </c>
      <c r="X17" s="975">
        <v>12</v>
      </c>
      <c r="Y17" s="975">
        <v>0</v>
      </c>
      <c r="Z17" s="976">
        <v>0</v>
      </c>
    </row>
    <row r="18" spans="1:26" ht="16.5" customHeight="1" x14ac:dyDescent="0.25">
      <c r="A18" s="368">
        <v>4</v>
      </c>
      <c r="B18" s="971" t="s">
        <v>924</v>
      </c>
      <c r="C18" s="972"/>
      <c r="D18" s="973" t="s">
        <v>304</v>
      </c>
      <c r="E18" s="913">
        <v>20000</v>
      </c>
      <c r="F18" s="974">
        <v>1</v>
      </c>
      <c r="G18" s="975">
        <v>0</v>
      </c>
      <c r="H18" s="975">
        <v>0</v>
      </c>
      <c r="I18" s="975">
        <v>2</v>
      </c>
      <c r="J18" s="975">
        <v>0</v>
      </c>
      <c r="K18" s="975">
        <v>0</v>
      </c>
      <c r="L18" s="975">
        <v>2</v>
      </c>
      <c r="M18" s="975">
        <v>0</v>
      </c>
      <c r="N18" s="975">
        <v>0</v>
      </c>
      <c r="O18" s="975">
        <v>2</v>
      </c>
      <c r="P18" s="975">
        <v>0</v>
      </c>
      <c r="Q18" s="975">
        <v>0</v>
      </c>
      <c r="R18" s="975">
        <v>2</v>
      </c>
      <c r="S18" s="975">
        <v>0</v>
      </c>
      <c r="T18" s="975">
        <v>0</v>
      </c>
      <c r="U18" s="975">
        <v>2</v>
      </c>
      <c r="V18" s="975">
        <v>0</v>
      </c>
      <c r="W18" s="975">
        <v>0</v>
      </c>
      <c r="X18" s="975">
        <v>2</v>
      </c>
      <c r="Y18" s="975">
        <v>0</v>
      </c>
      <c r="Z18" s="976">
        <v>0</v>
      </c>
    </row>
    <row r="19" spans="1:26" ht="16.5" customHeight="1" x14ac:dyDescent="0.25">
      <c r="A19" s="368">
        <v>5</v>
      </c>
      <c r="B19" s="971" t="s">
        <v>925</v>
      </c>
      <c r="C19" s="972"/>
      <c r="D19" s="977" t="s">
        <v>304</v>
      </c>
      <c r="E19" s="913">
        <v>25000</v>
      </c>
      <c r="F19" s="974">
        <v>1</v>
      </c>
      <c r="G19" s="975">
        <v>0</v>
      </c>
      <c r="H19" s="975">
        <v>0</v>
      </c>
      <c r="I19" s="975">
        <v>0</v>
      </c>
      <c r="J19" s="975">
        <v>65</v>
      </c>
      <c r="K19" s="975">
        <v>0</v>
      </c>
      <c r="L19" s="975">
        <v>0</v>
      </c>
      <c r="M19" s="975">
        <v>0</v>
      </c>
      <c r="N19" s="975">
        <f>J19</f>
        <v>65</v>
      </c>
      <c r="O19" s="975">
        <v>0</v>
      </c>
      <c r="P19" s="975">
        <v>0</v>
      </c>
      <c r="Q19" s="975">
        <f>N19</f>
        <v>65</v>
      </c>
      <c r="R19" s="975">
        <v>0</v>
      </c>
      <c r="S19" s="975">
        <v>0</v>
      </c>
      <c r="T19" s="975">
        <v>0</v>
      </c>
      <c r="U19" s="975">
        <f>Q19</f>
        <v>65</v>
      </c>
      <c r="V19" s="975">
        <v>0</v>
      </c>
      <c r="W19" s="975">
        <v>0</v>
      </c>
      <c r="X19" s="975">
        <f>U19</f>
        <v>65</v>
      </c>
      <c r="Y19" s="975">
        <v>0</v>
      </c>
      <c r="Z19" s="976">
        <v>0</v>
      </c>
    </row>
    <row r="20" spans="1:26" ht="16.5" customHeight="1" x14ac:dyDescent="0.25">
      <c r="A20" s="368">
        <v>6</v>
      </c>
      <c r="B20" s="971" t="s">
        <v>377</v>
      </c>
      <c r="C20" s="972"/>
      <c r="D20" s="973" t="s">
        <v>304</v>
      </c>
      <c r="E20" s="913">
        <v>25000</v>
      </c>
      <c r="F20" s="974">
        <v>2</v>
      </c>
      <c r="G20" s="975">
        <v>0</v>
      </c>
      <c r="H20" s="975">
        <v>0</v>
      </c>
      <c r="I20" s="975">
        <v>0</v>
      </c>
      <c r="J20" s="975">
        <v>12</v>
      </c>
      <c r="K20" s="975">
        <v>0</v>
      </c>
      <c r="L20" s="975">
        <v>0</v>
      </c>
      <c r="M20" s="975">
        <v>0</v>
      </c>
      <c r="N20" s="975">
        <f>J20</f>
        <v>12</v>
      </c>
      <c r="O20" s="975">
        <v>0</v>
      </c>
      <c r="P20" s="975">
        <v>0</v>
      </c>
      <c r="Q20" s="975">
        <f>N20</f>
        <v>12</v>
      </c>
      <c r="R20" s="975">
        <v>0</v>
      </c>
      <c r="S20" s="975">
        <v>0</v>
      </c>
      <c r="T20" s="975">
        <v>0</v>
      </c>
      <c r="U20" s="975">
        <f>Q20</f>
        <v>12</v>
      </c>
      <c r="V20" s="975">
        <v>0</v>
      </c>
      <c r="W20" s="975">
        <v>0</v>
      </c>
      <c r="X20" s="975">
        <f>U20</f>
        <v>12</v>
      </c>
      <c r="Y20" s="975">
        <v>0</v>
      </c>
      <c r="Z20" s="976">
        <v>0</v>
      </c>
    </row>
    <row r="21" spans="1:26" ht="16.5" customHeight="1" x14ac:dyDescent="0.25">
      <c r="A21" s="368">
        <v>7</v>
      </c>
      <c r="B21" s="971" t="s">
        <v>926</v>
      </c>
      <c r="C21" s="972"/>
      <c r="D21" s="977" t="s">
        <v>304</v>
      </c>
      <c r="E21" s="913">
        <v>25000</v>
      </c>
      <c r="F21" s="974">
        <v>1</v>
      </c>
      <c r="G21" s="975">
        <v>0</v>
      </c>
      <c r="H21" s="975">
        <v>0</v>
      </c>
      <c r="I21" s="975">
        <v>0</v>
      </c>
      <c r="J21" s="975">
        <v>4</v>
      </c>
      <c r="K21" s="975">
        <v>0</v>
      </c>
      <c r="L21" s="975">
        <v>0</v>
      </c>
      <c r="M21" s="975">
        <v>0</v>
      </c>
      <c r="N21" s="975">
        <f>J21</f>
        <v>4</v>
      </c>
      <c r="O21" s="975">
        <v>0</v>
      </c>
      <c r="P21" s="975">
        <v>0</v>
      </c>
      <c r="Q21" s="975">
        <f>N21</f>
        <v>4</v>
      </c>
      <c r="R21" s="975">
        <v>0</v>
      </c>
      <c r="S21" s="975">
        <v>0</v>
      </c>
      <c r="T21" s="975">
        <v>0</v>
      </c>
      <c r="U21" s="975">
        <f>Q21</f>
        <v>4</v>
      </c>
      <c r="V21" s="975">
        <v>0</v>
      </c>
      <c r="W21" s="975">
        <v>0</v>
      </c>
      <c r="X21" s="975">
        <f>U21</f>
        <v>4</v>
      </c>
      <c r="Y21" s="975">
        <v>0</v>
      </c>
      <c r="Z21" s="976">
        <v>0</v>
      </c>
    </row>
    <row r="22" spans="1:26" ht="16.5" customHeight="1" x14ac:dyDescent="0.25">
      <c r="A22" s="368">
        <v>8</v>
      </c>
      <c r="B22" s="978" t="s">
        <v>927</v>
      </c>
      <c r="C22" s="979" t="s">
        <v>928</v>
      </c>
      <c r="D22" s="973" t="s">
        <v>304</v>
      </c>
      <c r="E22" s="913">
        <v>20000</v>
      </c>
      <c r="F22" s="980">
        <v>0</v>
      </c>
      <c r="G22" s="975">
        <v>0</v>
      </c>
      <c r="H22" s="975">
        <v>8</v>
      </c>
      <c r="I22" s="975">
        <v>8</v>
      </c>
      <c r="J22" s="975">
        <v>0</v>
      </c>
      <c r="K22" s="975">
        <v>8</v>
      </c>
      <c r="L22" s="975">
        <v>0</v>
      </c>
      <c r="M22" s="975">
        <v>8</v>
      </c>
      <c r="N22" s="975">
        <v>8</v>
      </c>
      <c r="O22" s="975">
        <v>8</v>
      </c>
      <c r="P22" s="975">
        <v>0</v>
      </c>
      <c r="Q22" s="975">
        <v>8</v>
      </c>
      <c r="R22" s="975">
        <v>8</v>
      </c>
      <c r="S22" s="975">
        <v>8</v>
      </c>
      <c r="T22" s="975">
        <v>0</v>
      </c>
      <c r="U22" s="975">
        <v>8</v>
      </c>
      <c r="V22" s="975">
        <v>8</v>
      </c>
      <c r="W22" s="975">
        <v>0</v>
      </c>
      <c r="X22" s="975">
        <v>8</v>
      </c>
      <c r="Y22" s="975">
        <v>8</v>
      </c>
      <c r="Z22" s="976">
        <v>8</v>
      </c>
    </row>
    <row r="23" spans="1:26" ht="16.5" customHeight="1" x14ac:dyDescent="0.25">
      <c r="A23" s="368">
        <v>9</v>
      </c>
      <c r="B23" s="978" t="s">
        <v>929</v>
      </c>
      <c r="C23" s="979"/>
      <c r="D23" s="973" t="s">
        <v>304</v>
      </c>
      <c r="E23" s="913">
        <v>15000</v>
      </c>
      <c r="F23" s="980">
        <v>4</v>
      </c>
      <c r="G23" s="975">
        <v>0</v>
      </c>
      <c r="H23" s="975">
        <v>0</v>
      </c>
      <c r="I23" s="975">
        <v>24</v>
      </c>
      <c r="J23" s="975">
        <v>0</v>
      </c>
      <c r="K23" s="975">
        <v>0</v>
      </c>
      <c r="L23" s="975">
        <v>4</v>
      </c>
      <c r="M23" s="975">
        <v>0</v>
      </c>
      <c r="N23" s="975">
        <v>0</v>
      </c>
      <c r="O23" s="975">
        <v>24</v>
      </c>
      <c r="P23" s="975">
        <v>0</v>
      </c>
      <c r="Q23" s="975">
        <v>0</v>
      </c>
      <c r="R23" s="975">
        <v>4</v>
      </c>
      <c r="S23" s="975">
        <v>0</v>
      </c>
      <c r="T23" s="975">
        <v>0</v>
      </c>
      <c r="U23" s="975">
        <v>24</v>
      </c>
      <c r="V23" s="975">
        <v>0</v>
      </c>
      <c r="W23" s="975">
        <v>0</v>
      </c>
      <c r="X23" s="975">
        <v>4</v>
      </c>
      <c r="Y23" s="975">
        <v>0</v>
      </c>
      <c r="Z23" s="976">
        <v>0</v>
      </c>
    </row>
    <row r="24" spans="1:26" ht="16.5" customHeight="1" x14ac:dyDescent="0.25">
      <c r="A24" s="368">
        <v>10</v>
      </c>
      <c r="B24" s="971" t="s">
        <v>930</v>
      </c>
      <c r="C24" s="979"/>
      <c r="D24" s="973" t="s">
        <v>304</v>
      </c>
      <c r="E24" s="913">
        <v>25000</v>
      </c>
      <c r="F24" s="980">
        <v>2</v>
      </c>
      <c r="G24" s="975">
        <v>0</v>
      </c>
      <c r="H24" s="975">
        <v>0</v>
      </c>
      <c r="I24" s="975">
        <v>0</v>
      </c>
      <c r="J24" s="975">
        <v>30</v>
      </c>
      <c r="K24" s="975">
        <v>0</v>
      </c>
      <c r="L24" s="975">
        <v>0</v>
      </c>
      <c r="M24" s="975">
        <v>0</v>
      </c>
      <c r="N24" s="975">
        <v>30</v>
      </c>
      <c r="O24" s="975">
        <v>0</v>
      </c>
      <c r="P24" s="975">
        <v>0</v>
      </c>
      <c r="Q24" s="975">
        <v>0</v>
      </c>
      <c r="R24" s="975">
        <v>30</v>
      </c>
      <c r="S24" s="975">
        <v>0</v>
      </c>
      <c r="T24" s="975">
        <v>0</v>
      </c>
      <c r="U24" s="975">
        <v>0</v>
      </c>
      <c r="V24" s="975">
        <v>30</v>
      </c>
      <c r="W24" s="975">
        <v>0</v>
      </c>
      <c r="X24" s="975">
        <v>0</v>
      </c>
      <c r="Y24" s="975">
        <v>0</v>
      </c>
      <c r="Z24" s="976">
        <v>30</v>
      </c>
    </row>
    <row r="25" spans="1:26" ht="16.5" customHeight="1" x14ac:dyDescent="0.25">
      <c r="A25" s="368">
        <v>11</v>
      </c>
      <c r="B25" s="971" t="s">
        <v>931</v>
      </c>
      <c r="C25" s="979"/>
      <c r="D25" s="973" t="s">
        <v>304</v>
      </c>
      <c r="E25" s="913">
        <v>20000</v>
      </c>
      <c r="F25" s="980">
        <v>2</v>
      </c>
      <c r="G25" s="975">
        <v>0</v>
      </c>
      <c r="H25" s="975">
        <v>0</v>
      </c>
      <c r="I25" s="975">
        <v>6</v>
      </c>
      <c r="J25" s="975">
        <v>0</v>
      </c>
      <c r="K25" s="975">
        <v>0</v>
      </c>
      <c r="L25" s="975">
        <v>6</v>
      </c>
      <c r="M25" s="975">
        <v>0</v>
      </c>
      <c r="N25" s="975">
        <v>0</v>
      </c>
      <c r="O25" s="975">
        <v>6</v>
      </c>
      <c r="P25" s="975">
        <v>0</v>
      </c>
      <c r="Q25" s="975">
        <v>0</v>
      </c>
      <c r="R25" s="975">
        <v>6</v>
      </c>
      <c r="S25" s="975">
        <v>0</v>
      </c>
      <c r="T25" s="975">
        <v>0</v>
      </c>
      <c r="U25" s="975">
        <v>6</v>
      </c>
      <c r="V25" s="975">
        <v>0</v>
      </c>
      <c r="W25" s="975">
        <v>0</v>
      </c>
      <c r="X25" s="975">
        <v>6</v>
      </c>
      <c r="Y25" s="975">
        <v>0</v>
      </c>
      <c r="Z25" s="976">
        <v>0</v>
      </c>
    </row>
    <row r="26" spans="1:26" ht="16.5" customHeight="1" x14ac:dyDescent="0.25">
      <c r="A26" s="368">
        <v>12</v>
      </c>
      <c r="B26" s="978" t="s">
        <v>932</v>
      </c>
      <c r="C26" s="979"/>
      <c r="D26" s="973" t="s">
        <v>304</v>
      </c>
      <c r="E26" s="913">
        <v>20000</v>
      </c>
      <c r="F26" s="980">
        <v>2</v>
      </c>
      <c r="G26" s="975">
        <v>0</v>
      </c>
      <c r="H26" s="975">
        <v>0</v>
      </c>
      <c r="I26" s="975">
        <v>4</v>
      </c>
      <c r="J26" s="975">
        <v>0</v>
      </c>
      <c r="K26" s="975">
        <v>0</v>
      </c>
      <c r="L26" s="975">
        <v>4</v>
      </c>
      <c r="M26" s="975">
        <v>0</v>
      </c>
      <c r="N26" s="975">
        <v>0</v>
      </c>
      <c r="O26" s="975">
        <v>4</v>
      </c>
      <c r="P26" s="975">
        <v>0</v>
      </c>
      <c r="Q26" s="975">
        <v>0</v>
      </c>
      <c r="R26" s="975">
        <v>4</v>
      </c>
      <c r="S26" s="975">
        <v>0</v>
      </c>
      <c r="T26" s="975">
        <v>0</v>
      </c>
      <c r="U26" s="975">
        <v>4</v>
      </c>
      <c r="V26" s="975">
        <v>0</v>
      </c>
      <c r="W26" s="975">
        <v>0</v>
      </c>
      <c r="X26" s="975">
        <v>4</v>
      </c>
      <c r="Y26" s="975">
        <v>0</v>
      </c>
      <c r="Z26" s="976">
        <v>0</v>
      </c>
    </row>
    <row r="27" spans="1:26" ht="16.5" customHeight="1" x14ac:dyDescent="0.25">
      <c r="A27" s="368">
        <v>13</v>
      </c>
      <c r="B27" s="978" t="s">
        <v>933</v>
      </c>
      <c r="C27" s="979"/>
      <c r="D27" s="973" t="s">
        <v>304</v>
      </c>
      <c r="E27" s="913">
        <v>20000</v>
      </c>
      <c r="F27" s="974">
        <v>1</v>
      </c>
      <c r="G27" s="975">
        <v>0</v>
      </c>
      <c r="H27" s="975">
        <v>0</v>
      </c>
      <c r="I27" s="975">
        <v>4</v>
      </c>
      <c r="J27" s="975">
        <v>0</v>
      </c>
      <c r="K27" s="975">
        <v>0</v>
      </c>
      <c r="L27" s="975">
        <v>4</v>
      </c>
      <c r="M27" s="975">
        <v>0</v>
      </c>
      <c r="N27" s="975">
        <v>0</v>
      </c>
      <c r="O27" s="975">
        <v>4</v>
      </c>
      <c r="P27" s="975">
        <v>0</v>
      </c>
      <c r="Q27" s="975">
        <v>0</v>
      </c>
      <c r="R27" s="975">
        <v>4</v>
      </c>
      <c r="S27" s="975">
        <v>0</v>
      </c>
      <c r="T27" s="975">
        <v>0</v>
      </c>
      <c r="U27" s="975">
        <v>4</v>
      </c>
      <c r="V27" s="975">
        <v>0</v>
      </c>
      <c r="W27" s="975">
        <v>0</v>
      </c>
      <c r="X27" s="975">
        <v>4</v>
      </c>
      <c r="Y27" s="975">
        <v>0</v>
      </c>
      <c r="Z27" s="976">
        <v>0</v>
      </c>
    </row>
    <row r="28" spans="1:26" ht="16.5" customHeight="1" x14ac:dyDescent="0.25">
      <c r="A28" s="368">
        <v>14</v>
      </c>
      <c r="B28" s="978" t="s">
        <v>384</v>
      </c>
      <c r="C28" s="979"/>
      <c r="D28" s="973" t="s">
        <v>304</v>
      </c>
      <c r="E28" s="913">
        <v>30000</v>
      </c>
      <c r="F28" s="974">
        <v>1</v>
      </c>
      <c r="G28" s="975">
        <v>0</v>
      </c>
      <c r="H28" s="975">
        <v>0</v>
      </c>
      <c r="I28" s="975">
        <v>0</v>
      </c>
      <c r="J28" s="975">
        <v>0</v>
      </c>
      <c r="K28" s="975">
        <v>6</v>
      </c>
      <c r="L28" s="975">
        <v>0</v>
      </c>
      <c r="M28" s="975">
        <v>0</v>
      </c>
      <c r="N28" s="975">
        <v>0</v>
      </c>
      <c r="O28" s="975">
        <v>6</v>
      </c>
      <c r="P28" s="975">
        <v>0</v>
      </c>
      <c r="Q28" s="975">
        <v>0</v>
      </c>
      <c r="R28" s="975">
        <v>0</v>
      </c>
      <c r="S28" s="975">
        <v>6</v>
      </c>
      <c r="T28" s="975">
        <v>0</v>
      </c>
      <c r="U28" s="975">
        <v>0</v>
      </c>
      <c r="V28" s="975">
        <v>0</v>
      </c>
      <c r="W28" s="975">
        <v>6</v>
      </c>
      <c r="X28" s="975">
        <v>0</v>
      </c>
      <c r="Y28" s="975">
        <v>0</v>
      </c>
      <c r="Z28" s="975">
        <v>0</v>
      </c>
    </row>
    <row r="29" spans="1:26" ht="16.5" customHeight="1" x14ac:dyDescent="0.25">
      <c r="A29" s="368">
        <v>15</v>
      </c>
      <c r="B29" s="978" t="s">
        <v>934</v>
      </c>
      <c r="C29" s="979"/>
      <c r="D29" s="973" t="s">
        <v>304</v>
      </c>
      <c r="E29" s="913">
        <v>20000</v>
      </c>
      <c r="F29" s="974">
        <v>1</v>
      </c>
      <c r="G29" s="975">
        <v>0</v>
      </c>
      <c r="H29" s="975">
        <v>0</v>
      </c>
      <c r="I29" s="975">
        <v>5</v>
      </c>
      <c r="J29" s="975">
        <v>0</v>
      </c>
      <c r="K29" s="975">
        <v>0</v>
      </c>
      <c r="L29" s="975">
        <v>5</v>
      </c>
      <c r="M29" s="975">
        <v>0</v>
      </c>
      <c r="N29" s="975">
        <v>0</v>
      </c>
      <c r="O29" s="975">
        <v>5</v>
      </c>
      <c r="P29" s="975">
        <v>0</v>
      </c>
      <c r="Q29" s="975">
        <v>0</v>
      </c>
      <c r="R29" s="975">
        <v>5</v>
      </c>
      <c r="S29" s="975">
        <v>0</v>
      </c>
      <c r="T29" s="975">
        <v>0</v>
      </c>
      <c r="U29" s="975">
        <v>5</v>
      </c>
      <c r="V29" s="975">
        <v>0</v>
      </c>
      <c r="W29" s="975">
        <v>0</v>
      </c>
      <c r="X29" s="975">
        <v>5</v>
      </c>
      <c r="Y29" s="975">
        <v>0</v>
      </c>
      <c r="Z29" s="976">
        <v>0</v>
      </c>
    </row>
    <row r="30" spans="1:26" ht="16.5" customHeight="1" x14ac:dyDescent="0.25">
      <c r="A30" s="368">
        <v>16</v>
      </c>
      <c r="B30" s="978" t="s">
        <v>935</v>
      </c>
      <c r="C30" s="979"/>
      <c r="D30" s="973" t="s">
        <v>304</v>
      </c>
      <c r="E30" s="913">
        <v>20000</v>
      </c>
      <c r="F30" s="974">
        <v>1</v>
      </c>
      <c r="G30" s="975">
        <v>0</v>
      </c>
      <c r="H30" s="975">
        <v>0</v>
      </c>
      <c r="I30" s="975">
        <v>6</v>
      </c>
      <c r="J30" s="975">
        <v>0</v>
      </c>
      <c r="K30" s="975">
        <v>0</v>
      </c>
      <c r="L30" s="975">
        <v>6</v>
      </c>
      <c r="M30" s="975">
        <v>0</v>
      </c>
      <c r="N30" s="975">
        <v>0</v>
      </c>
      <c r="O30" s="975">
        <v>6</v>
      </c>
      <c r="P30" s="975">
        <v>0</v>
      </c>
      <c r="Q30" s="975">
        <v>0</v>
      </c>
      <c r="R30" s="975">
        <v>6</v>
      </c>
      <c r="S30" s="975">
        <v>0</v>
      </c>
      <c r="T30" s="975">
        <v>0</v>
      </c>
      <c r="U30" s="975">
        <v>6</v>
      </c>
      <c r="V30" s="975">
        <v>0</v>
      </c>
      <c r="W30" s="975">
        <v>0</v>
      </c>
      <c r="X30" s="975">
        <v>6</v>
      </c>
      <c r="Y30" s="975">
        <v>0</v>
      </c>
      <c r="Z30" s="976">
        <v>0</v>
      </c>
    </row>
    <row r="31" spans="1:26" ht="16.5" customHeight="1" x14ac:dyDescent="0.25">
      <c r="A31" s="368">
        <v>17</v>
      </c>
      <c r="B31" s="978" t="s">
        <v>936</v>
      </c>
      <c r="C31" s="979"/>
      <c r="D31" s="973" t="s">
        <v>304</v>
      </c>
      <c r="E31" s="913">
        <v>20000</v>
      </c>
      <c r="F31" s="974">
        <v>1</v>
      </c>
      <c r="G31" s="975">
        <v>0</v>
      </c>
      <c r="H31" s="975">
        <v>0</v>
      </c>
      <c r="I31" s="975">
        <v>4</v>
      </c>
      <c r="J31" s="975">
        <v>0</v>
      </c>
      <c r="K31" s="975">
        <v>0</v>
      </c>
      <c r="L31" s="975">
        <v>4</v>
      </c>
      <c r="M31" s="975">
        <v>0</v>
      </c>
      <c r="N31" s="975">
        <v>0</v>
      </c>
      <c r="O31" s="975">
        <v>4</v>
      </c>
      <c r="P31" s="975">
        <v>0</v>
      </c>
      <c r="Q31" s="975">
        <v>0</v>
      </c>
      <c r="R31" s="975">
        <v>4</v>
      </c>
      <c r="S31" s="975">
        <v>0</v>
      </c>
      <c r="T31" s="975">
        <v>0</v>
      </c>
      <c r="U31" s="975">
        <v>4</v>
      </c>
      <c r="V31" s="975">
        <v>0</v>
      </c>
      <c r="W31" s="975">
        <v>0</v>
      </c>
      <c r="X31" s="975">
        <v>4</v>
      </c>
      <c r="Y31" s="975">
        <v>0</v>
      </c>
      <c r="Z31" s="976">
        <v>0</v>
      </c>
    </row>
    <row r="32" spans="1:26" ht="16.5" customHeight="1" x14ac:dyDescent="0.25">
      <c r="A32" s="368">
        <v>18</v>
      </c>
      <c r="B32" s="971" t="s">
        <v>937</v>
      </c>
      <c r="C32" s="979"/>
      <c r="D32" s="973" t="s">
        <v>304</v>
      </c>
      <c r="E32" s="913">
        <v>15000</v>
      </c>
      <c r="F32" s="974">
        <v>1</v>
      </c>
      <c r="G32" s="975">
        <v>0</v>
      </c>
      <c r="H32" s="975">
        <v>0</v>
      </c>
      <c r="I32" s="975">
        <v>0</v>
      </c>
      <c r="J32" s="975">
        <v>3</v>
      </c>
      <c r="K32" s="975">
        <v>0</v>
      </c>
      <c r="L32" s="975">
        <v>0</v>
      </c>
      <c r="M32" s="975">
        <v>3</v>
      </c>
      <c r="N32" s="975">
        <v>0</v>
      </c>
      <c r="O32" s="975">
        <v>0</v>
      </c>
      <c r="P32" s="975">
        <v>3</v>
      </c>
      <c r="Q32" s="975">
        <v>0</v>
      </c>
      <c r="R32" s="975">
        <v>0</v>
      </c>
      <c r="S32" s="975">
        <v>3</v>
      </c>
      <c r="T32" s="975">
        <v>0</v>
      </c>
      <c r="U32" s="975">
        <v>0</v>
      </c>
      <c r="V32" s="975">
        <v>3</v>
      </c>
      <c r="W32" s="975">
        <v>0</v>
      </c>
      <c r="X32" s="975">
        <v>0</v>
      </c>
      <c r="Y32" s="975">
        <v>3</v>
      </c>
      <c r="Z32" s="976">
        <v>0</v>
      </c>
    </row>
    <row r="33" spans="1:26" ht="16.5" customHeight="1" x14ac:dyDescent="0.25">
      <c r="A33" s="368">
        <v>19</v>
      </c>
      <c r="B33" s="971" t="s">
        <v>938</v>
      </c>
      <c r="C33" s="979"/>
      <c r="D33" s="973" t="s">
        <v>304</v>
      </c>
      <c r="E33" s="981">
        <v>25000</v>
      </c>
      <c r="F33" s="980">
        <v>4</v>
      </c>
      <c r="G33" s="975">
        <v>0</v>
      </c>
      <c r="H33" s="975">
        <v>0</v>
      </c>
      <c r="I33" s="975">
        <v>0</v>
      </c>
      <c r="J33" s="975">
        <v>3</v>
      </c>
      <c r="K33" s="975">
        <v>0</v>
      </c>
      <c r="L33" s="975">
        <v>0</v>
      </c>
      <c r="M33" s="975">
        <v>3</v>
      </c>
      <c r="N33" s="975">
        <v>0</v>
      </c>
      <c r="O33" s="975">
        <v>0</v>
      </c>
      <c r="P33" s="975">
        <v>3</v>
      </c>
      <c r="Q33" s="975">
        <v>0</v>
      </c>
      <c r="R33" s="975">
        <v>0</v>
      </c>
      <c r="S33" s="975">
        <v>3</v>
      </c>
      <c r="T33" s="975">
        <v>0</v>
      </c>
      <c r="U33" s="975">
        <v>0</v>
      </c>
      <c r="V33" s="975">
        <v>3</v>
      </c>
      <c r="W33" s="975">
        <v>0</v>
      </c>
      <c r="X33" s="975">
        <v>0</v>
      </c>
      <c r="Y33" s="975">
        <v>3</v>
      </c>
      <c r="Z33" s="976">
        <v>0</v>
      </c>
    </row>
    <row r="34" spans="1:26" ht="16.5" customHeight="1" thickBot="1" x14ac:dyDescent="0.3">
      <c r="A34" s="368">
        <v>20</v>
      </c>
      <c r="B34" s="982" t="s">
        <v>939</v>
      </c>
      <c r="C34" s="983"/>
      <c r="D34" s="984" t="s">
        <v>304</v>
      </c>
      <c r="E34" s="985">
        <v>14000</v>
      </c>
      <c r="F34" s="986">
        <v>2</v>
      </c>
      <c r="G34" s="987">
        <v>109</v>
      </c>
      <c r="H34" s="987">
        <v>107</v>
      </c>
      <c r="I34" s="987">
        <v>154</v>
      </c>
      <c r="J34" s="987">
        <v>226</v>
      </c>
      <c r="K34" s="987">
        <v>113</v>
      </c>
      <c r="L34" s="987">
        <v>136</v>
      </c>
      <c r="M34" s="987">
        <v>123</v>
      </c>
      <c r="N34" s="987">
        <v>208</v>
      </c>
      <c r="O34" s="987">
        <v>154</v>
      </c>
      <c r="P34" s="987">
        <v>141</v>
      </c>
      <c r="Q34" s="987">
        <v>178</v>
      </c>
      <c r="R34" s="987">
        <v>174</v>
      </c>
      <c r="S34" s="987">
        <v>123</v>
      </c>
      <c r="T34" s="987">
        <v>99</v>
      </c>
      <c r="U34" s="987">
        <v>251</v>
      </c>
      <c r="V34" s="987">
        <v>163</v>
      </c>
      <c r="W34" s="987">
        <v>89</v>
      </c>
      <c r="X34" s="987">
        <v>215</v>
      </c>
      <c r="Y34" s="987">
        <v>123</v>
      </c>
      <c r="Z34" s="988">
        <v>155</v>
      </c>
    </row>
    <row r="35" spans="1:26" ht="16.5" customHeight="1" x14ac:dyDescent="0.25">
      <c r="B35" s="989"/>
      <c r="C35" s="990"/>
      <c r="D35" s="891"/>
      <c r="E35" s="952"/>
      <c r="F35" s="952"/>
      <c r="G35" s="953"/>
      <c r="H35" s="953"/>
      <c r="I35" s="953"/>
      <c r="J35" s="953"/>
      <c r="K35" s="953"/>
      <c r="L35" s="953"/>
      <c r="M35" s="953"/>
      <c r="N35" s="953"/>
      <c r="O35" s="953"/>
      <c r="P35" s="953"/>
      <c r="Q35" s="953"/>
      <c r="R35" s="953"/>
      <c r="S35" s="892"/>
      <c r="T35" s="892"/>
      <c r="U35" s="892"/>
      <c r="V35" s="892"/>
      <c r="W35" s="892"/>
      <c r="X35" s="892"/>
      <c r="Y35" s="892"/>
      <c r="Z35" s="892"/>
    </row>
    <row r="36" spans="1:26" ht="16.5" customHeight="1" thickBot="1" x14ac:dyDescent="0.3">
      <c r="B36" s="401" t="s">
        <v>372</v>
      </c>
      <c r="C36" s="951"/>
      <c r="D36" s="891"/>
      <c r="E36" s="991">
        <f>'NHL NTE240 ТО_1'!F10</f>
        <v>191</v>
      </c>
      <c r="F36" s="952"/>
      <c r="G36" s="953"/>
      <c r="H36" s="953"/>
      <c r="I36" s="953"/>
      <c r="J36" s="953"/>
      <c r="K36" s="953"/>
      <c r="L36" s="953"/>
      <c r="M36" s="953"/>
      <c r="N36" s="953"/>
      <c r="O36" s="953"/>
      <c r="P36" s="953"/>
      <c r="Q36" s="953"/>
      <c r="R36" s="953"/>
      <c r="S36" s="892"/>
      <c r="T36" s="892"/>
      <c r="U36" s="892"/>
      <c r="V36" s="892"/>
      <c r="W36" s="892"/>
      <c r="X36" s="892"/>
      <c r="Y36" s="892"/>
      <c r="Z36" s="892"/>
    </row>
    <row r="37" spans="1:26" ht="27.85" thickBot="1" x14ac:dyDescent="0.3">
      <c r="B37" s="931" t="s">
        <v>361</v>
      </c>
      <c r="C37" s="936"/>
      <c r="D37" s="992" t="s">
        <v>355</v>
      </c>
      <c r="E37" s="993" t="s">
        <v>373</v>
      </c>
      <c r="F37" s="994"/>
      <c r="G37" s="995">
        <f t="shared" ref="G37:R37" si="9">G13</f>
        <v>1</v>
      </c>
      <c r="H37" s="996">
        <f t="shared" si="9"/>
        <v>2</v>
      </c>
      <c r="I37" s="996">
        <f t="shared" si="9"/>
        <v>3</v>
      </c>
      <c r="J37" s="996">
        <f t="shared" si="9"/>
        <v>4</v>
      </c>
      <c r="K37" s="996">
        <f t="shared" si="9"/>
        <v>5</v>
      </c>
      <c r="L37" s="996">
        <f t="shared" si="9"/>
        <v>6</v>
      </c>
      <c r="M37" s="996">
        <f t="shared" si="9"/>
        <v>7</v>
      </c>
      <c r="N37" s="996">
        <f t="shared" si="9"/>
        <v>8</v>
      </c>
      <c r="O37" s="996">
        <f t="shared" si="9"/>
        <v>9</v>
      </c>
      <c r="P37" s="996">
        <f t="shared" si="9"/>
        <v>10</v>
      </c>
      <c r="Q37" s="996">
        <f t="shared" si="9"/>
        <v>11</v>
      </c>
      <c r="R37" s="996">
        <f t="shared" si="9"/>
        <v>12</v>
      </c>
      <c r="S37" s="997">
        <v>13</v>
      </c>
      <c r="T37" s="997">
        <v>14</v>
      </c>
      <c r="U37" s="997">
        <v>15</v>
      </c>
      <c r="V37" s="997">
        <v>16</v>
      </c>
      <c r="W37" s="997">
        <v>17</v>
      </c>
      <c r="X37" s="997">
        <v>18</v>
      </c>
      <c r="Y37" s="997">
        <v>19</v>
      </c>
      <c r="Z37" s="998">
        <v>20</v>
      </c>
    </row>
    <row r="38" spans="1:26" ht="14.95" customHeight="1" thickBot="1" x14ac:dyDescent="0.3">
      <c r="B38" s="861" t="s">
        <v>374</v>
      </c>
      <c r="C38" s="999"/>
      <c r="D38" s="1000" t="s">
        <v>375</v>
      </c>
      <c r="E38" s="1001"/>
      <c r="F38" s="1002"/>
      <c r="G38" s="1003">
        <f>SUM(G39:G58)</f>
        <v>248</v>
      </c>
      <c r="H38" s="1003">
        <f t="shared" ref="H38:Z38" si="10">SUM(H39:H58)</f>
        <v>300</v>
      </c>
      <c r="I38" s="1003">
        <f t="shared" si="10"/>
        <v>830</v>
      </c>
      <c r="J38" s="1003">
        <f t="shared" si="10"/>
        <v>1498</v>
      </c>
      <c r="K38" s="1003">
        <f t="shared" si="10"/>
        <v>296</v>
      </c>
      <c r="L38" s="1003">
        <f t="shared" si="10"/>
        <v>420</v>
      </c>
      <c r="M38" s="1003">
        <f t="shared" si="10"/>
        <v>754</v>
      </c>
      <c r="N38" s="1003">
        <f t="shared" si="10"/>
        <v>1464</v>
      </c>
      <c r="O38" s="1003">
        <f t="shared" si="10"/>
        <v>428</v>
      </c>
      <c r="P38" s="1003">
        <f t="shared" si="10"/>
        <v>388</v>
      </c>
      <c r="Q38" s="1003">
        <f t="shared" si="10"/>
        <v>1808</v>
      </c>
      <c r="R38" s="1003">
        <f t="shared" si="10"/>
        <v>472</v>
      </c>
      <c r="S38" s="1003">
        <f t="shared" si="10"/>
        <v>352</v>
      </c>
      <c r="T38" s="1003">
        <f t="shared" si="10"/>
        <v>268</v>
      </c>
      <c r="U38" s="1003">
        <f t="shared" si="10"/>
        <v>2004</v>
      </c>
      <c r="V38" s="1003">
        <f t="shared" si="10"/>
        <v>430</v>
      </c>
      <c r="W38" s="1003">
        <f t="shared" si="10"/>
        <v>232</v>
      </c>
      <c r="X38" s="1003">
        <f t="shared" si="10"/>
        <v>1574</v>
      </c>
      <c r="Y38" s="1003">
        <f t="shared" si="10"/>
        <v>754</v>
      </c>
      <c r="Z38" s="1003">
        <f t="shared" si="10"/>
        <v>356</v>
      </c>
    </row>
    <row r="39" spans="1:26" ht="14.95" customHeight="1" x14ac:dyDescent="0.25">
      <c r="A39" s="368">
        <v>1</v>
      </c>
      <c r="B39" s="1004" t="s">
        <v>596</v>
      </c>
      <c r="C39" s="1005"/>
      <c r="D39" s="1006" t="s">
        <v>375</v>
      </c>
      <c r="E39" s="1007">
        <f>E36</f>
        <v>191</v>
      </c>
      <c r="F39" s="1008"/>
      <c r="G39" s="969">
        <v>30</v>
      </c>
      <c r="H39" s="969">
        <v>50</v>
      </c>
      <c r="I39" s="969">
        <v>450</v>
      </c>
      <c r="J39" s="969">
        <v>30</v>
      </c>
      <c r="K39" s="969">
        <v>30</v>
      </c>
      <c r="L39" s="969">
        <v>50</v>
      </c>
      <c r="M39" s="969">
        <v>450</v>
      </c>
      <c r="N39" s="969">
        <v>30</v>
      </c>
      <c r="O39" s="969">
        <v>30</v>
      </c>
      <c r="P39" s="969">
        <v>50</v>
      </c>
      <c r="Q39" s="969">
        <v>450</v>
      </c>
      <c r="R39" s="969">
        <v>30</v>
      </c>
      <c r="S39" s="969">
        <v>30</v>
      </c>
      <c r="T39" s="969">
        <v>50</v>
      </c>
      <c r="U39" s="969">
        <v>450</v>
      </c>
      <c r="V39" s="969">
        <v>30</v>
      </c>
      <c r="W39" s="969">
        <v>30</v>
      </c>
      <c r="X39" s="969">
        <v>50</v>
      </c>
      <c r="Y39" s="969">
        <v>450</v>
      </c>
      <c r="Z39" s="970">
        <v>30</v>
      </c>
    </row>
    <row r="40" spans="1:26" ht="14.95" customHeight="1" x14ac:dyDescent="0.25">
      <c r="A40" s="368">
        <v>2</v>
      </c>
      <c r="B40" s="1009" t="s">
        <v>597</v>
      </c>
      <c r="C40" s="252"/>
      <c r="D40" s="1010" t="s">
        <v>375</v>
      </c>
      <c r="E40" s="1011">
        <v>191</v>
      </c>
      <c r="F40" s="980"/>
      <c r="G40" s="975">
        <v>0</v>
      </c>
      <c r="H40" s="975">
        <v>20</v>
      </c>
      <c r="I40" s="975">
        <v>0</v>
      </c>
      <c r="J40" s="975">
        <v>0</v>
      </c>
      <c r="K40" s="975">
        <v>0</v>
      </c>
      <c r="L40" s="975">
        <v>20</v>
      </c>
      <c r="M40" s="975">
        <v>0</v>
      </c>
      <c r="N40" s="975">
        <v>0</v>
      </c>
      <c r="O40" s="975">
        <v>0</v>
      </c>
      <c r="P40" s="975">
        <v>20</v>
      </c>
      <c r="Q40" s="975">
        <v>0</v>
      </c>
      <c r="R40" s="975">
        <v>0</v>
      </c>
      <c r="S40" s="975">
        <v>0</v>
      </c>
      <c r="T40" s="975">
        <v>20</v>
      </c>
      <c r="U40" s="975">
        <v>0</v>
      </c>
      <c r="V40" s="975">
        <v>0</v>
      </c>
      <c r="W40" s="975">
        <v>0</v>
      </c>
      <c r="X40" s="975">
        <v>20</v>
      </c>
      <c r="Y40" s="975">
        <v>0</v>
      </c>
      <c r="Z40" s="976">
        <v>0</v>
      </c>
    </row>
    <row r="41" spans="1:26" ht="14.95" customHeight="1" x14ac:dyDescent="0.25">
      <c r="A41" s="368">
        <v>3</v>
      </c>
      <c r="B41" s="1009" t="s">
        <v>923</v>
      </c>
      <c r="C41" s="252"/>
      <c r="D41" s="1010" t="s">
        <v>375</v>
      </c>
      <c r="E41" s="1011">
        <v>191</v>
      </c>
      <c r="F41" s="980"/>
      <c r="G41" s="975">
        <v>0</v>
      </c>
      <c r="H41" s="975">
        <v>0</v>
      </c>
      <c r="I41" s="975">
        <v>6</v>
      </c>
      <c r="J41" s="975">
        <v>0</v>
      </c>
      <c r="K41" s="975">
        <v>0</v>
      </c>
      <c r="L41" s="975">
        <v>0</v>
      </c>
      <c r="M41" s="975">
        <v>6</v>
      </c>
      <c r="N41" s="975">
        <v>0</v>
      </c>
      <c r="O41" s="975">
        <v>0</v>
      </c>
      <c r="P41" s="975">
        <v>0</v>
      </c>
      <c r="Q41" s="975">
        <v>6</v>
      </c>
      <c r="R41" s="975">
        <v>0</v>
      </c>
      <c r="S41" s="975">
        <v>0</v>
      </c>
      <c r="T41" s="975">
        <v>0</v>
      </c>
      <c r="U41" s="975">
        <v>6</v>
      </c>
      <c r="V41" s="975">
        <v>0</v>
      </c>
      <c r="W41" s="975">
        <v>0</v>
      </c>
      <c r="X41" s="975">
        <v>0</v>
      </c>
      <c r="Y41" s="975">
        <v>6</v>
      </c>
      <c r="Z41" s="976">
        <v>0</v>
      </c>
    </row>
    <row r="42" spans="1:26" ht="14.95" customHeight="1" x14ac:dyDescent="0.25">
      <c r="A42" s="368">
        <v>4</v>
      </c>
      <c r="B42" s="1009" t="s">
        <v>924</v>
      </c>
      <c r="C42" s="252"/>
      <c r="D42" s="1010" t="s">
        <v>375</v>
      </c>
      <c r="E42" s="1011">
        <v>191</v>
      </c>
      <c r="F42" s="980"/>
      <c r="G42" s="1012">
        <v>0</v>
      </c>
      <c r="H42" s="1012">
        <v>0</v>
      </c>
      <c r="I42" s="1012">
        <v>4</v>
      </c>
      <c r="J42" s="1012">
        <v>0</v>
      </c>
      <c r="K42" s="1012">
        <v>0</v>
      </c>
      <c r="L42" s="1012">
        <v>4</v>
      </c>
      <c r="M42" s="1012">
        <v>0</v>
      </c>
      <c r="N42" s="1012">
        <v>0</v>
      </c>
      <c r="O42" s="1012">
        <v>4</v>
      </c>
      <c r="P42" s="1012">
        <v>0</v>
      </c>
      <c r="Q42" s="1012">
        <v>0</v>
      </c>
      <c r="R42" s="1012">
        <v>4</v>
      </c>
      <c r="S42" s="1012">
        <v>0</v>
      </c>
      <c r="T42" s="1012">
        <v>0</v>
      </c>
      <c r="U42" s="1012">
        <v>4</v>
      </c>
      <c r="V42" s="1012">
        <v>0</v>
      </c>
      <c r="W42" s="1012">
        <v>0</v>
      </c>
      <c r="X42" s="1012">
        <v>4</v>
      </c>
      <c r="Y42" s="1012">
        <v>0</v>
      </c>
      <c r="Z42" s="1013">
        <v>0</v>
      </c>
    </row>
    <row r="43" spans="1:26" ht="14.95" customHeight="1" x14ac:dyDescent="0.25">
      <c r="A43" s="368">
        <v>5</v>
      </c>
      <c r="B43" s="1009" t="s">
        <v>925</v>
      </c>
      <c r="C43" s="252"/>
      <c r="D43" s="1010" t="s">
        <v>375</v>
      </c>
      <c r="E43" s="1011">
        <v>191</v>
      </c>
      <c r="F43" s="980"/>
      <c r="G43" s="975">
        <v>0</v>
      </c>
      <c r="H43" s="975">
        <v>0</v>
      </c>
      <c r="I43" s="975">
        <v>0</v>
      </c>
      <c r="J43" s="975">
        <v>200</v>
      </c>
      <c r="K43" s="975">
        <v>0</v>
      </c>
      <c r="L43" s="975">
        <v>0</v>
      </c>
      <c r="M43" s="975">
        <v>0</v>
      </c>
      <c r="N43" s="975">
        <f>J43</f>
        <v>200</v>
      </c>
      <c r="O43" s="975">
        <v>0</v>
      </c>
      <c r="P43" s="975">
        <v>0</v>
      </c>
      <c r="Q43" s="975">
        <f>N43</f>
        <v>200</v>
      </c>
      <c r="R43" s="975">
        <v>0</v>
      </c>
      <c r="S43" s="975">
        <v>0</v>
      </c>
      <c r="T43" s="975">
        <v>0</v>
      </c>
      <c r="U43" s="975">
        <f>Q43</f>
        <v>200</v>
      </c>
      <c r="V43" s="975">
        <v>0</v>
      </c>
      <c r="W43" s="975">
        <v>0</v>
      </c>
      <c r="X43" s="975">
        <f>U43</f>
        <v>200</v>
      </c>
      <c r="Y43" s="975">
        <v>0</v>
      </c>
      <c r="Z43" s="976">
        <v>0</v>
      </c>
    </row>
    <row r="44" spans="1:26" ht="14.95" customHeight="1" x14ac:dyDescent="0.25">
      <c r="A44" s="368">
        <v>6</v>
      </c>
      <c r="B44" s="1014" t="s">
        <v>377</v>
      </c>
      <c r="C44" s="252"/>
      <c r="D44" s="1010" t="s">
        <v>375</v>
      </c>
      <c r="E44" s="1011">
        <v>191</v>
      </c>
      <c r="F44" s="980"/>
      <c r="G44" s="975">
        <v>0</v>
      </c>
      <c r="H44" s="975">
        <v>0</v>
      </c>
      <c r="I44" s="975">
        <v>0</v>
      </c>
      <c r="J44" s="975">
        <v>700</v>
      </c>
      <c r="K44" s="975">
        <v>0</v>
      </c>
      <c r="L44" s="975">
        <v>0</v>
      </c>
      <c r="M44" s="975">
        <v>0</v>
      </c>
      <c r="N44" s="975">
        <f>J44</f>
        <v>700</v>
      </c>
      <c r="O44" s="975">
        <v>0</v>
      </c>
      <c r="P44" s="975">
        <v>0</v>
      </c>
      <c r="Q44" s="975">
        <f>N44</f>
        <v>700</v>
      </c>
      <c r="R44" s="975">
        <v>0</v>
      </c>
      <c r="S44" s="975">
        <v>0</v>
      </c>
      <c r="T44" s="975">
        <v>0</v>
      </c>
      <c r="U44" s="975">
        <f>Q44</f>
        <v>700</v>
      </c>
      <c r="V44" s="975">
        <v>0</v>
      </c>
      <c r="W44" s="975">
        <v>0</v>
      </c>
      <c r="X44" s="975">
        <f>U44</f>
        <v>700</v>
      </c>
      <c r="Y44" s="975">
        <v>0</v>
      </c>
      <c r="Z44" s="976">
        <v>0</v>
      </c>
    </row>
    <row r="45" spans="1:26" ht="14.95" customHeight="1" x14ac:dyDescent="0.25">
      <c r="A45" s="368">
        <v>7</v>
      </c>
      <c r="B45" s="1014" t="s">
        <v>926</v>
      </c>
      <c r="C45" s="252"/>
      <c r="D45" s="1010" t="s">
        <v>375</v>
      </c>
      <c r="E45" s="1011">
        <v>191</v>
      </c>
      <c r="F45" s="980"/>
      <c r="G45" s="975">
        <v>0</v>
      </c>
      <c r="H45" s="975">
        <v>0</v>
      </c>
      <c r="I45" s="975">
        <v>0</v>
      </c>
      <c r="J45" s="975">
        <v>80</v>
      </c>
      <c r="K45" s="975">
        <v>0</v>
      </c>
      <c r="L45" s="975">
        <v>0</v>
      </c>
      <c r="M45" s="975">
        <v>0</v>
      </c>
      <c r="N45" s="975">
        <f>J45</f>
        <v>80</v>
      </c>
      <c r="O45" s="975">
        <v>0</v>
      </c>
      <c r="P45" s="975">
        <v>0</v>
      </c>
      <c r="Q45" s="975">
        <f>N45</f>
        <v>80</v>
      </c>
      <c r="R45" s="975">
        <v>0</v>
      </c>
      <c r="S45" s="975">
        <v>0</v>
      </c>
      <c r="T45" s="975">
        <v>0</v>
      </c>
      <c r="U45" s="975">
        <f>Q45</f>
        <v>80</v>
      </c>
      <c r="V45" s="975">
        <v>0</v>
      </c>
      <c r="W45" s="975">
        <v>0</v>
      </c>
      <c r="X45" s="975">
        <f>U45</f>
        <v>80</v>
      </c>
      <c r="Y45" s="975">
        <v>0</v>
      </c>
      <c r="Z45" s="976">
        <v>0</v>
      </c>
    </row>
    <row r="46" spans="1:26" ht="14.95" customHeight="1" x14ac:dyDescent="0.25">
      <c r="A46" s="368">
        <v>8</v>
      </c>
      <c r="B46" s="978" t="str">
        <f>B22</f>
        <v>Регулировка клапанов ГРМ ДВС при ТО6 (10000 м\час)</v>
      </c>
      <c r="C46" s="979"/>
      <c r="D46" s="1010" t="s">
        <v>375</v>
      </c>
      <c r="E46" s="1015">
        <v>191</v>
      </c>
      <c r="F46" s="981"/>
      <c r="G46" s="1012">
        <v>0</v>
      </c>
      <c r="H46" s="1012">
        <v>16</v>
      </c>
      <c r="I46" s="1012">
        <v>16</v>
      </c>
      <c r="J46" s="1012">
        <v>0</v>
      </c>
      <c r="K46" s="1012">
        <f t="shared" ref="K46:M46" si="11">I46</f>
        <v>16</v>
      </c>
      <c r="L46" s="1012">
        <f t="shared" si="11"/>
        <v>0</v>
      </c>
      <c r="M46" s="1012">
        <f t="shared" si="11"/>
        <v>16</v>
      </c>
      <c r="N46" s="1012">
        <v>16</v>
      </c>
      <c r="O46" s="1012">
        <f t="shared" ref="O46" si="12">M46</f>
        <v>16</v>
      </c>
      <c r="P46" s="1012">
        <v>0</v>
      </c>
      <c r="Q46" s="1012">
        <f t="shared" ref="Q46" si="13">O46</f>
        <v>16</v>
      </c>
      <c r="R46" s="1012">
        <v>16</v>
      </c>
      <c r="S46" s="1012">
        <f t="shared" ref="S46" si="14">Q46</f>
        <v>16</v>
      </c>
      <c r="T46" s="1012">
        <v>0</v>
      </c>
      <c r="U46" s="1012">
        <f t="shared" ref="U46" si="15">S46</f>
        <v>16</v>
      </c>
      <c r="V46" s="1012">
        <v>16</v>
      </c>
      <c r="W46" s="1012">
        <v>0</v>
      </c>
      <c r="X46" s="1012">
        <f t="shared" ref="X46" si="16">V46</f>
        <v>16</v>
      </c>
      <c r="Y46" s="1012">
        <v>16</v>
      </c>
      <c r="Z46" s="1013">
        <f t="shared" ref="Z46" si="17">X46</f>
        <v>16</v>
      </c>
    </row>
    <row r="47" spans="1:26" ht="14.95" customHeight="1" x14ac:dyDescent="0.25">
      <c r="A47" s="368">
        <v>9</v>
      </c>
      <c r="B47" s="1014" t="s">
        <v>929</v>
      </c>
      <c r="C47" s="252"/>
      <c r="D47" s="1010" t="s">
        <v>375</v>
      </c>
      <c r="E47" s="1011">
        <v>191</v>
      </c>
      <c r="F47" s="980"/>
      <c r="G47" s="975">
        <v>0</v>
      </c>
      <c r="H47" s="975">
        <v>0</v>
      </c>
      <c r="I47" s="975">
        <v>0</v>
      </c>
      <c r="J47" s="975">
        <v>0</v>
      </c>
      <c r="K47" s="975">
        <v>0</v>
      </c>
      <c r="L47" s="975">
        <v>20</v>
      </c>
      <c r="M47" s="975">
        <v>0</v>
      </c>
      <c r="N47" s="975">
        <v>0</v>
      </c>
      <c r="O47" s="975">
        <v>0</v>
      </c>
      <c r="P47" s="975">
        <v>0</v>
      </c>
      <c r="Q47" s="975">
        <v>0</v>
      </c>
      <c r="R47" s="975">
        <v>20</v>
      </c>
      <c r="S47" s="975">
        <v>0</v>
      </c>
      <c r="T47" s="975">
        <v>0</v>
      </c>
      <c r="U47" s="975">
        <v>0</v>
      </c>
      <c r="V47" s="975">
        <v>0</v>
      </c>
      <c r="W47" s="975">
        <v>0</v>
      </c>
      <c r="X47" s="975">
        <v>20</v>
      </c>
      <c r="Y47" s="975">
        <v>0</v>
      </c>
      <c r="Z47" s="976">
        <v>0</v>
      </c>
    </row>
    <row r="48" spans="1:26" ht="14.95" customHeight="1" x14ac:dyDescent="0.25">
      <c r="A48" s="368">
        <v>10</v>
      </c>
      <c r="B48" s="971" t="s">
        <v>930</v>
      </c>
      <c r="C48" s="252"/>
      <c r="D48" s="1010" t="s">
        <v>375</v>
      </c>
      <c r="E48" s="1011">
        <v>191</v>
      </c>
      <c r="F48" s="980"/>
      <c r="G48" s="975">
        <v>0</v>
      </c>
      <c r="H48" s="975">
        <v>0</v>
      </c>
      <c r="I48" s="975">
        <v>0</v>
      </c>
      <c r="J48" s="975">
        <v>0</v>
      </c>
      <c r="K48" s="975">
        <v>0</v>
      </c>
      <c r="L48" s="975">
        <v>0</v>
      </c>
      <c r="M48" s="975">
        <v>0</v>
      </c>
      <c r="N48" s="975">
        <v>22</v>
      </c>
      <c r="O48" s="975">
        <v>0</v>
      </c>
      <c r="P48" s="975">
        <v>0</v>
      </c>
      <c r="Q48" s="975">
        <v>0</v>
      </c>
      <c r="R48" s="975">
        <v>0</v>
      </c>
      <c r="S48" s="975">
        <v>0</v>
      </c>
      <c r="T48" s="975">
        <v>0</v>
      </c>
      <c r="U48" s="975">
        <v>0</v>
      </c>
      <c r="V48" s="975">
        <v>22</v>
      </c>
      <c r="W48" s="975">
        <v>0</v>
      </c>
      <c r="X48" s="975">
        <v>0</v>
      </c>
      <c r="Y48" s="975">
        <v>0</v>
      </c>
      <c r="Z48" s="976">
        <v>0</v>
      </c>
    </row>
    <row r="49" spans="1:26" ht="14.95" customHeight="1" x14ac:dyDescent="0.25">
      <c r="A49" s="368">
        <v>11</v>
      </c>
      <c r="B49" s="971" t="s">
        <v>931</v>
      </c>
      <c r="C49" s="252"/>
      <c r="D49" s="1010" t="s">
        <v>375</v>
      </c>
      <c r="E49" s="1011">
        <v>191</v>
      </c>
      <c r="F49" s="980"/>
      <c r="G49" s="975">
        <v>0</v>
      </c>
      <c r="H49" s="975">
        <v>0</v>
      </c>
      <c r="I49" s="975">
        <v>0</v>
      </c>
      <c r="J49" s="975">
        <v>0</v>
      </c>
      <c r="K49" s="975">
        <v>0</v>
      </c>
      <c r="L49" s="975">
        <v>8</v>
      </c>
      <c r="M49" s="975">
        <v>0</v>
      </c>
      <c r="N49" s="975">
        <v>0</v>
      </c>
      <c r="O49" s="975">
        <v>0</v>
      </c>
      <c r="P49" s="975">
        <v>0</v>
      </c>
      <c r="Q49" s="975">
        <v>0</v>
      </c>
      <c r="R49" s="975">
        <v>8</v>
      </c>
      <c r="S49" s="975">
        <v>0</v>
      </c>
      <c r="T49" s="975">
        <v>0</v>
      </c>
      <c r="U49" s="975">
        <v>0</v>
      </c>
      <c r="V49" s="975">
        <v>0</v>
      </c>
      <c r="W49" s="975">
        <v>0</v>
      </c>
      <c r="X49" s="975">
        <v>8</v>
      </c>
      <c r="Y49" s="975">
        <v>0</v>
      </c>
      <c r="Z49" s="976">
        <v>0</v>
      </c>
    </row>
    <row r="50" spans="1:26" ht="14.95" customHeight="1" x14ac:dyDescent="0.25">
      <c r="A50" s="368">
        <v>12</v>
      </c>
      <c r="B50" s="1014" t="s">
        <v>932</v>
      </c>
      <c r="C50" s="252"/>
      <c r="D50" s="1010" t="s">
        <v>375</v>
      </c>
      <c r="E50" s="1011">
        <v>191</v>
      </c>
      <c r="F50" s="980"/>
      <c r="G50" s="1012">
        <v>0</v>
      </c>
      <c r="H50" s="1012">
        <v>0</v>
      </c>
      <c r="I50" s="1012">
        <v>8</v>
      </c>
      <c r="J50" s="1012">
        <v>0</v>
      </c>
      <c r="K50" s="1012">
        <v>0</v>
      </c>
      <c r="L50" s="1012">
        <v>8</v>
      </c>
      <c r="M50" s="1012">
        <v>0</v>
      </c>
      <c r="N50" s="1012">
        <v>0</v>
      </c>
      <c r="O50" s="1012">
        <v>8</v>
      </c>
      <c r="P50" s="1012">
        <v>0</v>
      </c>
      <c r="Q50" s="1012">
        <v>0</v>
      </c>
      <c r="R50" s="1012">
        <v>8</v>
      </c>
      <c r="S50" s="1012">
        <v>0</v>
      </c>
      <c r="T50" s="1012">
        <v>0</v>
      </c>
      <c r="U50" s="1012">
        <v>8</v>
      </c>
      <c r="V50" s="1012">
        <v>0</v>
      </c>
      <c r="W50" s="1012">
        <v>0</v>
      </c>
      <c r="X50" s="1012">
        <v>8</v>
      </c>
      <c r="Y50" s="1012">
        <v>0</v>
      </c>
      <c r="Z50" s="1013">
        <v>0</v>
      </c>
    </row>
    <row r="51" spans="1:26" ht="14.95" customHeight="1" x14ac:dyDescent="0.25">
      <c r="A51" s="368">
        <v>13</v>
      </c>
      <c r="B51" s="1014" t="s">
        <v>933</v>
      </c>
      <c r="C51" s="252"/>
      <c r="D51" s="1010" t="s">
        <v>375</v>
      </c>
      <c r="E51" s="1011">
        <v>191</v>
      </c>
      <c r="F51" s="980"/>
      <c r="G51" s="1012">
        <v>0</v>
      </c>
      <c r="H51" s="1012">
        <v>0</v>
      </c>
      <c r="I51" s="1012">
        <v>8</v>
      </c>
      <c r="J51" s="1012">
        <v>0</v>
      </c>
      <c r="K51" s="1012">
        <v>0</v>
      </c>
      <c r="L51" s="1012">
        <v>8</v>
      </c>
      <c r="M51" s="1012">
        <v>0</v>
      </c>
      <c r="N51" s="1012">
        <v>0</v>
      </c>
      <c r="O51" s="1012">
        <v>8</v>
      </c>
      <c r="P51" s="1012">
        <v>0</v>
      </c>
      <c r="Q51" s="1012">
        <v>0</v>
      </c>
      <c r="R51" s="1012">
        <v>8</v>
      </c>
      <c r="S51" s="1012">
        <v>0</v>
      </c>
      <c r="T51" s="1012">
        <v>0</v>
      </c>
      <c r="U51" s="1012">
        <v>8</v>
      </c>
      <c r="V51" s="1012">
        <v>0</v>
      </c>
      <c r="W51" s="1012">
        <v>0</v>
      </c>
      <c r="X51" s="1012">
        <v>8</v>
      </c>
      <c r="Y51" s="1012">
        <v>0</v>
      </c>
      <c r="Z51" s="1013">
        <v>0</v>
      </c>
    </row>
    <row r="52" spans="1:26" ht="14.95" customHeight="1" x14ac:dyDescent="0.25">
      <c r="A52" s="368">
        <v>14</v>
      </c>
      <c r="B52" s="1014" t="s">
        <v>384</v>
      </c>
      <c r="C52" s="252"/>
      <c r="D52" s="1010" t="s">
        <v>375</v>
      </c>
      <c r="E52" s="1011">
        <v>191</v>
      </c>
      <c r="F52" s="980"/>
      <c r="G52" s="1012">
        <v>0</v>
      </c>
      <c r="H52" s="1012">
        <v>0</v>
      </c>
      <c r="I52" s="1012">
        <v>0</v>
      </c>
      <c r="J52" s="1012">
        <v>0</v>
      </c>
      <c r="K52" s="1012">
        <v>24</v>
      </c>
      <c r="L52" s="1012">
        <v>0</v>
      </c>
      <c r="M52" s="1012">
        <v>0</v>
      </c>
      <c r="N52" s="1012">
        <v>0</v>
      </c>
      <c r="O52" s="1012">
        <v>24</v>
      </c>
      <c r="P52" s="1012">
        <v>0</v>
      </c>
      <c r="Q52" s="1012">
        <v>0</v>
      </c>
      <c r="R52" s="1012">
        <v>0</v>
      </c>
      <c r="S52" s="1012">
        <v>24</v>
      </c>
      <c r="T52" s="1012">
        <v>0</v>
      </c>
      <c r="U52" s="1012">
        <v>0</v>
      </c>
      <c r="V52" s="1012">
        <v>0</v>
      </c>
      <c r="W52" s="1012">
        <v>24</v>
      </c>
      <c r="X52" s="1012">
        <v>0</v>
      </c>
      <c r="Y52" s="1012">
        <v>0</v>
      </c>
      <c r="Z52" s="1012">
        <v>0</v>
      </c>
    </row>
    <row r="53" spans="1:26" ht="14.95" customHeight="1" x14ac:dyDescent="0.25">
      <c r="A53" s="368">
        <v>15</v>
      </c>
      <c r="B53" s="1014" t="s">
        <v>934</v>
      </c>
      <c r="C53" s="252"/>
      <c r="D53" s="1010" t="s">
        <v>375</v>
      </c>
      <c r="E53" s="1011">
        <v>191</v>
      </c>
      <c r="F53" s="980"/>
      <c r="G53" s="1012">
        <v>0</v>
      </c>
      <c r="H53" s="1012">
        <v>0</v>
      </c>
      <c r="I53" s="1012">
        <v>10</v>
      </c>
      <c r="J53" s="1012">
        <v>0</v>
      </c>
      <c r="K53" s="1012">
        <v>0</v>
      </c>
      <c r="L53" s="1012">
        <v>10</v>
      </c>
      <c r="M53" s="1012">
        <v>0</v>
      </c>
      <c r="N53" s="1012">
        <v>0</v>
      </c>
      <c r="O53" s="1012">
        <v>10</v>
      </c>
      <c r="P53" s="1012">
        <v>0</v>
      </c>
      <c r="Q53" s="1012">
        <v>0</v>
      </c>
      <c r="R53" s="1012">
        <v>10</v>
      </c>
      <c r="S53" s="1012">
        <v>0</v>
      </c>
      <c r="T53" s="1012">
        <v>0</v>
      </c>
      <c r="U53" s="1012">
        <v>10</v>
      </c>
      <c r="V53" s="1012">
        <v>0</v>
      </c>
      <c r="W53" s="1012">
        <v>0</v>
      </c>
      <c r="X53" s="1012">
        <v>10</v>
      </c>
      <c r="Y53" s="1012">
        <v>0</v>
      </c>
      <c r="Z53" s="1013">
        <v>0</v>
      </c>
    </row>
    <row r="54" spans="1:26" ht="14.95" customHeight="1" x14ac:dyDescent="0.25">
      <c r="A54" s="368">
        <v>16</v>
      </c>
      <c r="B54" s="1014" t="s">
        <v>935</v>
      </c>
      <c r="C54" s="252"/>
      <c r="D54" s="1010" t="s">
        <v>375</v>
      </c>
      <c r="E54" s="1011">
        <v>191</v>
      </c>
      <c r="F54" s="980"/>
      <c r="G54" s="1012">
        <v>0</v>
      </c>
      <c r="H54" s="1012">
        <v>0</v>
      </c>
      <c r="I54" s="1012">
        <v>12</v>
      </c>
      <c r="J54" s="1012">
        <v>0</v>
      </c>
      <c r="K54" s="1012">
        <v>0</v>
      </c>
      <c r="L54" s="1012">
        <v>12</v>
      </c>
      <c r="M54" s="1012">
        <v>0</v>
      </c>
      <c r="N54" s="1012">
        <v>0</v>
      </c>
      <c r="O54" s="1012">
        <v>12</v>
      </c>
      <c r="P54" s="1012">
        <v>0</v>
      </c>
      <c r="Q54" s="1012">
        <v>0</v>
      </c>
      <c r="R54" s="1012">
        <v>12</v>
      </c>
      <c r="S54" s="1012">
        <v>0</v>
      </c>
      <c r="T54" s="1012">
        <v>0</v>
      </c>
      <c r="U54" s="1012">
        <v>12</v>
      </c>
      <c r="V54" s="1012">
        <v>0</v>
      </c>
      <c r="W54" s="1012">
        <v>0</v>
      </c>
      <c r="X54" s="1012">
        <v>12</v>
      </c>
      <c r="Y54" s="1012">
        <v>0</v>
      </c>
      <c r="Z54" s="1013">
        <v>0</v>
      </c>
    </row>
    <row r="55" spans="1:26" ht="14.95" customHeight="1" x14ac:dyDescent="0.25">
      <c r="A55" s="368">
        <v>17</v>
      </c>
      <c r="B55" s="1014" t="s">
        <v>936</v>
      </c>
      <c r="C55" s="252"/>
      <c r="D55" s="1010" t="s">
        <v>375</v>
      </c>
      <c r="E55" s="1011">
        <v>191</v>
      </c>
      <c r="F55" s="980"/>
      <c r="G55" s="1012">
        <v>0</v>
      </c>
      <c r="H55" s="1012">
        <v>0</v>
      </c>
      <c r="I55" s="1012">
        <v>8</v>
      </c>
      <c r="J55" s="1012">
        <v>0</v>
      </c>
      <c r="K55" s="1012">
        <v>0</v>
      </c>
      <c r="L55" s="1012">
        <v>8</v>
      </c>
      <c r="M55" s="1012">
        <v>0</v>
      </c>
      <c r="N55" s="1012">
        <v>0</v>
      </c>
      <c r="O55" s="1012">
        <v>8</v>
      </c>
      <c r="P55" s="1012">
        <v>0</v>
      </c>
      <c r="Q55" s="1012">
        <v>0</v>
      </c>
      <c r="R55" s="1012">
        <v>8</v>
      </c>
      <c r="S55" s="1012">
        <v>0</v>
      </c>
      <c r="T55" s="1012">
        <v>0</v>
      </c>
      <c r="U55" s="1012">
        <v>8</v>
      </c>
      <c r="V55" s="1012">
        <v>0</v>
      </c>
      <c r="W55" s="1012">
        <v>0</v>
      </c>
      <c r="X55" s="1012">
        <v>8</v>
      </c>
      <c r="Y55" s="1012">
        <v>0</v>
      </c>
      <c r="Z55" s="1013">
        <v>0</v>
      </c>
    </row>
    <row r="56" spans="1:26" ht="14.95" customHeight="1" x14ac:dyDescent="0.25">
      <c r="A56" s="368">
        <v>18</v>
      </c>
      <c r="B56" s="971" t="s">
        <v>937</v>
      </c>
      <c r="C56" s="252"/>
      <c r="D56" s="1010" t="s">
        <v>375</v>
      </c>
      <c r="E56" s="1011">
        <v>191</v>
      </c>
      <c r="F56" s="980"/>
      <c r="G56" s="1012">
        <v>0</v>
      </c>
      <c r="H56" s="1012">
        <v>0</v>
      </c>
      <c r="I56" s="1012">
        <v>0</v>
      </c>
      <c r="J56" s="1012">
        <v>20</v>
      </c>
      <c r="K56" s="1012">
        <v>0</v>
      </c>
      <c r="L56" s="1012">
        <v>0</v>
      </c>
      <c r="M56" s="1012">
        <v>20</v>
      </c>
      <c r="N56" s="1012">
        <v>0</v>
      </c>
      <c r="O56" s="1012">
        <v>0</v>
      </c>
      <c r="P56" s="1012">
        <v>20</v>
      </c>
      <c r="Q56" s="1012">
        <v>0</v>
      </c>
      <c r="R56" s="1012">
        <v>0</v>
      </c>
      <c r="S56" s="1012">
        <v>20</v>
      </c>
      <c r="T56" s="1012">
        <v>0</v>
      </c>
      <c r="U56" s="1012">
        <v>0</v>
      </c>
      <c r="V56" s="1012">
        <v>20</v>
      </c>
      <c r="W56" s="1012">
        <v>0</v>
      </c>
      <c r="X56" s="1012">
        <v>0</v>
      </c>
      <c r="Y56" s="1012">
        <v>20</v>
      </c>
      <c r="Z56" s="1013">
        <v>0</v>
      </c>
    </row>
    <row r="57" spans="1:26" ht="14.95" customHeight="1" x14ac:dyDescent="0.25">
      <c r="A57" s="368">
        <v>19</v>
      </c>
      <c r="B57" s="971" t="s">
        <v>938</v>
      </c>
      <c r="C57" s="252"/>
      <c r="D57" s="1010" t="s">
        <v>375</v>
      </c>
      <c r="E57" s="1011">
        <v>191</v>
      </c>
      <c r="F57" s="980"/>
      <c r="G57" s="1012">
        <v>0</v>
      </c>
      <c r="H57" s="1012">
        <v>0</v>
      </c>
      <c r="I57" s="1012">
        <v>0</v>
      </c>
      <c r="J57" s="1012">
        <v>16</v>
      </c>
      <c r="K57" s="1012">
        <v>0</v>
      </c>
      <c r="L57" s="1012">
        <v>0</v>
      </c>
      <c r="M57" s="1012">
        <v>16</v>
      </c>
      <c r="N57" s="1012">
        <v>0</v>
      </c>
      <c r="O57" s="1012">
        <v>0</v>
      </c>
      <c r="P57" s="1012">
        <v>16</v>
      </c>
      <c r="Q57" s="1012">
        <v>0</v>
      </c>
      <c r="R57" s="1012">
        <v>0</v>
      </c>
      <c r="S57" s="1012">
        <v>16</v>
      </c>
      <c r="T57" s="1012">
        <v>0</v>
      </c>
      <c r="U57" s="1012">
        <v>0</v>
      </c>
      <c r="V57" s="1012">
        <v>16</v>
      </c>
      <c r="W57" s="1012">
        <v>0</v>
      </c>
      <c r="X57" s="1012">
        <v>0</v>
      </c>
      <c r="Y57" s="1012">
        <v>16</v>
      </c>
      <c r="Z57" s="1013">
        <v>0</v>
      </c>
    </row>
    <row r="58" spans="1:26" ht="14.95" customHeight="1" thickBot="1" x14ac:dyDescent="0.3">
      <c r="A58" s="368">
        <v>20</v>
      </c>
      <c r="B58" s="982" t="s">
        <v>939</v>
      </c>
      <c r="C58" s="1016"/>
      <c r="D58" s="1017" t="s">
        <v>375</v>
      </c>
      <c r="E58" s="1018">
        <v>191</v>
      </c>
      <c r="F58" s="986"/>
      <c r="G58" s="987">
        <f>G34*2</f>
        <v>218</v>
      </c>
      <c r="H58" s="987">
        <f t="shared" ref="H58:Z58" si="18">H34*2</f>
        <v>214</v>
      </c>
      <c r="I58" s="987">
        <f t="shared" si="18"/>
        <v>308</v>
      </c>
      <c r="J58" s="987">
        <f t="shared" si="18"/>
        <v>452</v>
      </c>
      <c r="K58" s="987">
        <f t="shared" si="18"/>
        <v>226</v>
      </c>
      <c r="L58" s="987">
        <f t="shared" si="18"/>
        <v>272</v>
      </c>
      <c r="M58" s="987">
        <f t="shared" si="18"/>
        <v>246</v>
      </c>
      <c r="N58" s="987">
        <f t="shared" si="18"/>
        <v>416</v>
      </c>
      <c r="O58" s="987">
        <f t="shared" si="18"/>
        <v>308</v>
      </c>
      <c r="P58" s="987">
        <f t="shared" si="18"/>
        <v>282</v>
      </c>
      <c r="Q58" s="987">
        <f t="shared" si="18"/>
        <v>356</v>
      </c>
      <c r="R58" s="987">
        <f t="shared" si="18"/>
        <v>348</v>
      </c>
      <c r="S58" s="987">
        <f t="shared" si="18"/>
        <v>246</v>
      </c>
      <c r="T58" s="987">
        <f t="shared" si="18"/>
        <v>198</v>
      </c>
      <c r="U58" s="987">
        <f t="shared" si="18"/>
        <v>502</v>
      </c>
      <c r="V58" s="987">
        <f t="shared" si="18"/>
        <v>326</v>
      </c>
      <c r="W58" s="987">
        <f t="shared" si="18"/>
        <v>178</v>
      </c>
      <c r="X58" s="987">
        <f t="shared" si="18"/>
        <v>430</v>
      </c>
      <c r="Y58" s="987">
        <f t="shared" si="18"/>
        <v>246</v>
      </c>
      <c r="Z58" s="988">
        <f t="shared" si="18"/>
        <v>310</v>
      </c>
    </row>
    <row r="59" spans="1:26" ht="16.5" customHeight="1" x14ac:dyDescent="0.25"/>
    <row r="60" spans="1:26" ht="14.95" thickBot="1" x14ac:dyDescent="0.3">
      <c r="B60" s="401" t="s">
        <v>940</v>
      </c>
      <c r="C60" s="930"/>
      <c r="D60" s="891"/>
      <c r="E60" s="891"/>
      <c r="F60" s="891"/>
      <c r="G60" s="1020"/>
      <c r="H60" s="891"/>
      <c r="I60" s="891"/>
      <c r="J60" s="891"/>
      <c r="K60" s="891"/>
      <c r="L60" s="891"/>
      <c r="M60" s="891"/>
      <c r="N60" s="891"/>
      <c r="O60" s="891"/>
      <c r="P60" s="891"/>
      <c r="Q60" s="891"/>
      <c r="R60" s="891"/>
      <c r="S60" s="892"/>
      <c r="T60" s="892"/>
      <c r="U60" s="892"/>
      <c r="V60" s="892"/>
      <c r="W60" s="892"/>
      <c r="X60" s="892"/>
      <c r="Y60" s="892"/>
      <c r="Z60" s="892"/>
    </row>
    <row r="61" spans="1:26" s="1024" customFormat="1" ht="41.95" customHeight="1" thickBot="1" x14ac:dyDescent="0.3">
      <c r="A61" s="368"/>
      <c r="B61" s="931" t="s">
        <v>921</v>
      </c>
      <c r="C61" s="960"/>
      <c r="D61" s="1021" t="s">
        <v>941</v>
      </c>
      <c r="E61" s="1021" t="s">
        <v>392</v>
      </c>
      <c r="F61" s="1021" t="s">
        <v>393</v>
      </c>
      <c r="G61" s="1022">
        <f t="shared" ref="G61:Z61" si="19">SUM(G62:G81)</f>
        <v>0</v>
      </c>
      <c r="H61" s="1022">
        <f t="shared" si="19"/>
        <v>151610.4</v>
      </c>
      <c r="I61" s="1022">
        <f t="shared" si="19"/>
        <v>3293540.7700000005</v>
      </c>
      <c r="J61" s="1022">
        <f t="shared" si="19"/>
        <v>1329650.6000000001</v>
      </c>
      <c r="K61" s="1022">
        <f t="shared" si="19"/>
        <v>207444.13999999998</v>
      </c>
      <c r="L61" s="1022">
        <f t="shared" si="19"/>
        <v>3259166.99</v>
      </c>
      <c r="M61" s="1022">
        <f t="shared" si="19"/>
        <v>47961.74</v>
      </c>
      <c r="N61" s="1022">
        <f t="shared" si="19"/>
        <v>1481261</v>
      </c>
      <c r="O61" s="1022">
        <f t="shared" si="19"/>
        <v>6533291.8700000001</v>
      </c>
      <c r="P61" s="1022">
        <f t="shared" si="19"/>
        <v>44023</v>
      </c>
      <c r="Q61" s="1022">
        <f t="shared" si="19"/>
        <v>14777315.299999999</v>
      </c>
      <c r="R61" s="1022">
        <f t="shared" si="19"/>
        <v>3259166.99</v>
      </c>
      <c r="S61" s="1022">
        <f t="shared" si="19"/>
        <v>99856.739999999991</v>
      </c>
      <c r="T61" s="1022">
        <f t="shared" si="19"/>
        <v>107587.4</v>
      </c>
      <c r="U61" s="1022">
        <f t="shared" si="19"/>
        <v>4575229.63</v>
      </c>
      <c r="V61" s="1022">
        <f t="shared" si="19"/>
        <v>96182.94</v>
      </c>
      <c r="W61" s="1022">
        <f t="shared" si="19"/>
        <v>107587.4</v>
      </c>
      <c r="X61" s="1022">
        <f t="shared" si="19"/>
        <v>7876530.4299999997</v>
      </c>
      <c r="Y61" s="1022">
        <f t="shared" si="19"/>
        <v>44023</v>
      </c>
      <c r="Z61" s="1023">
        <f t="shared" si="19"/>
        <v>237352.27000000002</v>
      </c>
    </row>
    <row r="62" spans="1:26" x14ac:dyDescent="0.25">
      <c r="A62" s="368">
        <v>1</v>
      </c>
      <c r="B62" s="1025" t="s">
        <v>395</v>
      </c>
      <c r="C62" s="1026"/>
      <c r="D62" s="1027"/>
      <c r="E62" s="1028"/>
      <c r="F62" s="1028"/>
      <c r="G62" s="1028"/>
      <c r="H62" s="1028"/>
      <c r="I62" s="1028"/>
      <c r="J62" s="1028"/>
      <c r="K62" s="1028"/>
      <c r="L62" s="1028"/>
      <c r="M62" s="1028"/>
      <c r="N62" s="1028"/>
      <c r="O62" s="1028"/>
      <c r="P62" s="1028"/>
      <c r="Q62" s="1028"/>
      <c r="R62" s="1028"/>
      <c r="S62" s="1029"/>
      <c r="T62" s="1029"/>
      <c r="U62" s="1029"/>
      <c r="V62" s="1029"/>
      <c r="W62" s="1029"/>
      <c r="X62" s="1029"/>
      <c r="Y62" s="1029"/>
      <c r="Z62" s="1030"/>
    </row>
    <row r="63" spans="1:26" x14ac:dyDescent="0.25">
      <c r="A63" s="368">
        <v>2</v>
      </c>
      <c r="B63" s="909" t="s">
        <v>596</v>
      </c>
      <c r="C63" s="1031"/>
      <c r="D63" s="1032">
        <v>2327660.9</v>
      </c>
      <c r="E63" s="913">
        <v>20000</v>
      </c>
      <c r="F63" s="912">
        <v>1</v>
      </c>
      <c r="G63" s="1033">
        <v>0</v>
      </c>
      <c r="H63" s="1033">
        <v>0</v>
      </c>
      <c r="I63" s="1033">
        <f>$D63*$F63</f>
        <v>2327660.9</v>
      </c>
      <c r="J63" s="1033">
        <v>0</v>
      </c>
      <c r="K63" s="1033">
        <v>0</v>
      </c>
      <c r="L63" s="1033">
        <f>$D63*$F63</f>
        <v>2327660.9</v>
      </c>
      <c r="M63" s="1033">
        <v>0</v>
      </c>
      <c r="N63" s="1033">
        <v>0</v>
      </c>
      <c r="O63" s="1033">
        <v>5559540</v>
      </c>
      <c r="P63" s="1033">
        <v>0</v>
      </c>
      <c r="Q63" s="1033">
        <v>0</v>
      </c>
      <c r="R63" s="1033">
        <f>$D63*$F63</f>
        <v>2327660.9</v>
      </c>
      <c r="S63" s="1033">
        <v>0</v>
      </c>
      <c r="T63" s="1033">
        <v>0</v>
      </c>
      <c r="U63" s="1033">
        <f>$D63*$F63</f>
        <v>2327660.9</v>
      </c>
      <c r="V63" s="1033">
        <v>0</v>
      </c>
      <c r="W63" s="1033">
        <v>0</v>
      </c>
      <c r="X63" s="1033">
        <v>5559540</v>
      </c>
      <c r="Y63" s="1033">
        <v>0</v>
      </c>
      <c r="Z63" s="1034">
        <v>0</v>
      </c>
    </row>
    <row r="64" spans="1:26" x14ac:dyDescent="0.25">
      <c r="A64" s="368">
        <v>3</v>
      </c>
      <c r="B64" s="909" t="s">
        <v>597</v>
      </c>
      <c r="C64" s="1031"/>
      <c r="D64" s="1032">
        <v>107587.4</v>
      </c>
      <c r="E64" s="913">
        <v>14000</v>
      </c>
      <c r="F64" s="912">
        <v>4</v>
      </c>
      <c r="G64" s="1033">
        <v>0</v>
      </c>
      <c r="H64" s="1035">
        <v>107587.4</v>
      </c>
      <c r="I64" s="1033">
        <v>0</v>
      </c>
      <c r="J64" s="1033">
        <v>0</v>
      </c>
      <c r="K64" s="1035">
        <v>107587.4</v>
      </c>
      <c r="L64" s="1033">
        <v>0</v>
      </c>
      <c r="M64" s="1033">
        <v>0</v>
      </c>
      <c r="N64" s="1035">
        <v>107587.4</v>
      </c>
      <c r="O64" s="1033">
        <v>0</v>
      </c>
      <c r="P64" s="1033">
        <v>0</v>
      </c>
      <c r="Q64" s="1035">
        <v>107587.4</v>
      </c>
      <c r="R64" s="1033">
        <v>0</v>
      </c>
      <c r="S64" s="1033">
        <v>0</v>
      </c>
      <c r="T64" s="1035">
        <v>107587.4</v>
      </c>
      <c r="U64" s="1033">
        <v>0</v>
      </c>
      <c r="V64" s="1033">
        <v>0</v>
      </c>
      <c r="W64" s="1035">
        <v>107587.4</v>
      </c>
      <c r="X64" s="1033">
        <v>0</v>
      </c>
      <c r="Y64" s="1033">
        <v>0</v>
      </c>
      <c r="Z64" s="1036">
        <v>107587.4</v>
      </c>
    </row>
    <row r="65" spans="1:26" x14ac:dyDescent="0.25">
      <c r="A65" s="368">
        <v>4</v>
      </c>
      <c r="B65" s="909" t="s">
        <v>923</v>
      </c>
      <c r="C65" s="1031"/>
      <c r="D65" s="1032">
        <v>34579.089999999997</v>
      </c>
      <c r="E65" s="913">
        <v>20000</v>
      </c>
      <c r="F65" s="912">
        <v>16</v>
      </c>
      <c r="G65" s="1033">
        <v>0</v>
      </c>
      <c r="H65" s="1033">
        <v>0</v>
      </c>
      <c r="I65" s="1035">
        <v>34579.089999999997</v>
      </c>
      <c r="J65" s="1033">
        <v>0</v>
      </c>
      <c r="K65" s="1033">
        <v>0</v>
      </c>
      <c r="L65" s="1035">
        <v>34579.089999999997</v>
      </c>
      <c r="M65" s="1033">
        <v>0</v>
      </c>
      <c r="N65" s="1033">
        <v>0</v>
      </c>
      <c r="O65" s="1035">
        <v>34579.089999999997</v>
      </c>
      <c r="P65" s="1033">
        <v>0</v>
      </c>
      <c r="Q65" s="1033">
        <v>0</v>
      </c>
      <c r="R65" s="1035">
        <v>34579.089999999997</v>
      </c>
      <c r="S65" s="1033">
        <v>0</v>
      </c>
      <c r="T65" s="1033">
        <v>0</v>
      </c>
      <c r="U65" s="1035">
        <v>34579.089999999997</v>
      </c>
      <c r="V65" s="1033">
        <v>0</v>
      </c>
      <c r="W65" s="1033">
        <v>0</v>
      </c>
      <c r="X65" s="1035">
        <v>34579.089999999997</v>
      </c>
      <c r="Y65" s="1033">
        <v>0</v>
      </c>
      <c r="Z65" s="1033">
        <v>0</v>
      </c>
    </row>
    <row r="66" spans="1:26" x14ac:dyDescent="0.25">
      <c r="A66" s="368">
        <v>5</v>
      </c>
      <c r="B66" s="909" t="s">
        <v>924</v>
      </c>
      <c r="C66" s="1031"/>
      <c r="D66" s="1032">
        <v>9439.2900000000009</v>
      </c>
      <c r="E66" s="913">
        <v>20000</v>
      </c>
      <c r="F66" s="912">
        <v>1</v>
      </c>
      <c r="G66" s="1033">
        <v>0</v>
      </c>
      <c r="H66" s="1033">
        <v>0</v>
      </c>
      <c r="I66" s="1035">
        <v>9439.2900000000009</v>
      </c>
      <c r="J66" s="1033">
        <v>0</v>
      </c>
      <c r="K66" s="1033">
        <v>0</v>
      </c>
      <c r="L66" s="1035">
        <v>9439.2900000000009</v>
      </c>
      <c r="M66" s="1033">
        <v>0</v>
      </c>
      <c r="N66" s="1033">
        <v>0</v>
      </c>
      <c r="O66" s="1035">
        <v>9439.2900000000009</v>
      </c>
      <c r="P66" s="1033">
        <v>0</v>
      </c>
      <c r="Q66" s="1033">
        <v>0</v>
      </c>
      <c r="R66" s="1035">
        <v>9439.2900000000009</v>
      </c>
      <c r="S66" s="1033">
        <v>0</v>
      </c>
      <c r="T66" s="1033">
        <v>0</v>
      </c>
      <c r="U66" s="1035">
        <v>9439.2900000000009</v>
      </c>
      <c r="V66" s="1033">
        <v>0</v>
      </c>
      <c r="W66" s="1033">
        <v>0</v>
      </c>
      <c r="X66" s="1035">
        <v>9439.2900000000009</v>
      </c>
      <c r="Y66" s="1033">
        <v>0</v>
      </c>
      <c r="Z66" s="1033">
        <v>0</v>
      </c>
    </row>
    <row r="67" spans="1:26" x14ac:dyDescent="0.25">
      <c r="A67" s="368">
        <v>6</v>
      </c>
      <c r="B67" s="909" t="s">
        <v>925</v>
      </c>
      <c r="C67" s="1031"/>
      <c r="D67" s="1032">
        <v>33592.959999999999</v>
      </c>
      <c r="E67" s="913">
        <v>25000</v>
      </c>
      <c r="F67" s="912">
        <v>1</v>
      </c>
      <c r="G67" s="1033">
        <v>0</v>
      </c>
      <c r="H67" s="1033">
        <v>0</v>
      </c>
      <c r="I67" s="1033">
        <v>0</v>
      </c>
      <c r="J67" s="913">
        <v>33592.959999999999</v>
      </c>
      <c r="K67" s="1033">
        <v>0</v>
      </c>
      <c r="L67" s="1033">
        <v>0</v>
      </c>
      <c r="M67" s="1033">
        <v>0</v>
      </c>
      <c r="N67" s="913">
        <v>33592.959999999999</v>
      </c>
      <c r="O67" s="1033">
        <v>0</v>
      </c>
      <c r="P67" s="1033">
        <v>0</v>
      </c>
      <c r="Q67" s="1035">
        <v>2676370.06</v>
      </c>
      <c r="R67" s="1033">
        <v>0</v>
      </c>
      <c r="S67" s="1033">
        <v>0</v>
      </c>
      <c r="T67" s="1033">
        <v>0</v>
      </c>
      <c r="U67" s="913">
        <v>33592.959999999999</v>
      </c>
      <c r="V67" s="1033">
        <v>0</v>
      </c>
      <c r="W67" s="1033">
        <v>0</v>
      </c>
      <c r="X67" s="913">
        <v>33592.959999999999</v>
      </c>
      <c r="Y67" s="1033">
        <v>0</v>
      </c>
      <c r="Z67" s="1033">
        <v>0</v>
      </c>
    </row>
    <row r="68" spans="1:26" x14ac:dyDescent="0.25">
      <c r="A68" s="368">
        <v>7</v>
      </c>
      <c r="B68" s="909" t="s">
        <v>377</v>
      </c>
      <c r="C68" s="1031"/>
      <c r="D68" s="1032">
        <v>542755.97</v>
      </c>
      <c r="E68" s="913">
        <v>25000</v>
      </c>
      <c r="F68" s="912">
        <v>2</v>
      </c>
      <c r="G68" s="1033">
        <v>0</v>
      </c>
      <c r="H68" s="1033">
        <v>0</v>
      </c>
      <c r="I68" s="1033">
        <v>0</v>
      </c>
      <c r="J68" s="913">
        <v>1085511.94</v>
      </c>
      <c r="K68" s="1033">
        <v>0</v>
      </c>
      <c r="L68" s="1033">
        <v>0</v>
      </c>
      <c r="M68" s="1033">
        <v>0</v>
      </c>
      <c r="N68" s="913">
        <v>1085511.94</v>
      </c>
      <c r="O68" s="1033">
        <v>0</v>
      </c>
      <c r="P68" s="1033">
        <v>0</v>
      </c>
      <c r="Q68" s="1035">
        <f>5867425.2*2</f>
        <v>11734850.4</v>
      </c>
      <c r="R68" s="1033">
        <v>0</v>
      </c>
      <c r="S68" s="1033">
        <v>0</v>
      </c>
      <c r="T68" s="1033">
        <v>0</v>
      </c>
      <c r="U68" s="913">
        <v>1085511.94</v>
      </c>
      <c r="V68" s="1033">
        <v>0</v>
      </c>
      <c r="W68" s="1033">
        <v>0</v>
      </c>
      <c r="X68" s="913">
        <v>1085511.94</v>
      </c>
      <c r="Y68" s="1033">
        <v>0</v>
      </c>
      <c r="Z68" s="1033">
        <v>0</v>
      </c>
    </row>
    <row r="69" spans="1:26" x14ac:dyDescent="0.25">
      <c r="A69" s="368">
        <v>8</v>
      </c>
      <c r="B69" s="909" t="s">
        <v>926</v>
      </c>
      <c r="C69" s="1031"/>
      <c r="D69" s="1032">
        <v>128694.84000000001</v>
      </c>
      <c r="E69" s="913">
        <v>25000</v>
      </c>
      <c r="F69" s="912">
        <v>1</v>
      </c>
      <c r="G69" s="1033">
        <v>0</v>
      </c>
      <c r="H69" s="1033">
        <v>0</v>
      </c>
      <c r="I69" s="1033">
        <v>0</v>
      </c>
      <c r="J69" s="913">
        <v>128694.84000000001</v>
      </c>
      <c r="K69" s="1033">
        <v>0</v>
      </c>
      <c r="L69" s="1033">
        <v>0</v>
      </c>
      <c r="M69" s="1033">
        <v>0</v>
      </c>
      <c r="N69" s="913">
        <v>128694.84000000001</v>
      </c>
      <c r="O69" s="1033">
        <v>0</v>
      </c>
      <c r="P69" s="1033">
        <v>0</v>
      </c>
      <c r="Q69" s="913">
        <v>128694.84000000001</v>
      </c>
      <c r="R69" s="1033">
        <v>0</v>
      </c>
      <c r="S69" s="1033">
        <v>0</v>
      </c>
      <c r="T69" s="1033">
        <v>0</v>
      </c>
      <c r="U69" s="913">
        <v>128694.84000000001</v>
      </c>
      <c r="V69" s="1033">
        <v>0</v>
      </c>
      <c r="W69" s="1033">
        <v>0</v>
      </c>
      <c r="X69" s="913">
        <v>128694.84000000001</v>
      </c>
      <c r="Y69" s="1033">
        <v>0</v>
      </c>
      <c r="Z69" s="1033">
        <v>0</v>
      </c>
    </row>
    <row r="70" spans="1:26" x14ac:dyDescent="0.25">
      <c r="A70" s="368">
        <v>9</v>
      </c>
      <c r="B70" s="909" t="s">
        <v>929</v>
      </c>
      <c r="C70" s="1031"/>
      <c r="D70" s="1032">
        <v>36095.040000000001</v>
      </c>
      <c r="E70" s="913">
        <v>20000</v>
      </c>
      <c r="F70" s="912">
        <v>4</v>
      </c>
      <c r="G70" s="1033">
        <v>0</v>
      </c>
      <c r="H70" s="1033">
        <v>0</v>
      </c>
      <c r="I70" s="1035">
        <f>36095.04+H70</f>
        <v>36095.040000000001</v>
      </c>
      <c r="J70" s="1033">
        <v>0</v>
      </c>
      <c r="K70" s="1033">
        <v>0</v>
      </c>
      <c r="L70" s="1033">
        <v>49683</v>
      </c>
      <c r="M70" s="1033">
        <v>0</v>
      </c>
      <c r="N70" s="1033">
        <v>0</v>
      </c>
      <c r="O70" s="1035">
        <f t="shared" ref="O70" si="20">36095.04+N70</f>
        <v>36095.040000000001</v>
      </c>
      <c r="P70" s="1033">
        <v>0</v>
      </c>
      <c r="Q70" s="1033">
        <v>0</v>
      </c>
      <c r="R70" s="1033">
        <v>49683</v>
      </c>
      <c r="S70" s="1033">
        <v>0</v>
      </c>
      <c r="T70" s="1033">
        <v>0</v>
      </c>
      <c r="U70" s="1035">
        <f t="shared" ref="U70" si="21">36095.04+T70</f>
        <v>36095.040000000001</v>
      </c>
      <c r="V70" s="1033">
        <v>0</v>
      </c>
      <c r="W70" s="1033">
        <v>0</v>
      </c>
      <c r="X70" s="1033">
        <v>49683</v>
      </c>
      <c r="Y70" s="1033">
        <v>0</v>
      </c>
      <c r="Z70" s="1033">
        <v>0</v>
      </c>
    </row>
    <row r="71" spans="1:26" x14ac:dyDescent="0.25">
      <c r="A71" s="368">
        <v>10</v>
      </c>
      <c r="B71" s="909" t="s">
        <v>930</v>
      </c>
      <c r="C71" s="1031"/>
      <c r="D71" s="1032">
        <v>33889.120000000003</v>
      </c>
      <c r="E71" s="913">
        <v>25000</v>
      </c>
      <c r="F71" s="912">
        <v>2</v>
      </c>
      <c r="G71" s="1033">
        <v>0</v>
      </c>
      <c r="H71" s="1033">
        <v>0</v>
      </c>
      <c r="I71" s="1033">
        <v>0</v>
      </c>
      <c r="J71" s="1035">
        <v>33889.120000000003</v>
      </c>
      <c r="K71" s="1033">
        <v>0</v>
      </c>
      <c r="L71" s="1033">
        <v>0</v>
      </c>
      <c r="M71" s="1033">
        <v>0</v>
      </c>
      <c r="N71" s="1035">
        <v>33889.120000000003</v>
      </c>
      <c r="O71" s="1033">
        <v>0</v>
      </c>
      <c r="P71" s="1033">
        <v>0</v>
      </c>
      <c r="Q71" s="1035">
        <v>33889.120000000003</v>
      </c>
      <c r="R71" s="1033">
        <v>0</v>
      </c>
      <c r="S71" s="1033">
        <v>0</v>
      </c>
      <c r="T71" s="1033">
        <v>0</v>
      </c>
      <c r="U71" s="1035">
        <v>33889.120000000003</v>
      </c>
      <c r="V71" s="1033">
        <v>0</v>
      </c>
      <c r="W71" s="1033">
        <v>0</v>
      </c>
      <c r="X71" s="1035">
        <v>33889.120000000003</v>
      </c>
      <c r="Y71" s="1033">
        <v>0</v>
      </c>
      <c r="Z71" s="1033">
        <v>0</v>
      </c>
    </row>
    <row r="72" spans="1:26" x14ac:dyDescent="0.25">
      <c r="A72" s="368">
        <v>11</v>
      </c>
      <c r="B72" s="909" t="s">
        <v>931</v>
      </c>
      <c r="C72" s="1031"/>
      <c r="D72" s="1032">
        <v>4198.2</v>
      </c>
      <c r="E72" s="913">
        <v>20000</v>
      </c>
      <c r="F72" s="912">
        <v>2</v>
      </c>
      <c r="G72" s="1033">
        <v>0</v>
      </c>
      <c r="H72" s="1033">
        <v>0</v>
      </c>
      <c r="I72" s="1035">
        <v>4198.2</v>
      </c>
      <c r="J72" s="1035">
        <v>0</v>
      </c>
      <c r="K72" s="1033">
        <v>0</v>
      </c>
      <c r="L72" s="1035">
        <v>4198.2</v>
      </c>
      <c r="M72" s="1033">
        <v>0</v>
      </c>
      <c r="N72" s="1035">
        <v>0</v>
      </c>
      <c r="O72" s="1035">
        <v>4198.2</v>
      </c>
      <c r="P72" s="1033">
        <v>0</v>
      </c>
      <c r="Q72" s="1033">
        <v>0</v>
      </c>
      <c r="R72" s="1035">
        <v>4198.2</v>
      </c>
      <c r="S72" s="1033">
        <v>0</v>
      </c>
      <c r="T72" s="1033">
        <v>0</v>
      </c>
      <c r="U72" s="1035">
        <v>4198.2</v>
      </c>
      <c r="V72" s="1035">
        <v>4198.2</v>
      </c>
      <c r="W72" s="1033">
        <v>0</v>
      </c>
      <c r="X72" s="1035">
        <v>4198.2</v>
      </c>
      <c r="Y72" s="1033">
        <v>0</v>
      </c>
      <c r="Z72" s="1036">
        <v>4198.2</v>
      </c>
    </row>
    <row r="73" spans="1:26" x14ac:dyDescent="0.25">
      <c r="A73" s="368">
        <v>12</v>
      </c>
      <c r="B73" s="909" t="s">
        <v>932</v>
      </c>
      <c r="C73" s="1031"/>
      <c r="D73" s="1032">
        <v>76284.34</v>
      </c>
      <c r="E73" s="913">
        <v>20000</v>
      </c>
      <c r="F73" s="912">
        <v>1</v>
      </c>
      <c r="G73" s="1033">
        <v>0</v>
      </c>
      <c r="H73" s="1033">
        <v>0</v>
      </c>
      <c r="I73" s="1033">
        <v>76284.34</v>
      </c>
      <c r="J73" s="1035">
        <v>0</v>
      </c>
      <c r="K73" s="1033">
        <v>0</v>
      </c>
      <c r="L73" s="1033">
        <v>76284.34</v>
      </c>
      <c r="M73" s="1033">
        <v>0</v>
      </c>
      <c r="N73" s="1035">
        <v>0</v>
      </c>
      <c r="O73" s="1033">
        <v>76284.34</v>
      </c>
      <c r="P73" s="1033">
        <v>0</v>
      </c>
      <c r="Q73" s="1033">
        <v>0</v>
      </c>
      <c r="R73" s="1033">
        <v>76284.34</v>
      </c>
      <c r="S73" s="1033">
        <v>0</v>
      </c>
      <c r="T73" s="1033">
        <v>0</v>
      </c>
      <c r="U73" s="1033">
        <v>76284.34</v>
      </c>
      <c r="V73" s="1033">
        <v>0</v>
      </c>
      <c r="W73" s="1033">
        <v>0</v>
      </c>
      <c r="X73" s="1033">
        <v>76284.34</v>
      </c>
      <c r="Y73" s="1033">
        <v>0</v>
      </c>
      <c r="Z73" s="1034">
        <v>76284.34</v>
      </c>
    </row>
    <row r="74" spans="1:26" x14ac:dyDescent="0.25">
      <c r="A74" s="368">
        <v>13</v>
      </c>
      <c r="B74" s="1037" t="s">
        <v>933</v>
      </c>
      <c r="C74" s="1038"/>
      <c r="D74" s="1039">
        <v>49282.33</v>
      </c>
      <c r="E74" s="913">
        <v>20000</v>
      </c>
      <c r="F74" s="912">
        <v>1</v>
      </c>
      <c r="G74" s="1033">
        <v>0</v>
      </c>
      <c r="H74" s="1033">
        <v>0</v>
      </c>
      <c r="I74" s="1033">
        <v>49282.33</v>
      </c>
      <c r="J74" s="1035">
        <v>0</v>
      </c>
      <c r="K74" s="1033">
        <v>0</v>
      </c>
      <c r="L74" s="1033">
        <v>49282.33</v>
      </c>
      <c r="M74" s="1033">
        <v>0</v>
      </c>
      <c r="N74" s="1035">
        <v>0</v>
      </c>
      <c r="O74" s="1033">
        <v>49282.33</v>
      </c>
      <c r="P74" s="1033">
        <v>0</v>
      </c>
      <c r="Q74" s="1033">
        <v>0</v>
      </c>
      <c r="R74" s="1033">
        <v>49282.33</v>
      </c>
      <c r="S74" s="1033">
        <v>0</v>
      </c>
      <c r="T74" s="1033">
        <v>0</v>
      </c>
      <c r="U74" s="1033">
        <v>49282.33</v>
      </c>
      <c r="V74" s="1033">
        <v>0</v>
      </c>
      <c r="W74" s="1033">
        <v>0</v>
      </c>
      <c r="X74" s="1033">
        <v>49282.33</v>
      </c>
      <c r="Y74" s="1033">
        <v>0</v>
      </c>
      <c r="Z74" s="1034">
        <v>49282.33</v>
      </c>
    </row>
    <row r="75" spans="1:26" x14ac:dyDescent="0.25">
      <c r="A75" s="368">
        <v>14</v>
      </c>
      <c r="B75" s="1037" t="s">
        <v>384</v>
      </c>
      <c r="C75" s="1038"/>
      <c r="D75" s="1039">
        <v>504000</v>
      </c>
      <c r="E75" s="913">
        <v>20000</v>
      </c>
      <c r="F75" s="912">
        <v>1</v>
      </c>
      <c r="G75" s="1033">
        <v>0</v>
      </c>
      <c r="H75" s="1033">
        <v>0</v>
      </c>
      <c r="I75" s="1033">
        <v>504000</v>
      </c>
      <c r="J75" s="1035">
        <v>0</v>
      </c>
      <c r="K75" s="1033">
        <v>0</v>
      </c>
      <c r="L75" s="1033">
        <v>504000</v>
      </c>
      <c r="M75" s="1033">
        <v>0</v>
      </c>
      <c r="N75" s="1035">
        <v>0</v>
      </c>
      <c r="O75" s="1033">
        <v>504000</v>
      </c>
      <c r="P75" s="1033">
        <v>0</v>
      </c>
      <c r="Q75" s="1033">
        <v>0</v>
      </c>
      <c r="R75" s="1033">
        <v>504000</v>
      </c>
      <c r="S75" s="1033">
        <v>0</v>
      </c>
      <c r="T75" s="1033">
        <v>0</v>
      </c>
      <c r="U75" s="1033">
        <v>504000</v>
      </c>
      <c r="V75" s="1033">
        <v>0</v>
      </c>
      <c r="W75" s="1033">
        <v>0</v>
      </c>
      <c r="X75" s="1033">
        <v>504000</v>
      </c>
      <c r="Y75" s="1033">
        <v>0</v>
      </c>
      <c r="Z75" s="1034">
        <v>0</v>
      </c>
    </row>
    <row r="76" spans="1:26" x14ac:dyDescent="0.25">
      <c r="A76" s="368">
        <v>15</v>
      </c>
      <c r="B76" s="1037" t="s">
        <v>934</v>
      </c>
      <c r="C76" s="1038"/>
      <c r="D76" s="1039">
        <v>7872</v>
      </c>
      <c r="E76" s="913">
        <v>30000</v>
      </c>
      <c r="F76" s="912">
        <v>1</v>
      </c>
      <c r="G76" s="1033">
        <v>0</v>
      </c>
      <c r="H76" s="1033">
        <v>0</v>
      </c>
      <c r="I76" s="1033">
        <v>0</v>
      </c>
      <c r="J76" s="1033">
        <v>0</v>
      </c>
      <c r="K76" s="1033">
        <v>7872</v>
      </c>
      <c r="L76" s="1033">
        <v>0</v>
      </c>
      <c r="M76" s="1033">
        <v>0</v>
      </c>
      <c r="N76" s="1033">
        <v>0</v>
      </c>
      <c r="O76" s="1033">
        <v>7872</v>
      </c>
      <c r="P76" s="1033">
        <v>0</v>
      </c>
      <c r="Q76" s="1033">
        <v>0</v>
      </c>
      <c r="R76" s="1033">
        <v>0</v>
      </c>
      <c r="S76" s="1033">
        <v>7872</v>
      </c>
      <c r="T76" s="1033">
        <v>0</v>
      </c>
      <c r="U76" s="1033">
        <v>0</v>
      </c>
      <c r="V76" s="1033">
        <v>0</v>
      </c>
      <c r="W76" s="1033">
        <v>0</v>
      </c>
      <c r="X76" s="1033">
        <v>7872</v>
      </c>
      <c r="Y76" s="1033">
        <v>0</v>
      </c>
      <c r="Z76" s="1033">
        <v>0</v>
      </c>
    </row>
    <row r="77" spans="1:26" x14ac:dyDescent="0.25">
      <c r="A77" s="368">
        <v>16</v>
      </c>
      <c r="B77" s="1037" t="s">
        <v>935</v>
      </c>
      <c r="C77" s="1038"/>
      <c r="D77" s="1039">
        <v>69523.91</v>
      </c>
      <c r="E77" s="913">
        <v>20000</v>
      </c>
      <c r="F77" s="912">
        <v>1</v>
      </c>
      <c r="G77" s="1033">
        <v>0</v>
      </c>
      <c r="H77" s="1033">
        <v>0</v>
      </c>
      <c r="I77" s="1033">
        <v>69523.91</v>
      </c>
      <c r="J77" s="1033">
        <v>0</v>
      </c>
      <c r="K77" s="1033">
        <v>0</v>
      </c>
      <c r="L77" s="1033">
        <v>69523.91</v>
      </c>
      <c r="M77" s="1033">
        <v>0</v>
      </c>
      <c r="N77" s="1033">
        <v>0</v>
      </c>
      <c r="O77" s="1033">
        <v>69523.91</v>
      </c>
      <c r="P77" s="1033">
        <v>0</v>
      </c>
      <c r="Q77" s="1033">
        <v>0</v>
      </c>
      <c r="R77" s="1033">
        <v>69523.91</v>
      </c>
      <c r="S77" s="1033">
        <v>0</v>
      </c>
      <c r="T77" s="1033">
        <v>0</v>
      </c>
      <c r="U77" s="1033">
        <v>69523.91</v>
      </c>
      <c r="V77" s="1033">
        <v>0</v>
      </c>
      <c r="W77" s="1033">
        <v>0</v>
      </c>
      <c r="X77" s="1033">
        <v>69523.91</v>
      </c>
      <c r="Y77" s="1033">
        <v>0</v>
      </c>
      <c r="Z77" s="1033">
        <v>0</v>
      </c>
    </row>
    <row r="78" spans="1:26" x14ac:dyDescent="0.25">
      <c r="A78" s="368">
        <v>17</v>
      </c>
      <c r="B78" s="1037" t="s">
        <v>936</v>
      </c>
      <c r="C78" s="1038"/>
      <c r="D78" s="1039">
        <v>90492.93</v>
      </c>
      <c r="E78" s="913">
        <v>20000</v>
      </c>
      <c r="F78" s="912">
        <v>1</v>
      </c>
      <c r="G78" s="1033">
        <v>0</v>
      </c>
      <c r="H78" s="1033">
        <v>0</v>
      </c>
      <c r="I78" s="1033">
        <v>90492.93</v>
      </c>
      <c r="J78" s="1033">
        <v>0</v>
      </c>
      <c r="K78" s="1033">
        <v>0</v>
      </c>
      <c r="L78" s="1033">
        <v>90492.93</v>
      </c>
      <c r="M78" s="1033">
        <v>0</v>
      </c>
      <c r="N78" s="1033">
        <v>0</v>
      </c>
      <c r="O78" s="1033">
        <v>90492.93</v>
      </c>
      <c r="P78" s="1033">
        <v>0</v>
      </c>
      <c r="Q78" s="1033">
        <v>0</v>
      </c>
      <c r="R78" s="1033">
        <v>90492.93</v>
      </c>
      <c r="S78" s="1033">
        <v>0</v>
      </c>
      <c r="T78" s="1033">
        <v>0</v>
      </c>
      <c r="U78" s="1033">
        <v>90492.93</v>
      </c>
      <c r="V78" s="1033">
        <v>0</v>
      </c>
      <c r="W78" s="1033">
        <v>0</v>
      </c>
      <c r="X78" s="1033">
        <v>90492.93</v>
      </c>
      <c r="Y78" s="1033">
        <v>0</v>
      </c>
      <c r="Z78" s="1033">
        <v>0</v>
      </c>
    </row>
    <row r="79" spans="1:26" x14ac:dyDescent="0.25">
      <c r="A79" s="368">
        <v>18</v>
      </c>
      <c r="B79" s="1037" t="s">
        <v>937</v>
      </c>
      <c r="C79" s="1038"/>
      <c r="D79" s="1039">
        <v>47961.74</v>
      </c>
      <c r="E79" s="913">
        <v>15000</v>
      </c>
      <c r="F79" s="912">
        <v>1</v>
      </c>
      <c r="G79" s="1033">
        <v>0</v>
      </c>
      <c r="H79" s="1033">
        <v>0</v>
      </c>
      <c r="I79" s="1033">
        <v>47961.74</v>
      </c>
      <c r="J79" s="1033">
        <v>0</v>
      </c>
      <c r="K79" s="1033">
        <v>47961.74</v>
      </c>
      <c r="L79" s="1033">
        <v>0</v>
      </c>
      <c r="M79" s="1033">
        <v>47961.74</v>
      </c>
      <c r="N79" s="1033">
        <v>0</v>
      </c>
      <c r="O79" s="1033">
        <v>47961.74</v>
      </c>
      <c r="P79" s="1033">
        <v>0</v>
      </c>
      <c r="Q79" s="1033">
        <v>47961.74</v>
      </c>
      <c r="R79" s="1033">
        <v>0</v>
      </c>
      <c r="S79" s="1033">
        <v>47961.74</v>
      </c>
      <c r="T79" s="1033">
        <v>0</v>
      </c>
      <c r="U79" s="1033">
        <v>0</v>
      </c>
      <c r="V79" s="1033">
        <v>47961.74</v>
      </c>
      <c r="W79" s="1033">
        <v>0</v>
      </c>
      <c r="X79" s="1033">
        <v>47961.74</v>
      </c>
      <c r="Y79" s="1033">
        <v>0</v>
      </c>
      <c r="Z79" s="1033">
        <v>0</v>
      </c>
    </row>
    <row r="80" spans="1:26" x14ac:dyDescent="0.25">
      <c r="A80" s="368">
        <v>19</v>
      </c>
      <c r="B80" s="1037" t="s">
        <v>938</v>
      </c>
      <c r="C80" s="1038"/>
      <c r="D80" s="1039">
        <v>47961.74</v>
      </c>
      <c r="E80" s="913">
        <v>25000</v>
      </c>
      <c r="F80" s="912">
        <v>2</v>
      </c>
      <c r="G80" s="1033">
        <v>0</v>
      </c>
      <c r="H80" s="1033">
        <v>0</v>
      </c>
      <c r="I80" s="1033">
        <v>0</v>
      </c>
      <c r="J80" s="1033">
        <v>47961.74</v>
      </c>
      <c r="K80" s="1033">
        <v>0</v>
      </c>
      <c r="L80" s="1033">
        <v>0</v>
      </c>
      <c r="M80" s="1033">
        <v>0</v>
      </c>
      <c r="N80" s="1033">
        <v>47961.74</v>
      </c>
      <c r="O80" s="1033">
        <v>0</v>
      </c>
      <c r="P80" s="1033">
        <v>0</v>
      </c>
      <c r="Q80" s="1033">
        <v>47961.74</v>
      </c>
      <c r="R80" s="1033">
        <v>0</v>
      </c>
      <c r="S80" s="1033">
        <v>0</v>
      </c>
      <c r="T80" s="1033">
        <v>0</v>
      </c>
      <c r="U80" s="1033">
        <v>47961.74</v>
      </c>
      <c r="V80" s="1033">
        <v>0</v>
      </c>
      <c r="W80" s="1033">
        <v>0</v>
      </c>
      <c r="X80" s="1033">
        <v>47961.74</v>
      </c>
      <c r="Y80" s="1033">
        <v>0</v>
      </c>
      <c r="Z80" s="1033">
        <v>0</v>
      </c>
    </row>
    <row r="81" spans="1:28" ht="14.95" thickBot="1" x14ac:dyDescent="0.3">
      <c r="A81" s="368">
        <v>20</v>
      </c>
      <c r="B81" s="919" t="s">
        <v>939</v>
      </c>
      <c r="C81" s="1040"/>
      <c r="D81" s="1041">
        <v>44023</v>
      </c>
      <c r="E81" s="924">
        <v>10000</v>
      </c>
      <c r="F81" s="922">
        <v>1</v>
      </c>
      <c r="G81" s="1042">
        <v>0</v>
      </c>
      <c r="H81" s="1043">
        <v>44023</v>
      </c>
      <c r="I81" s="1043">
        <v>44023</v>
      </c>
      <c r="J81" s="1042">
        <v>0</v>
      </c>
      <c r="K81" s="1043">
        <v>44023</v>
      </c>
      <c r="L81" s="1043">
        <v>44023</v>
      </c>
      <c r="M81" s="1042">
        <v>0</v>
      </c>
      <c r="N81" s="1043">
        <v>44023</v>
      </c>
      <c r="O81" s="1043">
        <v>44023</v>
      </c>
      <c r="P81" s="1043">
        <v>44023</v>
      </c>
      <c r="Q81" s="1042">
        <v>0</v>
      </c>
      <c r="R81" s="1043">
        <v>44023</v>
      </c>
      <c r="S81" s="1043">
        <v>44023</v>
      </c>
      <c r="T81" s="1033">
        <v>0</v>
      </c>
      <c r="U81" s="1043">
        <v>44023</v>
      </c>
      <c r="V81" s="1043">
        <v>44023</v>
      </c>
      <c r="W81" s="1033">
        <v>0</v>
      </c>
      <c r="X81" s="1043">
        <v>44023</v>
      </c>
      <c r="Y81" s="1043">
        <v>44023</v>
      </c>
      <c r="Z81" s="1033">
        <v>0</v>
      </c>
    </row>
    <row r="82" spans="1:28" x14ac:dyDescent="0.25">
      <c r="AA82" s="799"/>
      <c r="AB82" s="799"/>
    </row>
    <row r="83" spans="1:28" x14ac:dyDescent="0.25">
      <c r="AA83" s="799"/>
      <c r="AB83" s="799"/>
    </row>
  </sheetData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50</vt:i4>
      </vt:variant>
      <vt:variant>
        <vt:lpstr>Именованные диапазоны</vt:lpstr>
      </vt:variant>
      <vt:variant>
        <vt:i4>12</vt:i4>
      </vt:variant>
    </vt:vector>
  </HeadingPairs>
  <TitlesOfParts>
    <vt:vector size="62" baseType="lpstr">
      <vt:lpstr>1</vt:lpstr>
      <vt:lpstr>Версии</vt:lpstr>
      <vt:lpstr>Статус</vt:lpstr>
      <vt:lpstr>Свод</vt:lpstr>
      <vt:lpstr>ТСО</vt:lpstr>
      <vt:lpstr>Производительность</vt:lpstr>
      <vt:lpstr>Загрузка</vt:lpstr>
      <vt:lpstr>Ресурс</vt:lpstr>
      <vt:lpstr>Факт NTE</vt:lpstr>
      <vt:lpstr>Простои</vt:lpstr>
      <vt:lpstr>ФОТ, МТР, макро</vt:lpstr>
      <vt:lpstr>БелАЗ</vt:lpstr>
      <vt:lpstr>БелАЗ ТО</vt:lpstr>
      <vt:lpstr>БелАЗ Рем</vt:lpstr>
      <vt:lpstr>TZCO</vt:lpstr>
      <vt:lpstr>TZCO ТО</vt:lpstr>
      <vt:lpstr>TZCO Рем</vt:lpstr>
      <vt:lpstr>SANY</vt:lpstr>
      <vt:lpstr>SANY ТО</vt:lpstr>
      <vt:lpstr>SANY Рем</vt:lpstr>
      <vt:lpstr>БелАЗ_Б</vt:lpstr>
      <vt:lpstr>БелАЗ_Б ТО</vt:lpstr>
      <vt:lpstr>БелАЗ_Б Рем</vt:lpstr>
      <vt:lpstr>ESDE240</vt:lpstr>
      <vt:lpstr>ESDE240 ТО</vt:lpstr>
      <vt:lpstr>ESDE240 Рем</vt:lpstr>
      <vt:lpstr>NHL NTE240</vt:lpstr>
      <vt:lpstr>NHL NTE240 ТО</vt:lpstr>
      <vt:lpstr>NHL NTE240 Рем</vt:lpstr>
      <vt:lpstr>Свод_1</vt:lpstr>
      <vt:lpstr>ТСО_1</vt:lpstr>
      <vt:lpstr>Производительность_1</vt:lpstr>
      <vt:lpstr>БелАЗ_1</vt:lpstr>
      <vt:lpstr>БелАЗ ТО_1</vt:lpstr>
      <vt:lpstr>БелАЗ Рем_1</vt:lpstr>
      <vt:lpstr>TZCO_1</vt:lpstr>
      <vt:lpstr>TZCO ТО_1</vt:lpstr>
      <vt:lpstr>TZCO Рем_1</vt:lpstr>
      <vt:lpstr>SANY_1</vt:lpstr>
      <vt:lpstr>SANY ТО_1</vt:lpstr>
      <vt:lpstr>SANY Рем_1</vt:lpstr>
      <vt:lpstr>БелАЗ_Б_1</vt:lpstr>
      <vt:lpstr>БелАЗ_Б ТО_1</vt:lpstr>
      <vt:lpstr>БелАЗ_Б Рем_1</vt:lpstr>
      <vt:lpstr>ESDE240_1</vt:lpstr>
      <vt:lpstr>ESDE240 ТО_1</vt:lpstr>
      <vt:lpstr>ESDE240 Рем_1</vt:lpstr>
      <vt:lpstr>NHL NTE240_1</vt:lpstr>
      <vt:lpstr>NHL NTE240 ТО_1</vt:lpstr>
      <vt:lpstr>NHL NTE240 Рем_1</vt:lpstr>
      <vt:lpstr>ESDE240!Область_печати</vt:lpstr>
      <vt:lpstr>ESDE240_1!Область_печати</vt:lpstr>
      <vt:lpstr>'NHL NTE240'!Область_печати</vt:lpstr>
      <vt:lpstr>'NHL NTE240_1'!Область_печати</vt:lpstr>
      <vt:lpstr>SANY!Область_печати</vt:lpstr>
      <vt:lpstr>SANY_1!Область_печати</vt:lpstr>
      <vt:lpstr>TZCO!Область_печати</vt:lpstr>
      <vt:lpstr>TZCO_1!Область_печати</vt:lpstr>
      <vt:lpstr>БелАЗ!Область_печати</vt:lpstr>
      <vt:lpstr>БелАЗ_1!Область_печати</vt:lpstr>
      <vt:lpstr>БелАЗ_Б!Область_печати</vt:lpstr>
      <vt:lpstr>БелАЗ_Б_1!Область_печати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Ибрагимова Алена Мухамедовна</dc:creator>
  <cp:lastModifiedBy>Ибрагимова Алена Мухамедовна</cp:lastModifiedBy>
  <dcterms:created xsi:type="dcterms:W3CDTF">2026-07-03T13:09:46Z</dcterms:created>
  <dcterms:modified xsi:type="dcterms:W3CDTF">2026-07-29T16:14:15Z</dcterms:modified>
</cp:coreProperties>
</file>