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huang/Desktop/DSD/Final/"/>
    </mc:Choice>
  </mc:AlternateContent>
  <xr:revisionPtr revIDLastSave="0" documentId="10_ncr:8100000_{CD5C9353-8F05-6C4E-9D81-D4E43C31C5E7}" xr6:coauthVersionLast="33" xr6:coauthVersionMax="33" xr10:uidLastSave="{00000000-0000-0000-0000-000000000000}"/>
  <bookViews>
    <workbookView xWindow="0" yWindow="460" windowWidth="25600" windowHeight="15540" xr2:uid="{299BFB76-7EC4-FE4D-A66F-EE798D0970FC}"/>
  </bookViews>
  <sheets>
    <sheet name="EXP" sheetId="1" r:id="rId1"/>
    <sheet name="BrPred" sheetId="3" r:id="rId2"/>
    <sheet name="A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H16" i="2"/>
  <c r="H15" i="2"/>
  <c r="J20" i="2" l="1"/>
  <c r="H9" i="2"/>
  <c r="G5" i="3" l="1"/>
  <c r="G6" i="3"/>
  <c r="G4" i="3"/>
  <c r="E5" i="3"/>
  <c r="E6" i="3"/>
  <c r="E4" i="3"/>
  <c r="AF7" i="1" l="1"/>
  <c r="AF6" i="1"/>
  <c r="AF5" i="1"/>
  <c r="L36" i="1" l="1"/>
  <c r="M36" i="1"/>
  <c r="L37" i="1"/>
  <c r="M37" i="1"/>
  <c r="L38" i="1"/>
  <c r="M38" i="1"/>
  <c r="L39" i="1"/>
  <c r="M39" i="1"/>
  <c r="L40" i="1"/>
  <c r="M40" i="1"/>
  <c r="Q9" i="1" l="1"/>
  <c r="P9" i="1"/>
  <c r="M9" i="1"/>
  <c r="O9" i="1"/>
  <c r="N9" i="1"/>
  <c r="L9" i="1"/>
  <c r="O8" i="1"/>
  <c r="N8" i="1"/>
  <c r="L8" i="1"/>
  <c r="Q8" i="1"/>
  <c r="P8" i="1"/>
  <c r="M8" i="1"/>
  <c r="Q7" i="1"/>
  <c r="P7" i="1"/>
  <c r="M7" i="1"/>
  <c r="O7" i="1"/>
  <c r="N7" i="1"/>
  <c r="L7" i="1"/>
  <c r="O6" i="1"/>
  <c r="N6" i="1"/>
  <c r="L6" i="1"/>
  <c r="Q6" i="1"/>
  <c r="P6" i="1"/>
  <c r="M6" i="1"/>
  <c r="Q5" i="1"/>
  <c r="P5" i="1"/>
  <c r="M5" i="1"/>
  <c r="O5" i="1"/>
  <c r="N5" i="1"/>
  <c r="L5" i="1"/>
  <c r="Q4" i="1"/>
  <c r="P4" i="1"/>
  <c r="M4" i="1"/>
  <c r="O4" i="1"/>
  <c r="N4" i="1"/>
  <c r="L4" i="1"/>
  <c r="F30" i="1" l="1"/>
</calcChain>
</file>

<file path=xl/sharedStrings.xml><?xml version="1.0" encoding="utf-8"?>
<sst xmlns="http://schemas.openxmlformats.org/spreadsheetml/2006/main" count="102" uniqueCount="68">
  <si>
    <t>HW4</t>
  </si>
  <si>
    <t>no rp</t>
  </si>
  <si>
    <t>rp</t>
  </si>
  <si>
    <t>cycles</t>
  </si>
  <si>
    <t>read miss penalty</t>
  </si>
  <si>
    <t>~4</t>
  </si>
  <si>
    <t>~0.16</t>
  </si>
  <si>
    <t>read miss rate</t>
  </si>
  <si>
    <t>Final</t>
  </si>
  <si>
    <t>memory.v</t>
  </si>
  <si>
    <t>slow_memory.v</t>
  </si>
  <si>
    <t>MultDiv</t>
  </si>
  <si>
    <t>comb</t>
  </si>
  <si>
    <t>32-cycle</t>
  </si>
  <si>
    <t>area</t>
  </si>
  <si>
    <t>Cache</t>
  </si>
  <si>
    <t>nb</t>
  </si>
  <si>
    <t>no cache</t>
  </si>
  <si>
    <t>+I+D</t>
  </si>
  <si>
    <t>+I+L2D</t>
  </si>
  <si>
    <t>+I</t>
  </si>
  <si>
    <t>+D</t>
  </si>
  <si>
    <t>+L2I+L2D</t>
  </si>
  <si>
    <t>I</t>
  </si>
  <si>
    <t>L2I</t>
  </si>
  <si>
    <t>D</t>
  </si>
  <si>
    <t>L2D</t>
  </si>
  <si>
    <t>write miss rate</t>
  </si>
  <si>
    <t>L1 vs. L2</t>
  </si>
  <si>
    <t>L2 size</t>
  </si>
  <si>
    <t>BrPred</t>
  </si>
  <si>
    <t>no L2</t>
  </si>
  <si>
    <t>Baseline</t>
  </si>
  <si>
    <t>original</t>
  </si>
  <si>
    <t>using compile</t>
  </si>
  <si>
    <t>total cycles</t>
  </si>
  <si>
    <t>synth clock cycle</t>
  </si>
  <si>
    <t>synth area</t>
  </si>
  <si>
    <t>crit. break</t>
  </si>
  <si>
    <r>
      <t xml:space="preserve">note: using </t>
    </r>
    <r>
      <rPr>
        <sz val="8"/>
        <color theme="1"/>
        <rFont val="Consolas"/>
        <family val="2"/>
      </rPr>
      <t>compile</t>
    </r>
    <r>
      <rPr>
        <sz val="8"/>
        <color theme="1"/>
        <rFont val="Calibri"/>
        <family val="2"/>
        <scheme val="minor"/>
      </rPr>
      <t xml:space="preserve"> to synthesize</t>
    </r>
  </si>
  <si>
    <t>no BrPred</t>
  </si>
  <si>
    <t>BrPred (2b)</t>
  </si>
  <si>
    <t>BrPred (1b)</t>
  </si>
  <si>
    <t>note1: (a, b, c) = (200, 200, 200)</t>
  </si>
  <si>
    <r>
      <t xml:space="preserve">note2: synthesized using </t>
    </r>
    <r>
      <rPr>
        <sz val="9"/>
        <color theme="1"/>
        <rFont val="Consolas"/>
        <family val="2"/>
      </rPr>
      <t>compile</t>
    </r>
    <r>
      <rPr>
        <sz val="9"/>
        <color theme="1"/>
        <rFont val="Calibri"/>
        <family val="2"/>
        <scheme val="minor"/>
      </rPr>
      <t xml:space="preserve"> with clock constraint 5ns</t>
    </r>
  </si>
  <si>
    <t>baseline</t>
  </si>
  <si>
    <t>clock</t>
  </si>
  <si>
    <t>tb</t>
  </si>
  <si>
    <t>hasHazard</t>
  </si>
  <si>
    <t>L2Cache</t>
  </si>
  <si>
    <t>HT1</t>
  </si>
  <si>
    <t>MR1</t>
  </si>
  <si>
    <t>HT2</t>
  </si>
  <si>
    <t>MR2</t>
  </si>
  <si>
    <t>MP2</t>
  </si>
  <si>
    <t>total time</t>
  </si>
  <si>
    <t>(a, b, c)</t>
  </si>
  <si>
    <t>(100, 0, 0)</t>
  </si>
  <si>
    <t>(0, 100, 0)</t>
  </si>
  <si>
    <t>(0, 0, 100)</t>
  </si>
  <si>
    <t>207348 ns</t>
  </si>
  <si>
    <t>1.059 cycles</t>
  </si>
  <si>
    <t>iterative</t>
  </si>
  <si>
    <t>6.1 ns</t>
  </si>
  <si>
    <t>clock (ns)</t>
  </si>
  <si>
    <t>total time (ns)</t>
  </si>
  <si>
    <t>area (um²)</t>
  </si>
  <si>
    <t>arithmetic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</si>
</sst>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\+0.0%;\-0.0%"/>
  </numFmts>
  <fonts count="5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nsolas"/>
      <family val="2"/>
    </font>
    <font>
      <sz val="8"/>
      <color theme="1"/>
      <name val="Calibri"/>
      <family val="2"/>
      <scheme val="minor"/>
    </font>
    <font>
      <sz val="8"/>
      <color theme="1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6" xfId="0" quotePrefix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5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ICache</a:t>
            </a:r>
            <a:r>
              <a:rPr lang="en-US" b="1" baseline="0"/>
              <a:t> </a:t>
            </a:r>
            <a:r>
              <a:rPr lang="en-US" b="1"/>
              <a:t>Read</a:t>
            </a:r>
            <a:r>
              <a:rPr lang="zh-TW" altLang="en-US" b="1"/>
              <a:t> </a:t>
            </a:r>
            <a:r>
              <a:rPr lang="en-US" altLang="zh-TW" b="1"/>
              <a:t>Miss Rate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2479233631843"/>
          <c:y val="0.16948546965677469"/>
          <c:w val="0.65281026928027464"/>
          <c:h val="0.65963516095871799"/>
        </c:manualLayout>
      </c:layout>
      <c:scatterChart>
        <c:scatterStyle val="smoothMarker"/>
        <c:varyColors val="0"/>
        <c:ser>
          <c:idx val="0"/>
          <c:order val="0"/>
          <c:tx>
            <c:v>L1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EXP!$K$4:$K$9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EXP!$L$4:$L$9</c:f>
              <c:numCache>
                <c:formatCode>0.0%</c:formatCode>
                <c:ptCount val="6"/>
                <c:pt idx="0">
                  <c:v>4.1933191186922528E-2</c:v>
                </c:pt>
                <c:pt idx="1">
                  <c:v>1.633045148895293E-2</c:v>
                </c:pt>
                <c:pt idx="2">
                  <c:v>9.6955909435597447E-3</c:v>
                </c:pt>
                <c:pt idx="3">
                  <c:v>6.7542744100607599E-3</c:v>
                </c:pt>
                <c:pt idx="4">
                  <c:v>5.2097853359353219E-3</c:v>
                </c:pt>
                <c:pt idx="5">
                  <c:v>4.2471636281898092E-3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B1-1242-B6DF-93B5BC54913A}"/>
            </c:ext>
          </c:extLst>
        </c:ser>
        <c:ser>
          <c:idx val="1"/>
          <c:order val="1"/>
          <c:tx>
            <c:v>L1 + 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EXP!$K$4:$K$9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EXP!$M$4:$M$9</c:f>
              <c:numCache>
                <c:formatCode>0.0%</c:formatCode>
                <c:ptCount val="6"/>
                <c:pt idx="0">
                  <c:v>1.3389711064129669E-2</c:v>
                </c:pt>
                <c:pt idx="1">
                  <c:v>2.6425591098748263E-3</c:v>
                </c:pt>
                <c:pt idx="2">
                  <c:v>1.086024578450986E-3</c:v>
                </c:pt>
                <c:pt idx="3">
                  <c:v>5.8658269272328736E-4</c:v>
                </c:pt>
                <c:pt idx="4">
                  <c:v>3.6689452747846909E-4</c:v>
                </c:pt>
                <c:pt idx="5">
                  <c:v>2.5104381375191584E-4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B1-1242-B6DF-93B5BC54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175712"/>
        <c:axId val="1254036672"/>
      </c:scatterChart>
      <c:valAx>
        <c:axId val="130617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nb of tbL2Cache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36672"/>
        <c:crosses val="autoZero"/>
        <c:crossBetween val="midCat"/>
      </c:valAx>
      <c:valAx>
        <c:axId val="12540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miss rate</a:t>
                </a:r>
              </a:p>
            </c:rich>
          </c:tx>
          <c:layout>
            <c:manualLayout>
              <c:xMode val="edge"/>
              <c:yMode val="edge"/>
              <c:x val="2.1044965385588921E-2"/>
              <c:y val="0.38057384484248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7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DCache Read</a:t>
            </a:r>
            <a:r>
              <a:rPr lang="en-US" b="1" baseline="0"/>
              <a:t> Miss Rate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198564069486"/>
          <c:y val="0.16796875139292577"/>
          <c:w val="0.65622219607213195"/>
          <c:h val="0.66268107143583044"/>
        </c:manualLayout>
      </c:layout>
      <c:scatterChart>
        <c:scatterStyle val="smoothMarker"/>
        <c:varyColors val="0"/>
        <c:ser>
          <c:idx val="0"/>
          <c:order val="0"/>
          <c:tx>
            <c:v>L1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EXP!$K$4:$K$9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EXP!$N$4:$N$9</c:f>
              <c:numCache>
                <c:formatCode>0.0%</c:formatCode>
                <c:ptCount val="6"/>
                <c:pt idx="0">
                  <c:v>2.5510204081632654E-2</c:v>
                </c:pt>
                <c:pt idx="1">
                  <c:v>2.8546712802768166E-2</c:v>
                </c:pt>
                <c:pt idx="2">
                  <c:v>6.4471879286694095E-2</c:v>
                </c:pt>
                <c:pt idx="3">
                  <c:v>9.7699050401753099E-2</c:v>
                </c:pt>
                <c:pt idx="4">
                  <c:v>0.11102308736985061</c:v>
                </c:pt>
                <c:pt idx="5">
                  <c:v>0.11765158510310865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D6-3F40-85D2-69866CB499FE}"/>
            </c:ext>
          </c:extLst>
        </c:ser>
        <c:ser>
          <c:idx val="1"/>
          <c:order val="1"/>
          <c:tx>
            <c:v>L1 + 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EXP!$K$4:$K$9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EXP!$P$4:$P$9</c:f>
              <c:numCache>
                <c:formatCode>0.0%</c:formatCode>
                <c:ptCount val="6"/>
                <c:pt idx="0">
                  <c:v>2.5510204081632654E-2</c:v>
                </c:pt>
                <c:pt idx="1">
                  <c:v>8.6505190311418692E-3</c:v>
                </c:pt>
                <c:pt idx="2">
                  <c:v>5.1440329218106996E-3</c:v>
                </c:pt>
                <c:pt idx="3">
                  <c:v>3.6523009495982471E-3</c:v>
                </c:pt>
                <c:pt idx="4">
                  <c:v>2.8293345405160705E-3</c:v>
                </c:pt>
                <c:pt idx="5">
                  <c:v>2.3084025854108957E-3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D6-3F40-85D2-69866CB4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975568"/>
        <c:axId val="1307867680"/>
      </c:scatterChart>
      <c:valAx>
        <c:axId val="130597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nb of tbL2Cache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67680"/>
        <c:crosses val="autoZero"/>
        <c:crossBetween val="midCat"/>
      </c:valAx>
      <c:valAx>
        <c:axId val="13078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97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DCache Write</a:t>
            </a:r>
            <a:r>
              <a:rPr lang="en-US" b="1" baseline="0"/>
              <a:t> Miss Rate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5197314779301"/>
          <c:y val="0.16796875139292577"/>
          <c:w val="0.66056052055056225"/>
          <c:h val="0.66264899941337618"/>
        </c:manualLayout>
      </c:layout>
      <c:scatterChart>
        <c:scatterStyle val="smoothMarker"/>
        <c:varyColors val="0"/>
        <c:ser>
          <c:idx val="0"/>
          <c:order val="0"/>
          <c:tx>
            <c:v>L1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EXP!$K$4:$K$9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EXP!$O$4:$O$9</c:f>
              <c:numCache>
                <c:formatCode>0.0%</c:formatCode>
                <c:ptCount val="6"/>
                <c:pt idx="0">
                  <c:v>0</c:v>
                </c:pt>
                <c:pt idx="1">
                  <c:v>1.7736486486486486E-2</c:v>
                </c:pt>
                <c:pt idx="2">
                  <c:v>5.8981233243967826E-2</c:v>
                </c:pt>
                <c:pt idx="3">
                  <c:v>9.2406876790830941E-2</c:v>
                </c:pt>
                <c:pt idx="4">
                  <c:v>0.10641139804096171</c:v>
                </c:pt>
                <c:pt idx="5">
                  <c:v>0.11354672330097088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F9-C046-9046-18C13F3C58EE}"/>
            </c:ext>
          </c:extLst>
        </c:ser>
        <c:ser>
          <c:idx val="1"/>
          <c:order val="1"/>
          <c:tx>
            <c:v>L1 + 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EXP!$K$4:$K$9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EXP!$Q$4:$Q$9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F9-C046-9046-18C13F3C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399680"/>
        <c:axId val="1307726448"/>
      </c:scatterChart>
      <c:valAx>
        <c:axId val="13063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nb of tbL2Cache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26448"/>
        <c:crosses val="autoZero"/>
        <c:crossBetween val="midCat"/>
      </c:valAx>
      <c:valAx>
        <c:axId val="13077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9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Cache</a:t>
            </a:r>
            <a:r>
              <a:rPr lang="en-US" b="1" baseline="0"/>
              <a:t> Ablation Study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no cache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EXP!$B$4:$B$9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EXP!$C$4:$C$9</c:f>
              <c:numCache>
                <c:formatCode>General</c:formatCode>
                <c:ptCount val="6"/>
                <c:pt idx="0">
                  <c:v>13187</c:v>
                </c:pt>
                <c:pt idx="1">
                  <c:v>70483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74-5344-B613-E588C3095760}"/>
            </c:ext>
          </c:extLst>
        </c:ser>
        <c:ser>
          <c:idx val="4"/>
          <c:order val="1"/>
          <c:tx>
            <c:v>+D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EXP!$B$4:$B$9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EXP!$D$4:$D$9</c:f>
              <c:numCache>
                <c:formatCode>0</c:formatCode>
                <c:ptCount val="6"/>
                <c:pt idx="0">
                  <c:v>9148</c:v>
                </c:pt>
                <c:pt idx="1">
                  <c:v>46059</c:v>
                </c:pt>
                <c:pt idx="2" formatCode="General">
                  <c:v>111895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74-5344-B613-E588C3095760}"/>
            </c:ext>
          </c:extLst>
        </c:ser>
        <c:ser>
          <c:idx val="5"/>
          <c:order val="2"/>
          <c:tx>
            <c:v>+I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EXP!$B$4:$B$9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EXP!$E$4:$E$9</c:f>
              <c:numCache>
                <c:formatCode>General</c:formatCode>
                <c:ptCount val="6"/>
                <c:pt idx="0">
                  <c:v>5231</c:v>
                </c:pt>
                <c:pt idx="1">
                  <c:v>28942</c:v>
                </c:pt>
                <c:pt idx="2">
                  <c:v>71577</c:v>
                </c:pt>
                <c:pt idx="3">
                  <c:v>133012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74-5344-B613-E588C3095760}"/>
            </c:ext>
          </c:extLst>
        </c:ser>
        <c:ser>
          <c:idx val="0"/>
          <c:order val="3"/>
          <c:tx>
            <c:v>+I+D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EXP!$B$4:$B$9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EXP!$F$4:$F$9</c:f>
              <c:numCache>
                <c:formatCode>0</c:formatCode>
                <c:ptCount val="6"/>
                <c:pt idx="0">
                  <c:v>1830</c:v>
                </c:pt>
                <c:pt idx="1">
                  <c:v>8130</c:v>
                </c:pt>
                <c:pt idx="2" formatCode="General">
                  <c:v>19725</c:v>
                </c:pt>
                <c:pt idx="3" formatCode="General">
                  <c:v>37068</c:v>
                </c:pt>
                <c:pt idx="4" formatCode="General">
                  <c:v>59495</c:v>
                </c:pt>
                <c:pt idx="5" formatCode="General">
                  <c:v>87050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74-5344-B613-E588C3095760}"/>
            </c:ext>
          </c:extLst>
        </c:ser>
        <c:ser>
          <c:idx val="1"/>
          <c:order val="4"/>
          <c:tx>
            <c:v>+I+L2D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EXP!$B$4:$B$9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EXP!$G$4:$G$9</c:f>
              <c:numCache>
                <c:formatCode>0</c:formatCode>
                <c:ptCount val="6"/>
                <c:pt idx="0">
                  <c:v>1830</c:v>
                </c:pt>
                <c:pt idx="1">
                  <c:v>7991</c:v>
                </c:pt>
                <c:pt idx="2" formatCode="General">
                  <c:v>18686</c:v>
                </c:pt>
                <c:pt idx="3" formatCode="General">
                  <c:v>33972</c:v>
                </c:pt>
                <c:pt idx="4" formatCode="General">
                  <c:v>53757</c:v>
                </c:pt>
                <c:pt idx="5" formatCode="General">
                  <c:v>78045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74-5344-B613-E588C3095760}"/>
            </c:ext>
          </c:extLst>
        </c:ser>
        <c:ser>
          <c:idx val="2"/>
          <c:order val="5"/>
          <c:tx>
            <c:v>+L2I+L2D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EXP!$B$4:$B$9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EXP!$H$4:$H$9</c:f>
              <c:numCache>
                <c:formatCode>General</c:formatCode>
                <c:ptCount val="6"/>
                <c:pt idx="0">
                  <c:v>1601</c:v>
                </c:pt>
                <c:pt idx="1">
                  <c:v>6832</c:v>
                </c:pt>
                <c:pt idx="2">
                  <c:v>17797</c:v>
                </c:pt>
                <c:pt idx="3">
                  <c:v>32753</c:v>
                </c:pt>
                <c:pt idx="4">
                  <c:v>52208</c:v>
                </c:pt>
                <c:pt idx="5">
                  <c:v>76166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74-5344-B613-E588C309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388880"/>
        <c:axId val="1312994800"/>
      </c:scatterChart>
      <c:valAx>
        <c:axId val="13083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/>
                  <a:t>nb</a:t>
                </a:r>
                <a:r>
                  <a:rPr lang="en-US" sz="1100" b="0" baseline="0"/>
                  <a:t> of tbL2Cache</a:t>
                </a:r>
                <a:endParaRPr lang="en-US" sz="1100" b="0"/>
              </a:p>
            </c:rich>
          </c:tx>
          <c:layout>
            <c:manualLayout>
              <c:xMode val="edge"/>
              <c:yMode val="edge"/>
              <c:x val="0.40053220029779074"/>
              <c:y val="0.90579488743187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94800"/>
        <c:crosses val="autoZero"/>
        <c:crossBetween val="midCat"/>
      </c:valAx>
      <c:valAx>
        <c:axId val="13129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/>
                  <a:t>total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8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read miss rate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EXP!$K$36:$K$40</c:f>
              <c:strCache>
                <c:ptCount val="5"/>
                <c:pt idx="0">
                  <c:v>no L2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strCache>
            </c:strRef>
          </c:cat>
          <c:val>
            <c:numRef>
              <c:f>EXP!$L$36:$L$40</c:f>
              <c:numCache>
                <c:formatCode>0.0%</c:formatCode>
                <c:ptCount val="5"/>
                <c:pt idx="0">
                  <c:v>0.11765158510310865</c:v>
                </c:pt>
                <c:pt idx="1">
                  <c:v>9.472145275469375E-2</c:v>
                </c:pt>
                <c:pt idx="2">
                  <c:v>2.3084025854108957E-3</c:v>
                </c:pt>
                <c:pt idx="3">
                  <c:v>2.3084025854108957E-3</c:v>
                </c:pt>
                <c:pt idx="4">
                  <c:v>2.3084025854108957E-3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4-8441-9410-1CBD186EAE6E}"/>
            </c:ext>
          </c:extLst>
        </c:ser>
        <c:ser>
          <c:idx val="1"/>
          <c:order val="1"/>
          <c:tx>
            <c:v>write miss rate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EXP!$K$36:$K$40</c:f>
              <c:strCache>
                <c:ptCount val="5"/>
                <c:pt idx="0">
                  <c:v>no L2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strCache>
            </c:strRef>
          </c:cat>
          <c:val>
            <c:numRef>
              <c:f>EXP!$M$36:$M$40</c:f>
              <c:numCache>
                <c:formatCode>0.0%</c:formatCode>
                <c:ptCount val="5"/>
                <c:pt idx="0">
                  <c:v>0.11354672330097088</c:v>
                </c:pt>
                <c:pt idx="1">
                  <c:v>5.5370145631067964E-2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4-8441-9410-1CBD186EA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929376"/>
        <c:axId val="1301092096"/>
      </c:barChart>
      <c:catAx>
        <c:axId val="13069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92096"/>
        <c:crosses val="autoZero"/>
        <c:auto val="1"/>
        <c:lblAlgn val="ctr"/>
        <c:lblOffset val="100"/>
        <c:noMultiLvlLbl val="0"/>
      </c:catAx>
      <c:valAx>
        <c:axId val="13010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160331</xdr:colOff>
      <xdr:row>0</xdr:row>
      <xdr:rowOff>149482</xdr:rowOff>
    </xdr:from>
    <xdr:to>
      <xdr:col>25</xdr:col>
      <xdr:colOff>35042</xdr:colOff>
      <xdr:row>14</xdr:row>
      <xdr:rowOff>23982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6AB6E6-C316-9B4A-9F9B-85695E0AD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117888</xdr:colOff>
      <xdr:row>8</xdr:row>
      <xdr:rowOff>57072</xdr:rowOff>
    </xdr:from>
    <xdr:to>
      <xdr:col>24</xdr:col>
      <xdr:colOff>814562</xdr:colOff>
      <xdr:row>22</xdr:row>
      <xdr:rowOff>2433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F0F95D-00C3-2941-AEE6-C3A3F34C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231850</xdr:colOff>
      <xdr:row>12</xdr:row>
      <xdr:rowOff>165621</xdr:rowOff>
    </xdr:from>
    <xdr:to>
      <xdr:col>26</xdr:col>
      <xdr:colOff>53048</xdr:colOff>
      <xdr:row>26</xdr:row>
      <xdr:rowOff>131822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BCD50F-AD67-B74E-9AFF-4776E11A3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680720</xdr:colOff>
      <xdr:row>10</xdr:row>
      <xdr:rowOff>8384</xdr:rowOff>
    </xdr:from>
    <xdr:to>
      <xdr:col>8</xdr:col>
      <xdr:colOff>223520</xdr:colOff>
      <xdr:row>26</xdr:row>
      <xdr:rowOff>20319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F05E54-5499-7849-A885-5CEEB90DC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269584</xdr:colOff>
      <xdr:row>29</xdr:row>
      <xdr:rowOff>106124</xdr:rowOff>
    </xdr:from>
    <xdr:to>
      <xdr:col>26</xdr:col>
      <xdr:colOff>145189</xdr:colOff>
      <xdr:row>43</xdr:row>
      <xdr:rowOff>34278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87F3BC1-BDA4-A14A-ABDD-7E01FBA57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9896-A7F8-294F-A3AD-69DB43562484}">
  <dimension ref="A1:AF50"/>
  <sheetViews>
    <sheetView tabSelected="1" topLeftCell="A26" zoomScaleNormal="150" workbookViewId="0">
      <selection activeCell="J51" sqref="J51"/>
    </sheetView>
  </sheetViews>
  <sheetFormatPr baseColWidth="10" defaultRowHeight="16" x14ac:dyDescent="0.2"/>
  <cols>
    <col min="1" max="1" width="10.83203125" style="1"/>
    <col min="2" max="2" width="6.83203125" style="1" customWidth="1"/>
    <col min="3" max="7" width="10.83203125" style="1"/>
    <col min="8" max="8" width="11.1640625" style="1" bestFit="1" customWidth="1"/>
    <col min="9" max="9" width="10.83203125" style="1"/>
    <col min="10" max="10" width="8.1640625" style="1" customWidth="1"/>
    <col min="11" max="11" width="6.33203125" style="1" customWidth="1"/>
    <col min="12" max="17" width="13.1640625" style="1" customWidth="1"/>
    <col min="18" max="21" width="10.83203125" style="1"/>
    <col min="22" max="22" width="10.83203125" style="1" customWidth="1"/>
    <col min="23" max="24" width="0.1640625" style="1" customWidth="1"/>
    <col min="25" max="27" width="10.83203125" style="1"/>
    <col min="28" max="28" width="14.5" style="1" customWidth="1"/>
    <col min="29" max="29" width="15" style="1" customWidth="1"/>
    <col min="30" max="31" width="10.83203125" style="1"/>
    <col min="32" max="32" width="6.6640625" style="1" customWidth="1"/>
    <col min="33" max="16384" width="10.83203125" style="1"/>
  </cols>
  <sheetData>
    <row r="1" spans="1:32" ht="17" thickBot="1" x14ac:dyDescent="0.25">
      <c r="K1" s="9"/>
      <c r="L1" s="9"/>
      <c r="M1" s="9"/>
      <c r="N1" s="9"/>
      <c r="O1" s="9"/>
      <c r="P1" s="9"/>
      <c r="Q1" s="9"/>
    </row>
    <row r="2" spans="1:32" ht="17" thickBot="1" x14ac:dyDescent="0.25">
      <c r="B2" s="9"/>
      <c r="C2" s="9"/>
      <c r="D2" s="9"/>
      <c r="E2" s="9"/>
      <c r="F2" s="9"/>
      <c r="G2" s="9"/>
      <c r="H2" s="9"/>
      <c r="K2" s="11"/>
      <c r="L2" s="21" t="s">
        <v>23</v>
      </c>
      <c r="M2" s="21" t="s">
        <v>24</v>
      </c>
      <c r="N2" s="16" t="s">
        <v>25</v>
      </c>
      <c r="O2" s="21"/>
      <c r="P2" s="16" t="s">
        <v>26</v>
      </c>
      <c r="Q2" s="16"/>
    </row>
    <row r="3" spans="1:32" ht="17" thickBot="1" x14ac:dyDescent="0.25">
      <c r="B3" s="11" t="s">
        <v>16</v>
      </c>
      <c r="C3" s="16" t="s">
        <v>17</v>
      </c>
      <c r="D3" s="18" t="s">
        <v>21</v>
      </c>
      <c r="E3" s="18" t="s">
        <v>20</v>
      </c>
      <c r="F3" s="18" t="s">
        <v>18</v>
      </c>
      <c r="G3" s="18" t="s">
        <v>19</v>
      </c>
      <c r="H3" s="18" t="s">
        <v>22</v>
      </c>
      <c r="K3" s="11" t="s">
        <v>16</v>
      </c>
      <c r="L3" s="11" t="s">
        <v>7</v>
      </c>
      <c r="M3" s="11" t="s">
        <v>7</v>
      </c>
      <c r="N3" s="16" t="s">
        <v>7</v>
      </c>
      <c r="O3" s="11" t="s">
        <v>27</v>
      </c>
      <c r="P3" s="16" t="s">
        <v>7</v>
      </c>
      <c r="Q3" s="16" t="s">
        <v>27</v>
      </c>
      <c r="AC3" s="9"/>
      <c r="AD3" s="9"/>
      <c r="AE3" s="9"/>
      <c r="AF3" s="9"/>
    </row>
    <row r="4" spans="1:32" ht="17" thickBot="1" x14ac:dyDescent="0.25">
      <c r="A4" s="1" t="s">
        <v>15</v>
      </c>
      <c r="B4" s="12">
        <v>5</v>
      </c>
      <c r="C4" s="1">
        <v>13187</v>
      </c>
      <c r="D4" s="2">
        <v>9148</v>
      </c>
      <c r="E4" s="1">
        <v>5231</v>
      </c>
      <c r="F4" s="2">
        <v>1830</v>
      </c>
      <c r="G4" s="2">
        <v>1830</v>
      </c>
      <c r="H4" s="1">
        <v>1601</v>
      </c>
      <c r="J4" s="1" t="s">
        <v>15</v>
      </c>
      <c r="K4" s="12">
        <v>5</v>
      </c>
      <c r="L4" s="22">
        <f>59/1407</f>
        <v>4.1933191186922528E-2</v>
      </c>
      <c r="M4" s="22">
        <f>19/1419</f>
        <v>1.3389711064129669E-2</v>
      </c>
      <c r="N4" s="3">
        <f>5/196</f>
        <v>2.5510204081632654E-2</v>
      </c>
      <c r="O4" s="22">
        <f>0/194</f>
        <v>0</v>
      </c>
      <c r="P4" s="3">
        <f>5/196</f>
        <v>2.5510204081632654E-2</v>
      </c>
      <c r="Q4" s="3">
        <f>0/194</f>
        <v>0</v>
      </c>
      <c r="AC4" s="11"/>
      <c r="AD4" s="9" t="s">
        <v>33</v>
      </c>
      <c r="AE4" s="9" t="s">
        <v>38</v>
      </c>
      <c r="AF4" s="9"/>
    </row>
    <row r="5" spans="1:32" x14ac:dyDescent="0.2">
      <c r="A5" s="1" t="s">
        <v>3</v>
      </c>
      <c r="B5" s="12">
        <v>10</v>
      </c>
      <c r="C5" s="1">
        <v>70483</v>
      </c>
      <c r="D5" s="2">
        <v>46059</v>
      </c>
      <c r="E5" s="1">
        <v>28942</v>
      </c>
      <c r="F5" s="2">
        <v>8130</v>
      </c>
      <c r="G5" s="2">
        <v>7991</v>
      </c>
      <c r="H5" s="1">
        <v>6832</v>
      </c>
      <c r="J5" s="1" t="s">
        <v>28</v>
      </c>
      <c r="K5" s="12">
        <v>10</v>
      </c>
      <c r="L5" s="22">
        <f>119/7287</f>
        <v>1.633045148895293E-2</v>
      </c>
      <c r="M5" s="22">
        <f>19/7190</f>
        <v>2.6425591098748263E-3</v>
      </c>
      <c r="N5" s="3">
        <f>33/1156</f>
        <v>2.8546712802768166E-2</v>
      </c>
      <c r="O5" s="22">
        <f>21/1184</f>
        <v>1.7736486486486486E-2</v>
      </c>
      <c r="P5" s="3">
        <f>10/1156</f>
        <v>8.6505190311418692E-3</v>
      </c>
      <c r="Q5" s="3">
        <f>0/1184</f>
        <v>0</v>
      </c>
      <c r="AB5" s="1" t="s">
        <v>32</v>
      </c>
      <c r="AC5" s="14" t="s">
        <v>35</v>
      </c>
      <c r="AD5" s="1">
        <v>2065</v>
      </c>
      <c r="AE5" s="1">
        <v>3262</v>
      </c>
      <c r="AF5" s="8">
        <f>(AE5-AD5)/AD5</f>
        <v>0.57966101694915251</v>
      </c>
    </row>
    <row r="6" spans="1:32" x14ac:dyDescent="0.2">
      <c r="B6" s="12">
        <v>15</v>
      </c>
      <c r="C6" s="7"/>
      <c r="D6" s="7">
        <v>111895</v>
      </c>
      <c r="E6" s="7">
        <v>71577</v>
      </c>
      <c r="F6" s="7">
        <v>19725</v>
      </c>
      <c r="G6" s="7">
        <v>18686</v>
      </c>
      <c r="H6" s="1">
        <v>17797</v>
      </c>
      <c r="I6" s="3"/>
      <c r="K6" s="12">
        <v>15</v>
      </c>
      <c r="L6" s="22">
        <f>179/18462</f>
        <v>9.6955909435597447E-3</v>
      </c>
      <c r="M6" s="22">
        <f>19/17495</f>
        <v>1.086024578450986E-3</v>
      </c>
      <c r="N6" s="3">
        <f>188/2916</f>
        <v>6.4471879286694095E-2</v>
      </c>
      <c r="O6" s="22">
        <f>176/2984</f>
        <v>5.8981233243967826E-2</v>
      </c>
      <c r="P6" s="3">
        <f>15/2916</f>
        <v>5.1440329218106996E-3</v>
      </c>
      <c r="Q6" s="3">
        <f>0/2984</f>
        <v>0</v>
      </c>
      <c r="AB6" s="1" t="s">
        <v>34</v>
      </c>
      <c r="AC6" s="14" t="s">
        <v>36</v>
      </c>
      <c r="AD6" s="1">
        <v>3.6</v>
      </c>
      <c r="AE6" s="1">
        <v>2.5</v>
      </c>
      <c r="AF6" s="8">
        <f>(AE6-AD6)/AD6</f>
        <v>-0.30555555555555558</v>
      </c>
    </row>
    <row r="7" spans="1:32" ht="17" thickBot="1" x14ac:dyDescent="0.25">
      <c r="B7" s="12">
        <v>20</v>
      </c>
      <c r="C7" s="7"/>
      <c r="D7" s="7"/>
      <c r="E7" s="7">
        <v>133012</v>
      </c>
      <c r="F7" s="7">
        <v>37068</v>
      </c>
      <c r="G7" s="7">
        <v>33972</v>
      </c>
      <c r="H7" s="1">
        <v>32753</v>
      </c>
      <c r="I7" s="3"/>
      <c r="K7" s="12">
        <v>20</v>
      </c>
      <c r="L7" s="22">
        <f>239/35385</f>
        <v>6.7542744100607599E-3</v>
      </c>
      <c r="M7" s="22">
        <f>19/32391</f>
        <v>5.8658269272328736E-4</v>
      </c>
      <c r="N7" s="3">
        <f>535/5476</f>
        <v>9.7699050401753099E-2</v>
      </c>
      <c r="O7" s="22">
        <f>516/5584</f>
        <v>9.2406876790830941E-2</v>
      </c>
      <c r="P7" s="3">
        <f>20/5476</f>
        <v>3.6523009495982471E-3</v>
      </c>
      <c r="Q7" s="3">
        <f>0/5584</f>
        <v>0</v>
      </c>
      <c r="AC7" s="15" t="s">
        <v>37</v>
      </c>
      <c r="AD7" s="9">
        <v>306717</v>
      </c>
      <c r="AE7" s="9">
        <v>334398</v>
      </c>
      <c r="AF7" s="10">
        <f>(AE7-AD7)/AD7</f>
        <v>9.0249317775017365E-2</v>
      </c>
    </row>
    <row r="8" spans="1:32" x14ac:dyDescent="0.2">
      <c r="B8" s="12">
        <v>25</v>
      </c>
      <c r="C8" s="7"/>
      <c r="D8" s="7"/>
      <c r="E8" s="7"/>
      <c r="F8" s="7">
        <v>59495</v>
      </c>
      <c r="G8" s="7">
        <v>53757</v>
      </c>
      <c r="H8" s="1">
        <v>52208</v>
      </c>
      <c r="I8" s="3"/>
      <c r="K8" s="12">
        <v>25</v>
      </c>
      <c r="L8" s="22">
        <f>299/57392</f>
        <v>5.2097853359353219E-3</v>
      </c>
      <c r="M8" s="22">
        <f>19/51786</f>
        <v>3.6689452747846909E-4</v>
      </c>
      <c r="N8" s="3">
        <f>981/8836</f>
        <v>0.11102308736985061</v>
      </c>
      <c r="O8" s="22">
        <f>956/8984</f>
        <v>0.10641139804096171</v>
      </c>
      <c r="P8" s="3">
        <f>25/8836</f>
        <v>2.8293345405160705E-3</v>
      </c>
      <c r="Q8" s="3">
        <f>0/8984</f>
        <v>0</v>
      </c>
      <c r="AC8" s="29" t="s">
        <v>39</v>
      </c>
      <c r="AD8" s="29"/>
      <c r="AE8" s="29"/>
      <c r="AF8" s="29"/>
    </row>
    <row r="9" spans="1:32" ht="17" thickBot="1" x14ac:dyDescent="0.25">
      <c r="B9" s="13">
        <v>30</v>
      </c>
      <c r="C9" s="19"/>
      <c r="D9" s="19"/>
      <c r="E9" s="19"/>
      <c r="F9" s="19">
        <v>87050</v>
      </c>
      <c r="G9" s="19">
        <v>78045</v>
      </c>
      <c r="H9" s="9">
        <v>76166</v>
      </c>
      <c r="I9" s="3"/>
      <c r="K9" s="13">
        <v>30</v>
      </c>
      <c r="L9" s="23">
        <f>359/84527</f>
        <v>4.2471636281898092E-3</v>
      </c>
      <c r="M9" s="23">
        <f>19/75684</f>
        <v>2.5104381375191584E-4</v>
      </c>
      <c r="N9" s="20">
        <f>1529/12996</f>
        <v>0.11765158510310865</v>
      </c>
      <c r="O9" s="23">
        <f>1497/13184</f>
        <v>0.11354672330097088</v>
      </c>
      <c r="P9" s="20">
        <f>30/12996</f>
        <v>2.3084025854108957E-3</v>
      </c>
      <c r="Q9" s="20">
        <f>0/13184</f>
        <v>0</v>
      </c>
    </row>
    <row r="14" spans="1:32" x14ac:dyDescent="0.2">
      <c r="G14" s="3"/>
    </row>
    <row r="29" spans="2:6" x14ac:dyDescent="0.2">
      <c r="D29" s="1" t="s">
        <v>1</v>
      </c>
      <c r="E29" s="1" t="s">
        <v>2</v>
      </c>
    </row>
    <row r="30" spans="2:6" x14ac:dyDescent="0.2">
      <c r="B30" s="1" t="s">
        <v>0</v>
      </c>
      <c r="C30" s="4" t="s">
        <v>3</v>
      </c>
      <c r="D30" s="1">
        <v>6161</v>
      </c>
      <c r="E30" s="1">
        <v>4182</v>
      </c>
      <c r="F30" s="3">
        <f>(E30-D30)/D30</f>
        <v>-0.32121408862197698</v>
      </c>
    </row>
    <row r="31" spans="2:6" x14ac:dyDescent="0.2">
      <c r="C31" s="4" t="s">
        <v>7</v>
      </c>
      <c r="D31" s="5">
        <v>0.25</v>
      </c>
      <c r="E31" s="5">
        <v>0.25</v>
      </c>
    </row>
    <row r="32" spans="2:6" x14ac:dyDescent="0.2">
      <c r="C32" s="4" t="s">
        <v>4</v>
      </c>
      <c r="D32" s="1" t="s">
        <v>6</v>
      </c>
      <c r="E32" s="1" t="s">
        <v>5</v>
      </c>
    </row>
    <row r="33" spans="2:14" x14ac:dyDescent="0.2">
      <c r="B33" s="1" t="s">
        <v>8</v>
      </c>
      <c r="C33" s="4" t="s">
        <v>3</v>
      </c>
      <c r="D33" s="1">
        <v>2065</v>
      </c>
      <c r="E33" s="1">
        <v>2074</v>
      </c>
    </row>
    <row r="34" spans="2:14" x14ac:dyDescent="0.2">
      <c r="L34" s="1" t="s">
        <v>25</v>
      </c>
    </row>
    <row r="35" spans="2:14" x14ac:dyDescent="0.2">
      <c r="D35" s="1" t="s">
        <v>9</v>
      </c>
      <c r="E35" s="6" t="s">
        <v>10</v>
      </c>
      <c r="J35" s="1" t="s">
        <v>15</v>
      </c>
      <c r="L35" s="1" t="s">
        <v>7</v>
      </c>
      <c r="M35" s="1" t="s">
        <v>27</v>
      </c>
      <c r="N35" s="1" t="s">
        <v>14</v>
      </c>
    </row>
    <row r="36" spans="2:14" x14ac:dyDescent="0.2">
      <c r="B36" s="1" t="s">
        <v>0</v>
      </c>
      <c r="C36" s="1" t="s">
        <v>3</v>
      </c>
      <c r="D36" s="1">
        <v>4182</v>
      </c>
      <c r="E36" s="1">
        <v>8811</v>
      </c>
      <c r="J36" s="1" t="s">
        <v>29</v>
      </c>
      <c r="K36" s="1" t="s">
        <v>31</v>
      </c>
      <c r="L36" s="3">
        <f>N9</f>
        <v>0.11765158510310865</v>
      </c>
      <c r="M36" s="3">
        <f>O9</f>
        <v>0.11354672330097088</v>
      </c>
      <c r="N36" s="1">
        <v>282703</v>
      </c>
    </row>
    <row r="37" spans="2:14" x14ac:dyDescent="0.2">
      <c r="K37" s="1">
        <v>16</v>
      </c>
      <c r="L37" s="3">
        <f>1231/12996</f>
        <v>9.472145275469375E-2</v>
      </c>
      <c r="M37" s="3">
        <f>730/13184</f>
        <v>5.5370145631067964E-2</v>
      </c>
    </row>
    <row r="38" spans="2:14" x14ac:dyDescent="0.2">
      <c r="D38" s="1" t="s">
        <v>12</v>
      </c>
      <c r="E38" s="1" t="s">
        <v>13</v>
      </c>
      <c r="K38" s="1">
        <v>32</v>
      </c>
      <c r="L38" s="3">
        <f>30/12996</f>
        <v>2.3084025854108957E-3</v>
      </c>
      <c r="M38" s="3">
        <f>0/13184</f>
        <v>0</v>
      </c>
    </row>
    <row r="39" spans="2:14" x14ac:dyDescent="0.2">
      <c r="B39" s="1" t="s">
        <v>11</v>
      </c>
      <c r="C39" s="1" t="s">
        <v>14</v>
      </c>
      <c r="D39" s="1">
        <v>738854</v>
      </c>
      <c r="E39" s="1">
        <v>406828</v>
      </c>
      <c r="K39" s="1">
        <v>64</v>
      </c>
      <c r="L39" s="3">
        <f>30/12996</f>
        <v>2.3084025854108957E-3</v>
      </c>
      <c r="M39" s="3">
        <f>0/13184</f>
        <v>0</v>
      </c>
      <c r="N39" s="1">
        <v>914091</v>
      </c>
    </row>
    <row r="40" spans="2:14" x14ac:dyDescent="0.2">
      <c r="C40" s="1" t="s">
        <v>3</v>
      </c>
      <c r="D40" s="1">
        <v>188</v>
      </c>
      <c r="E40" s="1">
        <v>512</v>
      </c>
      <c r="K40" s="1">
        <v>128</v>
      </c>
      <c r="L40" s="3">
        <f>30/12996</f>
        <v>2.3084025854108957E-3</v>
      </c>
      <c r="M40" s="3">
        <f>0/13184</f>
        <v>0</v>
      </c>
    </row>
    <row r="42" spans="2:14" ht="17" thickBot="1" x14ac:dyDescent="0.25">
      <c r="B42" s="9"/>
      <c r="C42" s="9"/>
      <c r="D42" s="9"/>
      <c r="E42" s="9"/>
    </row>
    <row r="43" spans="2:14" ht="17" thickBot="1" x14ac:dyDescent="0.25">
      <c r="B43" s="11" t="s">
        <v>30</v>
      </c>
      <c r="C43" s="16" t="s">
        <v>40</v>
      </c>
      <c r="D43" s="16" t="s">
        <v>41</v>
      </c>
      <c r="E43" s="16" t="s">
        <v>42</v>
      </c>
    </row>
    <row r="44" spans="2:14" x14ac:dyDescent="0.2">
      <c r="B44" s="12" t="s">
        <v>3</v>
      </c>
      <c r="C44" s="1">
        <v>3700</v>
      </c>
      <c r="D44" s="1">
        <v>3501</v>
      </c>
      <c r="E44" s="1">
        <v>3699</v>
      </c>
    </row>
    <row r="45" spans="2:14" ht="17" thickBot="1" x14ac:dyDescent="0.25">
      <c r="B45" s="13" t="s">
        <v>14</v>
      </c>
      <c r="C45" s="9">
        <v>286971</v>
      </c>
      <c r="D45" s="9">
        <v>300823</v>
      </c>
      <c r="E45" s="9"/>
    </row>
    <row r="46" spans="2:14" ht="13" customHeight="1" x14ac:dyDescent="0.2">
      <c r="B46" s="30" t="s">
        <v>43</v>
      </c>
      <c r="C46" s="30"/>
      <c r="D46" s="30"/>
      <c r="E46" s="30"/>
      <c r="F46" s="17"/>
    </row>
    <row r="47" spans="2:14" ht="13" customHeight="1" x14ac:dyDescent="0.2">
      <c r="B47" s="30" t="s">
        <v>44</v>
      </c>
      <c r="C47" s="30"/>
      <c r="D47" s="30"/>
      <c r="E47" s="30"/>
      <c r="F47" s="30"/>
    </row>
    <row r="50" spans="10:10" x14ac:dyDescent="0.2">
      <c r="J50" s="1">
        <v>282703</v>
      </c>
    </row>
  </sheetData>
  <mergeCells count="3">
    <mergeCell ref="AC8:AF8"/>
    <mergeCell ref="B47:F47"/>
    <mergeCell ref="B46:E46"/>
  </mergeCells>
  <pageMargins left="0.7" right="0.7" top="0.75" bottom="0.75" header="0.3" footer="0.3"/>
  <pageSetup paperSize="9" orientation="portrait" horizontalDpi="0" verticalDpi="0"/>
  <ignoredErrors>
    <ignoredError sqref="O4:P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CAE1-604F-FE49-899A-8E6FD8221618}">
  <dimension ref="B2:G6"/>
  <sheetViews>
    <sheetView zoomScale="150" workbookViewId="0">
      <selection activeCell="H10" sqref="H10"/>
    </sheetView>
  </sheetViews>
  <sheetFormatPr baseColWidth="10" defaultRowHeight="16" x14ac:dyDescent="0.2"/>
  <cols>
    <col min="1" max="4" width="10.83203125" style="1"/>
    <col min="5" max="5" width="7.33203125" style="1" customWidth="1"/>
    <col min="6" max="6" width="10.83203125" style="1"/>
    <col min="7" max="7" width="7.33203125" style="1" customWidth="1"/>
    <col min="8" max="16384" width="10.83203125" style="1"/>
  </cols>
  <sheetData>
    <row r="2" spans="2:7" ht="17" thickBot="1" x14ac:dyDescent="0.25">
      <c r="B2" s="9"/>
      <c r="C2" s="9"/>
      <c r="D2" s="9"/>
      <c r="E2" s="9"/>
      <c r="F2" s="9"/>
      <c r="G2" s="9"/>
    </row>
    <row r="3" spans="2:7" ht="17" thickBot="1" x14ac:dyDescent="0.25">
      <c r="B3" s="11" t="s">
        <v>56</v>
      </c>
      <c r="C3" s="26" t="s">
        <v>40</v>
      </c>
      <c r="D3" s="9" t="s">
        <v>41</v>
      </c>
      <c r="E3" s="11"/>
      <c r="F3" s="9" t="s">
        <v>42</v>
      </c>
      <c r="G3" s="16"/>
    </row>
    <row r="4" spans="2:7" x14ac:dyDescent="0.2">
      <c r="B4" s="12" t="s">
        <v>57</v>
      </c>
      <c r="C4" s="27">
        <v>458</v>
      </c>
      <c r="D4" s="1">
        <v>458</v>
      </c>
      <c r="E4" s="24">
        <f>(D4-C4)/C4</f>
        <v>0</v>
      </c>
      <c r="F4" s="1">
        <v>458</v>
      </c>
      <c r="G4" s="8">
        <f>(F4-C4)/C4</f>
        <v>0</v>
      </c>
    </row>
    <row r="5" spans="2:7" x14ac:dyDescent="0.2">
      <c r="B5" s="12" t="s">
        <v>58</v>
      </c>
      <c r="C5" s="27">
        <v>663</v>
      </c>
      <c r="D5" s="1">
        <v>660</v>
      </c>
      <c r="E5" s="24">
        <f t="shared" ref="E5:E6" si="0">(D5-C5)/C5</f>
        <v>-4.5248868778280547E-3</v>
      </c>
      <c r="F5" s="1">
        <v>759</v>
      </c>
      <c r="G5" s="8">
        <f t="shared" ref="G5:G6" si="1">(F5-C5)/C5</f>
        <v>0.14479638009049775</v>
      </c>
    </row>
    <row r="6" spans="2:7" ht="17" thickBot="1" x14ac:dyDescent="0.25">
      <c r="B6" s="13" t="s">
        <v>59</v>
      </c>
      <c r="C6" s="28">
        <v>877</v>
      </c>
      <c r="D6" s="9">
        <v>775</v>
      </c>
      <c r="E6" s="25">
        <f t="shared" si="0"/>
        <v>-0.11630558722919042</v>
      </c>
      <c r="F6" s="9">
        <v>775</v>
      </c>
      <c r="G6" s="10">
        <f t="shared" si="1"/>
        <v>-0.11630558722919042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D6B1-477F-C246-A41C-69546F162D37}">
  <dimension ref="C8:K21"/>
  <sheetViews>
    <sheetView topLeftCell="A5" zoomScale="150" workbookViewId="0">
      <selection activeCell="J14" sqref="J14"/>
    </sheetView>
  </sheetViews>
  <sheetFormatPr baseColWidth="10" defaultRowHeight="16" x14ac:dyDescent="0.2"/>
  <cols>
    <col min="1" max="7" width="10.83203125" style="1"/>
    <col min="8" max="8" width="12" style="1" customWidth="1"/>
    <col min="9" max="16384" width="10.83203125" style="1"/>
  </cols>
  <sheetData>
    <row r="8" spans="3:10" x14ac:dyDescent="0.2">
      <c r="D8" s="1" t="s">
        <v>47</v>
      </c>
      <c r="E8" s="1" t="s">
        <v>14</v>
      </c>
      <c r="F8" s="1" t="s">
        <v>3</v>
      </c>
      <c r="G8" s="1" t="s">
        <v>46</v>
      </c>
    </row>
    <row r="9" spans="3:10" x14ac:dyDescent="0.2">
      <c r="C9" s="1" t="s">
        <v>45</v>
      </c>
      <c r="D9" s="1" t="s">
        <v>48</v>
      </c>
      <c r="E9" s="1">
        <v>290388</v>
      </c>
      <c r="F9" s="1">
        <v>2143</v>
      </c>
      <c r="G9" s="1">
        <v>4.08</v>
      </c>
      <c r="H9" s="1">
        <f>G9*F9*E9</f>
        <v>2538990054.7200003</v>
      </c>
    </row>
    <row r="10" spans="3:10" x14ac:dyDescent="0.2">
      <c r="J10" s="1" t="s">
        <v>14</v>
      </c>
    </row>
    <row r="11" spans="3:10" x14ac:dyDescent="0.2">
      <c r="C11" s="1" t="s">
        <v>30</v>
      </c>
      <c r="D11" s="1" t="s">
        <v>30</v>
      </c>
      <c r="E11" s="1">
        <v>307333</v>
      </c>
      <c r="F11" s="1">
        <v>461</v>
      </c>
      <c r="G11" s="1">
        <v>4.4400000000000004</v>
      </c>
      <c r="I11" s="1" t="s">
        <v>45</v>
      </c>
      <c r="J11" s="1">
        <v>294923</v>
      </c>
    </row>
    <row r="12" spans="3:10" x14ac:dyDescent="0.2">
      <c r="D12" s="1" t="s">
        <v>48</v>
      </c>
      <c r="F12" s="1">
        <v>2144</v>
      </c>
      <c r="I12" s="1" t="s">
        <v>30</v>
      </c>
      <c r="J12" s="1">
        <v>307333</v>
      </c>
    </row>
    <row r="13" spans="3:10" ht="17" thickBot="1" x14ac:dyDescent="0.25">
      <c r="D13" s="9"/>
      <c r="E13" s="9"/>
      <c r="F13" s="9"/>
      <c r="G13" s="9"/>
      <c r="H13" s="9"/>
      <c r="J13" s="1">
        <f>J12-J11</f>
        <v>12410</v>
      </c>
    </row>
    <row r="14" spans="3:10" ht="17" thickBot="1" x14ac:dyDescent="0.25">
      <c r="D14" s="9"/>
      <c r="E14" s="9" t="s">
        <v>66</v>
      </c>
      <c r="F14" s="9" t="s">
        <v>3</v>
      </c>
      <c r="G14" s="9" t="s">
        <v>64</v>
      </c>
      <c r="H14" s="9" t="s">
        <v>65</v>
      </c>
    </row>
    <row r="15" spans="3:10" x14ac:dyDescent="0.2">
      <c r="C15" s="1" t="s">
        <v>11</v>
      </c>
      <c r="D15" s="1" t="s">
        <v>62</v>
      </c>
      <c r="E15" s="1">
        <v>326755</v>
      </c>
      <c r="F15" s="1">
        <v>541</v>
      </c>
      <c r="G15" s="1">
        <v>6.1</v>
      </c>
      <c r="H15" s="1">
        <f>G15*F15</f>
        <v>3300.1</v>
      </c>
    </row>
    <row r="16" spans="3:10" ht="17" thickBot="1" x14ac:dyDescent="0.25">
      <c r="D16" s="9" t="s">
        <v>67</v>
      </c>
      <c r="E16" s="9">
        <v>738854</v>
      </c>
      <c r="F16" s="9">
        <v>188</v>
      </c>
      <c r="G16" s="9">
        <v>19.399999999999999</v>
      </c>
      <c r="H16" s="9">
        <f>G16*F16</f>
        <v>3647.2</v>
      </c>
    </row>
    <row r="18" spans="3:11" x14ac:dyDescent="0.2">
      <c r="D18" s="1" t="s">
        <v>47</v>
      </c>
      <c r="E18" s="1" t="s">
        <v>50</v>
      </c>
      <c r="F18" s="1" t="s">
        <v>51</v>
      </c>
      <c r="G18" s="1" t="s">
        <v>52</v>
      </c>
      <c r="H18" s="1" t="s">
        <v>53</v>
      </c>
      <c r="I18" s="1" t="s">
        <v>54</v>
      </c>
      <c r="K18" s="1" t="s">
        <v>55</v>
      </c>
    </row>
    <row r="19" spans="3:11" x14ac:dyDescent="0.2">
      <c r="C19" s="1" t="s">
        <v>49</v>
      </c>
      <c r="D19" s="1" t="s">
        <v>49</v>
      </c>
      <c r="E19" s="1">
        <v>1</v>
      </c>
      <c r="F19" s="1">
        <v>0.03</v>
      </c>
      <c r="G19" s="1">
        <v>2</v>
      </c>
      <c r="H19" s="1">
        <v>2E-3</v>
      </c>
      <c r="I19" s="1">
        <v>8</v>
      </c>
      <c r="J19" s="1" t="s">
        <v>61</v>
      </c>
      <c r="K19" s="1" t="s">
        <v>60</v>
      </c>
    </row>
    <row r="20" spans="3:11" x14ac:dyDescent="0.2">
      <c r="J20" s="1">
        <f>E19+F19*(G19+H19*I19)</f>
        <v>1.0604800000000001</v>
      </c>
    </row>
    <row r="21" spans="3:11" x14ac:dyDescent="0.2">
      <c r="K21" s="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</vt:lpstr>
      <vt:lpstr>BrPred</vt:lpstr>
      <vt:lpstr>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2018-06-13T10:08:47Z</dcterms:created>
  <dcterms:modified xsi:type="dcterms:W3CDTF">2018-06-26T04:58:41Z</dcterms:modified>
</cp:coreProperties>
</file>